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5.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asalimi\Downloads\Appendix Folder\"/>
    </mc:Choice>
  </mc:AlternateContent>
  <xr:revisionPtr revIDLastSave="0" documentId="8_{91047F5C-8B3B-4A56-94EB-C9F950463DE8}" xr6:coauthVersionLast="45" xr6:coauthVersionMax="45" xr10:uidLastSave="{00000000-0000-0000-0000-000000000000}"/>
  <bookViews>
    <workbookView xWindow="28680" yWindow="-120" windowWidth="29040" windowHeight="15840" tabRatio="794" activeTab="1" xr2:uid="{A86E0DB8-2199-4A05-9878-87744F89660E}"/>
  </bookViews>
  <sheets>
    <sheet name="ReadMe" sheetId="32" r:id="rId1"/>
    <sheet name="Emissions-RFP" sheetId="31" r:id="rId2"/>
    <sheet name="Emissions-5Pct" sheetId="5" r:id="rId3"/>
    <sheet name="SectorSum2019" sheetId="18" r:id="rId4"/>
    <sheet name="SectorSum2023" sheetId="19" r:id="rId5"/>
    <sheet name="SectorSum2024" sheetId="20" r:id="rId6"/>
    <sheet name="SectorSum2024PB" sheetId="30" r:id="rId7"/>
    <sheet name="Points" sheetId="4" r:id="rId8"/>
    <sheet name="SpaceHeat" sheetId="6" r:id="rId9"/>
    <sheet name="OnRoad" sheetId="9" r:id="rId10"/>
    <sheet name="2019NRARSummary" sheetId="10" r:id="rId11"/>
    <sheet name="2020NRARSummary" sheetId="15" r:id="rId12"/>
    <sheet name="2021NRARSummary" sheetId="16" r:id="rId13"/>
    <sheet name="2022NRARSummary" sheetId="17" r:id="rId14"/>
    <sheet name="2023NRARSummary" sheetId="14" r:id="rId15"/>
    <sheet name="2024NRARSummary" sheetId="12" r:id="rId16"/>
    <sheet name="2026NRARSummary" sheetId="13" r:id="rId17"/>
    <sheet name="2029NRARSummary" sheetId="11" r:id="rId18"/>
    <sheet name="TabSpHt2019" sheetId="21" r:id="rId19"/>
    <sheet name="TabSpHt2020" sheetId="23" r:id="rId20"/>
    <sheet name="TabSpHt2021" sheetId="24" r:id="rId21"/>
    <sheet name="TabSpHt2022" sheetId="25" r:id="rId22"/>
    <sheet name="TabSpHt2023" sheetId="26" r:id="rId23"/>
    <sheet name="TabSpHt2024" sheetId="27" r:id="rId24"/>
    <sheet name="TabSpHt2025" sheetId="28" r:id="rId25"/>
    <sheet name="TabSpHt2026" sheetId="29" r:id="rId26"/>
  </sheets>
  <definedNames>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66" i="31" l="1"/>
  <c r="L66" i="31" s="1"/>
  <c r="G33" i="4" l="1"/>
  <c r="G32" i="4"/>
  <c r="G29" i="4"/>
  <c r="G28" i="4"/>
  <c r="G31" i="4"/>
  <c r="G30" i="4"/>
  <c r="F32" i="4" l="1"/>
  <c r="F31" i="4"/>
  <c r="F29" i="4"/>
  <c r="F28" i="4"/>
  <c r="F33" i="4" l="1"/>
  <c r="F30" i="4"/>
  <c r="B23" i="31" l="1"/>
  <c r="L23" i="31" s="1"/>
  <c r="Q23" i="31" s="1"/>
  <c r="I41" i="31"/>
  <c r="P41" i="31" s="1"/>
  <c r="H41" i="31"/>
  <c r="G41" i="31"/>
  <c r="R41" i="31" s="1"/>
  <c r="F41" i="31"/>
  <c r="N41" i="31" s="1"/>
  <c r="E41" i="31"/>
  <c r="D41" i="31"/>
  <c r="C41" i="31"/>
  <c r="M41" i="31" s="1"/>
  <c r="B41" i="31"/>
  <c r="L41" i="31" s="1"/>
  <c r="Q41" i="31" s="1"/>
  <c r="I38" i="31"/>
  <c r="P38" i="31" s="1"/>
  <c r="H38" i="31"/>
  <c r="G38" i="31"/>
  <c r="O38" i="31" s="1"/>
  <c r="F38" i="31"/>
  <c r="N38" i="31" s="1"/>
  <c r="E38" i="31"/>
  <c r="D38" i="31"/>
  <c r="C38" i="31"/>
  <c r="M38" i="31" s="1"/>
  <c r="B38" i="31"/>
  <c r="L38" i="31" s="1"/>
  <c r="Q38" i="31" s="1"/>
  <c r="D39" i="31" a="1"/>
  <c r="B40" i="31" a="1"/>
  <c r="F40" i="31" a="1"/>
  <c r="I40" i="31" a="1"/>
  <c r="B42" i="31" a="1"/>
  <c r="H39" i="31" a="1"/>
  <c r="F42" i="31" a="1"/>
  <c r="E40" i="31" a="1"/>
  <c r="I39" i="31" a="1"/>
  <c r="G42" i="31" a="1"/>
  <c r="B39" i="31" a="1"/>
  <c r="E42" i="31" a="1"/>
  <c r="E39" i="31" a="1"/>
  <c r="I42" i="31" a="1"/>
  <c r="F39" i="31" a="1"/>
  <c r="C40" i="31" a="1"/>
  <c r="G39" i="31" a="1"/>
  <c r="G40" i="31" a="1"/>
  <c r="C42" i="31" a="1"/>
  <c r="C39" i="31" a="1"/>
  <c r="D40" i="31" a="1"/>
  <c r="D42" i="31" a="1"/>
  <c r="R38" i="31" l="1"/>
  <c r="O41" i="31"/>
  <c r="G39" i="31"/>
  <c r="H39" i="31"/>
  <c r="C39" i="31"/>
  <c r="M39" i="31" s="1"/>
  <c r="I39" i="31"/>
  <c r="P39" i="31" s="1"/>
  <c r="D39" i="31"/>
  <c r="E39" i="31"/>
  <c r="F39" i="31"/>
  <c r="N39" i="31" s="1"/>
  <c r="B39" i="31"/>
  <c r="L39" i="31" s="1"/>
  <c r="Q39" i="31" s="1"/>
  <c r="G42" i="31"/>
  <c r="C42" i="31"/>
  <c r="M42" i="31" s="1"/>
  <c r="I42" i="31"/>
  <c r="P42" i="31" s="1"/>
  <c r="D42" i="31"/>
  <c r="E42" i="31"/>
  <c r="F42" i="31"/>
  <c r="N42" i="31" s="1"/>
  <c r="B42" i="31"/>
  <c r="L42" i="31" s="1"/>
  <c r="Q42" i="31" s="1"/>
  <c r="C40" i="31"/>
  <c r="M40" i="31" s="1"/>
  <c r="I40" i="31"/>
  <c r="P40" i="31" s="1"/>
  <c r="D40" i="31"/>
  <c r="E40" i="31"/>
  <c r="G40" i="31"/>
  <c r="F40" i="31"/>
  <c r="N40" i="31" s="1"/>
  <c r="B40" i="31"/>
  <c r="L40" i="31" s="1"/>
  <c r="Q40" i="31" s="1"/>
  <c r="O42" i="31" l="1"/>
  <c r="R42" i="31"/>
  <c r="O40" i="31"/>
  <c r="R40" i="31"/>
  <c r="R39" i="31"/>
  <c r="O39" i="31"/>
  <c r="I43" i="31"/>
  <c r="P43" i="31" s="1"/>
  <c r="E43" i="31"/>
  <c r="H40" i="31"/>
  <c r="H42" i="31"/>
  <c r="B43" i="31"/>
  <c r="L43" i="31" s="1"/>
  <c r="Q43" i="31" s="1"/>
  <c r="C43" i="31"/>
  <c r="M43" i="31" s="1"/>
  <c r="F43" i="31"/>
  <c r="N43" i="31" s="1"/>
  <c r="D43" i="31"/>
  <c r="G43" i="31"/>
  <c r="R43" i="31" l="1"/>
  <c r="O43" i="31"/>
  <c r="B46" i="31"/>
  <c r="L44" i="31" s="1"/>
  <c r="Q44" i="31" s="1"/>
  <c r="I48" i="31"/>
  <c r="P46" i="31" s="1"/>
  <c r="G48" i="31"/>
  <c r="F48" i="31"/>
  <c r="N46" i="31" s="1"/>
  <c r="E48" i="31"/>
  <c r="D48" i="31"/>
  <c r="C48" i="31"/>
  <c r="M46" i="31" s="1"/>
  <c r="B45" i="31"/>
  <c r="C47" i="31" s="1"/>
  <c r="M45" i="31" s="1"/>
  <c r="H43" i="31"/>
  <c r="H48" i="31" s="1"/>
  <c r="M47" i="31" l="1"/>
  <c r="R46" i="31"/>
  <c r="O46" i="31"/>
  <c r="D47" i="31"/>
  <c r="E47" i="31" s="1"/>
  <c r="F47" i="31" s="1"/>
  <c r="N45" i="31" s="1"/>
  <c r="N47" i="31" s="1"/>
  <c r="C46" i="31"/>
  <c r="C49" i="31"/>
  <c r="M44" i="31" l="1"/>
  <c r="D46" i="31"/>
  <c r="E46" i="31" s="1"/>
  <c r="F46" i="31" s="1"/>
  <c r="G47" i="31"/>
  <c r="D49" i="31"/>
  <c r="I25" i="31"/>
  <c r="P25" i="31" s="1"/>
  <c r="H25" i="31"/>
  <c r="G25" i="31"/>
  <c r="F25" i="31"/>
  <c r="N25" i="31" s="1"/>
  <c r="E25" i="31"/>
  <c r="D25" i="31"/>
  <c r="C25" i="31"/>
  <c r="M25" i="31" s="1"/>
  <c r="B25" i="31"/>
  <c r="L25" i="31" s="1"/>
  <c r="Q25" i="31" s="1"/>
  <c r="I23" i="31"/>
  <c r="P23" i="31" s="1"/>
  <c r="H23" i="31"/>
  <c r="G23" i="31"/>
  <c r="F23" i="31"/>
  <c r="N23" i="31" s="1"/>
  <c r="E23" i="31"/>
  <c r="D23" i="31"/>
  <c r="C23" i="31"/>
  <c r="M23" i="31" s="1"/>
  <c r="I22" i="31"/>
  <c r="P22" i="31" s="1"/>
  <c r="H22" i="31"/>
  <c r="G22" i="31"/>
  <c r="F22" i="31"/>
  <c r="N22" i="31" s="1"/>
  <c r="E22" i="31"/>
  <c r="D22" i="31"/>
  <c r="C22" i="31"/>
  <c r="M22" i="31" s="1"/>
  <c r="B22" i="31"/>
  <c r="L22" i="31" s="1"/>
  <c r="Q22" i="31" s="1"/>
  <c r="I9" i="31"/>
  <c r="H9" i="31"/>
  <c r="G9" i="31"/>
  <c r="F9" i="31"/>
  <c r="E9" i="31"/>
  <c r="D9" i="31"/>
  <c r="C9" i="31"/>
  <c r="B9" i="31"/>
  <c r="L9" i="31" s="1"/>
  <c r="Q9" i="31" s="1"/>
  <c r="I7" i="31"/>
  <c r="P7" i="31" s="1"/>
  <c r="H7" i="31"/>
  <c r="G7" i="31"/>
  <c r="F7" i="31"/>
  <c r="N7" i="31" s="1"/>
  <c r="E7" i="31"/>
  <c r="D7" i="31"/>
  <c r="C7" i="31"/>
  <c r="M7" i="31" s="1"/>
  <c r="B7" i="31"/>
  <c r="L7" i="31" s="1"/>
  <c r="Q7" i="31" s="1"/>
  <c r="I6" i="31"/>
  <c r="P6" i="31" s="1"/>
  <c r="H6" i="31"/>
  <c r="G6" i="31"/>
  <c r="F6" i="31"/>
  <c r="N6" i="31" s="1"/>
  <c r="E6" i="31"/>
  <c r="D6" i="31"/>
  <c r="C6" i="31"/>
  <c r="M6" i="31" s="1"/>
  <c r="B6" i="31"/>
  <c r="L6" i="31" s="1"/>
  <c r="Q6" i="31" s="1"/>
  <c r="G8" i="31" a="1"/>
  <c r="D26" i="31" a="1"/>
  <c r="B26" i="31" a="1"/>
  <c r="I8" i="31" a="1"/>
  <c r="B10" i="31" a="1"/>
  <c r="F10" i="31" a="1"/>
  <c r="I10" i="31" a="1"/>
  <c r="E26" i="31" a="1"/>
  <c r="D8" i="31" a="1"/>
  <c r="E10" i="31" a="1"/>
  <c r="F8" i="31" a="1"/>
  <c r="F24" i="31" a="1"/>
  <c r="C10" i="31" a="1"/>
  <c r="B8" i="31" a="1"/>
  <c r="B24" i="31" a="1"/>
  <c r="D10" i="31" a="1"/>
  <c r="E24" i="31" a="1"/>
  <c r="I24" i="31" a="1"/>
  <c r="C26" i="31" a="1"/>
  <c r="E8" i="31" a="1"/>
  <c r="F26" i="31" a="1"/>
  <c r="C8" i="31" a="1"/>
  <c r="D24" i="31" a="1"/>
  <c r="G24" i="31" a="1"/>
  <c r="G26" i="31" a="1"/>
  <c r="C24" i="31" a="1"/>
  <c r="I26" i="31" a="1"/>
  <c r="G10" i="31" a="1"/>
  <c r="P9" i="31" l="1"/>
  <c r="N9" i="31"/>
  <c r="M9" i="31"/>
  <c r="O45" i="31"/>
  <c r="O47" i="31" s="1"/>
  <c r="R45" i="31"/>
  <c r="R47" i="31" s="1"/>
  <c r="G46" i="31"/>
  <c r="N44" i="31"/>
  <c r="R25" i="31"/>
  <c r="O25" i="31"/>
  <c r="O22" i="31"/>
  <c r="R22" i="31"/>
  <c r="R23" i="31"/>
  <c r="O23" i="31"/>
  <c r="R9" i="31"/>
  <c r="O9" i="31"/>
  <c r="R7" i="31"/>
  <c r="O7" i="31"/>
  <c r="R6" i="31"/>
  <c r="O6" i="31"/>
  <c r="I47" i="31"/>
  <c r="P45" i="31" s="1"/>
  <c r="P47" i="31" s="1"/>
  <c r="H47" i="31"/>
  <c r="E49" i="31"/>
  <c r="D24" i="31"/>
  <c r="G26" i="31"/>
  <c r="D8" i="31"/>
  <c r="B10" i="31"/>
  <c r="L10" i="31" s="1"/>
  <c r="Q10" i="31" s="1"/>
  <c r="G10" i="31"/>
  <c r="I10" i="31"/>
  <c r="P10" i="31" s="1"/>
  <c r="E24" i="31"/>
  <c r="B26" i="31"/>
  <c r="L26" i="31" s="1"/>
  <c r="Q26" i="31" s="1"/>
  <c r="E8" i="31"/>
  <c r="C10" i="31"/>
  <c r="M10" i="31" s="1"/>
  <c r="I26" i="31"/>
  <c r="P26" i="31" s="1"/>
  <c r="F24" i="31"/>
  <c r="N24" i="31" s="1"/>
  <c r="C26" i="31"/>
  <c r="M26" i="31" s="1"/>
  <c r="F8" i="31"/>
  <c r="N8" i="31" s="1"/>
  <c r="D10" i="31"/>
  <c r="G24" i="31"/>
  <c r="D26" i="31"/>
  <c r="G8" i="31"/>
  <c r="O8" i="31" s="1"/>
  <c r="E10" i="31"/>
  <c r="C8" i="31"/>
  <c r="M8" i="31" s="1"/>
  <c r="B24" i="31"/>
  <c r="L24" i="31" s="1"/>
  <c r="Q24" i="31" s="1"/>
  <c r="E26" i="31"/>
  <c r="B8" i="31"/>
  <c r="L8" i="31" s="1"/>
  <c r="Q8" i="31" s="1"/>
  <c r="F10" i="31"/>
  <c r="N10" i="31" s="1"/>
  <c r="I24" i="31"/>
  <c r="P24" i="31" s="1"/>
  <c r="I8" i="31"/>
  <c r="P8" i="31" s="1"/>
  <c r="C24" i="31"/>
  <c r="M24" i="31" s="1"/>
  <c r="F26" i="31"/>
  <c r="N26" i="31" s="1"/>
  <c r="R44" i="31" l="1"/>
  <c r="O44" i="31"/>
  <c r="I46" i="31"/>
  <c r="H46" i="31"/>
  <c r="O24" i="31"/>
  <c r="R24" i="31"/>
  <c r="R26" i="31"/>
  <c r="O26" i="31"/>
  <c r="E11" i="31"/>
  <c r="D11" i="31"/>
  <c r="R10" i="31"/>
  <c r="O10" i="31"/>
  <c r="D27" i="31"/>
  <c r="G27" i="31"/>
  <c r="H8" i="31"/>
  <c r="R8" i="31"/>
  <c r="C27" i="31"/>
  <c r="M27" i="31" s="1"/>
  <c r="F11" i="31"/>
  <c r="F27" i="31"/>
  <c r="N27" i="31" s="1"/>
  <c r="C11" i="31"/>
  <c r="E27" i="31"/>
  <c r="F49" i="31"/>
  <c r="B27" i="31"/>
  <c r="L27" i="31" s="1"/>
  <c r="Q27" i="31" s="1"/>
  <c r="H24" i="31"/>
  <c r="B11" i="31"/>
  <c r="L11" i="31" s="1"/>
  <c r="Q11" i="31" s="1"/>
  <c r="H10" i="31"/>
  <c r="I11" i="31"/>
  <c r="H26" i="31"/>
  <c r="I27" i="31"/>
  <c r="P27" i="31" s="1"/>
  <c r="G11" i="31"/>
  <c r="G53" i="31" s="1"/>
  <c r="P44" i="31" l="1"/>
  <c r="P11" i="31"/>
  <c r="I53" i="31"/>
  <c r="N11" i="31"/>
  <c r="F53" i="31"/>
  <c r="M11" i="31"/>
  <c r="C53" i="31"/>
  <c r="R27" i="31"/>
  <c r="O27" i="31"/>
  <c r="R11" i="31"/>
  <c r="O11" i="31"/>
  <c r="H11" i="31"/>
  <c r="H16" i="31" s="1"/>
  <c r="I32" i="31"/>
  <c r="P30" i="31" s="1"/>
  <c r="G32" i="31"/>
  <c r="O30" i="31" s="1"/>
  <c r="F32" i="31"/>
  <c r="N30" i="31" s="1"/>
  <c r="E32" i="31"/>
  <c r="D32" i="31"/>
  <c r="C32" i="31"/>
  <c r="M30" i="31" s="1"/>
  <c r="I16" i="31"/>
  <c r="P14" i="31" s="1"/>
  <c r="G16" i="31"/>
  <c r="F16" i="31"/>
  <c r="N14" i="31" s="1"/>
  <c r="E16" i="31"/>
  <c r="D16" i="31"/>
  <c r="C16" i="31"/>
  <c r="M14" i="31" s="1"/>
  <c r="B14" i="31"/>
  <c r="L12" i="31" s="1"/>
  <c r="Q12" i="31" s="1"/>
  <c r="B30" i="31"/>
  <c r="L28" i="31" s="1"/>
  <c r="Q28" i="31" s="1"/>
  <c r="B13" i="31"/>
  <c r="G49" i="31"/>
  <c r="H27" i="31"/>
  <c r="H32" i="31" s="1"/>
  <c r="B29" i="31"/>
  <c r="C31" i="31" s="1"/>
  <c r="M29" i="31" s="1"/>
  <c r="C15" i="31" l="1"/>
  <c r="D15" i="31" s="1"/>
  <c r="E15" i="31" s="1"/>
  <c r="L58" i="31"/>
  <c r="M31" i="31"/>
  <c r="R30" i="31"/>
  <c r="R14" i="31"/>
  <c r="O14" i="31"/>
  <c r="C30" i="31"/>
  <c r="C14" i="31"/>
  <c r="H49" i="31"/>
  <c r="D31" i="31"/>
  <c r="E31" i="31" s="1"/>
  <c r="F31" i="31" s="1"/>
  <c r="N29" i="31" s="1"/>
  <c r="N31" i="31" s="1"/>
  <c r="C33" i="31"/>
  <c r="M13" i="31" l="1"/>
  <c r="M15" i="31" s="1"/>
  <c r="D30" i="31"/>
  <c r="M28" i="31"/>
  <c r="G31" i="31"/>
  <c r="O29" i="31" s="1"/>
  <c r="O31" i="31" s="1"/>
  <c r="D14" i="31"/>
  <c r="E14" i="31" s="1"/>
  <c r="F14" i="31" s="1"/>
  <c r="M12" i="31"/>
  <c r="D33" i="31"/>
  <c r="I49" i="31"/>
  <c r="C17" i="31"/>
  <c r="F15" i="31"/>
  <c r="N13" i="31" s="1"/>
  <c r="N15" i="31" s="1"/>
  <c r="E33" i="31"/>
  <c r="E30" i="31" l="1"/>
  <c r="F30" i="31" s="1"/>
  <c r="I31" i="31"/>
  <c r="P29" i="31" s="1"/>
  <c r="P31" i="31" s="1"/>
  <c r="R29" i="31"/>
  <c r="R31" i="31" s="1"/>
  <c r="H31" i="31"/>
  <c r="G14" i="31"/>
  <c r="O12" i="31" s="1"/>
  <c r="N12" i="31"/>
  <c r="D17" i="31"/>
  <c r="G15" i="31"/>
  <c r="F33" i="31"/>
  <c r="G30" i="31" l="1"/>
  <c r="O28" i="31" s="1"/>
  <c r="N28" i="31"/>
  <c r="R13" i="31"/>
  <c r="R15" i="31" s="1"/>
  <c r="O13" i="31"/>
  <c r="O15" i="31" s="1"/>
  <c r="I14" i="31"/>
  <c r="R12" i="31"/>
  <c r="I15" i="31"/>
  <c r="H15" i="31"/>
  <c r="H14" i="31"/>
  <c r="E17" i="31"/>
  <c r="G33" i="31"/>
  <c r="R28" i="31" l="1"/>
  <c r="H30" i="31"/>
  <c r="I30" i="31"/>
  <c r="P28" i="31" s="1"/>
  <c r="P12" i="31"/>
  <c r="F17" i="31"/>
  <c r="P13" i="31"/>
  <c r="H33" i="31"/>
  <c r="P15" i="31" l="1"/>
  <c r="L62" i="31"/>
  <c r="G17" i="31"/>
  <c r="I33" i="31"/>
  <c r="L63" i="31" l="1"/>
  <c r="L69" i="31" s="1"/>
  <c r="H17" i="31"/>
  <c r="I17" i="31" l="1"/>
  <c r="E23" i="30" l="1"/>
  <c r="E25" i="30" s="1"/>
  <c r="C23" i="30"/>
  <c r="C25" i="30" s="1"/>
  <c r="D23" i="30"/>
  <c r="F23" i="30"/>
  <c r="G23" i="30"/>
  <c r="D24" i="30"/>
  <c r="D25" i="30"/>
  <c r="G27" i="30"/>
  <c r="F27" i="30"/>
  <c r="G26" i="30"/>
  <c r="Q26" i="30" s="1"/>
  <c r="F26" i="30"/>
  <c r="G25" i="30"/>
  <c r="Q25" i="30" s="1"/>
  <c r="F25" i="30"/>
  <c r="G24" i="30"/>
  <c r="F24" i="30"/>
  <c r="P24" i="30" s="1"/>
  <c r="G8" i="30"/>
  <c r="F8" i="30"/>
  <c r="G7" i="30"/>
  <c r="F7" i="30"/>
  <c r="G6" i="30"/>
  <c r="F6" i="30"/>
  <c r="G5" i="30"/>
  <c r="F5" i="30"/>
  <c r="E4" i="30"/>
  <c r="O4" i="30" s="1"/>
  <c r="C4" i="30"/>
  <c r="C7" i="30" s="1"/>
  <c r="G4" i="30"/>
  <c r="F4" i="30"/>
  <c r="D4" i="30"/>
  <c r="D7" i="30" s="1"/>
  <c r="G3" i="30"/>
  <c r="G22" i="30" s="1"/>
  <c r="F3" i="30"/>
  <c r="F22" i="30" s="1"/>
  <c r="E3" i="30"/>
  <c r="E22" i="30" s="1"/>
  <c r="D3" i="30"/>
  <c r="D22" i="30" s="1"/>
  <c r="C3" i="30"/>
  <c r="C22" i="30" s="1"/>
  <c r="G29" i="30"/>
  <c r="F29" i="30"/>
  <c r="E29" i="30"/>
  <c r="D29" i="30"/>
  <c r="C29" i="30"/>
  <c r="P25" i="30"/>
  <c r="P23" i="30"/>
  <c r="G10" i="30"/>
  <c r="F10" i="30"/>
  <c r="E10" i="30"/>
  <c r="D10" i="30"/>
  <c r="C10" i="30"/>
  <c r="Q7" i="30"/>
  <c r="P7" i="30"/>
  <c r="Q6" i="30"/>
  <c r="Q4" i="30"/>
  <c r="P4" i="30"/>
  <c r="C11" i="30" a="1"/>
  <c r="G9" i="30" a="1"/>
  <c r="E30" i="30" a="1"/>
  <c r="F30" i="30" a="1"/>
  <c r="D9" i="30" a="1"/>
  <c r="D28" i="30" a="1"/>
  <c r="G30" i="30" a="1"/>
  <c r="F9" i="30" a="1"/>
  <c r="G28" i="30" a="1"/>
  <c r="E28" i="30" a="1"/>
  <c r="F28" i="30" a="1"/>
  <c r="C28" i="30" a="1"/>
  <c r="F11" i="30" a="1"/>
  <c r="G11" i="30" a="1"/>
  <c r="E9" i="30" a="1"/>
  <c r="E11" i="30" a="1"/>
  <c r="D11" i="30" a="1"/>
  <c r="C30" i="30" a="1"/>
  <c r="D30" i="30" a="1"/>
  <c r="C9" i="30" a="1"/>
  <c r="D8" i="30" l="1"/>
  <c r="D5" i="30"/>
  <c r="E7" i="30"/>
  <c r="C8" i="30"/>
  <c r="C5" i="30"/>
  <c r="E8" i="30"/>
  <c r="O8" i="30" s="1"/>
  <c r="E5" i="30"/>
  <c r="C6" i="30"/>
  <c r="D6" i="30"/>
  <c r="E6" i="30"/>
  <c r="D26" i="30"/>
  <c r="D27" i="30"/>
  <c r="C26" i="30"/>
  <c r="C24" i="30"/>
  <c r="E26" i="30"/>
  <c r="E24" i="30"/>
  <c r="C27" i="30"/>
  <c r="E27" i="30"/>
  <c r="C11" i="30"/>
  <c r="E11" i="30"/>
  <c r="C30" i="30"/>
  <c r="E9" i="30"/>
  <c r="C28" i="30"/>
  <c r="F11" i="30"/>
  <c r="D30" i="30"/>
  <c r="G30" i="30"/>
  <c r="F9" i="30"/>
  <c r="D28" i="30"/>
  <c r="G11" i="30"/>
  <c r="E30" i="30"/>
  <c r="G9" i="30"/>
  <c r="E28" i="30"/>
  <c r="F30" i="30"/>
  <c r="F28" i="30"/>
  <c r="D11" i="30"/>
  <c r="C9" i="30"/>
  <c r="G28" i="30"/>
  <c r="D9" i="30"/>
  <c r="P26" i="30"/>
  <c r="Q27" i="30"/>
  <c r="P6" i="30"/>
  <c r="N5" i="30"/>
  <c r="Q8" i="30"/>
  <c r="Q23" i="30"/>
  <c r="Q24" i="30"/>
  <c r="M4" i="30"/>
  <c r="N4" i="30"/>
  <c r="F31" i="30" l="1"/>
  <c r="K22" i="30" s="1"/>
  <c r="C12" i="30"/>
  <c r="H10" i="30" s="1"/>
  <c r="C31" i="30"/>
  <c r="H28" i="30" s="1"/>
  <c r="E12" i="30"/>
  <c r="J8" i="30" s="1"/>
  <c r="D12" i="30"/>
  <c r="I5" i="30" s="1"/>
  <c r="F12" i="30"/>
  <c r="K7" i="30" s="1"/>
  <c r="E31" i="30"/>
  <c r="J26" i="30" s="1"/>
  <c r="G12" i="30"/>
  <c r="L8" i="30" s="1"/>
  <c r="P8" i="30"/>
  <c r="O6" i="30"/>
  <c r="N6" i="30"/>
  <c r="M6" i="30"/>
  <c r="M5" i="30"/>
  <c r="G31" i="30"/>
  <c r="L28" i="30" s="1"/>
  <c r="M7" i="30"/>
  <c r="N8" i="30"/>
  <c r="D31" i="30"/>
  <c r="I22" i="30" s="1"/>
  <c r="O7" i="30"/>
  <c r="O5" i="30"/>
  <c r="P5" i="30"/>
  <c r="M8" i="30"/>
  <c r="Q5" i="30"/>
  <c r="N7" i="30"/>
  <c r="P27" i="30"/>
  <c r="H9" i="30" l="1"/>
  <c r="H4" i="30"/>
  <c r="H8" i="30"/>
  <c r="J4" i="30"/>
  <c r="J3" i="30"/>
  <c r="H5" i="30"/>
  <c r="H30" i="30"/>
  <c r="H29" i="30"/>
  <c r="H31" i="30"/>
  <c r="H6" i="30"/>
  <c r="H11" i="30"/>
  <c r="H27" i="30"/>
  <c r="J7" i="30"/>
  <c r="H26" i="30"/>
  <c r="J12" i="30"/>
  <c r="H3" i="30"/>
  <c r="J9" i="30"/>
  <c r="J11" i="30"/>
  <c r="J28" i="30"/>
  <c r="I11" i="30"/>
  <c r="K28" i="30"/>
  <c r="K31" i="30"/>
  <c r="K23" i="30"/>
  <c r="K24" i="30"/>
  <c r="K27" i="30"/>
  <c r="K30" i="30"/>
  <c r="K26" i="30"/>
  <c r="K25" i="30"/>
  <c r="J22" i="30"/>
  <c r="I8" i="30"/>
  <c r="I7" i="30"/>
  <c r="J5" i="30"/>
  <c r="K4" i="30"/>
  <c r="K6" i="30"/>
  <c r="K5" i="30"/>
  <c r="I9" i="30"/>
  <c r="I10" i="30"/>
  <c r="I4" i="30"/>
  <c r="K12" i="30"/>
  <c r="K3" i="30"/>
  <c r="I3" i="30"/>
  <c r="H22" i="30"/>
  <c r="I12" i="30"/>
  <c r="H7" i="30"/>
  <c r="K29" i="30"/>
  <c r="H23" i="30"/>
  <c r="H25" i="30"/>
  <c r="H12" i="30"/>
  <c r="I6" i="30"/>
  <c r="K9" i="30"/>
  <c r="J27" i="30"/>
  <c r="J6" i="30"/>
  <c r="K10" i="30"/>
  <c r="J10" i="30"/>
  <c r="H24" i="30"/>
  <c r="K11" i="30"/>
  <c r="K8" i="30"/>
  <c r="L11" i="30"/>
  <c r="L10" i="30"/>
  <c r="J29" i="30"/>
  <c r="J23" i="30"/>
  <c r="J30" i="30"/>
  <c r="L4" i="30"/>
  <c r="L9" i="30"/>
  <c r="J25" i="30"/>
  <c r="J31" i="30"/>
  <c r="J24" i="30"/>
  <c r="L7" i="30"/>
  <c r="L6" i="30"/>
  <c r="L3" i="30"/>
  <c r="L12" i="30"/>
  <c r="L5" i="30"/>
  <c r="I25" i="30"/>
  <c r="I28" i="30"/>
  <c r="L23" i="30"/>
  <c r="L29" i="30"/>
  <c r="L31" i="30"/>
  <c r="L25" i="30"/>
  <c r="L26" i="30"/>
  <c r="L22" i="30"/>
  <c r="L27" i="30"/>
  <c r="L24" i="30"/>
  <c r="I24" i="30"/>
  <c r="L30" i="30"/>
  <c r="I31" i="30"/>
  <c r="I23" i="30"/>
  <c r="I27" i="30"/>
  <c r="I29" i="30"/>
  <c r="I26" i="30"/>
  <c r="I30" i="30"/>
  <c r="Q27" i="20" l="1"/>
  <c r="P27" i="20"/>
  <c r="Q26" i="20"/>
  <c r="P26" i="20"/>
  <c r="Q25" i="20"/>
  <c r="P25" i="20"/>
  <c r="Q24" i="20"/>
  <c r="P24" i="20"/>
  <c r="Q23" i="20"/>
  <c r="P23" i="20"/>
  <c r="Q8" i="20"/>
  <c r="P8" i="20"/>
  <c r="O8" i="20"/>
  <c r="N8" i="20"/>
  <c r="M8" i="20"/>
  <c r="Q7" i="20"/>
  <c r="P7" i="20"/>
  <c r="O7" i="20"/>
  <c r="N7" i="20"/>
  <c r="M7" i="20"/>
  <c r="Q6" i="20"/>
  <c r="P6" i="20"/>
  <c r="O6" i="20"/>
  <c r="N6" i="20"/>
  <c r="M6" i="20"/>
  <c r="Q5" i="20"/>
  <c r="P5" i="20"/>
  <c r="O5" i="20"/>
  <c r="N5" i="20"/>
  <c r="M5" i="20"/>
  <c r="Q4" i="20"/>
  <c r="P4" i="20"/>
  <c r="O4" i="20"/>
  <c r="N4" i="20"/>
  <c r="M4" i="20"/>
  <c r="Q27" i="19"/>
  <c r="P27" i="19"/>
  <c r="Q26" i="19"/>
  <c r="P26" i="19"/>
  <c r="Q25" i="19"/>
  <c r="P25" i="19"/>
  <c r="Q24" i="19"/>
  <c r="P24" i="19"/>
  <c r="Q23" i="19"/>
  <c r="P23" i="19"/>
  <c r="Q8" i="19"/>
  <c r="P8" i="19"/>
  <c r="O8" i="19"/>
  <c r="N8" i="19"/>
  <c r="M8" i="19"/>
  <c r="Q7" i="19"/>
  <c r="P7" i="19"/>
  <c r="O7" i="19"/>
  <c r="N7" i="19"/>
  <c r="M7" i="19"/>
  <c r="Q6" i="19"/>
  <c r="P6" i="19"/>
  <c r="O6" i="19"/>
  <c r="N6" i="19"/>
  <c r="M6" i="19"/>
  <c r="Q5" i="19"/>
  <c r="P5" i="19"/>
  <c r="O5" i="19"/>
  <c r="N5" i="19"/>
  <c r="M5" i="19"/>
  <c r="Q4" i="19"/>
  <c r="P4" i="19"/>
  <c r="O4" i="19"/>
  <c r="N4" i="19"/>
  <c r="M4" i="19"/>
  <c r="G23" i="20"/>
  <c r="F23" i="20"/>
  <c r="E23" i="20"/>
  <c r="E25" i="20" s="1"/>
  <c r="D23" i="20"/>
  <c r="C23" i="20"/>
  <c r="C25" i="20" s="1"/>
  <c r="G23" i="19"/>
  <c r="F23" i="19"/>
  <c r="E23" i="19"/>
  <c r="E25" i="19" s="1"/>
  <c r="D23" i="19"/>
  <c r="C23" i="19"/>
  <c r="C27" i="19" s="1"/>
  <c r="E23" i="18"/>
  <c r="O23" i="30" s="1"/>
  <c r="C23" i="18"/>
  <c r="M23" i="30" s="1"/>
  <c r="G3" i="20"/>
  <c r="G22" i="20" s="1"/>
  <c r="F3" i="20"/>
  <c r="F22" i="20" s="1"/>
  <c r="E3" i="20"/>
  <c r="E22" i="20" s="1"/>
  <c r="D3" i="20"/>
  <c r="D22" i="20" s="1"/>
  <c r="C3" i="20"/>
  <c r="C22" i="20" s="1"/>
  <c r="G3" i="19"/>
  <c r="G22" i="19" s="1"/>
  <c r="F3" i="19"/>
  <c r="F22" i="19" s="1"/>
  <c r="E3" i="19"/>
  <c r="E22" i="19" s="1"/>
  <c r="D3" i="19"/>
  <c r="D22" i="19" s="1"/>
  <c r="C3" i="19"/>
  <c r="C22" i="19" s="1"/>
  <c r="G25" i="19"/>
  <c r="F25" i="19"/>
  <c r="G27" i="19"/>
  <c r="F27" i="19"/>
  <c r="D26" i="19"/>
  <c r="C8" i="19"/>
  <c r="G4" i="19"/>
  <c r="G5" i="19" s="1"/>
  <c r="F4" i="19"/>
  <c r="F6" i="19" s="1"/>
  <c r="E4" i="19"/>
  <c r="E6" i="19" s="1"/>
  <c r="D4" i="19"/>
  <c r="D8" i="19" s="1"/>
  <c r="C4" i="19"/>
  <c r="C6" i="19" s="1"/>
  <c r="G25" i="20"/>
  <c r="F25" i="20"/>
  <c r="G27" i="20"/>
  <c r="F27" i="20"/>
  <c r="G6" i="20"/>
  <c r="G4" i="20"/>
  <c r="G8" i="20" s="1"/>
  <c r="F4" i="20"/>
  <c r="F6" i="20" s="1"/>
  <c r="E4" i="20"/>
  <c r="E6" i="20" s="1"/>
  <c r="D4" i="20"/>
  <c r="D6" i="20" s="1"/>
  <c r="C4" i="20"/>
  <c r="C6" i="20" s="1"/>
  <c r="D25" i="20" l="1"/>
  <c r="M23" i="20"/>
  <c r="O23" i="20"/>
  <c r="M23" i="19"/>
  <c r="O23" i="19"/>
  <c r="C5" i="20"/>
  <c r="C7" i="20"/>
  <c r="C5" i="19"/>
  <c r="D5" i="19"/>
  <c r="G6" i="19"/>
  <c r="C7" i="19"/>
  <c r="D6" i="19"/>
  <c r="D7" i="19"/>
  <c r="C24" i="19"/>
  <c r="C26" i="19"/>
  <c r="C25" i="19"/>
  <c r="G26" i="19"/>
  <c r="E26" i="19"/>
  <c r="F7" i="19"/>
  <c r="G7" i="19"/>
  <c r="D24" i="19"/>
  <c r="F5" i="19"/>
  <c r="F24" i="19"/>
  <c r="E8" i="19"/>
  <c r="G24" i="19"/>
  <c r="D27" i="19"/>
  <c r="E27" i="19"/>
  <c r="E7" i="19"/>
  <c r="E5" i="19"/>
  <c r="F26" i="19"/>
  <c r="G8" i="19"/>
  <c r="D25" i="19"/>
  <c r="E24" i="19"/>
  <c r="F8" i="19"/>
  <c r="D7" i="20"/>
  <c r="C26" i="20"/>
  <c r="D26" i="20"/>
  <c r="D5" i="20"/>
  <c r="F7" i="20"/>
  <c r="C24" i="20"/>
  <c r="E26" i="20"/>
  <c r="E5" i="20"/>
  <c r="G7" i="20"/>
  <c r="D24" i="20"/>
  <c r="F26" i="20"/>
  <c r="F5" i="20"/>
  <c r="C8" i="20"/>
  <c r="E24" i="20"/>
  <c r="G26" i="20"/>
  <c r="G5" i="20"/>
  <c r="D8" i="20"/>
  <c r="F24" i="20"/>
  <c r="C27" i="20"/>
  <c r="E8" i="20"/>
  <c r="G24" i="20"/>
  <c r="D27" i="20"/>
  <c r="F8" i="20"/>
  <c r="E27" i="20"/>
  <c r="E7" i="20"/>
  <c r="G3" i="18" l="1"/>
  <c r="F3" i="18"/>
  <c r="E3" i="18"/>
  <c r="D3" i="18"/>
  <c r="C3" i="18"/>
  <c r="G10" i="20"/>
  <c r="F10" i="20"/>
  <c r="E10" i="20"/>
  <c r="D10" i="20"/>
  <c r="C10" i="20"/>
  <c r="G10" i="19"/>
  <c r="F10" i="19"/>
  <c r="E10" i="19"/>
  <c r="D10" i="19"/>
  <c r="C10" i="19"/>
  <c r="G29" i="20"/>
  <c r="F29" i="20"/>
  <c r="E29" i="20"/>
  <c r="D29" i="20"/>
  <c r="C29" i="20"/>
  <c r="G29" i="19"/>
  <c r="F29" i="19"/>
  <c r="E29" i="19"/>
  <c r="D29" i="19"/>
  <c r="C29" i="19"/>
  <c r="E30" i="19" a="1"/>
  <c r="G9" i="20" a="1"/>
  <c r="C28" i="20" a="1"/>
  <c r="E30" i="20" a="1"/>
  <c r="F11" i="19" a="1"/>
  <c r="F30" i="20" a="1"/>
  <c r="C30" i="19" a="1"/>
  <c r="G30" i="20" a="1"/>
  <c r="E11" i="19" a="1"/>
  <c r="C28" i="19" a="1"/>
  <c r="D9" i="20" a="1"/>
  <c r="D11" i="20" a="1"/>
  <c r="E28" i="20" a="1"/>
  <c r="C11" i="20" a="1"/>
  <c r="F11" i="20" a="1"/>
  <c r="C9" i="19" a="1"/>
  <c r="F9" i="19" a="1"/>
  <c r="C30" i="20" a="1"/>
  <c r="D30" i="19" a="1"/>
  <c r="F30" i="19" a="1"/>
  <c r="F28" i="19" a="1"/>
  <c r="E11" i="20" a="1"/>
  <c r="D28" i="20" a="1"/>
  <c r="E28" i="19" a="1"/>
  <c r="G28" i="19" a="1"/>
  <c r="F28" i="20" a="1"/>
  <c r="G11" i="19" a="1"/>
  <c r="C9" i="20" a="1"/>
  <c r="F9" i="20" a="1"/>
  <c r="G30" i="19" a="1"/>
  <c r="D9" i="19" a="1"/>
  <c r="D30" i="20" a="1"/>
  <c r="G9" i="19" a="1"/>
  <c r="C11" i="19" a="1"/>
  <c r="G28" i="20" a="1"/>
  <c r="E9" i="20" a="1"/>
  <c r="G11" i="20" a="1"/>
  <c r="E9" i="19" a="1"/>
  <c r="D28" i="19" a="1"/>
  <c r="D11" i="19" a="1"/>
  <c r="M3" i="20" l="1"/>
  <c r="M3" i="30"/>
  <c r="N3" i="20"/>
  <c r="N3" i="30"/>
  <c r="O3" i="20"/>
  <c r="O3" i="30"/>
  <c r="P3" i="20"/>
  <c r="P3" i="30"/>
  <c r="Q3" i="20"/>
  <c r="Q3" i="30"/>
  <c r="D22" i="18"/>
  <c r="N3" i="19"/>
  <c r="E22" i="18"/>
  <c r="O3" i="19"/>
  <c r="F22" i="18"/>
  <c r="P3" i="19"/>
  <c r="G22" i="18"/>
  <c r="Q3" i="19"/>
  <c r="C22" i="18"/>
  <c r="M3" i="19"/>
  <c r="C11" i="20"/>
  <c r="D9" i="20"/>
  <c r="E9" i="20"/>
  <c r="D11" i="20"/>
  <c r="F9" i="20"/>
  <c r="E11" i="20"/>
  <c r="G9" i="20"/>
  <c r="F11" i="20"/>
  <c r="G11" i="20"/>
  <c r="C9" i="20"/>
  <c r="C11" i="19"/>
  <c r="E9" i="19"/>
  <c r="D11" i="19"/>
  <c r="F9" i="19"/>
  <c r="D9" i="19"/>
  <c r="E11" i="19"/>
  <c r="G9" i="19"/>
  <c r="F11" i="19"/>
  <c r="G11" i="19"/>
  <c r="C9" i="19"/>
  <c r="C28" i="20"/>
  <c r="E28" i="20"/>
  <c r="D28" i="20"/>
  <c r="C30" i="20"/>
  <c r="D30" i="20"/>
  <c r="F28" i="20"/>
  <c r="E30" i="20"/>
  <c r="G28" i="20"/>
  <c r="F30" i="20"/>
  <c r="G30" i="20"/>
  <c r="E30" i="19"/>
  <c r="F30" i="19"/>
  <c r="C30" i="19"/>
  <c r="D30" i="19"/>
  <c r="G28" i="19"/>
  <c r="G30" i="19"/>
  <c r="D28" i="19"/>
  <c r="E28" i="19"/>
  <c r="F28" i="19"/>
  <c r="C28" i="19"/>
  <c r="F11" i="18" a="1"/>
  <c r="F9" i="18" a="1"/>
  <c r="D11" i="18" a="1"/>
  <c r="G11" i="18" a="1"/>
  <c r="C30" i="18" a="1"/>
  <c r="C28" i="18" a="1"/>
  <c r="D30" i="18" a="1"/>
  <c r="D28" i="18" a="1"/>
  <c r="E11" i="18" a="1"/>
  <c r="E30" i="18" a="1"/>
  <c r="E9" i="18" a="1"/>
  <c r="F28" i="18" a="1"/>
  <c r="C9" i="18" a="1"/>
  <c r="E28" i="18" a="1"/>
  <c r="C11" i="18" a="1"/>
  <c r="G30" i="18" a="1"/>
  <c r="D9" i="18" a="1"/>
  <c r="F30" i="18" a="1"/>
  <c r="G28" i="18" a="1"/>
  <c r="G9" i="18" a="1"/>
  <c r="M22" i="20" l="1"/>
  <c r="M22" i="30"/>
  <c r="Q22" i="20"/>
  <c r="Q22" i="30"/>
  <c r="P22" i="20"/>
  <c r="P22" i="30"/>
  <c r="N22" i="20"/>
  <c r="N22" i="30"/>
  <c r="O22" i="20"/>
  <c r="O22" i="30"/>
  <c r="N22" i="19"/>
  <c r="P22" i="19"/>
  <c r="Q22" i="19"/>
  <c r="O22" i="19"/>
  <c r="M22" i="19"/>
  <c r="D28" i="18"/>
  <c r="E28" i="18"/>
  <c r="C28" i="18"/>
  <c r="F28" i="18"/>
  <c r="G28" i="18"/>
  <c r="C9" i="18"/>
  <c r="D9" i="18"/>
  <c r="E9" i="18"/>
  <c r="F9" i="18"/>
  <c r="G9" i="18"/>
  <c r="G30" i="18"/>
  <c r="F30" i="18"/>
  <c r="E30" i="18"/>
  <c r="D30" i="18"/>
  <c r="C30" i="18"/>
  <c r="G11" i="18"/>
  <c r="F11" i="18"/>
  <c r="E11" i="18"/>
  <c r="D11" i="18"/>
  <c r="C11" i="18"/>
  <c r="G10" i="18"/>
  <c r="F10" i="18"/>
  <c r="E10" i="18"/>
  <c r="D10" i="18"/>
  <c r="C10" i="18"/>
  <c r="G29" i="18"/>
  <c r="F29" i="18"/>
  <c r="E29" i="18"/>
  <c r="D29" i="18"/>
  <c r="C29" i="18"/>
  <c r="N10" i="20" l="1"/>
  <c r="N10" i="30"/>
  <c r="Q29" i="20"/>
  <c r="Q29" i="30"/>
  <c r="N30" i="30"/>
  <c r="N28" i="30"/>
  <c r="P30" i="30"/>
  <c r="Q9" i="30"/>
  <c r="O29" i="20"/>
  <c r="O29" i="30"/>
  <c r="P28" i="30"/>
  <c r="M28" i="30"/>
  <c r="O28" i="30"/>
  <c r="O30" i="30"/>
  <c r="Q11" i="30"/>
  <c r="M30" i="30"/>
  <c r="Q10" i="20"/>
  <c r="Q10" i="30"/>
  <c r="O9" i="30"/>
  <c r="P10" i="20"/>
  <c r="P10" i="30"/>
  <c r="P9" i="30"/>
  <c r="M11" i="30"/>
  <c r="N11" i="30"/>
  <c r="N9" i="30"/>
  <c r="P29" i="20"/>
  <c r="P29" i="30"/>
  <c r="M29" i="20"/>
  <c r="M29" i="30"/>
  <c r="O11" i="30"/>
  <c r="M9" i="30"/>
  <c r="M10" i="20"/>
  <c r="M10" i="30"/>
  <c r="O10" i="20"/>
  <c r="O10" i="30"/>
  <c r="Q30" i="30"/>
  <c r="N29" i="20"/>
  <c r="N29" i="30"/>
  <c r="P11" i="30"/>
  <c r="Q28" i="30"/>
  <c r="M28" i="20"/>
  <c r="Q28" i="19"/>
  <c r="M30" i="20"/>
  <c r="P28" i="20"/>
  <c r="N30" i="19"/>
  <c r="P30" i="20"/>
  <c r="O28" i="20"/>
  <c r="N28" i="20"/>
  <c r="Q30" i="20"/>
  <c r="N30" i="20"/>
  <c r="O30" i="20"/>
  <c r="Q28" i="20"/>
  <c r="M9" i="20"/>
  <c r="M11" i="20"/>
  <c r="N9" i="20"/>
  <c r="O9" i="20"/>
  <c r="N11" i="20"/>
  <c r="Q11" i="20"/>
  <c r="M11" i="19"/>
  <c r="O28" i="19"/>
  <c r="O11" i="20"/>
  <c r="N9" i="19"/>
  <c r="P28" i="19"/>
  <c r="P9" i="20"/>
  <c r="O9" i="19"/>
  <c r="Q9" i="20"/>
  <c r="Q11" i="19"/>
  <c r="P11" i="20"/>
  <c r="M29" i="19"/>
  <c r="N29" i="19"/>
  <c r="O29" i="19"/>
  <c r="Q30" i="19"/>
  <c r="M30" i="19"/>
  <c r="P29" i="19"/>
  <c r="M28" i="19"/>
  <c r="Q29" i="19"/>
  <c r="O30" i="19"/>
  <c r="N28" i="19"/>
  <c r="P30" i="19"/>
  <c r="N10" i="19"/>
  <c r="O10" i="19"/>
  <c r="Q10" i="19"/>
  <c r="Q9" i="19"/>
  <c r="N11" i="19"/>
  <c r="M10" i="19"/>
  <c r="P9" i="19"/>
  <c r="O11" i="19"/>
  <c r="P11" i="19"/>
  <c r="P10" i="19"/>
  <c r="M9" i="19"/>
  <c r="E31" i="20"/>
  <c r="D31" i="20"/>
  <c r="C31" i="20"/>
  <c r="F12" i="20"/>
  <c r="E31" i="19"/>
  <c r="D31" i="19"/>
  <c r="C31" i="19"/>
  <c r="D12" i="19"/>
  <c r="G12" i="19"/>
  <c r="E27" i="18"/>
  <c r="C27" i="18"/>
  <c r="E26" i="18"/>
  <c r="C26" i="18"/>
  <c r="E25" i="18"/>
  <c r="C25" i="18"/>
  <c r="E24" i="18"/>
  <c r="C24" i="18"/>
  <c r="O27" i="20" l="1"/>
  <c r="O27" i="30"/>
  <c r="M27" i="20"/>
  <c r="M27" i="30"/>
  <c r="O26" i="20"/>
  <c r="O26" i="30"/>
  <c r="M24" i="20"/>
  <c r="M24" i="30"/>
  <c r="O24" i="20"/>
  <c r="O24" i="30"/>
  <c r="M25" i="20"/>
  <c r="M25" i="30"/>
  <c r="O25" i="20"/>
  <c r="O25" i="30"/>
  <c r="M26" i="20"/>
  <c r="M26" i="30"/>
  <c r="O25" i="19"/>
  <c r="M27" i="19"/>
  <c r="O27" i="19"/>
  <c r="M26" i="19"/>
  <c r="O26" i="19"/>
  <c r="O24" i="19"/>
  <c r="M25" i="19"/>
  <c r="M24" i="19"/>
  <c r="J28" i="19"/>
  <c r="J24" i="19"/>
  <c r="H25" i="19"/>
  <c r="I28" i="19"/>
  <c r="I11" i="19"/>
  <c r="K12" i="20"/>
  <c r="K4" i="20"/>
  <c r="K11" i="20"/>
  <c r="K7" i="20"/>
  <c r="K3" i="20"/>
  <c r="K9" i="20"/>
  <c r="H30" i="20"/>
  <c r="H22" i="20"/>
  <c r="H25" i="20"/>
  <c r="H29" i="20"/>
  <c r="H23" i="20"/>
  <c r="H31" i="20"/>
  <c r="I30" i="20"/>
  <c r="I31" i="20"/>
  <c r="I23" i="20"/>
  <c r="I22" i="20"/>
  <c r="J28" i="20"/>
  <c r="J24" i="20"/>
  <c r="J22" i="20"/>
  <c r="J30" i="20"/>
  <c r="J31" i="20"/>
  <c r="J26" i="20"/>
  <c r="I25" i="20"/>
  <c r="I29" i="20"/>
  <c r="I27" i="20"/>
  <c r="K5" i="20"/>
  <c r="H27" i="20"/>
  <c r="J29" i="20"/>
  <c r="J27" i="20"/>
  <c r="G31" i="20"/>
  <c r="C12" i="20"/>
  <c r="D12" i="20"/>
  <c r="J23" i="20"/>
  <c r="K6" i="20"/>
  <c r="K10" i="20"/>
  <c r="E12" i="20"/>
  <c r="H24" i="20"/>
  <c r="H28" i="20"/>
  <c r="I24" i="20"/>
  <c r="I28" i="20"/>
  <c r="G12" i="20"/>
  <c r="F31" i="20"/>
  <c r="I27" i="19"/>
  <c r="H27" i="19"/>
  <c r="L11" i="19"/>
  <c r="I12" i="19"/>
  <c r="I4" i="19"/>
  <c r="I10" i="19"/>
  <c r="I6" i="19"/>
  <c r="L10" i="19"/>
  <c r="L3" i="19"/>
  <c r="L9" i="19"/>
  <c r="L12" i="19"/>
  <c r="J27" i="19"/>
  <c r="I31" i="19"/>
  <c r="I23" i="19"/>
  <c r="I30" i="19"/>
  <c r="I22" i="19"/>
  <c r="L5" i="19"/>
  <c r="J29" i="19"/>
  <c r="J31" i="19"/>
  <c r="I3" i="19"/>
  <c r="H29" i="19"/>
  <c r="H30" i="19"/>
  <c r="H22" i="19"/>
  <c r="H31" i="19"/>
  <c r="H23" i="19"/>
  <c r="I29" i="19"/>
  <c r="L4" i="19"/>
  <c r="I5" i="19"/>
  <c r="I9" i="19"/>
  <c r="F31" i="19"/>
  <c r="J22" i="19"/>
  <c r="J30" i="19"/>
  <c r="G31" i="19"/>
  <c r="C12" i="19"/>
  <c r="E12" i="19"/>
  <c r="H24" i="19"/>
  <c r="H28" i="19"/>
  <c r="J23" i="19"/>
  <c r="F12" i="19"/>
  <c r="L23" i="20" l="1"/>
  <c r="K23" i="20"/>
  <c r="H3" i="20"/>
  <c r="J10" i="20"/>
  <c r="L10" i="20"/>
  <c r="I11" i="20"/>
  <c r="K23" i="19"/>
  <c r="K11" i="19"/>
  <c r="J9" i="19"/>
  <c r="H4" i="19"/>
  <c r="L28" i="20"/>
  <c r="J10" i="19"/>
  <c r="J6" i="19"/>
  <c r="I4" i="20"/>
  <c r="H6" i="20"/>
  <c r="H11" i="20"/>
  <c r="J4" i="20"/>
  <c r="H7" i="20"/>
  <c r="L5" i="20"/>
  <c r="J3" i="19"/>
  <c r="J8" i="19"/>
  <c r="J7" i="19"/>
  <c r="I26" i="20"/>
  <c r="K27" i="20"/>
  <c r="I9" i="20"/>
  <c r="I12" i="20"/>
  <c r="I10" i="20"/>
  <c r="L7" i="20"/>
  <c r="K25" i="20"/>
  <c r="L27" i="20"/>
  <c r="J25" i="20"/>
  <c r="I8" i="20"/>
  <c r="J12" i="20"/>
  <c r="J5" i="20"/>
  <c r="J9" i="20"/>
  <c r="K24" i="20"/>
  <c r="K8" i="20"/>
  <c r="H9" i="20"/>
  <c r="H4" i="20"/>
  <c r="H12" i="20"/>
  <c r="H10" i="20"/>
  <c r="J11" i="20"/>
  <c r="L25" i="20"/>
  <c r="L12" i="20"/>
  <c r="L4" i="20"/>
  <c r="L9" i="20"/>
  <c r="L8" i="20"/>
  <c r="I7" i="20"/>
  <c r="H8" i="20"/>
  <c r="L11" i="20"/>
  <c r="I6" i="20"/>
  <c r="I5" i="20"/>
  <c r="L6" i="20"/>
  <c r="J8" i="20"/>
  <c r="J7" i="20"/>
  <c r="H5" i="20"/>
  <c r="L3" i="20"/>
  <c r="L26" i="20"/>
  <c r="L31" i="20"/>
  <c r="L29" i="20"/>
  <c r="L30" i="20"/>
  <c r="L22" i="20"/>
  <c r="K29" i="20"/>
  <c r="K28" i="20"/>
  <c r="K30" i="20"/>
  <c r="K31" i="20"/>
  <c r="K22" i="20"/>
  <c r="I3" i="20"/>
  <c r="J3" i="20"/>
  <c r="K26" i="20"/>
  <c r="H26" i="20"/>
  <c r="J6" i="20"/>
  <c r="L24" i="20"/>
  <c r="K6" i="19"/>
  <c r="J26" i="19"/>
  <c r="I8" i="19"/>
  <c r="H9" i="19"/>
  <c r="H12" i="19"/>
  <c r="H10" i="19"/>
  <c r="H3" i="19"/>
  <c r="I26" i="19"/>
  <c r="J25" i="19"/>
  <c r="H8" i="19"/>
  <c r="L31" i="19"/>
  <c r="L22" i="19"/>
  <c r="L30" i="19"/>
  <c r="L26" i="19"/>
  <c r="L29" i="19"/>
  <c r="L25" i="19"/>
  <c r="H5" i="19"/>
  <c r="I7" i="19"/>
  <c r="L24" i="19"/>
  <c r="H26" i="19"/>
  <c r="K25" i="19"/>
  <c r="K24" i="19"/>
  <c r="L28" i="19"/>
  <c r="I25" i="19"/>
  <c r="L8" i="19"/>
  <c r="H7" i="19"/>
  <c r="L6" i="19"/>
  <c r="J12" i="19"/>
  <c r="J4" i="19"/>
  <c r="J5" i="19"/>
  <c r="H11" i="19"/>
  <c r="K12" i="19"/>
  <c r="K4" i="19"/>
  <c r="K9" i="19"/>
  <c r="K5" i="19"/>
  <c r="K10" i="19"/>
  <c r="L27" i="19"/>
  <c r="K8" i="19"/>
  <c r="K29" i="19"/>
  <c r="K31" i="19"/>
  <c r="K30" i="19"/>
  <c r="K22" i="19"/>
  <c r="H6" i="19"/>
  <c r="J11" i="19"/>
  <c r="K7" i="19"/>
  <c r="K26" i="19"/>
  <c r="I24" i="19"/>
  <c r="K27" i="19"/>
  <c r="L23" i="19"/>
  <c r="L7" i="19"/>
  <c r="K28" i="19"/>
  <c r="K3" i="19"/>
  <c r="G23" i="18" l="1"/>
  <c r="F23" i="18"/>
  <c r="D23" i="18"/>
  <c r="G4" i="18"/>
  <c r="F4" i="18"/>
  <c r="E4" i="18"/>
  <c r="D4" i="18"/>
  <c r="C4" i="18"/>
  <c r="S89" i="29"/>
  <c r="P89" i="29"/>
  <c r="M89" i="29"/>
  <c r="T89" i="29"/>
  <c r="J89" i="29"/>
  <c r="H89" i="29"/>
  <c r="G92" i="29"/>
  <c r="N90" i="29"/>
  <c r="B90" i="29"/>
  <c r="K91" i="29"/>
  <c r="V92" i="29"/>
  <c r="T92" i="29"/>
  <c r="J92" i="29"/>
  <c r="H92" i="29"/>
  <c r="S91" i="29"/>
  <c r="Q90" i="29"/>
  <c r="G90" i="29"/>
  <c r="E90" i="29"/>
  <c r="V89" i="28"/>
  <c r="J89" i="28"/>
  <c r="S89" i="28"/>
  <c r="G89" i="28"/>
  <c r="N89" i="28"/>
  <c r="D89" i="28"/>
  <c r="B89" i="28"/>
  <c r="K89" i="28"/>
  <c r="J92" i="28"/>
  <c r="G90" i="28"/>
  <c r="P91" i="28"/>
  <c r="N91" i="28"/>
  <c r="B91" i="28"/>
  <c r="K92" i="28"/>
  <c r="V90" i="28"/>
  <c r="T90" i="28"/>
  <c r="J91" i="28"/>
  <c r="H91" i="28"/>
  <c r="V89" i="27"/>
  <c r="D89" i="27"/>
  <c r="T90" i="27"/>
  <c r="Q90" i="27"/>
  <c r="H90" i="27"/>
  <c r="E90" i="27"/>
  <c r="I91" i="27"/>
  <c r="N92" i="27"/>
  <c r="D92" i="27"/>
  <c r="B92" i="27"/>
  <c r="O91" i="27"/>
  <c r="K90" i="27"/>
  <c r="V89" i="26"/>
  <c r="J89" i="26"/>
  <c r="D89" i="26"/>
  <c r="S89" i="26"/>
  <c r="L89" i="26"/>
  <c r="G89" i="26"/>
  <c r="U90" i="26"/>
  <c r="R90" i="26"/>
  <c r="O90" i="26"/>
  <c r="G90" i="26"/>
  <c r="V91" i="26"/>
  <c r="R91" i="26"/>
  <c r="O91" i="26"/>
  <c r="L91" i="26"/>
  <c r="D91" i="26"/>
  <c r="S92" i="26"/>
  <c r="O92" i="26"/>
  <c r="L92" i="26"/>
  <c r="I92" i="26"/>
  <c r="R92" i="26"/>
  <c r="F90" i="26"/>
  <c r="D90" i="26"/>
  <c r="U89" i="25"/>
  <c r="V89" i="25"/>
  <c r="R89" i="25"/>
  <c r="O89" i="25"/>
  <c r="L89" i="25"/>
  <c r="D89" i="25"/>
  <c r="C89" i="25"/>
  <c r="U92" i="25"/>
  <c r="M92" i="25"/>
  <c r="I92" i="25"/>
  <c r="R90" i="25"/>
  <c r="P90" i="25"/>
  <c r="L90" i="25"/>
  <c r="K90" i="25"/>
  <c r="I90" i="25"/>
  <c r="O91" i="25"/>
  <c r="M91" i="25"/>
  <c r="I91" i="25"/>
  <c r="F91" i="25"/>
  <c r="L92" i="25"/>
  <c r="J92" i="25"/>
  <c r="F92" i="25"/>
  <c r="C92" i="25"/>
  <c r="S90" i="25"/>
  <c r="O90" i="25"/>
  <c r="L91" i="25"/>
  <c r="P89" i="24"/>
  <c r="L89" i="24"/>
  <c r="S89" i="24"/>
  <c r="R89" i="24"/>
  <c r="O89" i="24"/>
  <c r="I89" i="24"/>
  <c r="J92" i="24"/>
  <c r="O90" i="24"/>
  <c r="M90" i="24"/>
  <c r="L90" i="24"/>
  <c r="I90" i="24"/>
  <c r="U91" i="24"/>
  <c r="L91" i="24"/>
  <c r="J91" i="24"/>
  <c r="I91" i="24"/>
  <c r="F91" i="24"/>
  <c r="U92" i="24"/>
  <c r="R92" i="24"/>
  <c r="I92" i="24"/>
  <c r="G92" i="24"/>
  <c r="F92" i="24"/>
  <c r="C92" i="24"/>
  <c r="P90" i="24"/>
  <c r="F90" i="24"/>
  <c r="C91" i="24"/>
  <c r="V58" i="29"/>
  <c r="S58" i="29"/>
  <c r="D58" i="29"/>
  <c r="J61" i="29"/>
  <c r="S59" i="29"/>
  <c r="M59" i="29"/>
  <c r="P60" i="29"/>
  <c r="J60" i="29"/>
  <c r="M61" i="29"/>
  <c r="G61" i="29"/>
  <c r="P59" i="29"/>
  <c r="M60" i="29"/>
  <c r="I58" i="28"/>
  <c r="O58" i="28"/>
  <c r="L58" i="28"/>
  <c r="L59" i="28"/>
  <c r="I59" i="28"/>
  <c r="F59" i="28"/>
  <c r="U60" i="28"/>
  <c r="I60" i="28"/>
  <c r="F60" i="28"/>
  <c r="C60" i="28"/>
  <c r="S61" i="28"/>
  <c r="F61" i="28"/>
  <c r="C61" i="28"/>
  <c r="J58" i="27"/>
  <c r="F58" i="27"/>
  <c r="O59" i="27"/>
  <c r="G59" i="27"/>
  <c r="P60" i="27"/>
  <c r="L60" i="27"/>
  <c r="U61" i="27"/>
  <c r="R61" i="27"/>
  <c r="O61" i="27"/>
  <c r="S60" i="27"/>
  <c r="J59" i="27"/>
  <c r="V58" i="26"/>
  <c r="D58" i="26"/>
  <c r="G61" i="26"/>
  <c r="S59" i="26"/>
  <c r="G59" i="26"/>
  <c r="D59" i="26"/>
  <c r="G60" i="26"/>
  <c r="C60" i="26"/>
  <c r="U61" i="26"/>
  <c r="D61" i="26"/>
  <c r="V60" i="26"/>
  <c r="J58" i="25"/>
  <c r="L58" i="25"/>
  <c r="I58" i="25"/>
  <c r="J61" i="25"/>
  <c r="J59" i="25"/>
  <c r="G59" i="25"/>
  <c r="P60" i="25"/>
  <c r="L60" i="25"/>
  <c r="O61" i="25"/>
  <c r="M61" i="25"/>
  <c r="L61" i="25"/>
  <c r="I61" i="25"/>
  <c r="P59" i="25"/>
  <c r="M60" i="25"/>
  <c r="J60" i="25"/>
  <c r="I59" i="25"/>
  <c r="V58" i="24"/>
  <c r="U58" i="24"/>
  <c r="S58" i="24"/>
  <c r="P58" i="24"/>
  <c r="O58" i="24"/>
  <c r="U61" i="24"/>
  <c r="M61" i="24"/>
  <c r="I59" i="24"/>
  <c r="O60" i="24"/>
  <c r="J60" i="24"/>
  <c r="I60" i="24"/>
  <c r="G60" i="24"/>
  <c r="P61" i="24"/>
  <c r="O61" i="24"/>
  <c r="L61" i="24"/>
  <c r="C61" i="24"/>
  <c r="M60" i="24"/>
  <c r="D60" i="24"/>
  <c r="R28" i="29"/>
  <c r="F28" i="29"/>
  <c r="P30" i="29"/>
  <c r="L30" i="29"/>
  <c r="D30" i="29"/>
  <c r="U27" i="29"/>
  <c r="R29" i="29"/>
  <c r="M28" i="29"/>
  <c r="I28" i="29"/>
  <c r="F29" i="29"/>
  <c r="R27" i="28"/>
  <c r="U28" i="28"/>
  <c r="O30" i="28"/>
  <c r="G30" i="28"/>
  <c r="C30" i="28"/>
  <c r="P28" i="28"/>
  <c r="M29" i="28"/>
  <c r="D28" i="28"/>
  <c r="F28" i="27"/>
  <c r="V30" i="27"/>
  <c r="F30" i="27"/>
  <c r="S28" i="27"/>
  <c r="D29" i="27"/>
  <c r="C28" i="27"/>
  <c r="U27" i="26"/>
  <c r="U30" i="26"/>
  <c r="S29" i="26"/>
  <c r="J28" i="26"/>
  <c r="L30" i="25"/>
  <c r="D30" i="25"/>
  <c r="U92" i="29"/>
  <c r="S92" i="29"/>
  <c r="R92" i="29"/>
  <c r="P92" i="29"/>
  <c r="O92" i="29"/>
  <c r="N92" i="29"/>
  <c r="M92" i="29"/>
  <c r="L92" i="29"/>
  <c r="K92" i="29"/>
  <c r="I92" i="29"/>
  <c r="F92" i="29"/>
  <c r="D92" i="29"/>
  <c r="C92" i="29"/>
  <c r="B92" i="29"/>
  <c r="V91" i="29"/>
  <c r="U91" i="29"/>
  <c r="T91" i="29"/>
  <c r="R91" i="29"/>
  <c r="P91" i="29"/>
  <c r="O91" i="29"/>
  <c r="N91" i="29"/>
  <c r="M91" i="29"/>
  <c r="L91" i="29"/>
  <c r="J91" i="29"/>
  <c r="I91" i="29"/>
  <c r="H91" i="29"/>
  <c r="F91" i="29"/>
  <c r="D91" i="29"/>
  <c r="C91" i="29"/>
  <c r="B91" i="29"/>
  <c r="V90" i="29"/>
  <c r="U90" i="29"/>
  <c r="T90" i="29"/>
  <c r="S90" i="29"/>
  <c r="R90" i="29"/>
  <c r="P90" i="29"/>
  <c r="O90" i="29"/>
  <c r="M90" i="29"/>
  <c r="L90" i="29"/>
  <c r="K90" i="29"/>
  <c r="J90" i="29"/>
  <c r="I90" i="29"/>
  <c r="H90" i="29"/>
  <c r="F90" i="29"/>
  <c r="D90" i="29"/>
  <c r="C90" i="29"/>
  <c r="V89" i="29"/>
  <c r="U89" i="29"/>
  <c r="R89" i="29"/>
  <c r="O89" i="29"/>
  <c r="L89" i="29"/>
  <c r="I89" i="29"/>
  <c r="G89" i="29"/>
  <c r="F89" i="29"/>
  <c r="D89" i="29"/>
  <c r="C89" i="29"/>
  <c r="V61" i="29"/>
  <c r="U61" i="29"/>
  <c r="S61" i="29"/>
  <c r="R61" i="29"/>
  <c r="P61" i="29"/>
  <c r="O61" i="29"/>
  <c r="L61" i="29"/>
  <c r="I61" i="29"/>
  <c r="F61" i="29"/>
  <c r="D61" i="29"/>
  <c r="C61" i="29"/>
  <c r="V60" i="29"/>
  <c r="U60" i="29"/>
  <c r="S60" i="29"/>
  <c r="R60" i="29"/>
  <c r="O60" i="29"/>
  <c r="L60" i="29"/>
  <c r="I60" i="29"/>
  <c r="G60" i="29"/>
  <c r="F60" i="29"/>
  <c r="D60" i="29"/>
  <c r="C60" i="29"/>
  <c r="V59" i="29"/>
  <c r="U59" i="29"/>
  <c r="R59" i="29"/>
  <c r="O59" i="29"/>
  <c r="L59" i="29"/>
  <c r="J59" i="29"/>
  <c r="I59" i="29"/>
  <c r="G59" i="29"/>
  <c r="F59" i="29"/>
  <c r="D59" i="29"/>
  <c r="C59" i="29"/>
  <c r="U58" i="29"/>
  <c r="R58" i="29"/>
  <c r="O58" i="29"/>
  <c r="M58" i="29"/>
  <c r="L58" i="29"/>
  <c r="J58" i="29"/>
  <c r="I58" i="29"/>
  <c r="G58" i="29"/>
  <c r="F58" i="29"/>
  <c r="C58" i="29"/>
  <c r="V30" i="29"/>
  <c r="F30" i="29"/>
  <c r="V29" i="29"/>
  <c r="S29" i="29"/>
  <c r="J29" i="29"/>
  <c r="J28" i="29"/>
  <c r="O27" i="29"/>
  <c r="D27" i="29"/>
  <c r="V92" i="28"/>
  <c r="U92" i="28"/>
  <c r="S92" i="28"/>
  <c r="R92" i="28"/>
  <c r="P92" i="28"/>
  <c r="O92" i="28"/>
  <c r="N92" i="28"/>
  <c r="M92" i="28"/>
  <c r="L92" i="28"/>
  <c r="I92" i="28"/>
  <c r="G92" i="28"/>
  <c r="F92" i="28"/>
  <c r="D92" i="28"/>
  <c r="C92" i="28"/>
  <c r="B92" i="28"/>
  <c r="V91" i="28"/>
  <c r="U91" i="28"/>
  <c r="S91" i="28"/>
  <c r="R91" i="28"/>
  <c r="Q91" i="28"/>
  <c r="O91" i="28"/>
  <c r="M91" i="28"/>
  <c r="L91" i="28"/>
  <c r="I91" i="28"/>
  <c r="G91" i="28"/>
  <c r="F91" i="28"/>
  <c r="E91" i="28"/>
  <c r="D91" i="28"/>
  <c r="C91" i="28"/>
  <c r="U90" i="28"/>
  <c r="S90" i="28"/>
  <c r="R90" i="28"/>
  <c r="P90" i="28"/>
  <c r="O90" i="28"/>
  <c r="N90" i="28"/>
  <c r="M90" i="28"/>
  <c r="L90" i="28"/>
  <c r="K90" i="28"/>
  <c r="J90" i="28"/>
  <c r="I90" i="28"/>
  <c r="F90" i="28"/>
  <c r="D90" i="28"/>
  <c r="C90" i="28"/>
  <c r="B90" i="28"/>
  <c r="U89" i="28"/>
  <c r="R89" i="28"/>
  <c r="P89" i="28"/>
  <c r="O89" i="28"/>
  <c r="M89" i="28"/>
  <c r="L89" i="28"/>
  <c r="I89" i="28"/>
  <c r="F89" i="28"/>
  <c r="C89" i="28"/>
  <c r="U61" i="28"/>
  <c r="R61" i="28"/>
  <c r="P61" i="28"/>
  <c r="O61" i="28"/>
  <c r="M61" i="28"/>
  <c r="L61" i="28"/>
  <c r="I61" i="28"/>
  <c r="G61" i="28"/>
  <c r="D61" i="28"/>
  <c r="V60" i="28"/>
  <c r="S60" i="28"/>
  <c r="R60" i="28"/>
  <c r="P60" i="28"/>
  <c r="O60" i="28"/>
  <c r="M60" i="28"/>
  <c r="L60" i="28"/>
  <c r="J60" i="28"/>
  <c r="G60" i="28"/>
  <c r="D60" i="28"/>
  <c r="V59" i="28"/>
  <c r="U59" i="28"/>
  <c r="S59" i="28"/>
  <c r="R59" i="28"/>
  <c r="P59" i="28"/>
  <c r="O59" i="28"/>
  <c r="M59" i="28"/>
  <c r="J59" i="28"/>
  <c r="G59" i="28"/>
  <c r="D59" i="28"/>
  <c r="C59" i="28"/>
  <c r="V58" i="28"/>
  <c r="U58" i="28"/>
  <c r="S58" i="28"/>
  <c r="R58" i="28"/>
  <c r="P58" i="28"/>
  <c r="M58" i="28"/>
  <c r="J58" i="28"/>
  <c r="G58" i="28"/>
  <c r="F58" i="28"/>
  <c r="D58" i="28"/>
  <c r="C58" i="28"/>
  <c r="P30" i="28"/>
  <c r="S28" i="28"/>
  <c r="O28" i="28"/>
  <c r="S27" i="28"/>
  <c r="I27" i="28"/>
  <c r="V92" i="27"/>
  <c r="U92" i="27"/>
  <c r="S92" i="27"/>
  <c r="R92" i="27"/>
  <c r="P92" i="27"/>
  <c r="O92" i="27"/>
  <c r="M92" i="27"/>
  <c r="L92" i="27"/>
  <c r="J92" i="27"/>
  <c r="I92" i="27"/>
  <c r="G92" i="27"/>
  <c r="F92" i="27"/>
  <c r="C92" i="27"/>
  <c r="V91" i="27"/>
  <c r="U91" i="27"/>
  <c r="S91" i="27"/>
  <c r="R91" i="27"/>
  <c r="P91" i="27"/>
  <c r="N91" i="27"/>
  <c r="M91" i="27"/>
  <c r="L91" i="27"/>
  <c r="J91" i="27"/>
  <c r="G91" i="27"/>
  <c r="F91" i="27"/>
  <c r="D91" i="27"/>
  <c r="C91" i="27"/>
  <c r="V90" i="27"/>
  <c r="U90" i="27"/>
  <c r="S90" i="27"/>
  <c r="R90" i="27"/>
  <c r="P90" i="27"/>
  <c r="M90" i="27"/>
  <c r="L90" i="27"/>
  <c r="J90" i="27"/>
  <c r="I90" i="27"/>
  <c r="G90" i="27"/>
  <c r="F90" i="27"/>
  <c r="D90" i="27"/>
  <c r="C90" i="27"/>
  <c r="U89" i="27"/>
  <c r="S89" i="27"/>
  <c r="R89" i="27"/>
  <c r="P89" i="27"/>
  <c r="M89" i="27"/>
  <c r="L89" i="27"/>
  <c r="J89" i="27"/>
  <c r="I89" i="27"/>
  <c r="G89" i="27"/>
  <c r="F89" i="27"/>
  <c r="C89" i="27"/>
  <c r="V61" i="27"/>
  <c r="S61" i="27"/>
  <c r="P61" i="27"/>
  <c r="J61" i="27"/>
  <c r="I61" i="27"/>
  <c r="G61" i="27"/>
  <c r="F61" i="27"/>
  <c r="D61" i="27"/>
  <c r="C61" i="27"/>
  <c r="V60" i="27"/>
  <c r="R60" i="27"/>
  <c r="M60" i="27"/>
  <c r="J60" i="27"/>
  <c r="G60" i="27"/>
  <c r="F60" i="27"/>
  <c r="D60" i="27"/>
  <c r="U59" i="27"/>
  <c r="S59" i="27"/>
  <c r="P59" i="27"/>
  <c r="L59" i="27"/>
  <c r="I59" i="27"/>
  <c r="D59" i="27"/>
  <c r="C59" i="27"/>
  <c r="V58" i="27"/>
  <c r="S58" i="27"/>
  <c r="R58" i="27"/>
  <c r="M58" i="27"/>
  <c r="L58" i="27"/>
  <c r="G58" i="27"/>
  <c r="G30" i="27"/>
  <c r="D30" i="27"/>
  <c r="J29" i="27"/>
  <c r="V92" i="26"/>
  <c r="U92" i="26"/>
  <c r="P92" i="26"/>
  <c r="M92" i="26"/>
  <c r="J92" i="26"/>
  <c r="G92" i="26"/>
  <c r="F92" i="26"/>
  <c r="D92" i="26"/>
  <c r="C92" i="26"/>
  <c r="U91" i="26"/>
  <c r="S91" i="26"/>
  <c r="P91" i="26"/>
  <c r="M91" i="26"/>
  <c r="J91" i="26"/>
  <c r="I91" i="26"/>
  <c r="G91" i="26"/>
  <c r="F91" i="26"/>
  <c r="C91" i="26"/>
  <c r="V90" i="26"/>
  <c r="S90" i="26"/>
  <c r="P90" i="26"/>
  <c r="M90" i="26"/>
  <c r="L90" i="26"/>
  <c r="J90" i="26"/>
  <c r="I90" i="26"/>
  <c r="E90" i="26"/>
  <c r="C90" i="26"/>
  <c r="U89" i="26"/>
  <c r="R89" i="26"/>
  <c r="P89" i="26"/>
  <c r="O89" i="26"/>
  <c r="M89" i="26"/>
  <c r="I89" i="26"/>
  <c r="F89" i="26"/>
  <c r="C89" i="26"/>
  <c r="V61" i="26"/>
  <c r="R61" i="26"/>
  <c r="P61" i="26"/>
  <c r="O61" i="26"/>
  <c r="M61" i="26"/>
  <c r="L61" i="26"/>
  <c r="J61" i="26"/>
  <c r="I61" i="26"/>
  <c r="F61" i="26"/>
  <c r="C61" i="26"/>
  <c r="U60" i="26"/>
  <c r="S60" i="26"/>
  <c r="R60" i="26"/>
  <c r="O60" i="26"/>
  <c r="M60" i="26"/>
  <c r="J60" i="26"/>
  <c r="I60" i="26"/>
  <c r="D60" i="26"/>
  <c r="V59" i="26"/>
  <c r="R59" i="26"/>
  <c r="P59" i="26"/>
  <c r="O59" i="26"/>
  <c r="M59" i="26"/>
  <c r="L59" i="26"/>
  <c r="J59" i="26"/>
  <c r="I59" i="26"/>
  <c r="F59" i="26"/>
  <c r="C59" i="26"/>
  <c r="R58" i="26"/>
  <c r="P58" i="26"/>
  <c r="M58" i="26"/>
  <c r="L58" i="26"/>
  <c r="I58" i="26"/>
  <c r="G58" i="26"/>
  <c r="F58" i="26"/>
  <c r="V92" i="25"/>
  <c r="S92" i="25"/>
  <c r="R92" i="25"/>
  <c r="P92" i="25"/>
  <c r="O92" i="25"/>
  <c r="G92" i="25"/>
  <c r="D92" i="25"/>
  <c r="V91" i="25"/>
  <c r="U91" i="25"/>
  <c r="S91" i="25"/>
  <c r="R91" i="25"/>
  <c r="P91" i="25"/>
  <c r="J91" i="25"/>
  <c r="G91" i="25"/>
  <c r="D91" i="25"/>
  <c r="C91" i="25"/>
  <c r="V90" i="25"/>
  <c r="U90" i="25"/>
  <c r="M90" i="25"/>
  <c r="J90" i="25"/>
  <c r="G90" i="25"/>
  <c r="F90" i="25"/>
  <c r="D90" i="25"/>
  <c r="C90" i="25"/>
  <c r="P89" i="25"/>
  <c r="M89" i="25"/>
  <c r="J89" i="25"/>
  <c r="I89" i="25"/>
  <c r="G89" i="25"/>
  <c r="F89" i="25"/>
  <c r="U61" i="25"/>
  <c r="S61" i="25"/>
  <c r="P61" i="25"/>
  <c r="G61" i="25"/>
  <c r="F61" i="25"/>
  <c r="D61" i="25"/>
  <c r="C61" i="25"/>
  <c r="V60" i="25"/>
  <c r="S60" i="25"/>
  <c r="R60" i="25"/>
  <c r="F60" i="25"/>
  <c r="D60" i="25"/>
  <c r="C60" i="25"/>
  <c r="V59" i="25"/>
  <c r="U59" i="25"/>
  <c r="S59" i="25"/>
  <c r="R59" i="25"/>
  <c r="L59" i="25"/>
  <c r="F59" i="25"/>
  <c r="D59" i="25"/>
  <c r="C59" i="25"/>
  <c r="U58" i="25"/>
  <c r="S58" i="25"/>
  <c r="P58" i="25"/>
  <c r="M58" i="25"/>
  <c r="F58" i="25"/>
  <c r="V92" i="24"/>
  <c r="S92" i="24"/>
  <c r="P92" i="24"/>
  <c r="O92" i="24"/>
  <c r="M92" i="24"/>
  <c r="L92" i="24"/>
  <c r="D92" i="24"/>
  <c r="V91" i="24"/>
  <c r="S91" i="24"/>
  <c r="R91" i="24"/>
  <c r="P91" i="24"/>
  <c r="O91" i="24"/>
  <c r="M91" i="24"/>
  <c r="G91" i="24"/>
  <c r="D91" i="24"/>
  <c r="V90" i="24"/>
  <c r="U90" i="24"/>
  <c r="S90" i="24"/>
  <c r="R90" i="24"/>
  <c r="J90" i="24"/>
  <c r="G90" i="24"/>
  <c r="D90" i="24"/>
  <c r="C90" i="24"/>
  <c r="V89" i="24"/>
  <c r="U89" i="24"/>
  <c r="M89" i="24"/>
  <c r="J89" i="24"/>
  <c r="G89" i="24"/>
  <c r="F89" i="24"/>
  <c r="D89" i="24"/>
  <c r="C89" i="24"/>
  <c r="J61" i="24"/>
  <c r="V60" i="24"/>
  <c r="U60" i="24"/>
  <c r="S60" i="24"/>
  <c r="R60" i="24"/>
  <c r="P60" i="24"/>
  <c r="C60" i="24"/>
  <c r="U59" i="24"/>
  <c r="P59" i="24"/>
  <c r="M59" i="24"/>
  <c r="L59" i="24"/>
  <c r="J59" i="24"/>
  <c r="I58" i="24"/>
  <c r="G58" i="24"/>
  <c r="D58" i="24"/>
  <c r="C58" i="24"/>
  <c r="R30" i="24"/>
  <c r="N23" i="30" l="1"/>
  <c r="N23" i="19"/>
  <c r="N23" i="20"/>
  <c r="C7" i="18"/>
  <c r="C6" i="18"/>
  <c r="C8" i="18"/>
  <c r="C5" i="18"/>
  <c r="D6" i="18"/>
  <c r="D7" i="18"/>
  <c r="D8" i="18"/>
  <c r="D5" i="18"/>
  <c r="E6" i="18"/>
  <c r="E8" i="18"/>
  <c r="E5" i="18"/>
  <c r="E7" i="18"/>
  <c r="F6" i="18"/>
  <c r="F8" i="18"/>
  <c r="F5" i="18"/>
  <c r="F7" i="18"/>
  <c r="G8" i="18"/>
  <c r="G5" i="18"/>
  <c r="G7" i="18"/>
  <c r="G6" i="18"/>
  <c r="D26" i="18"/>
  <c r="D25" i="18"/>
  <c r="D24" i="18"/>
  <c r="D27" i="18"/>
  <c r="F25" i="18"/>
  <c r="F26" i="18"/>
  <c r="F27" i="18"/>
  <c r="F24" i="18"/>
  <c r="G25" i="18"/>
  <c r="G27" i="18"/>
  <c r="G24" i="18"/>
  <c r="G26" i="18"/>
  <c r="E89" i="29"/>
  <c r="Q89" i="29"/>
  <c r="O89" i="27"/>
  <c r="O90" i="27"/>
  <c r="S89" i="25"/>
  <c r="G91" i="29"/>
  <c r="T92" i="28"/>
  <c r="Q92" i="29"/>
  <c r="B89" i="29"/>
  <c r="H92" i="28"/>
  <c r="N89" i="29"/>
  <c r="H90" i="28"/>
  <c r="I60" i="25"/>
  <c r="P58" i="29"/>
  <c r="R59" i="24"/>
  <c r="I61" i="24"/>
  <c r="O59" i="25"/>
  <c r="R61" i="25"/>
  <c r="Q92" i="25"/>
  <c r="N89" i="27"/>
  <c r="E92" i="29"/>
  <c r="K89" i="29"/>
  <c r="V59" i="24"/>
  <c r="V61" i="25"/>
  <c r="S61" i="26"/>
  <c r="M59" i="27"/>
  <c r="I29" i="26"/>
  <c r="C28" i="29"/>
  <c r="L61" i="27"/>
  <c r="E91" i="29"/>
  <c r="Q91" i="29"/>
  <c r="T91" i="24"/>
  <c r="H91" i="26"/>
  <c r="T91" i="26"/>
  <c r="B91" i="26"/>
  <c r="N91" i="26"/>
  <c r="Q90" i="26"/>
  <c r="E91" i="27"/>
  <c r="Q91" i="27"/>
  <c r="K91" i="27"/>
  <c r="B90" i="27"/>
  <c r="N90" i="27"/>
  <c r="T91" i="28"/>
  <c r="G60" i="25"/>
  <c r="P60" i="26"/>
  <c r="E92" i="25"/>
  <c r="K90" i="26"/>
  <c r="B92" i="26"/>
  <c r="N92" i="26"/>
  <c r="H91" i="27"/>
  <c r="T91" i="27"/>
  <c r="K92" i="27"/>
  <c r="B91" i="27"/>
  <c r="B89" i="27"/>
  <c r="E90" i="28"/>
  <c r="Q90" i="28"/>
  <c r="K91" i="28"/>
  <c r="E92" i="28"/>
  <c r="Q92" i="28"/>
  <c r="H89" i="28"/>
  <c r="T89" i="28"/>
  <c r="E89" i="28"/>
  <c r="Q89" i="28"/>
  <c r="R28" i="27"/>
  <c r="I30" i="27"/>
  <c r="R30" i="28"/>
  <c r="O30" i="29"/>
  <c r="Q59" i="26"/>
  <c r="K59" i="28"/>
  <c r="B90" i="25"/>
  <c r="N90" i="25"/>
  <c r="B60" i="25"/>
  <c r="B60" i="29"/>
  <c r="T60" i="29"/>
  <c r="E91" i="24"/>
  <c r="Q91" i="24"/>
  <c r="T91" i="25"/>
  <c r="B91" i="25"/>
  <c r="N91" i="25"/>
  <c r="E91" i="26"/>
  <c r="Q91" i="26"/>
  <c r="K91" i="26"/>
  <c r="B90" i="26"/>
  <c r="N90" i="26"/>
  <c r="B90" i="24"/>
  <c r="N90" i="24"/>
  <c r="E92" i="24"/>
  <c r="Q92" i="24"/>
  <c r="B92" i="25"/>
  <c r="N92" i="25"/>
  <c r="K92" i="25"/>
  <c r="K92" i="26"/>
  <c r="B89" i="26"/>
  <c r="N89" i="26"/>
  <c r="H92" i="27"/>
  <c r="T92" i="27"/>
  <c r="E92" i="27"/>
  <c r="Q92" i="27"/>
  <c r="H89" i="27"/>
  <c r="T89" i="27"/>
  <c r="K89" i="27"/>
  <c r="E89" i="27"/>
  <c r="Q89" i="27"/>
  <c r="N30" i="29"/>
  <c r="H90" i="26"/>
  <c r="P27" i="28"/>
  <c r="T90" i="26"/>
  <c r="N29" i="28"/>
  <c r="H60" i="24"/>
  <c r="K60" i="25"/>
  <c r="N60" i="26"/>
  <c r="K60" i="27"/>
  <c r="B60" i="28"/>
  <c r="H60" i="28"/>
  <c r="T60" i="28"/>
  <c r="E60" i="29"/>
  <c r="Q60" i="29"/>
  <c r="B91" i="24"/>
  <c r="N91" i="24"/>
  <c r="K91" i="25"/>
  <c r="H28" i="29"/>
  <c r="B61" i="26"/>
  <c r="N59" i="29"/>
  <c r="E61" i="29"/>
  <c r="Q61" i="29"/>
  <c r="K90" i="24"/>
  <c r="B92" i="24"/>
  <c r="N92" i="24"/>
  <c r="K92" i="24"/>
  <c r="H90" i="25"/>
  <c r="H89" i="25"/>
  <c r="T89" i="25"/>
  <c r="H92" i="26"/>
  <c r="T92" i="26"/>
  <c r="E92" i="26"/>
  <c r="Q92" i="26"/>
  <c r="H89" i="26"/>
  <c r="T89" i="26"/>
  <c r="K89" i="26"/>
  <c r="E89" i="26"/>
  <c r="Q89" i="26"/>
  <c r="C91" i="23"/>
  <c r="O91" i="23"/>
  <c r="I91" i="23"/>
  <c r="U91" i="23"/>
  <c r="L29" i="24"/>
  <c r="F29" i="24"/>
  <c r="I29" i="25"/>
  <c r="C29" i="25"/>
  <c r="F29" i="26"/>
  <c r="R29" i="26"/>
  <c r="L29" i="26"/>
  <c r="O29" i="27"/>
  <c r="I29" i="27"/>
  <c r="U29" i="27"/>
  <c r="L29" i="28"/>
  <c r="F29" i="28"/>
  <c r="R29" i="28"/>
  <c r="C27" i="28"/>
  <c r="O27" i="28"/>
  <c r="C29" i="29"/>
  <c r="O29" i="29"/>
  <c r="L27" i="29"/>
  <c r="C27" i="29"/>
  <c r="F60" i="24"/>
  <c r="L60" i="24"/>
  <c r="U60" i="25"/>
  <c r="L60" i="26"/>
  <c r="F60" i="26"/>
  <c r="I60" i="27"/>
  <c r="U60" i="27"/>
  <c r="C60" i="27"/>
  <c r="O60" i="27"/>
  <c r="V29" i="27"/>
  <c r="H91" i="25"/>
  <c r="B59" i="29"/>
  <c r="N60" i="29"/>
  <c r="K91" i="24"/>
  <c r="T90" i="25"/>
  <c r="T28" i="28"/>
  <c r="N59" i="24"/>
  <c r="Q59" i="27"/>
  <c r="K59" i="29"/>
  <c r="B61" i="29"/>
  <c r="N61" i="29"/>
  <c r="K61" i="29"/>
  <c r="H90" i="24"/>
  <c r="T90" i="24"/>
  <c r="H92" i="24"/>
  <c r="T92" i="24"/>
  <c r="K89" i="24"/>
  <c r="H89" i="24"/>
  <c r="T89" i="24"/>
  <c r="E90" i="25"/>
  <c r="Q90" i="25"/>
  <c r="H92" i="25"/>
  <c r="T92" i="25"/>
  <c r="K89" i="25"/>
  <c r="B89" i="25"/>
  <c r="N89" i="25"/>
  <c r="E89" i="25"/>
  <c r="Q89" i="25"/>
  <c r="I28" i="27"/>
  <c r="L29" i="29"/>
  <c r="P28" i="25"/>
  <c r="D30" i="26"/>
  <c r="J28" i="27"/>
  <c r="G28" i="28"/>
  <c r="H91" i="24"/>
  <c r="G28" i="25"/>
  <c r="G30" i="26"/>
  <c r="M28" i="27"/>
  <c r="P30" i="27"/>
  <c r="J28" i="28"/>
  <c r="V28" i="28"/>
  <c r="M30" i="28"/>
  <c r="S28" i="29"/>
  <c r="J30" i="29"/>
  <c r="D28" i="29"/>
  <c r="P28" i="29"/>
  <c r="D59" i="24"/>
  <c r="K28" i="27"/>
  <c r="B59" i="24"/>
  <c r="K59" i="25"/>
  <c r="H59" i="26"/>
  <c r="T59" i="26"/>
  <c r="E59" i="27"/>
  <c r="B59" i="28"/>
  <c r="F27" i="29"/>
  <c r="C59" i="24"/>
  <c r="O59" i="24"/>
  <c r="L58" i="24"/>
  <c r="R58" i="25"/>
  <c r="U59" i="26"/>
  <c r="C58" i="26"/>
  <c r="O58" i="26"/>
  <c r="F59" i="27"/>
  <c r="K29" i="29"/>
  <c r="T60" i="24"/>
  <c r="B60" i="24"/>
  <c r="N60" i="24"/>
  <c r="E60" i="25"/>
  <c r="Q60" i="25"/>
  <c r="B60" i="26"/>
  <c r="H60" i="26"/>
  <c r="T60" i="26"/>
  <c r="E60" i="27"/>
  <c r="Q60" i="27"/>
  <c r="N60" i="28"/>
  <c r="K60" i="29"/>
  <c r="E91" i="25"/>
  <c r="Q91" i="25"/>
  <c r="B61" i="24"/>
  <c r="H59" i="25"/>
  <c r="T59" i="25"/>
  <c r="H61" i="25"/>
  <c r="E59" i="26"/>
  <c r="E61" i="26"/>
  <c r="B59" i="27"/>
  <c r="N59" i="27"/>
  <c r="E61" i="27"/>
  <c r="Q61" i="27"/>
  <c r="B61" i="28"/>
  <c r="N61" i="28"/>
  <c r="K61" i="28"/>
  <c r="B58" i="28"/>
  <c r="H59" i="29"/>
  <c r="T58" i="29"/>
  <c r="E59" i="29"/>
  <c r="Q59" i="29"/>
  <c r="H61" i="29"/>
  <c r="T61" i="29"/>
  <c r="K58" i="29"/>
  <c r="B58" i="29"/>
  <c r="N58" i="29"/>
  <c r="H58" i="29"/>
  <c r="E90" i="24"/>
  <c r="Q90" i="24"/>
  <c r="B89" i="24"/>
  <c r="N89" i="24"/>
  <c r="E89" i="24"/>
  <c r="Q89" i="24"/>
  <c r="H60" i="29"/>
  <c r="C28" i="28"/>
  <c r="T59" i="29"/>
  <c r="F30" i="25"/>
  <c r="R30" i="25"/>
  <c r="C30" i="26"/>
  <c r="R29" i="27"/>
  <c r="I29" i="28"/>
  <c r="U29" i="28"/>
  <c r="O29" i="28"/>
  <c r="F28" i="28"/>
  <c r="G61" i="24"/>
  <c r="S61" i="24"/>
  <c r="M59" i="25"/>
  <c r="E60" i="24"/>
  <c r="Q60" i="24"/>
  <c r="N60" i="25"/>
  <c r="H60" i="27"/>
  <c r="T60" i="27"/>
  <c r="B60" i="27"/>
  <c r="N60" i="27"/>
  <c r="E60" i="28"/>
  <c r="Q60" i="28"/>
  <c r="K60" i="28"/>
  <c r="N59" i="28"/>
  <c r="I27" i="29"/>
  <c r="B28" i="28"/>
  <c r="Q30" i="28"/>
  <c r="B30" i="28"/>
  <c r="H59" i="24"/>
  <c r="T58" i="24"/>
  <c r="T61" i="25"/>
  <c r="Q61" i="26"/>
  <c r="N61" i="26"/>
  <c r="T58" i="26"/>
  <c r="K59" i="27"/>
  <c r="B61" i="27"/>
  <c r="N61" i="27"/>
  <c r="K58" i="27"/>
  <c r="H59" i="28"/>
  <c r="T59" i="28"/>
  <c r="E59" i="28"/>
  <c r="Q59" i="28"/>
  <c r="N58" i="28"/>
  <c r="E58" i="29"/>
  <c r="Q58" i="29"/>
  <c r="G29" i="25"/>
  <c r="V30" i="26"/>
  <c r="M28" i="28"/>
  <c r="V28" i="29"/>
  <c r="P27" i="29"/>
  <c r="S27" i="29"/>
  <c r="G59" i="24"/>
  <c r="S59" i="24"/>
  <c r="M58" i="24"/>
  <c r="V58" i="25"/>
  <c r="D58" i="25"/>
  <c r="S58" i="26"/>
  <c r="J58" i="26"/>
  <c r="V59" i="27"/>
  <c r="D58" i="27"/>
  <c r="P58" i="27"/>
  <c r="V61" i="28"/>
  <c r="T59" i="24"/>
  <c r="L29" i="25"/>
  <c r="C29" i="26"/>
  <c r="O29" i="26"/>
  <c r="F29" i="27"/>
  <c r="C29" i="28"/>
  <c r="D30" i="28"/>
  <c r="V61" i="24"/>
  <c r="G58" i="25"/>
  <c r="M61" i="27"/>
  <c r="J61" i="28"/>
  <c r="K28" i="29"/>
  <c r="B59" i="26"/>
  <c r="N59" i="26"/>
  <c r="U29" i="25"/>
  <c r="C29" i="27"/>
  <c r="U30" i="27"/>
  <c r="O27" i="27"/>
  <c r="R28" i="28"/>
  <c r="I30" i="28"/>
  <c r="U30" i="28"/>
  <c r="O28" i="29"/>
  <c r="R30" i="29"/>
  <c r="I29" i="29"/>
  <c r="U29" i="29"/>
  <c r="L28" i="28"/>
  <c r="B29" i="26"/>
  <c r="Q30" i="26"/>
  <c r="D29" i="24"/>
  <c r="M29" i="25"/>
  <c r="V29" i="26"/>
  <c r="G29" i="27"/>
  <c r="P27" i="27"/>
  <c r="M27" i="27"/>
  <c r="D29" i="28"/>
  <c r="P29" i="28"/>
  <c r="J30" i="28"/>
  <c r="M27" i="28"/>
  <c r="D27" i="28"/>
  <c r="G27" i="28"/>
  <c r="G27" i="29"/>
  <c r="M29" i="29"/>
  <c r="G30" i="29"/>
  <c r="J27" i="29"/>
  <c r="V27" i="29"/>
  <c r="M27" i="29"/>
  <c r="D61" i="24"/>
  <c r="J58" i="24"/>
  <c r="E30" i="26"/>
  <c r="E30" i="27"/>
  <c r="Q30" i="27"/>
  <c r="B30" i="27"/>
  <c r="N30" i="27"/>
  <c r="K30" i="28"/>
  <c r="H27" i="28"/>
  <c r="T28" i="29"/>
  <c r="E27" i="29"/>
  <c r="H61" i="24"/>
  <c r="T61" i="24"/>
  <c r="E61" i="24"/>
  <c r="Q61" i="24"/>
  <c r="K58" i="24"/>
  <c r="N58" i="24"/>
  <c r="B59" i="25"/>
  <c r="E61" i="25"/>
  <c r="Q61" i="25"/>
  <c r="B61" i="25"/>
  <c r="N61" i="25"/>
  <c r="E58" i="25"/>
  <c r="H58" i="25"/>
  <c r="T58" i="25"/>
  <c r="K59" i="26"/>
  <c r="K61" i="26"/>
  <c r="B58" i="26"/>
  <c r="N58" i="26"/>
  <c r="E58" i="26"/>
  <c r="Q58" i="26"/>
  <c r="H58" i="26"/>
  <c r="K61" i="27"/>
  <c r="H61" i="27"/>
  <c r="T61" i="27"/>
  <c r="B58" i="27"/>
  <c r="N58" i="27"/>
  <c r="E58" i="27"/>
  <c r="Q58" i="27"/>
  <c r="H58" i="27"/>
  <c r="T58" i="27"/>
  <c r="H61" i="28"/>
  <c r="T61" i="28"/>
  <c r="E61" i="28"/>
  <c r="Q61" i="28"/>
  <c r="H58" i="28"/>
  <c r="T58" i="28"/>
  <c r="K58" i="28"/>
  <c r="E58" i="28"/>
  <c r="Q58" i="28"/>
  <c r="F27" i="27"/>
  <c r="U30" i="29"/>
  <c r="U58" i="26"/>
  <c r="R59" i="27"/>
  <c r="U30" i="25"/>
  <c r="C30" i="27"/>
  <c r="O30" i="27"/>
  <c r="R27" i="27"/>
  <c r="I28" i="28"/>
  <c r="L30" i="28"/>
  <c r="F28" i="26"/>
  <c r="D30" i="24"/>
  <c r="G29" i="28"/>
  <c r="S29" i="28"/>
  <c r="D29" i="29"/>
  <c r="P29" i="29"/>
  <c r="I30" i="29"/>
  <c r="F61" i="24"/>
  <c r="R61" i="24"/>
  <c r="F58" i="24"/>
  <c r="C58" i="25"/>
  <c r="O58" i="25"/>
  <c r="C58" i="27"/>
  <c r="O58" i="27"/>
  <c r="I58" i="27"/>
  <c r="U58" i="27"/>
  <c r="K60" i="26"/>
  <c r="T59" i="27"/>
  <c r="H59" i="27"/>
  <c r="Q59" i="24"/>
  <c r="N59" i="25"/>
  <c r="F59" i="23"/>
  <c r="U92" i="23"/>
  <c r="O90" i="23"/>
  <c r="L28" i="24"/>
  <c r="R27" i="24"/>
  <c r="L27" i="24"/>
  <c r="C30" i="25"/>
  <c r="I28" i="25"/>
  <c r="U28" i="25"/>
  <c r="O27" i="25"/>
  <c r="U28" i="26"/>
  <c r="L30" i="26"/>
  <c r="R28" i="26"/>
  <c r="R27" i="26"/>
  <c r="O28" i="27"/>
  <c r="I27" i="27"/>
  <c r="C27" i="27"/>
  <c r="F30" i="28"/>
  <c r="F27" i="28"/>
  <c r="U27" i="28"/>
  <c r="L27" i="28"/>
  <c r="L28" i="29"/>
  <c r="C30" i="29"/>
  <c r="U28" i="29"/>
  <c r="R27" i="29"/>
  <c r="E59" i="24"/>
  <c r="D29" i="26"/>
  <c r="G27" i="27"/>
  <c r="V27" i="27"/>
  <c r="V27" i="28"/>
  <c r="J30" i="26"/>
  <c r="M27" i="26"/>
  <c r="S29" i="27"/>
  <c r="M29" i="27"/>
  <c r="S30" i="27"/>
  <c r="V29" i="28"/>
  <c r="J27" i="28"/>
  <c r="G29" i="29"/>
  <c r="M30" i="29"/>
  <c r="E30" i="28"/>
  <c r="K27" i="28"/>
  <c r="B28" i="29"/>
  <c r="N29" i="29"/>
  <c r="E30" i="29"/>
  <c r="Q30" i="29"/>
  <c r="T27" i="29"/>
  <c r="K59" i="24"/>
  <c r="N61" i="24"/>
  <c r="H58" i="24"/>
  <c r="H60" i="25"/>
  <c r="T60" i="25"/>
  <c r="K61" i="25"/>
  <c r="K58" i="25"/>
  <c r="Q58" i="25"/>
  <c r="E60" i="26"/>
  <c r="Q60" i="26"/>
  <c r="H61" i="26"/>
  <c r="T61" i="26"/>
  <c r="D28" i="26"/>
  <c r="M91" i="23"/>
  <c r="S27" i="25"/>
  <c r="P29" i="26"/>
  <c r="J29" i="28"/>
  <c r="R58" i="24"/>
  <c r="V30" i="28"/>
  <c r="S30" i="29"/>
  <c r="V29" i="24"/>
  <c r="C30" i="24"/>
  <c r="S29" i="25"/>
  <c r="F59" i="24"/>
  <c r="L28" i="25"/>
  <c r="O60" i="25"/>
  <c r="G28" i="29"/>
  <c r="R61" i="23"/>
  <c r="L59" i="23"/>
  <c r="L90" i="23"/>
  <c r="O92" i="23"/>
  <c r="I90" i="23"/>
  <c r="U90" i="23"/>
  <c r="L30" i="24"/>
  <c r="F28" i="24"/>
  <c r="R28" i="24"/>
  <c r="I30" i="24"/>
  <c r="F29" i="25"/>
  <c r="I30" i="25"/>
  <c r="C28" i="25"/>
  <c r="O28" i="25"/>
  <c r="I27" i="25"/>
  <c r="C27" i="26"/>
  <c r="O27" i="26"/>
  <c r="F30" i="26"/>
  <c r="R30" i="26"/>
  <c r="L28" i="26"/>
  <c r="F27" i="26"/>
  <c r="L27" i="27"/>
  <c r="U28" i="27"/>
  <c r="L30" i="27"/>
  <c r="J29" i="26"/>
  <c r="V61" i="23"/>
  <c r="D90" i="23"/>
  <c r="V28" i="24"/>
  <c r="M30" i="24"/>
  <c r="M30" i="25"/>
  <c r="D29" i="25"/>
  <c r="V30" i="25"/>
  <c r="M27" i="25"/>
  <c r="P27" i="25"/>
  <c r="G27" i="26"/>
  <c r="M29" i="26"/>
  <c r="P28" i="26"/>
  <c r="S30" i="26"/>
  <c r="S27" i="27"/>
  <c r="J27" i="27"/>
  <c r="J27" i="26"/>
  <c r="K29" i="25"/>
  <c r="H29" i="26"/>
  <c r="K29" i="27"/>
  <c r="B29" i="28"/>
  <c r="H29" i="28"/>
  <c r="T29" i="28"/>
  <c r="E29" i="29"/>
  <c r="Q29" i="29"/>
  <c r="C27" i="24"/>
  <c r="L27" i="25"/>
  <c r="I30" i="26"/>
  <c r="R30" i="27"/>
  <c r="B30" i="29"/>
  <c r="K61" i="24"/>
  <c r="K58" i="26"/>
  <c r="J29" i="24"/>
  <c r="O30" i="24"/>
  <c r="J29" i="25"/>
  <c r="M28" i="25"/>
  <c r="P30" i="25"/>
  <c r="J27" i="25"/>
  <c r="M28" i="26"/>
  <c r="G29" i="26"/>
  <c r="S27" i="26"/>
  <c r="V28" i="27"/>
  <c r="C28" i="26"/>
  <c r="L28" i="27"/>
  <c r="B29" i="29"/>
  <c r="F60" i="23"/>
  <c r="I92" i="23"/>
  <c r="F90" i="23"/>
  <c r="F30" i="24"/>
  <c r="C28" i="24"/>
  <c r="O28" i="24"/>
  <c r="I28" i="26"/>
  <c r="C27" i="25"/>
  <c r="U29" i="26"/>
  <c r="I27" i="26"/>
  <c r="C89" i="23"/>
  <c r="L27" i="26"/>
  <c r="N28" i="29"/>
  <c r="J60" i="23"/>
  <c r="M90" i="23"/>
  <c r="D28" i="25"/>
  <c r="P27" i="26"/>
  <c r="F58" i="23"/>
  <c r="U89" i="23"/>
  <c r="I29" i="24"/>
  <c r="U27" i="24"/>
  <c r="F27" i="24"/>
  <c r="R29" i="25"/>
  <c r="U27" i="25"/>
  <c r="O30" i="26"/>
  <c r="H28" i="28"/>
  <c r="H29" i="29"/>
  <c r="T29" i="29"/>
  <c r="E28" i="29"/>
  <c r="Q28" i="29"/>
  <c r="K60" i="24"/>
  <c r="R58" i="23"/>
  <c r="O28" i="26"/>
  <c r="O27" i="24"/>
  <c r="N27" i="27"/>
  <c r="N28" i="28"/>
  <c r="N30" i="28"/>
  <c r="T27" i="28"/>
  <c r="Q27" i="29"/>
  <c r="H27" i="29"/>
  <c r="B58" i="24"/>
  <c r="E59" i="25"/>
  <c r="Q59" i="25"/>
  <c r="B58" i="25"/>
  <c r="N58" i="25"/>
  <c r="F28" i="25"/>
  <c r="P28" i="24"/>
  <c r="M28" i="24"/>
  <c r="J28" i="25"/>
  <c r="V28" i="25"/>
  <c r="D27" i="25"/>
  <c r="M30" i="26"/>
  <c r="G28" i="26"/>
  <c r="S28" i="26"/>
  <c r="J30" i="27"/>
  <c r="D28" i="27"/>
  <c r="P28" i="27"/>
  <c r="R29" i="24"/>
  <c r="O29" i="25"/>
  <c r="O30" i="25"/>
  <c r="R27" i="25"/>
  <c r="P29" i="25"/>
  <c r="G30" i="25"/>
  <c r="S30" i="25"/>
  <c r="V29" i="25"/>
  <c r="G27" i="25"/>
  <c r="P30" i="26"/>
  <c r="V28" i="26"/>
  <c r="D27" i="26"/>
  <c r="M30" i="27"/>
  <c r="P29" i="27"/>
  <c r="G28" i="27"/>
  <c r="D27" i="27"/>
  <c r="S30" i="28"/>
  <c r="U27" i="27"/>
  <c r="D92" i="23"/>
  <c r="G91" i="23"/>
  <c r="S91" i="23"/>
  <c r="P29" i="24"/>
  <c r="V27" i="25"/>
  <c r="K28" i="28"/>
  <c r="K30" i="29"/>
  <c r="H30" i="29"/>
  <c r="T30" i="29"/>
  <c r="K27" i="29"/>
  <c r="B27" i="29"/>
  <c r="N27" i="29"/>
  <c r="E58" i="24"/>
  <c r="Q58" i="24"/>
  <c r="D59" i="23"/>
  <c r="P90" i="23"/>
  <c r="G92" i="23"/>
  <c r="S92" i="23"/>
  <c r="P30" i="24"/>
  <c r="J28" i="24"/>
  <c r="S28" i="25"/>
  <c r="J30" i="25"/>
  <c r="V27" i="26"/>
  <c r="L29" i="27"/>
  <c r="O89" i="23"/>
  <c r="R28" i="25"/>
  <c r="P92" i="23"/>
  <c r="U29" i="24"/>
  <c r="F27" i="25"/>
  <c r="H29" i="25"/>
  <c r="T29" i="25"/>
  <c r="H29" i="27"/>
  <c r="T29" i="27"/>
  <c r="B29" i="27"/>
  <c r="N29" i="27"/>
  <c r="E28" i="27"/>
  <c r="Q28" i="27"/>
  <c r="K29" i="28"/>
  <c r="U28" i="24"/>
  <c r="R89" i="23"/>
  <c r="C29" i="24"/>
  <c r="O29" i="24"/>
  <c r="P59" i="23"/>
  <c r="I61" i="23"/>
  <c r="T29" i="26"/>
  <c r="N29" i="26"/>
  <c r="E29" i="27"/>
  <c r="Q29" i="27"/>
  <c r="B28" i="27"/>
  <c r="N28" i="27"/>
  <c r="E27" i="25"/>
  <c r="K28" i="26"/>
  <c r="B30" i="26"/>
  <c r="N30" i="26"/>
  <c r="K30" i="26"/>
  <c r="H27" i="26"/>
  <c r="T27" i="26"/>
  <c r="K30" i="27"/>
  <c r="B27" i="27"/>
  <c r="E27" i="27"/>
  <c r="Q27" i="27"/>
  <c r="H27" i="27"/>
  <c r="T27" i="27"/>
  <c r="E28" i="28"/>
  <c r="Q28" i="28"/>
  <c r="H30" i="28"/>
  <c r="T30" i="28"/>
  <c r="B27" i="28"/>
  <c r="N27" i="28"/>
  <c r="E27" i="28"/>
  <c r="Q27" i="28"/>
  <c r="P29" i="23"/>
  <c r="D91" i="23"/>
  <c r="P91" i="23"/>
  <c r="S29" i="24"/>
  <c r="M29" i="24"/>
  <c r="T28" i="27"/>
  <c r="H28" i="27"/>
  <c r="D61" i="23"/>
  <c r="P61" i="23"/>
  <c r="J90" i="23"/>
  <c r="V90" i="23"/>
  <c r="M92" i="23"/>
  <c r="G28" i="24"/>
  <c r="J30" i="24"/>
  <c r="V30" i="24"/>
  <c r="E29" i="28"/>
  <c r="Q29" i="28"/>
  <c r="T90" i="23"/>
  <c r="E28" i="24"/>
  <c r="Q28" i="24"/>
  <c r="B28" i="25"/>
  <c r="N28" i="25"/>
  <c r="U30" i="24"/>
  <c r="K29" i="24"/>
  <c r="B30" i="24"/>
  <c r="N30" i="24"/>
  <c r="B29" i="25"/>
  <c r="N29" i="25"/>
  <c r="E29" i="26"/>
  <c r="Q29" i="26"/>
  <c r="K29" i="26"/>
  <c r="B28" i="26"/>
  <c r="N28" i="26"/>
  <c r="B28" i="24"/>
  <c r="N28" i="24"/>
  <c r="K28" i="25"/>
  <c r="B30" i="25"/>
  <c r="N30" i="25"/>
  <c r="H28" i="26"/>
  <c r="H30" i="27"/>
  <c r="T30" i="27"/>
  <c r="K27" i="27"/>
  <c r="T28" i="26"/>
  <c r="I27" i="24"/>
  <c r="L60" i="23"/>
  <c r="L61" i="23"/>
  <c r="E61" i="23"/>
  <c r="B29" i="24"/>
  <c r="N29" i="24"/>
  <c r="N27" i="24"/>
  <c r="H28" i="25"/>
  <c r="T28" i="25"/>
  <c r="K30" i="25"/>
  <c r="Q27" i="25"/>
  <c r="H30" i="26"/>
  <c r="T30" i="26"/>
  <c r="K27" i="26"/>
  <c r="B27" i="26"/>
  <c r="N27" i="26"/>
  <c r="E27" i="26"/>
  <c r="Q27" i="26"/>
  <c r="I28" i="24"/>
  <c r="R60" i="23"/>
  <c r="E28" i="26"/>
  <c r="Q28" i="26"/>
  <c r="K28" i="24"/>
  <c r="O29" i="23"/>
  <c r="I59" i="23"/>
  <c r="U60" i="23"/>
  <c r="O60" i="23"/>
  <c r="R59" i="23"/>
  <c r="U61" i="23"/>
  <c r="C58" i="23"/>
  <c r="O58" i="23"/>
  <c r="F89" i="23"/>
  <c r="R90" i="23"/>
  <c r="L91" i="23"/>
  <c r="C90" i="23"/>
  <c r="F92" i="23"/>
  <c r="R92" i="23"/>
  <c r="I89" i="23"/>
  <c r="V60" i="23"/>
  <c r="D60" i="23"/>
  <c r="P60" i="23"/>
  <c r="G59" i="23"/>
  <c r="S59" i="23"/>
  <c r="J92" i="23"/>
  <c r="H91" i="23"/>
  <c r="T91" i="23"/>
  <c r="B91" i="23"/>
  <c r="N91" i="23"/>
  <c r="B92" i="23"/>
  <c r="N92" i="23"/>
  <c r="H28" i="24"/>
  <c r="T28" i="24"/>
  <c r="K30" i="24"/>
  <c r="T30" i="24"/>
  <c r="K27" i="24"/>
  <c r="B27" i="24"/>
  <c r="E27" i="24"/>
  <c r="Q27" i="24"/>
  <c r="E28" i="25"/>
  <c r="Q28" i="25"/>
  <c r="H30" i="25"/>
  <c r="T30" i="25"/>
  <c r="E30" i="25"/>
  <c r="Q30" i="25"/>
  <c r="H27" i="25"/>
  <c r="T27" i="25"/>
  <c r="K27" i="25"/>
  <c r="B27" i="25"/>
  <c r="N27" i="25"/>
  <c r="H29" i="24"/>
  <c r="C59" i="23"/>
  <c r="O59" i="23"/>
  <c r="F61" i="23"/>
  <c r="I60" i="23"/>
  <c r="C61" i="23"/>
  <c r="O61" i="23"/>
  <c r="I58" i="23"/>
  <c r="U58" i="23"/>
  <c r="L58" i="23"/>
  <c r="L89" i="23"/>
  <c r="C92" i="23"/>
  <c r="F91" i="23"/>
  <c r="L92" i="23"/>
  <c r="R91" i="23"/>
  <c r="E29" i="25"/>
  <c r="Q29" i="25"/>
  <c r="U59" i="23"/>
  <c r="N90" i="23"/>
  <c r="J61" i="23"/>
  <c r="N61" i="23"/>
  <c r="H30" i="24"/>
  <c r="J59" i="23"/>
  <c r="G90" i="23"/>
  <c r="S90" i="23"/>
  <c r="V92" i="23"/>
  <c r="M89" i="23"/>
  <c r="D89" i="23"/>
  <c r="P89" i="23"/>
  <c r="G89" i="23"/>
  <c r="S89" i="23"/>
  <c r="J89" i="23"/>
  <c r="V89" i="23"/>
  <c r="D28" i="24"/>
  <c r="G30" i="24"/>
  <c r="S30" i="24"/>
  <c r="J27" i="24"/>
  <c r="V27" i="24"/>
  <c r="M27" i="24"/>
  <c r="D27" i="24"/>
  <c r="P27" i="24"/>
  <c r="G27" i="24"/>
  <c r="S27" i="24"/>
  <c r="G29" i="24"/>
  <c r="C60" i="23"/>
  <c r="T29" i="24"/>
  <c r="S28" i="24"/>
  <c r="J91" i="23"/>
  <c r="N60" i="23"/>
  <c r="T92" i="23"/>
  <c r="K91" i="23"/>
  <c r="H89" i="23"/>
  <c r="V91" i="23"/>
  <c r="K28" i="23"/>
  <c r="H59" i="23"/>
  <c r="T59" i="23"/>
  <c r="B60" i="23"/>
  <c r="E58" i="23"/>
  <c r="H60" i="23"/>
  <c r="E29" i="24"/>
  <c r="Q29" i="24"/>
  <c r="E30" i="24"/>
  <c r="Q30" i="24"/>
  <c r="H27" i="24"/>
  <c r="T27" i="24"/>
  <c r="T60" i="23"/>
  <c r="H90" i="23"/>
  <c r="L28" i="23"/>
  <c r="K61" i="23"/>
  <c r="V59" i="23"/>
  <c r="K92" i="23"/>
  <c r="F29" i="23"/>
  <c r="H29" i="23"/>
  <c r="T29" i="23"/>
  <c r="I28" i="23"/>
  <c r="E59" i="23"/>
  <c r="Q59" i="23"/>
  <c r="H61" i="23"/>
  <c r="T61" i="23"/>
  <c r="N59" i="23"/>
  <c r="H58" i="23"/>
  <c r="J28" i="23"/>
  <c r="V28" i="23"/>
  <c r="M30" i="23"/>
  <c r="G61" i="23"/>
  <c r="S61" i="23"/>
  <c r="E90" i="23"/>
  <c r="Q90" i="23"/>
  <c r="H92" i="23"/>
  <c r="B90" i="23"/>
  <c r="E92" i="23"/>
  <c r="Q92" i="23"/>
  <c r="T89" i="23"/>
  <c r="B89" i="23"/>
  <c r="N89" i="23"/>
  <c r="E89" i="23"/>
  <c r="Q89" i="23"/>
  <c r="S60" i="23"/>
  <c r="E91" i="23"/>
  <c r="Q91" i="23"/>
  <c r="M60" i="23"/>
  <c r="G60" i="23"/>
  <c r="M61" i="23"/>
  <c r="D58" i="23"/>
  <c r="P58" i="23"/>
  <c r="G58" i="23"/>
  <c r="S58" i="23"/>
  <c r="J58" i="23"/>
  <c r="V58" i="23"/>
  <c r="M58" i="23"/>
  <c r="T58" i="23"/>
  <c r="M59" i="23"/>
  <c r="K90" i="23"/>
  <c r="B59" i="23"/>
  <c r="Q61" i="23"/>
  <c r="B58" i="23"/>
  <c r="N58" i="23"/>
  <c r="Q58" i="23"/>
  <c r="K89" i="23"/>
  <c r="B61" i="23"/>
  <c r="M28" i="23"/>
  <c r="Q60" i="23"/>
  <c r="E60" i="23"/>
  <c r="P30" i="23"/>
  <c r="M29" i="23"/>
  <c r="K60" i="23"/>
  <c r="S30" i="23"/>
  <c r="D28" i="23"/>
  <c r="P28" i="23"/>
  <c r="K59" i="23"/>
  <c r="D29" i="23"/>
  <c r="K58" i="23"/>
  <c r="C29" i="23"/>
  <c r="J30" i="23"/>
  <c r="J27" i="23"/>
  <c r="L30" i="23"/>
  <c r="D30" i="23"/>
  <c r="F28" i="23"/>
  <c r="M27" i="23"/>
  <c r="P27" i="23"/>
  <c r="V27" i="23"/>
  <c r="D27" i="23"/>
  <c r="V29" i="23"/>
  <c r="J29" i="23"/>
  <c r="C27" i="23"/>
  <c r="O27" i="23"/>
  <c r="G27" i="23"/>
  <c r="R28" i="23"/>
  <c r="V30" i="23"/>
  <c r="G30" i="23"/>
  <c r="G28" i="23"/>
  <c r="U27" i="23"/>
  <c r="L27" i="23"/>
  <c r="I30" i="23"/>
  <c r="U28" i="23"/>
  <c r="B29" i="23"/>
  <c r="O28" i="23"/>
  <c r="I29" i="23"/>
  <c r="U29" i="23"/>
  <c r="C30" i="23"/>
  <c r="O30" i="23"/>
  <c r="C28" i="23"/>
  <c r="E28" i="23"/>
  <c r="Q28" i="23"/>
  <c r="Q30" i="23"/>
  <c r="H30" i="23"/>
  <c r="T30" i="23"/>
  <c r="S27" i="23"/>
  <c r="S28" i="23"/>
  <c r="S29" i="23"/>
  <c r="U30" i="23"/>
  <c r="N28" i="23"/>
  <c r="B30" i="23"/>
  <c r="G29" i="23"/>
  <c r="E30" i="23"/>
  <c r="R29" i="23"/>
  <c r="E29" i="23"/>
  <c r="R30" i="23"/>
  <c r="L29" i="23"/>
  <c r="H27" i="23"/>
  <c r="N27" i="23"/>
  <c r="Q29" i="23"/>
  <c r="I27" i="23"/>
  <c r="B28" i="23"/>
  <c r="T27" i="23"/>
  <c r="N29" i="23"/>
  <c r="H28" i="23"/>
  <c r="E27" i="23"/>
  <c r="N30" i="23"/>
  <c r="K27" i="23"/>
  <c r="B27" i="23"/>
  <c r="T28" i="23"/>
  <c r="Q27" i="23"/>
  <c r="F27" i="23"/>
  <c r="F30" i="23"/>
  <c r="R27" i="23"/>
  <c r="K30" i="23"/>
  <c r="K29" i="23"/>
  <c r="V92" i="21"/>
  <c r="U92" i="21"/>
  <c r="T92" i="21"/>
  <c r="S92" i="21"/>
  <c r="R92" i="21"/>
  <c r="Q92" i="21"/>
  <c r="P92" i="21"/>
  <c r="O92" i="21"/>
  <c r="N92" i="21"/>
  <c r="M92" i="21"/>
  <c r="L92" i="21"/>
  <c r="K92" i="21"/>
  <c r="J92" i="21"/>
  <c r="I92" i="21"/>
  <c r="H92" i="21"/>
  <c r="G92" i="21"/>
  <c r="F92" i="21"/>
  <c r="E92" i="21"/>
  <c r="D92" i="21"/>
  <c r="C92" i="21"/>
  <c r="B92" i="21"/>
  <c r="V91" i="21"/>
  <c r="U91" i="21"/>
  <c r="T91" i="21"/>
  <c r="S91" i="21"/>
  <c r="R91" i="21"/>
  <c r="Q91" i="21"/>
  <c r="P91" i="21"/>
  <c r="O91" i="21"/>
  <c r="N91" i="21"/>
  <c r="M91" i="21"/>
  <c r="L91" i="21"/>
  <c r="K91" i="21"/>
  <c r="J91" i="21"/>
  <c r="I91" i="21"/>
  <c r="H91" i="21"/>
  <c r="G91" i="21"/>
  <c r="F91" i="21"/>
  <c r="E91" i="21"/>
  <c r="D91" i="21"/>
  <c r="C91" i="21"/>
  <c r="B91" i="21"/>
  <c r="V90" i="21"/>
  <c r="U90" i="21"/>
  <c r="T90" i="21"/>
  <c r="S90" i="21"/>
  <c r="R90" i="21"/>
  <c r="Q90" i="21"/>
  <c r="P90" i="21"/>
  <c r="O90" i="21"/>
  <c r="N90" i="21"/>
  <c r="M90" i="21"/>
  <c r="L90" i="21"/>
  <c r="K90" i="21"/>
  <c r="J90" i="21"/>
  <c r="I90" i="21"/>
  <c r="H90" i="21"/>
  <c r="G90" i="21"/>
  <c r="F90" i="21"/>
  <c r="E90" i="21"/>
  <c r="D90" i="21"/>
  <c r="C90" i="21"/>
  <c r="B90" i="21"/>
  <c r="V89" i="21"/>
  <c r="U89" i="21"/>
  <c r="T89" i="21"/>
  <c r="S89" i="21"/>
  <c r="R89" i="21"/>
  <c r="Q89" i="21"/>
  <c r="P89" i="21"/>
  <c r="O89" i="21"/>
  <c r="N89" i="21"/>
  <c r="M89" i="21"/>
  <c r="L89" i="21"/>
  <c r="K89" i="21"/>
  <c r="J89" i="21"/>
  <c r="I89" i="21"/>
  <c r="H89" i="21"/>
  <c r="G89" i="21"/>
  <c r="F89" i="21"/>
  <c r="E89" i="21"/>
  <c r="D89" i="21"/>
  <c r="C89" i="21"/>
  <c r="B89" i="21"/>
  <c r="V61" i="21"/>
  <c r="U61" i="21"/>
  <c r="T61" i="21"/>
  <c r="S61" i="21"/>
  <c r="R61" i="21"/>
  <c r="Q61" i="21"/>
  <c r="P61" i="21"/>
  <c r="O61" i="21"/>
  <c r="N61" i="21"/>
  <c r="M61" i="21"/>
  <c r="L61" i="21"/>
  <c r="K61" i="21"/>
  <c r="J61" i="21"/>
  <c r="I61" i="21"/>
  <c r="H61" i="21"/>
  <c r="G61" i="21"/>
  <c r="F61" i="21"/>
  <c r="E61" i="21"/>
  <c r="D61" i="21"/>
  <c r="C61" i="21"/>
  <c r="B61" i="21"/>
  <c r="V60" i="21"/>
  <c r="U60" i="21"/>
  <c r="T60" i="21"/>
  <c r="S60" i="21"/>
  <c r="R60" i="21"/>
  <c r="Q60" i="21"/>
  <c r="P60" i="21"/>
  <c r="O60" i="21"/>
  <c r="N60" i="21"/>
  <c r="M60" i="21"/>
  <c r="L60" i="21"/>
  <c r="K60" i="21"/>
  <c r="J60" i="21"/>
  <c r="I60" i="21"/>
  <c r="H60" i="21"/>
  <c r="G60" i="21"/>
  <c r="F60" i="21"/>
  <c r="E60" i="21"/>
  <c r="D60" i="21"/>
  <c r="C60" i="21"/>
  <c r="B60" i="21"/>
  <c r="V59" i="21"/>
  <c r="U59" i="21"/>
  <c r="T59" i="21"/>
  <c r="S59" i="21"/>
  <c r="R59" i="21"/>
  <c r="Q59" i="21"/>
  <c r="P59" i="21"/>
  <c r="O59" i="21"/>
  <c r="N59" i="21"/>
  <c r="M59" i="21"/>
  <c r="L59" i="21"/>
  <c r="K59" i="21"/>
  <c r="J59" i="21"/>
  <c r="I59" i="21"/>
  <c r="H59" i="21"/>
  <c r="G59" i="21"/>
  <c r="F59" i="21"/>
  <c r="E59" i="21"/>
  <c r="D59" i="21"/>
  <c r="C59" i="21"/>
  <c r="B59" i="21"/>
  <c r="V58" i="21"/>
  <c r="U58" i="21"/>
  <c r="T58" i="21"/>
  <c r="S58" i="21"/>
  <c r="R58" i="21"/>
  <c r="Q58" i="21"/>
  <c r="P58" i="21"/>
  <c r="O58" i="21"/>
  <c r="N58" i="21"/>
  <c r="M58" i="21"/>
  <c r="L58" i="21"/>
  <c r="K58" i="21"/>
  <c r="J58" i="21"/>
  <c r="I58" i="21"/>
  <c r="H58" i="21"/>
  <c r="G58" i="21"/>
  <c r="F58" i="21"/>
  <c r="E58" i="21"/>
  <c r="D58" i="21"/>
  <c r="C58" i="21"/>
  <c r="B58" i="21"/>
  <c r="V30" i="21"/>
  <c r="U30" i="21"/>
  <c r="T30" i="21"/>
  <c r="S30" i="21"/>
  <c r="R30" i="21"/>
  <c r="Q30" i="21"/>
  <c r="P30" i="21"/>
  <c r="O30" i="21"/>
  <c r="N30" i="21"/>
  <c r="M30" i="21"/>
  <c r="L30" i="21"/>
  <c r="K30" i="21"/>
  <c r="J30" i="21"/>
  <c r="I30" i="21"/>
  <c r="H30" i="21"/>
  <c r="G30" i="21"/>
  <c r="F30" i="21"/>
  <c r="E30" i="21"/>
  <c r="D30" i="21"/>
  <c r="C30" i="21"/>
  <c r="B30" i="21"/>
  <c r="V29" i="21"/>
  <c r="U29" i="21"/>
  <c r="T29" i="21"/>
  <c r="S29" i="21"/>
  <c r="R29" i="21"/>
  <c r="Q29" i="21"/>
  <c r="P29" i="21"/>
  <c r="O29" i="21"/>
  <c r="N29" i="21"/>
  <c r="M29" i="21"/>
  <c r="L29" i="21"/>
  <c r="K29" i="21"/>
  <c r="J29" i="21"/>
  <c r="I29" i="21"/>
  <c r="H29" i="21"/>
  <c r="G29" i="21"/>
  <c r="F29" i="21"/>
  <c r="E29" i="21"/>
  <c r="D29" i="21"/>
  <c r="C29" i="21"/>
  <c r="B29" i="21"/>
  <c r="V28" i="21"/>
  <c r="U28" i="21"/>
  <c r="T28" i="21"/>
  <c r="S28" i="21"/>
  <c r="R28" i="21"/>
  <c r="Q28" i="21"/>
  <c r="P28" i="21"/>
  <c r="O28" i="21"/>
  <c r="N28" i="21"/>
  <c r="M28" i="21"/>
  <c r="L28" i="21"/>
  <c r="K28" i="21"/>
  <c r="J28" i="21"/>
  <c r="I28" i="21"/>
  <c r="H28" i="21"/>
  <c r="G28" i="21"/>
  <c r="F28" i="21"/>
  <c r="E28" i="21"/>
  <c r="D28" i="21"/>
  <c r="C28" i="21"/>
  <c r="B28" i="21"/>
  <c r="V27" i="21"/>
  <c r="U27" i="21"/>
  <c r="T27" i="21"/>
  <c r="S27" i="21"/>
  <c r="R27" i="21"/>
  <c r="Q27" i="21"/>
  <c r="P27" i="21"/>
  <c r="O27" i="21"/>
  <c r="N27" i="21"/>
  <c r="M27" i="21"/>
  <c r="L27" i="21"/>
  <c r="K27" i="21"/>
  <c r="J27" i="21"/>
  <c r="I27" i="21"/>
  <c r="H27" i="21"/>
  <c r="G27" i="21"/>
  <c r="F27" i="21"/>
  <c r="E27" i="21"/>
  <c r="D27" i="21"/>
  <c r="C27" i="21"/>
  <c r="B27" i="21"/>
  <c r="D31" i="18"/>
  <c r="G31" i="18"/>
  <c r="F31" i="18"/>
  <c r="E31" i="18"/>
  <c r="C31" i="18"/>
  <c r="G12" i="18"/>
  <c r="F12" i="18"/>
  <c r="E12" i="18"/>
  <c r="D12" i="18"/>
  <c r="C12" i="18"/>
  <c r="N27" i="30" l="1"/>
  <c r="N27" i="20"/>
  <c r="N27" i="19"/>
  <c r="N24" i="30"/>
  <c r="N24" i="20"/>
  <c r="N24" i="19"/>
  <c r="N25" i="30"/>
  <c r="N25" i="20"/>
  <c r="N25" i="19"/>
  <c r="N26" i="30"/>
  <c r="N26" i="19"/>
  <c r="N26" i="20"/>
  <c r="Q12" i="20"/>
  <c r="Q12" i="30"/>
  <c r="M31" i="20"/>
  <c r="M31" i="30"/>
  <c r="O31" i="20"/>
  <c r="O31" i="30"/>
  <c r="P31" i="20"/>
  <c r="P31" i="30"/>
  <c r="Q31" i="20"/>
  <c r="Q31" i="30"/>
  <c r="N31" i="20"/>
  <c r="N31" i="30"/>
  <c r="M12" i="20"/>
  <c r="M12" i="30"/>
  <c r="N12" i="20"/>
  <c r="N12" i="30"/>
  <c r="O12" i="20"/>
  <c r="O12" i="30"/>
  <c r="P12" i="20"/>
  <c r="P12" i="30"/>
  <c r="M31" i="19"/>
  <c r="O31" i="19"/>
  <c r="Q31" i="19"/>
  <c r="N31" i="19"/>
  <c r="P31" i="19"/>
  <c r="Q12" i="19"/>
  <c r="M12" i="19"/>
  <c r="N12" i="19"/>
  <c r="O12" i="19"/>
  <c r="P12" i="19"/>
  <c r="J29" i="18"/>
  <c r="K29" i="18"/>
  <c r="L29" i="18"/>
  <c r="I28" i="18"/>
  <c r="I11" i="18"/>
  <c r="J7" i="18"/>
  <c r="K3" i="18"/>
  <c r="L12" i="18"/>
  <c r="H5" i="18"/>
  <c r="H10" i="18"/>
  <c r="H4" i="18"/>
  <c r="J28" i="18"/>
  <c r="J24" i="18"/>
  <c r="K24" i="18"/>
  <c r="K28" i="18"/>
  <c r="I23" i="18"/>
  <c r="L24" i="18"/>
  <c r="I27" i="18"/>
  <c r="L28" i="18"/>
  <c r="I31" i="18"/>
  <c r="J23" i="18"/>
  <c r="J27" i="18"/>
  <c r="J31" i="18"/>
  <c r="K23" i="18"/>
  <c r="K27" i="18"/>
  <c r="K31" i="18"/>
  <c r="I22" i="18"/>
  <c r="L23" i="18"/>
  <c r="I26" i="18"/>
  <c r="L27" i="18"/>
  <c r="I30" i="18"/>
  <c r="L31" i="18"/>
  <c r="J22" i="18"/>
  <c r="J26" i="18"/>
  <c r="J30" i="18"/>
  <c r="K22" i="18"/>
  <c r="K26" i="18"/>
  <c r="K30" i="18"/>
  <c r="I25" i="18"/>
  <c r="L26" i="18"/>
  <c r="I29" i="18"/>
  <c r="L30" i="18"/>
  <c r="J25" i="18"/>
  <c r="K25" i="18"/>
  <c r="L22" i="18"/>
  <c r="I24" i="18"/>
  <c r="L25" i="18"/>
  <c r="L3" i="18"/>
  <c r="K7" i="18"/>
  <c r="J11" i="18"/>
  <c r="I6" i="18"/>
  <c r="L7" i="18"/>
  <c r="K11" i="18"/>
  <c r="J6" i="18"/>
  <c r="I10" i="18"/>
  <c r="L11" i="18"/>
  <c r="K6" i="18"/>
  <c r="J10" i="18"/>
  <c r="I5" i="18"/>
  <c r="L6" i="18"/>
  <c r="I9" i="18"/>
  <c r="K10" i="18"/>
  <c r="L10" i="18"/>
  <c r="K5" i="18"/>
  <c r="K9" i="18"/>
  <c r="I4" i="18"/>
  <c r="L5" i="18"/>
  <c r="I8" i="18"/>
  <c r="L9" i="18"/>
  <c r="J4" i="18"/>
  <c r="J8" i="18"/>
  <c r="I12" i="18"/>
  <c r="J9" i="18"/>
  <c r="I3" i="18"/>
  <c r="K4" i="18"/>
  <c r="K8" i="18"/>
  <c r="J12" i="18"/>
  <c r="J3" i="18"/>
  <c r="L4" i="18"/>
  <c r="I7" i="18"/>
  <c r="L8" i="18"/>
  <c r="K12" i="18"/>
  <c r="J5" i="18"/>
  <c r="H31" i="18"/>
  <c r="H25" i="18"/>
  <c r="H30" i="18"/>
  <c r="H24" i="18"/>
  <c r="H23" i="18"/>
  <c r="H29" i="18"/>
  <c r="H28" i="18"/>
  <c r="H22" i="18"/>
  <c r="H27" i="18"/>
  <c r="H26" i="18"/>
  <c r="H3" i="18"/>
  <c r="H9" i="18"/>
  <c r="H8" i="18"/>
  <c r="H7" i="18"/>
  <c r="H12" i="18"/>
  <c r="H6" i="18"/>
  <c r="H11" i="18"/>
  <c r="L23" i="5" l="1"/>
  <c r="K23" i="5"/>
  <c r="J23" i="5"/>
  <c r="I23" i="5"/>
  <c r="H23" i="5"/>
  <c r="G23" i="5"/>
  <c r="F23" i="5"/>
  <c r="E23" i="5"/>
  <c r="D23" i="5"/>
  <c r="C23" i="5"/>
  <c r="B23" i="5"/>
  <c r="L6" i="5"/>
  <c r="K6" i="5"/>
  <c r="J6" i="5"/>
  <c r="I6" i="5"/>
  <c r="H6" i="5"/>
  <c r="G6" i="5"/>
  <c r="F6" i="5"/>
  <c r="E6" i="5"/>
  <c r="D6" i="5"/>
  <c r="C6" i="5"/>
  <c r="B6" i="5"/>
  <c r="E8" i="5" a="1"/>
  <c r="E25" i="5" a="1"/>
  <c r="D10" i="5" a="1"/>
  <c r="D25" i="5" a="1"/>
  <c r="E10" i="5" a="1"/>
  <c r="D27" i="5" a="1"/>
  <c r="E27" i="5" a="1"/>
  <c r="D8" i="5" a="1"/>
  <c r="D10" i="5" l="1"/>
  <c r="E10" i="5"/>
  <c r="E25" i="5"/>
  <c r="D25" i="5"/>
  <c r="E27" i="5"/>
  <c r="D27" i="5"/>
  <c r="E8" i="5"/>
  <c r="D8" i="5"/>
  <c r="L26" i="5" l="1"/>
  <c r="K26" i="5"/>
  <c r="J26" i="5"/>
  <c r="I26" i="5"/>
  <c r="H26" i="5"/>
  <c r="G26" i="5"/>
  <c r="F26" i="5"/>
  <c r="E26" i="5"/>
  <c r="D26" i="5"/>
  <c r="C26" i="5"/>
  <c r="B26" i="5"/>
  <c r="L9" i="5"/>
  <c r="K9" i="5"/>
  <c r="J9" i="5"/>
  <c r="I9" i="5"/>
  <c r="H9" i="5"/>
  <c r="G9" i="5"/>
  <c r="F9" i="5"/>
  <c r="E9" i="5"/>
  <c r="D9" i="5"/>
  <c r="C9" i="5"/>
  <c r="B9" i="5"/>
  <c r="E16" i="6" l="1"/>
  <c r="O15" i="6"/>
  <c r="N15" i="6"/>
  <c r="M15" i="6"/>
  <c r="L15" i="6"/>
  <c r="K15" i="6"/>
  <c r="J15" i="6"/>
  <c r="I15" i="6"/>
  <c r="H15" i="6"/>
  <c r="G15" i="6"/>
  <c r="F15" i="6"/>
  <c r="E15" i="6"/>
  <c r="E14" i="6"/>
  <c r="E13" i="6"/>
  <c r="I12" i="6"/>
  <c r="H12" i="6"/>
  <c r="G12" i="6"/>
  <c r="F12" i="6"/>
  <c r="E12" i="6"/>
  <c r="E11" i="6"/>
  <c r="I10" i="6"/>
  <c r="H10" i="6"/>
  <c r="G10" i="6"/>
  <c r="F10" i="6"/>
  <c r="E10" i="6"/>
  <c r="G9" i="6"/>
  <c r="F9" i="6"/>
  <c r="E9" i="6"/>
  <c r="H8" i="6"/>
  <c r="G8" i="6"/>
  <c r="F8" i="6"/>
  <c r="E8" i="6"/>
  <c r="L6" i="6"/>
  <c r="M6" i="6" s="1"/>
  <c r="N6" i="6" s="1"/>
  <c r="O6" i="6" s="1"/>
  <c r="L10" i="5" a="1"/>
  <c r="B10" i="5" a="1"/>
  <c r="C27" i="5" a="1"/>
  <c r="G27" i="5" a="1"/>
  <c r="F25" i="5" a="1"/>
  <c r="I25" i="5" a="1"/>
  <c r="B27" i="5" a="1"/>
  <c r="C25" i="5" a="1"/>
  <c r="G8" i="5" a="1"/>
  <c r="F10" i="5" a="1"/>
  <c r="F8" i="5" a="1"/>
  <c r="G25" i="5" a="1"/>
  <c r="B25" i="5" a="1"/>
  <c r="B8" i="5" a="1"/>
  <c r="G10" i="5" a="1"/>
  <c r="I10" i="5" a="1"/>
  <c r="I27" i="5" a="1"/>
  <c r="C8" i="5" a="1"/>
  <c r="C10" i="5" a="1"/>
  <c r="I8" i="5" a="1"/>
  <c r="F27" i="5" a="1"/>
  <c r="L27" i="5" a="1"/>
  <c r="L25" i="5" a="1"/>
  <c r="L27" i="5" l="1"/>
  <c r="I27" i="5"/>
  <c r="G27" i="5"/>
  <c r="F27" i="5"/>
  <c r="C27" i="5"/>
  <c r="B27" i="5"/>
  <c r="L25" i="5"/>
  <c r="I25" i="5"/>
  <c r="G25" i="5"/>
  <c r="F25" i="5"/>
  <c r="C25" i="5"/>
  <c r="B25" i="5"/>
  <c r="L10" i="5"/>
  <c r="I10" i="5"/>
  <c r="G10" i="5"/>
  <c r="F10" i="5"/>
  <c r="C10" i="5"/>
  <c r="B10" i="5"/>
  <c r="I8" i="5"/>
  <c r="G8" i="5"/>
  <c r="F8" i="5"/>
  <c r="C8" i="5"/>
  <c r="B8" i="5"/>
  <c r="L24" i="5"/>
  <c r="K24" i="5"/>
  <c r="J24" i="5"/>
  <c r="I24" i="5"/>
  <c r="H24" i="5"/>
  <c r="G24" i="5"/>
  <c r="F24" i="5"/>
  <c r="E24" i="5"/>
  <c r="D24" i="5"/>
  <c r="C24" i="5"/>
  <c r="B24" i="5"/>
  <c r="H8" i="5" l="1"/>
  <c r="H10" i="5"/>
  <c r="H27" i="5"/>
  <c r="H25" i="5"/>
  <c r="K27" i="5"/>
  <c r="J27" i="5"/>
  <c r="K25" i="5"/>
  <c r="J25" i="5"/>
  <c r="K10" i="5"/>
  <c r="J10" i="5"/>
  <c r="J8" i="5"/>
  <c r="K8" i="5"/>
  <c r="L7" i="5"/>
  <c r="K7" i="5"/>
  <c r="J7" i="5"/>
  <c r="I7" i="5"/>
  <c r="H7" i="5"/>
  <c r="G7" i="5"/>
  <c r="F7" i="5"/>
  <c r="E7" i="5"/>
  <c r="D7" i="5"/>
  <c r="C7" i="5"/>
  <c r="B7" i="5"/>
  <c r="I11" i="5" l="1"/>
  <c r="H11" i="5"/>
  <c r="L11" i="5"/>
  <c r="G28" i="5"/>
  <c r="L28" i="5"/>
  <c r="K28" i="5"/>
  <c r="H28" i="5"/>
  <c r="B28" i="5"/>
  <c r="B32" i="5" s="1"/>
  <c r="C33" i="5" s="1"/>
  <c r="F28" i="5"/>
  <c r="G11" i="5"/>
  <c r="F11" i="5"/>
  <c r="B11" i="5"/>
  <c r="F30" i="5" l="1"/>
  <c r="F13" i="5"/>
  <c r="H30" i="5"/>
  <c r="K30" i="5"/>
  <c r="L30" i="5"/>
  <c r="G30" i="5"/>
  <c r="G13" i="5"/>
  <c r="H13" i="5"/>
  <c r="L13" i="5"/>
  <c r="I13" i="5"/>
  <c r="B15" i="5"/>
  <c r="C16" i="5" s="1"/>
  <c r="D16" i="5" s="1"/>
  <c r="E16" i="5" s="1"/>
  <c r="F16" i="5" s="1"/>
  <c r="G16" i="5" s="1"/>
  <c r="H16" i="5" s="1"/>
  <c r="I16" i="5" s="1"/>
  <c r="J16" i="5" s="1"/>
  <c r="K16" i="5" s="1"/>
  <c r="L16" i="5" s="1"/>
  <c r="D33" i="5"/>
  <c r="H29" i="5"/>
  <c r="G29" i="5"/>
  <c r="L29" i="5"/>
  <c r="G12" i="5"/>
  <c r="H12" i="5"/>
  <c r="I12" i="5"/>
  <c r="E11" i="5"/>
  <c r="E13" i="5" s="1"/>
  <c r="K11" i="5"/>
  <c r="K13" i="5" s="1"/>
  <c r="C11" i="5"/>
  <c r="C13" i="5" s="1"/>
  <c r="J11" i="5"/>
  <c r="J13" i="5" s="1"/>
  <c r="D11" i="5"/>
  <c r="D13" i="5" s="1"/>
  <c r="C28" i="5"/>
  <c r="I28" i="5"/>
  <c r="D28" i="5"/>
  <c r="D30" i="5" s="1"/>
  <c r="E28" i="5"/>
  <c r="E30" i="5" s="1"/>
  <c r="J28" i="5"/>
  <c r="J30" i="5" s="1"/>
  <c r="C29" i="5" l="1"/>
  <c r="C34" i="5" s="1"/>
  <c r="C35" i="5" s="1"/>
  <c r="C30" i="5"/>
  <c r="I29" i="5"/>
  <c r="I30" i="5"/>
  <c r="J12" i="5"/>
  <c r="C12" i="5"/>
  <c r="C17" i="5" s="1"/>
  <c r="C18" i="5" s="1"/>
  <c r="E12" i="5"/>
  <c r="E33" i="5"/>
  <c r="E29" i="5"/>
  <c r="J29" i="5"/>
  <c r="D29" i="5"/>
  <c r="K29" i="5"/>
  <c r="F29" i="5"/>
  <c r="K12" i="5"/>
  <c r="L12" i="5"/>
  <c r="D12" i="5"/>
  <c r="F12" i="5"/>
  <c r="D34" i="5" l="1"/>
  <c r="E34" i="5" s="1"/>
  <c r="F34" i="5" s="1"/>
  <c r="G34" i="5" s="1"/>
  <c r="H34" i="5" s="1"/>
  <c r="I34" i="5" s="1"/>
  <c r="J34" i="5" s="1"/>
  <c r="K34" i="5" s="1"/>
  <c r="L34" i="5" s="1"/>
  <c r="D17" i="5"/>
  <c r="E17" i="5" s="1"/>
  <c r="F33" i="5"/>
  <c r="D35" i="5" l="1"/>
  <c r="D18" i="5"/>
  <c r="E35" i="5"/>
  <c r="G33" i="5"/>
  <c r="F35" i="5"/>
  <c r="F17" i="5"/>
  <c r="E18" i="5"/>
  <c r="H33" i="5" l="1"/>
  <c r="G35" i="5"/>
  <c r="G17" i="5"/>
  <c r="F18" i="5"/>
  <c r="I33" i="5" l="1"/>
  <c r="H35" i="5"/>
  <c r="H17" i="5"/>
  <c r="G18" i="5"/>
  <c r="J33" i="5" l="1"/>
  <c r="I35" i="5"/>
  <c r="I17" i="5"/>
  <c r="H18" i="5"/>
  <c r="K33" i="5" l="1"/>
  <c r="J35" i="5"/>
  <c r="J17" i="5"/>
  <c r="I18" i="5"/>
  <c r="L33" i="5" l="1"/>
  <c r="L35" i="5" s="1"/>
  <c r="K35" i="5"/>
  <c r="K17" i="5"/>
  <c r="J18" i="5"/>
  <c r="L17" i="5" l="1"/>
  <c r="L18" i="5" s="1"/>
  <c r="K1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L66" authorId="0" shapeId="0" xr:uid="{5FDE381C-C8D3-4EF9-8642-680B3FA03E2E}">
      <text>
        <r>
          <rPr>
            <b/>
            <sz val="9"/>
            <color indexed="81"/>
            <rFont val="Tahoma"/>
            <family val="2"/>
          </rPr>
          <t>Tom Carlson:</t>
        </r>
        <r>
          <rPr>
            <sz val="9"/>
            <color indexed="81"/>
            <rFont val="Tahoma"/>
            <family val="2"/>
          </rPr>
          <t xml:space="preserve">
Estimated combined overlap discount based on 66% value for WSCO and 38% value for Curtailment.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0670018-DE12-44C8-AAE4-BE06052A4D8F}">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14B5C354-6CBB-4D38-A09E-1DA50D3147EF}">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ADC9273-051C-450A-90BB-E23B0E4D1671}">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10B7F3E-C921-4F01-95DA-4A23F2982E6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3A1A5887-AE4D-4BDD-BAD8-F7CE3C4940E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46AED69F-F813-438F-BBAE-755E433E6FA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D184A75-230A-4736-97D0-2E68EF2CCD7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7A8FD2DA-832F-401D-A26D-4C4C14B1BA4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<sst xmlns="http://schemas.openxmlformats.org/spreadsheetml/2006/main" count="3193" uniqueCount="312">
  <si>
    <t>Modeling Domain Episodic Emissions (tons/day)</t>
  </si>
  <si>
    <t>Emissions Contribution (%)</t>
  </si>
  <si>
    <t>Source Sector</t>
  </si>
  <si>
    <t>PM2.5</t>
  </si>
  <si>
    <t>NOx</t>
  </si>
  <si>
    <t>SO2</t>
  </si>
  <si>
    <t>VOC</t>
  </si>
  <si>
    <t>NH3</t>
  </si>
  <si>
    <t>Point</t>
  </si>
  <si>
    <t>Area, Space Heat, All</t>
  </si>
  <si>
    <t>Area, Space Heat, Wood</t>
  </si>
  <si>
    <t>Area, Space Heat, Oil</t>
  </si>
  <si>
    <t>Area, Space Heat, Coal</t>
  </si>
  <si>
    <t>Area, Space Heat, Other</t>
  </si>
  <si>
    <t>Area, Other</t>
  </si>
  <si>
    <t>On-Road Mobile</t>
  </si>
  <si>
    <t>Non-Road Mobile</t>
  </si>
  <si>
    <t>TOTALS</t>
  </si>
  <si>
    <t>NA Area Episodic Emissions (tons/day)</t>
  </si>
  <si>
    <t>Source</t>
  </si>
  <si>
    <t>INVENTORY</t>
  </si>
  <si>
    <t>EPISODE AVERAGE (E1 &amp; E2, TONS/DAY)</t>
  </si>
  <si>
    <t>EPISODE 1 (E1) AVERAGE (TONS/DAY)</t>
  </si>
  <si>
    <t>EPISODE 2 (E2) AVERAGE (TONS/DAY)</t>
  </si>
  <si>
    <t>ANNUAL EMISSIONS (TONS/YEAR)</t>
  </si>
  <si>
    <t>GROWTH FACTOR CHECK (CALCULATED GROWTH RELATIVE TO 2019)</t>
  </si>
  <si>
    <t>Expected</t>
  </si>
  <si>
    <t>YEAR</t>
  </si>
  <si>
    <t>PM25-PRI</t>
  </si>
  <si>
    <t>PM10-PRI</t>
  </si>
  <si>
    <t>CO</t>
  </si>
  <si>
    <t>Value</t>
  </si>
  <si>
    <t>TOTALS ACROSS ALL FACILITIES</t>
  </si>
  <si>
    <t>-</t>
  </si>
  <si>
    <t>2026CTL</t>
  </si>
  <si>
    <t>2027CTL</t>
  </si>
  <si>
    <t>2028CTL</t>
  </si>
  <si>
    <t>2029CTL</t>
  </si>
  <si>
    <t>FACIL ID</t>
  </si>
  <si>
    <t>FACILITY NAME</t>
  </si>
  <si>
    <t>Flint Hills North Pole Refinery</t>
  </si>
  <si>
    <t>GVEA Zehnder Facility</t>
  </si>
  <si>
    <t>GVEA North Pole Power Plant</t>
  </si>
  <si>
    <t>Eielson Air Force Base</t>
  </si>
  <si>
    <t>Aurora Energy Chena Power Plant</t>
  </si>
  <si>
    <t>UA Fairbanks Campus Power Plant</t>
  </si>
  <si>
    <t>Doyon Utilities Privatized Fort Wainwright Units</t>
  </si>
  <si>
    <t>PM2.5 Emissions (tons/episode-day)</t>
  </si>
  <si>
    <t>Area-Space Heating</t>
  </si>
  <si>
    <t>Area-Other</t>
  </si>
  <si>
    <t>Mobile-NonRoad</t>
  </si>
  <si>
    <t>Mobile-OnRoad</t>
  </si>
  <si>
    <t>Measure</t>
  </si>
  <si>
    <t>Implementation</t>
  </si>
  <si>
    <t>Phase-In Schedule by Calendar Year</t>
  </si>
  <si>
    <t>Abbrev</t>
  </si>
  <si>
    <t>Measure Description</t>
  </si>
  <si>
    <t>Start Year</t>
  </si>
  <si>
    <t>Parameter</t>
  </si>
  <si>
    <t>WSCO</t>
  </si>
  <si>
    <t>WSCO Program</t>
  </si>
  <si>
    <t>2010, On-going</t>
  </si>
  <si>
    <t>STF-12</t>
  </si>
  <si>
    <t>Shift #2 to #1 Oil</t>
  </si>
  <si>
    <t>Combined Penetration/Compliance Rate</t>
  </si>
  <si>
    <t>STF-13</t>
  </si>
  <si>
    <t>Commercial Dry Wood</t>
  </si>
  <si>
    <t>STF-17</t>
  </si>
  <si>
    <t>Wood Device Removal</t>
  </si>
  <si>
    <t>Wood Emission Rates</t>
  </si>
  <si>
    <t>BACM-48</t>
  </si>
  <si>
    <t>Remove Coal Devices</t>
  </si>
  <si>
    <t>STF-22</t>
  </si>
  <si>
    <t>No Primary Wood Heat</t>
  </si>
  <si>
    <t>80%/100%</t>
  </si>
  <si>
    <t>STF-23</t>
  </si>
  <si>
    <t>NOASH/Exmptn Rqmts</t>
  </si>
  <si>
    <t>CM/MSM</t>
  </si>
  <si>
    <t>Remove Old Stoves</t>
  </si>
  <si>
    <t>NG</t>
  </si>
  <si>
    <t>Natural Gas Expansion</t>
  </si>
  <si>
    <t>Household Conversion Pct.</t>
  </si>
  <si>
    <t>CURT</t>
  </si>
  <si>
    <t>Curtailment Program</t>
  </si>
  <si>
    <t>2016, On-going</t>
  </si>
  <si>
    <t>Compliance Rate</t>
  </si>
  <si>
    <t>Notes:</t>
  </si>
  <si>
    <t>1)</t>
  </si>
  <si>
    <t>Start Year refers to when the measure is implemented by January 1 of the indicated year</t>
  </si>
  <si>
    <t>2)</t>
  </si>
  <si>
    <t>Phase-In percentages reflect compliance/penetration rates estimated as of January 1 of the indicated year</t>
  </si>
  <si>
    <t>3)</t>
  </si>
  <si>
    <t>Years shown in blue are RFP/QM years</t>
  </si>
  <si>
    <t>SPACE HEATING NONATTAINMENT AREA EMISSIONS BY CALENDAR YEAR AND CONTROL MEASURE</t>
  </si>
  <si>
    <t>BASE</t>
  </si>
  <si>
    <t>Baseline</t>
  </si>
  <si>
    <t>TOTALS (OVERLAP-ADJUSTED)</t>
  </si>
  <si>
    <t>SO2 Emissions (tons/episode-day)</t>
  </si>
  <si>
    <t>2021CTL</t>
  </si>
  <si>
    <t>2022CTL</t>
  </si>
  <si>
    <t>2023CTL</t>
  </si>
  <si>
    <t>2024CTL</t>
  </si>
  <si>
    <t>2025CTL</t>
  </si>
  <si>
    <t>No. of Changeouts (includes pre-2013)</t>
  </si>
  <si>
    <t>BACM-R8</t>
  </si>
  <si>
    <t>(MOVES2014b Inventory Mode Runs for 3 Episode Months)</t>
  </si>
  <si>
    <t>PollIndex:</t>
  </si>
  <si>
    <t>Calendar</t>
  </si>
  <si>
    <t>Inventory</t>
  </si>
  <si>
    <t>Onroad Emissions (tons/avg episode day)</t>
  </si>
  <si>
    <t>Travel Activity</t>
  </si>
  <si>
    <t>Year</t>
  </si>
  <si>
    <t>Type</t>
  </si>
  <si>
    <t>VMT/day</t>
  </si>
  <si>
    <t>Popn</t>
  </si>
  <si>
    <t>Modeling</t>
  </si>
  <si>
    <t>RFP/MVEB</t>
  </si>
  <si>
    <t>Breakdown by Emission Process</t>
  </si>
  <si>
    <t>Emission</t>
  </si>
  <si>
    <t>Process</t>
  </si>
  <si>
    <t>Running</t>
  </si>
  <si>
    <t>Start/Ext Idle</t>
  </si>
  <si>
    <t>Total</t>
  </si>
  <si>
    <t>NA Emp. Fraction:</t>
  </si>
  <si>
    <t>Nonattainment Area Episodic Emissions (tons/day)</t>
  </si>
  <si>
    <t>FNSB Episodic Emissions (tons/day)</t>
  </si>
  <si>
    <t>&lt;-- Winter TPD from OtherArea</t>
  </si>
  <si>
    <t>&lt;-- Winter TPD from AdjNREmis, NA Area scaled from FNSB total</t>
  </si>
  <si>
    <t>Rail (line-haul &amp; yard)</t>
  </si>
  <si>
    <t>&lt;-- Annual TPY from GridRailEmis, converted to Winter TPD</t>
  </si>
  <si>
    <t>Aircraft/Airfield (incl. GSE)</t>
  </si>
  <si>
    <t>&lt;-- These are annual average TPD</t>
  </si>
  <si>
    <t>Non-Road Total</t>
  </si>
  <si>
    <t>Summary of Other Area Source and Non-Road Mobile Source Emissions - Calendar Year 2019</t>
  </si>
  <si>
    <t>Summary of Other Area Source and Non-Road Mobile Source Emissions - Calendar Year 2020</t>
  </si>
  <si>
    <t>Summary of Other Area Source and Non-Road Mobile Source Emissions - Calendar Year 2023</t>
  </si>
  <si>
    <t>Summary of Other Area Source and Non-Road Mobile Source Emissions - Calendar Year 2024</t>
  </si>
  <si>
    <t>Summary of Other Area Source and Non-Road Mobile Source Emissions - Calendar Year 2026</t>
  </si>
  <si>
    <t>Summary of Other Area Source and Non-Road Mobile Source Emissions - Calendar Year 2029</t>
  </si>
  <si>
    <t>Reduction from Prior Year:</t>
  </si>
  <si>
    <t xml:space="preserve">5% Reduction Target, SO2: </t>
  </si>
  <si>
    <t xml:space="preserve">5% Reduction Target, PM2.5: </t>
  </si>
  <si>
    <t xml:space="preserve">Reduction Achieved, SO2: </t>
  </si>
  <si>
    <t xml:space="preserve">Reductions Required, PM2.5: </t>
  </si>
  <si>
    <t xml:space="preserve">Reductions Achieved, PM2.5: </t>
  </si>
  <si>
    <t xml:space="preserve">Balance (surplus/deficit), PM2.5: </t>
  </si>
  <si>
    <t xml:space="preserve">Reductions Required, SO2: </t>
  </si>
  <si>
    <t xml:space="preserve">Balance (surplus/deficit), SO2: </t>
  </si>
  <si>
    <t>Relative Reduction to 2019 (%):</t>
  </si>
  <si>
    <t>Summary of Other Area Source and Non-Road Mobile Source Emissions - Calendar Year 2022</t>
  </si>
  <si>
    <t>Summary of Other Area Source and Non-Road Mobile Source Emissions - Calendar Year 2021</t>
  </si>
  <si>
    <t>2019 Baseline Emissions Breakdown, Non-Attainment Area, PM2.5</t>
  </si>
  <si>
    <t>2019 Baseline Emissions Breakdown, Non-Attainment Area, NOx</t>
  </si>
  <si>
    <t>2019 Baseline Emissions Breakdown, Non-Attainment Area, SO2</t>
  </si>
  <si>
    <t>2019 Baseline Emissions Breakdown, Non-Attainment Area, VOC</t>
  </si>
  <si>
    <t>2019 Baseline Emissions Breakdown, Non-Attainment Area, NH3</t>
  </si>
  <si>
    <t xml:space="preserve">          </t>
  </si>
  <si>
    <t>Outside Nonattainment Area</t>
  </si>
  <si>
    <t>Inside Nonattainment Area</t>
  </si>
  <si>
    <t>Entire G3 Domain</t>
  </si>
  <si>
    <t>Fuel</t>
  </si>
  <si>
    <t>SCC</t>
  </si>
  <si>
    <t>NOX</t>
  </si>
  <si>
    <t>Category</t>
  </si>
  <si>
    <t>Total Spc Ht</t>
  </si>
  <si>
    <t>Other</t>
  </si>
  <si>
    <t>Coal</t>
  </si>
  <si>
    <t>Oil</t>
  </si>
  <si>
    <t>Wood</t>
  </si>
  <si>
    <t xml:space="preserve">                                                                                                      Space Heating SMOKE File Tabulation                                                                        08:14 Tuesday, June 2, 2020   1</t>
  </si>
  <si>
    <t xml:space="preserve">                                                                                                      Space Heating SMOKE File Tabulation                                                                        08:14 Tuesday, June 2, 2020   3</t>
  </si>
  <si>
    <t xml:space="preserve">                                                                                                      Space Heating SMOKE File Tabulation                                                                        08:14 Tuesday, June 2, 2020   2</t>
  </si>
  <si>
    <t xml:space="preserve">                                                                       2019 5% SIP BASELINE (BSR, X-PRICE ELASTICITY 0.318, WSCO THRU 2018 ADDED), BY SCC</t>
  </si>
  <si>
    <t xml:space="preserve">                                                                 2019 5% SIP BASELINE (BSR, X-PRICE ELASTICITY 0.318, BEFORE WSCO &amp; CURTAILMENT ADDED), BY SCC</t>
  </si>
  <si>
    <t xml:space="preserve">                                                     2019 5% SIP BASELINE (BSR, X-PRICE ELASTICITY 0.318, WSCO &amp; BLENDED CURTAILMENT WITH 30% COMPLIANCE THRU 2018), BY SCC</t>
  </si>
  <si>
    <t>WasteOil</t>
  </si>
  <si>
    <t>Coal-Com</t>
  </si>
  <si>
    <t>COil-Com</t>
  </si>
  <si>
    <t>NtGas-Com</t>
  </si>
  <si>
    <t>Wood-Com</t>
  </si>
  <si>
    <t>CoalHt</t>
  </si>
  <si>
    <t>COil-Res</t>
  </si>
  <si>
    <t>NtGas-Res</t>
  </si>
  <si>
    <t>FP</t>
  </si>
  <si>
    <t>Ins-Conv</t>
  </si>
  <si>
    <t>Ins-NonCat</t>
  </si>
  <si>
    <t>Ins-Cat</t>
  </si>
  <si>
    <t>WS-Conv</t>
  </si>
  <si>
    <t>WS-NonCat</t>
  </si>
  <si>
    <t>WS-Cat</t>
  </si>
  <si>
    <t>PS-Exempt</t>
  </si>
  <si>
    <t>PS-EPACert</t>
  </si>
  <si>
    <t>OWBWtd</t>
  </si>
  <si>
    <t xml:space="preserve">                                                                                                      Space Heating SMOKE File Tabulation                                                                        08:15 Tuesday, June 2, 2020   1</t>
  </si>
  <si>
    <t xml:space="preserve">                                                                                                      Space Heating SMOKE File Tabulation                                                                        08:16 Tuesday, June 2, 2020   1</t>
  </si>
  <si>
    <t xml:space="preserve">                                                                                                      Space Heating SMOKE File Tabulation                                                                        08:16 Tuesday, June 2, 2020   2</t>
  </si>
  <si>
    <t xml:space="preserve">                                                                                                      Space Heating SMOKE File Tabulation                                                                        08:16 Tuesday, June 2, 2020   3</t>
  </si>
  <si>
    <t xml:space="preserve">                                                                                                      Space Heating SMOKE File Tabulation                                                                        08:15 Tuesday, June 2, 2020   2</t>
  </si>
  <si>
    <t xml:space="preserve">                                                                                                      Space Heating SMOKE File Tabulation                                                                        08:15 Tuesday, June 2, 2020   3</t>
  </si>
  <si>
    <t xml:space="preserve">                                                                 2020 5% SIP BASELINE (BSR, X-PRICE ELASTICITY 0.318, BEFORE WSCO &amp; CURTAILMENT ADDED), BY SCC</t>
  </si>
  <si>
    <t xml:space="preserve">                                                                       2020 5% SIP BASELINE (BSR, X-PRICE ELASTICITY 0.318, WSCO THRU 2018 ADDED), BY SCC</t>
  </si>
  <si>
    <t xml:space="preserve">                                                     2020 5% SIP BASELINE (BSR, X-PRICE ELASTICITY 0.318, WSCO &amp; BLENDED CURTAILMENT WITH 30% COMPLIANCE THRU 2018), BY SCC</t>
  </si>
  <si>
    <t xml:space="preserve">                                                                 2021 5% SIP BASELINE (BSR, X-PRICE ELASTICITY 0.318, BEFORE WSCO &amp; CURTAILMENT ADDED), BY SCC</t>
  </si>
  <si>
    <t xml:space="preserve">                                                                       2021 5% SIP BASELINE (BSR, X-PRICE ELASTICITY 0.318, WSCO THRU 2018 ADDED), BY SCC</t>
  </si>
  <si>
    <t xml:space="preserve">                                                     2021 5% SIP BASELINE (BSR, X-PRICE ELASTICITY 0.318, WSCO &amp; BLENDED CURTAILMENT WITH 30% COMPLIANCE THRU 2018), BY SCC</t>
  </si>
  <si>
    <t xml:space="preserve">                                                                 2022 5% SIP BASELINE (BSR, X-PRICE ELASTICITY 0.318, BEFORE WSCO &amp; CURTAILMENT ADDED), BY SCC</t>
  </si>
  <si>
    <t xml:space="preserve">                                                                       2022 5% SIP BASELINE (BSR, X-PRICE ELASTICITY 0.318, WSCO THRU 2018 ADDED), BY SCC</t>
  </si>
  <si>
    <t xml:space="preserve">                                                     2022 5% SIP BASELINE (BSR, X-PRICE ELASTICITY 0.318, WSCO &amp; BLENDED CURTAILMENT WITH 30% COMPLIANCE THRU 2018), BY SCC</t>
  </si>
  <si>
    <t xml:space="preserve">                                                                 2023 5% SIP BASELINE (BSR, X-PRICE ELASTICITY 0.318, BEFORE WSCO &amp; CURTAILMENT ADDED), BY SCC</t>
  </si>
  <si>
    <t xml:space="preserve">                                                                       2023 5% SIP BASELINE (BSR, X-PRICE ELASTICITY 0.318, WSCO THRU 2018 ADDED), BY SCC</t>
  </si>
  <si>
    <t xml:space="preserve">                                                     2023 5% SIP BASELINE (BSR, X-PRICE ELASTICITY 0.318, WSCO &amp; BLENDED CURTAILMENT WITH 30% COMPLIANCE THRU 2018), BY SCC</t>
  </si>
  <si>
    <t xml:space="preserve">                                                                 2024 5% SIP BASELINE (BSR, X-PRICE ELASTICITY 0.318, BEFORE WSCO &amp; CURTAILMENT ADDED), BY SCC</t>
  </si>
  <si>
    <t xml:space="preserve">                                                                       2024 5% SIP BASELINE (BSR, X-PRICE ELASTICITY 0.318, WSCO THRU 2018 ADDED), BY SCC</t>
  </si>
  <si>
    <t xml:space="preserve">                                                     2024 5% SIP BASELINE (BSR, X-PRICE ELASTICITY 0.318, WSCO &amp; BLENDED CURTAILMENT WITH 30% COMPLIANCE THRU 2018), BY SCC</t>
  </si>
  <si>
    <t xml:space="preserve">                                                                 2025 5% SIP BASELINE (BSR, X-PRICE ELASTICITY 0.318, BEFORE WSCO &amp; CURTAILMENT ADDED), BY SCC</t>
  </si>
  <si>
    <t xml:space="preserve">                                                                       2025 5% SIP BASELINE (BSR, X-PRICE ELASTICITY 0.318, WSCO THRU 2018 ADDED), BY SCC</t>
  </si>
  <si>
    <t xml:space="preserve">                                                     2025 5% SIP BASELINE (BSR, X-PRICE ELASTICITY 0.318, WSCO &amp; BLENDED CURTAILMENT WITH 30% COMPLIANCE THRU 2018), BY SCC</t>
  </si>
  <si>
    <t xml:space="preserve">                                                                 2026 5% SIP BASELINE (BSR, X-PRICE ELASTICITY 0.318, BEFORE WSCO &amp; CURTAILMENT ADDED), BY SCC</t>
  </si>
  <si>
    <t xml:space="preserve">                                                                       2026 5% SIP BASELINE (BSR, X-PRICE ELASTICITY 0.318, WSCO THRU 2018 ADDED), BY SCC</t>
  </si>
  <si>
    <t xml:space="preserve">                                                     2026 5% SIP BASELINE (BSR, X-PRICE ELASTICITY 0.318, WSCO &amp; BLENDED CURTAILMENT WITH 30% COMPLIANCE THRU 2018), BY SCC</t>
  </si>
  <si>
    <t>2023 Control Emissions Breakdown, Non-Attainment Area, PM2.5</t>
  </si>
  <si>
    <t>2023 Control Emissions Breakdown, Non-Attainment Area, NOx</t>
  </si>
  <si>
    <t>2023 Control Emissions Breakdown, Non-Attainment Area, SO2</t>
  </si>
  <si>
    <t>2023 Control Emissions Breakdown, Non-Attainment Area, VOC</t>
  </si>
  <si>
    <t>2023 Control Emissions Breakdown, Non-Attainment Area, NH3</t>
  </si>
  <si>
    <t>2024 Control Emissions Breakdown, Non-Attainment Area, PM2.5</t>
  </si>
  <si>
    <t>2024 Control Emissions Breakdown, Non-Attainment Area, NOx</t>
  </si>
  <si>
    <t>2024 Control Emissions Breakdown, Non-Attainment Area, SO2</t>
  </si>
  <si>
    <t>2024 Control Emissions Breakdown, Non-Attainment Area, VOC</t>
  </si>
  <si>
    <t>2024 Control Emissions Breakdown, Non-Attainment Area, NH3</t>
  </si>
  <si>
    <t>Emissions Change Relative to 2019 Baseline (%)</t>
  </si>
  <si>
    <t>ProjBase</t>
  </si>
  <si>
    <t>5% SIP NONATTAINMENT AREA EMISSION INVENTORY SUMMARIES &amp; 5% REDUCTION ANALYSIS</t>
  </si>
  <si>
    <t>5% SIP NONATTAINMENT AREA EMISSION INVENTORY SUMMARIES &amp; RFP/QM ANALYSIS</t>
  </si>
  <si>
    <t>TABLES FOR PLOTTING</t>
  </si>
  <si>
    <t>RFP Progress for PM2.5</t>
  </si>
  <si>
    <t>Base</t>
  </si>
  <si>
    <t>RFP</t>
  </si>
  <si>
    <t>Linear Trajectory</t>
  </si>
  <si>
    <t>Target Reduction</t>
  </si>
  <si>
    <t>Achieved Reduction</t>
  </si>
  <si>
    <t>Linear Progress Met?</t>
  </si>
  <si>
    <t>RFP Progress for SO2</t>
  </si>
  <si>
    <t>RFP Progress for NH3</t>
  </si>
  <si>
    <t>NH3 Emissions (tons/episode-day)</t>
  </si>
  <si>
    <t xml:space="preserve">RFP Reduction Target, PM2.5: </t>
  </si>
  <si>
    <t>(2019-2024 linear reduction per year)</t>
  </si>
  <si>
    <t xml:space="preserve">RFP Reduction Target, SO2: </t>
  </si>
  <si>
    <t xml:space="preserve">Reductions Achieved, SO2: </t>
  </si>
  <si>
    <t xml:space="preserve">RFP Reduction Target, NH3: </t>
  </si>
  <si>
    <t xml:space="preserve">Reductions Required, NH3: </t>
  </si>
  <si>
    <t xml:space="preserve">Reductions Achieved, NH3: </t>
  </si>
  <si>
    <t xml:space="preserve">Balance (surplus/deficit), NH3: </t>
  </si>
  <si>
    <t xml:space="preserve">Linear Trajectory, PM2.5: </t>
  </si>
  <si>
    <t xml:space="preserve">Linear Trajectory, SO2: </t>
  </si>
  <si>
    <t xml:space="preserve">Linear Trajectory, NH3: </t>
  </si>
  <si>
    <t>SO2 Emissions - Nonattanment Area (tons/episode day)</t>
  </si>
  <si>
    <t>NH3 Emissions - Nonattanment Area (tons/episode day)</t>
  </si>
  <si>
    <t>Direct PM2.5 Emissions - Nonattainment Area (tons/episode day)</t>
  </si>
  <si>
    <t>Attain</t>
  </si>
  <si>
    <t>2023 Control Factor:</t>
  </si>
  <si>
    <t>2026 Control Factor:</t>
  </si>
  <si>
    <t>2024 Control Factor:</t>
  </si>
  <si>
    <t>2025 Control Factor:</t>
  </si>
  <si>
    <t>2022 Control Factor:</t>
  </si>
  <si>
    <t>2021 Control Factor:</t>
  </si>
  <si>
    <t>One-Year PM2.5 RFP:</t>
  </si>
  <si>
    <t>Serious Contingency Measure:</t>
  </si>
  <si>
    <t>2020 Amendment Contingency Measure:</t>
  </si>
  <si>
    <t>One Year of Continuation of Quantified Measures:</t>
  </si>
  <si>
    <t>Total of Above:</t>
  </si>
  <si>
    <t>WSCO Increment:</t>
  </si>
  <si>
    <t>Curtailment Increment:</t>
  </si>
  <si>
    <t>Sub-Total of Additional Benefits from Measures/Enhancements from Anticipated 2019-20 TAG Funding:</t>
  </si>
  <si>
    <t>(5% increase in Compliance rate, from 2019-2020 TAG Application eimssion benefits spreadsheet)</t>
  </si>
  <si>
    <t>Overlap</t>
  </si>
  <si>
    <t>Overlap-Discounted</t>
  </si>
  <si>
    <t>(additional benefits through 2024, from 2019-2020 TAG Application eimssion benefits spreadsheet)</t>
  </si>
  <si>
    <t>Evaluation of Contingency Measure Benefits vs. One Year or RFP Reductions</t>
  </si>
  <si>
    <t>tons/day</t>
  </si>
  <si>
    <t>Sub-Total Above:</t>
  </si>
  <si>
    <t>On-Road PM2.5 Shares by Year:</t>
  </si>
  <si>
    <t>(REVISED DRAFT - 09/04/2020)</t>
  </si>
  <si>
    <t>(DRAFT FINAL - 09/04/2020)</t>
  </si>
  <si>
    <t>Fairbanks PM2.5 5% 2020 Amendments SIP</t>
  </si>
  <si>
    <t>(09/04/20)</t>
  </si>
  <si>
    <t>Sheet Tab(s)</t>
  </si>
  <si>
    <t>Description</t>
  </si>
  <si>
    <t>SpaceHeat</t>
  </si>
  <si>
    <t>Summary tables of: 1) calculated "phase-in/penetration" metrics specific to each quantified control measure used to evaluate attainment and RFP; and 2) calculated control measure specific emission reductions and combined control emissions in the space heating sector by calendar year</t>
  </si>
  <si>
    <t>Sector Emission Summary Calculation Spreadsheet</t>
  </si>
  <si>
    <t>Emissions-RFP</t>
  </si>
  <si>
    <t>Emissions-5Pct</t>
  </si>
  <si>
    <t>Points</t>
  </si>
  <si>
    <r>
      <t>SectorSum</t>
    </r>
    <r>
      <rPr>
        <i/>
        <sz val="11"/>
        <color rgb="FFFF0000"/>
        <rFont val="Calibri"/>
        <family val="2"/>
        <scheme val="minor"/>
      </rPr>
      <t>YYYY</t>
    </r>
  </si>
  <si>
    <t>OnRoad</t>
  </si>
  <si>
    <r>
      <rPr>
        <i/>
        <sz val="11"/>
        <color rgb="FFFF0000"/>
        <rFont val="Calibri"/>
        <family val="2"/>
        <scheme val="minor"/>
      </rPr>
      <t>YYYY</t>
    </r>
    <r>
      <rPr>
        <sz val="11"/>
        <rFont val="Calibri"/>
        <family val="2"/>
        <scheme val="minor"/>
      </rPr>
      <t>NRARSummary</t>
    </r>
  </si>
  <si>
    <r>
      <t>TabSpHt</t>
    </r>
    <r>
      <rPr>
        <i/>
        <sz val="11"/>
        <color rgb="FFFF0000"/>
        <rFont val="Calibri"/>
        <family val="2"/>
        <scheme val="minor"/>
      </rPr>
      <t>YYYY</t>
    </r>
  </si>
  <si>
    <r>
      <t xml:space="preserve">Tabulated summaries of emissions by source sector and sector percentage contributions for both the Grid 3 modeling domain and the PM2.5 nonattainment area where </t>
    </r>
    <r>
      <rPr>
        <i/>
        <sz val="11"/>
        <color rgb="FFFF0000"/>
        <rFont val="Calibri"/>
        <family val="2"/>
        <scheme val="minor"/>
      </rPr>
      <t>YYYY</t>
    </r>
    <r>
      <rPr>
        <sz val="11"/>
        <color theme="1"/>
        <rFont val="Calibri"/>
        <family val="2"/>
        <scheme val="minor"/>
      </rPr>
      <t xml:space="preserve"> is the inventory year: 2019 Baseline, 2023 Control, 2024 Control; 2024PB is 2024 Projected Baseline.</t>
    </r>
  </si>
  <si>
    <t>This sheet contains 2019 Baseline and Control nonattainment area inventories from 2020-2029 that are used to calculate 5% per year reduction targets and evaluate compliance with Section 189(d) 5% per year emnission reduction requirements for applicable pollutants PM2.5 and SO2.  Only years 2020-2024 are applicable.</t>
  </si>
  <si>
    <t>This sheet contains Reasonable Further Progress (RFP) emission inventory calculations and compares control emissions to linear RFP targets in applicable Quantitative Milestone (QM) years of 2020, 2023 and 2026 base on the 2019 Baseline and 2024 Control/Attainment nonattainment area inventories.  Applicable pollutants are PM2.5, SO2 and NH3.</t>
  </si>
  <si>
    <t>Detailed emissions for the Point source sector by calendar year and control scenario (Baseline vs. Control), including facility-specific emissions</t>
  </si>
  <si>
    <t>SMOKE POINT SOURCE FILE FACILITY EMISSION TABULATIONS - 2020 AMENDMENT (5% SIP)</t>
  </si>
  <si>
    <t>CONTROL MEASURE IMPLEMENTATION/PHASE-IN SCHEDULE FOR 2020 AMENDMENT (5% SIP)</t>
  </si>
  <si>
    <t>On-Road Emissions and Activity in Nonattainment Area -2020 Amendment (5% SIP)</t>
  </si>
  <si>
    <t>On-Road Emissions and Activity in G3 Modeling Domain - 2020 Amendment (5% SIP)</t>
  </si>
  <si>
    <t>On-Road Emissions in Nonattainment Area - 2020 Amendment (5% SIP)</t>
  </si>
  <si>
    <t>On-Road Emissions in G3 Modeling Domain - 2020 Amendment (5% SIP)</t>
  </si>
  <si>
    <t>This sheet contains modeling domain and nonattainment area on-road mobile source emission summaries tabulated from MOVES2014b modeling runs.  Emissions are summarized by pollutant and calendar year.  Travel activity (VMT) and vehicle populations are also shown.</t>
  </si>
  <si>
    <r>
      <t xml:space="preserve">These calendar year-specific sheets contain tabulated modeling domain and nonattainment area emissions for both the Other Area and Non-Road Mobile source sectors.  Within the Non-Road Mobile sector, non-road equipment, rail and aircraft emissions are also provided. The </t>
    </r>
    <r>
      <rPr>
        <i/>
        <sz val="11"/>
        <color rgb="FFFF0000"/>
        <rFont val="Calibri"/>
        <family val="2"/>
        <scheme val="minor"/>
      </rPr>
      <t>YYYY</t>
    </r>
    <r>
      <rPr>
        <sz val="11"/>
        <color theme="1"/>
        <rFont val="Calibri"/>
        <family val="2"/>
        <scheme val="minor"/>
      </rPr>
      <t xml:space="preserve"> in each sheet name refers to the inventory year.</t>
    </r>
  </si>
  <si>
    <t>Finally, these sheets contain modeling domain and nonattainment area space heating emissions by heating device/fuel type (i.e., SCC-level) for each applicable inventory year: (2019 Baseline) and 2020-2026 Control.</t>
  </si>
  <si>
    <r>
      <rPr>
        <b/>
        <u/>
        <sz val="11"/>
        <color rgb="FFFF0000"/>
        <rFont val="Calibri"/>
        <family val="2"/>
        <scheme val="minor"/>
      </rPr>
      <t>Note</t>
    </r>
    <r>
      <rPr>
        <b/>
        <sz val="11"/>
        <color rgb="FFFF0000"/>
        <rFont val="Calibri"/>
        <family val="2"/>
        <scheme val="minor"/>
      </rPr>
      <t>:  This spreadsheet is common to Appendices III.D.7.06 (Inventory), III.D.7.09 (Attainment) and III.D.7.10 (RFP/QM)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</si>
</sst>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0.000"/>
    <numFmt numFmtId="165" formatCode="0.0%"/>
    <numFmt numFmtId="166" formatCode="\+0%;[Red]\-0%"/>
    <numFmt numFmtId="167" formatCode="0.0000"/>
    <numFmt numFmtId="168" formatCode="0.0"/>
    <numFmt numFmtId="169" formatCode="0.000;[Red]\-0.000"/>
    <numFmt numFmtId="170" formatCode="0.00000"/>
    <numFmt numFmtId="171" formatCode="#,##0.000"/>
    <numFmt numFmtId="172" formatCode="\+0.000;\-0.000"/>
    <numFmt numFmtId="173" formatCode="0.0%;[Red]\-0.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Times New Roman"/>
      <family val="1"/>
    </font>
    <font>
      <b/>
      <sz val="11"/>
      <color rgb="FFFF0000"/>
      <name val="Times New Roman"/>
      <family val="1"/>
    </font>
    <font>
      <b/>
      <sz val="11"/>
      <color theme="1"/>
      <name val="Times New Roman"/>
      <family val="1"/>
    </font>
    <font>
      <b/>
      <sz val="11"/>
      <color rgb="FFFF0000"/>
      <name val="Calibri"/>
      <family val="2"/>
      <scheme val="minor"/>
    </font>
    <font>
      <u/>
      <sz val="11"/>
      <color theme="1"/>
      <name val="Calibri"/>
      <family val="2"/>
      <scheme val="minor"/>
    </font>
    <font>
      <b/>
      <sz val="9"/>
      <color indexed="81"/>
      <name val="Tahoma"/>
      <family val="2"/>
    </font>
    <font>
      <sz val="9"/>
      <color indexed="81"/>
      <name val="Tahoma"/>
      <family val="2"/>
    </font>
    <font>
      <b/>
      <sz val="14"/>
      <color rgb="FFFF0000"/>
      <name val="Calibri"/>
      <family val="2"/>
      <scheme val="minor"/>
    </font>
    <font>
      <i/>
      <sz val="11"/>
      <color theme="1"/>
      <name val="Calibri"/>
      <family val="2"/>
      <scheme val="minor"/>
    </font>
    <font>
      <b/>
      <sz val="11"/>
      <color rgb="FF0000FF"/>
      <name val="Calibri"/>
      <family val="2"/>
      <scheme val="minor"/>
    </font>
    <font>
      <b/>
      <sz val="11"/>
      <name val="Calibri"/>
      <family val="2"/>
      <scheme val="minor"/>
    </font>
    <font>
      <b/>
      <sz val="12"/>
      <color theme="1"/>
      <name val="Calibri"/>
      <family val="2"/>
      <scheme val="minor"/>
    </font>
    <font>
      <sz val="11"/>
      <color rgb="FF0000FF"/>
      <name val="Calibri"/>
      <family val="2"/>
      <scheme val="minor"/>
    </font>
    <font>
      <b/>
      <sz val="12"/>
      <color rgb="FFFF0000"/>
      <name val="Calibri"/>
      <family val="2"/>
      <scheme val="minor"/>
    </font>
    <font>
      <sz val="10"/>
      <name val="Arial"/>
      <family val="2"/>
    </font>
    <font>
      <sz val="11"/>
      <name val="Calibri"/>
      <family val="2"/>
      <scheme val="minor"/>
    </font>
    <font>
      <b/>
      <sz val="12"/>
      <color rgb="FF0000FF"/>
      <name val="Calibri"/>
      <family val="2"/>
      <scheme val="minor"/>
    </font>
    <font>
      <b/>
      <u/>
      <sz val="11"/>
      <color theme="1"/>
      <name val="Calibri"/>
      <family val="2"/>
      <scheme val="minor"/>
    </font>
    <font>
      <b/>
      <sz val="14"/>
      <color theme="1"/>
      <name val="Calibri"/>
      <family val="2"/>
      <scheme val="minor"/>
    </font>
    <font>
      <i/>
      <sz val="11"/>
      <color rgb="FFFF0000"/>
      <name val="Calibri"/>
      <family val="2"/>
      <scheme val="minor"/>
    </font>
    <font>
      <b/>
      <u/>
      <sz val="11"/>
      <color rgb="FFFF0000"/>
      <name val="Calibri"/>
      <family val="2"/>
      <scheme val="minor"/>
    </font>
  </fonts>
  <fills count="10">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CCFFCC"/>
        <bgColor indexed="64"/>
      </patternFill>
    </fill>
    <fill>
      <patternFill patternType="solid">
        <fgColor rgb="FFDFDCC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s>
  <borders count="4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s>
  <cellStyleXfs count="5">
    <xf numFmtId="0" fontId="0" fillId="0" borderId="0"/>
    <xf numFmtId="9" fontId="1" fillId="0" borderId="0" applyFont="0" applyFill="0" applyBorder="0" applyAlignment="0" applyProtection="0"/>
    <xf numFmtId="0" fontId="17" fillId="0" borderId="0"/>
    <xf numFmtId="0" fontId="17" fillId="0" borderId="0"/>
    <xf numFmtId="0" fontId="1" fillId="0" borderId="0"/>
  </cellStyleXfs>
  <cellXfs count="233">
    <xf numFmtId="0" fontId="0" fillId="0" borderId="0" xfId="0"/>
    <xf numFmtId="2" fontId="0" fillId="0" borderId="0" xfId="0" applyNumberFormat="1"/>
    <xf numFmtId="0" fontId="2" fillId="0" borderId="0" xfId="0" applyFont="1"/>
    <xf numFmtId="2" fontId="3" fillId="0" borderId="0" xfId="0" applyNumberFormat="1" applyFont="1"/>
    <xf numFmtId="165" fontId="3" fillId="0" borderId="0" xfId="0" applyNumberFormat="1" applyFont="1"/>
    <xf numFmtId="164" fontId="0" fillId="0" borderId="0" xfId="0" applyNumberFormat="1"/>
    <xf numFmtId="164" fontId="2" fillId="0" borderId="0" xfId="0" applyNumberFormat="1" applyFont="1"/>
    <xf numFmtId="0" fontId="0" fillId="0" borderId="0" xfId="0" applyAlignment="1">
      <alignment horizontal="center"/>
    </xf>
    <xf numFmtId="0" fontId="0" fillId="0" borderId="0" xfId="0" applyAlignment="1">
      <alignment horizontal="center"/>
    </xf>
    <xf numFmtId="0" fontId="10" fillId="0" borderId="0" xfId="0" applyFont="1" applyAlignment="1">
      <alignment horizontal="center"/>
    </xf>
    <xf numFmtId="0" fontId="2" fillId="0" borderId="0" xfId="0" applyFont="1" applyAlignment="1">
      <alignment horizontal="center"/>
    </xf>
    <xf numFmtId="0" fontId="0" fillId="0" borderId="9" xfId="0" applyBorder="1" applyAlignment="1">
      <alignment horizontal="center"/>
    </xf>
    <xf numFmtId="0" fontId="0" fillId="0" borderId="9" xfId="0" applyBorder="1" applyAlignment="1">
      <alignment horizontal="center" wrapText="1"/>
    </xf>
    <xf numFmtId="0" fontId="2" fillId="0" borderId="9" xfId="0" applyFont="1" applyBorder="1" applyAlignment="1">
      <alignment horizontal="center"/>
    </xf>
    <xf numFmtId="0" fontId="2" fillId="3" borderId="9" xfId="0" applyFont="1" applyFill="1" applyBorder="1" applyAlignment="1">
      <alignment horizontal="center"/>
    </xf>
    <xf numFmtId="164" fontId="2" fillId="3" borderId="0" xfId="0" applyNumberFormat="1" applyFont="1" applyFill="1"/>
    <xf numFmtId="168" fontId="2" fillId="0" borderId="0" xfId="0" applyNumberFormat="1" applyFont="1"/>
    <xf numFmtId="168" fontId="2" fillId="3" borderId="0" xfId="0" applyNumberFormat="1" applyFont="1" applyFill="1"/>
    <xf numFmtId="168" fontId="0" fillId="0" borderId="0" xfId="0" applyNumberFormat="1"/>
    <xf numFmtId="2" fontId="0" fillId="0" borderId="0" xfId="0" applyNumberFormat="1" applyAlignment="1">
      <alignment horizontal="right"/>
    </xf>
    <xf numFmtId="0" fontId="0" fillId="4" borderId="0" xfId="0" applyFill="1"/>
    <xf numFmtId="167" fontId="0" fillId="0" borderId="0" xfId="0" applyNumberFormat="1" applyAlignment="1">
      <alignment horizontal="right"/>
    </xf>
    <xf numFmtId="167" fontId="2" fillId="2" borderId="0" xfId="0" applyNumberFormat="1" applyFont="1" applyFill="1"/>
    <xf numFmtId="167" fontId="2" fillId="3" borderId="0" xfId="0" applyNumberFormat="1" applyFont="1" applyFill="1"/>
    <xf numFmtId="0" fontId="0" fillId="5" borderId="0" xfId="0" applyFill="1" applyAlignment="1">
      <alignment horizontal="center"/>
    </xf>
    <xf numFmtId="2" fontId="11" fillId="0" borderId="0" xfId="0" applyNumberFormat="1" applyFont="1" applyAlignment="1">
      <alignment horizontal="right"/>
    </xf>
    <xf numFmtId="2" fontId="11" fillId="3" borderId="0" xfId="0" applyNumberFormat="1" applyFont="1" applyFill="1" applyAlignment="1">
      <alignment horizontal="right"/>
    </xf>
    <xf numFmtId="2" fontId="0" fillId="3" borderId="0" xfId="0" applyNumberFormat="1" applyFill="1" applyAlignment="1">
      <alignment horizontal="right"/>
    </xf>
    <xf numFmtId="0" fontId="0" fillId="0" borderId="1" xfId="0" applyBorder="1" applyAlignment="1">
      <alignment horizontal="center"/>
    </xf>
    <xf numFmtId="0" fontId="0" fillId="0" borderId="1" xfId="0" applyBorder="1"/>
    <xf numFmtId="164" fontId="2" fillId="0" borderId="1" xfId="0" applyNumberFormat="1" applyFont="1" applyBorder="1"/>
    <xf numFmtId="164" fontId="0" fillId="0" borderId="1" xfId="0" applyNumberFormat="1" applyBorder="1"/>
    <xf numFmtId="2" fontId="0" fillId="0" borderId="1" xfId="0" applyNumberFormat="1" applyBorder="1" applyAlignment="1">
      <alignment horizontal="right"/>
    </xf>
    <xf numFmtId="2" fontId="0" fillId="3" borderId="1" xfId="0" applyNumberFormat="1" applyFill="1" applyBorder="1" applyAlignment="1">
      <alignment horizontal="right"/>
    </xf>
    <xf numFmtId="0" fontId="2" fillId="6" borderId="9" xfId="0" applyFont="1" applyFill="1" applyBorder="1" applyAlignment="1">
      <alignment horizontal="center"/>
    </xf>
    <xf numFmtId="2" fontId="11" fillId="6" borderId="0" xfId="0" applyNumberFormat="1" applyFont="1" applyFill="1" applyAlignment="1">
      <alignment horizontal="right"/>
    </xf>
    <xf numFmtId="2" fontId="0" fillId="6" borderId="0" xfId="0" applyNumberFormat="1" applyFill="1" applyAlignment="1">
      <alignment horizontal="right"/>
    </xf>
    <xf numFmtId="2" fontId="0" fillId="6" borderId="1" xfId="0" applyNumberFormat="1" applyFill="1" applyBorder="1" applyAlignment="1">
      <alignment horizontal="right"/>
    </xf>
    <xf numFmtId="168" fontId="2" fillId="6" borderId="0" xfId="0" applyNumberFormat="1" applyFont="1" applyFill="1"/>
    <xf numFmtId="164" fontId="2" fillId="6" borderId="0" xfId="0" applyNumberFormat="1" applyFont="1" applyFill="1"/>
    <xf numFmtId="0" fontId="2" fillId="0" borderId="10" xfId="0" applyFont="1" applyBorder="1" applyAlignment="1">
      <alignment horizontal="center"/>
    </xf>
    <xf numFmtId="0" fontId="12" fillId="0" borderId="10"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center"/>
    </xf>
    <xf numFmtId="0" fontId="2" fillId="0" borderId="11" xfId="0" applyFont="1" applyBorder="1"/>
    <xf numFmtId="0" fontId="0" fillId="0" borderId="10" xfId="0" applyBorder="1" applyAlignment="1">
      <alignment horizontal="center"/>
    </xf>
    <xf numFmtId="3" fontId="0" fillId="3" borderId="10" xfId="0" applyNumberFormat="1" applyFill="1" applyBorder="1" applyAlignment="1">
      <alignment horizontal="center"/>
    </xf>
    <xf numFmtId="3" fontId="12" fillId="3" borderId="10" xfId="0" applyNumberFormat="1" applyFont="1" applyFill="1" applyBorder="1" applyAlignment="1">
      <alignment horizontal="center"/>
    </xf>
    <xf numFmtId="0" fontId="0" fillId="5" borderId="10" xfId="0" applyFill="1" applyBorder="1" applyAlignment="1">
      <alignment horizontal="center"/>
    </xf>
    <xf numFmtId="9" fontId="12" fillId="0" borderId="10" xfId="0" applyNumberFormat="1" applyFont="1" applyBorder="1" applyAlignment="1">
      <alignment horizontal="center"/>
    </xf>
    <xf numFmtId="9" fontId="0" fillId="0" borderId="10" xfId="0" applyNumberFormat="1" applyBorder="1" applyAlignment="1">
      <alignment horizontal="center"/>
    </xf>
    <xf numFmtId="9" fontId="12" fillId="0" borderId="10" xfId="1" applyFont="1" applyBorder="1" applyAlignment="1">
      <alignment horizontal="center"/>
    </xf>
    <xf numFmtId="9" fontId="0" fillId="0" borderId="10" xfId="1" applyFont="1" applyBorder="1" applyAlignment="1">
      <alignment horizontal="center"/>
    </xf>
    <xf numFmtId="0" fontId="0" fillId="0" borderId="10" xfId="0" applyBorder="1"/>
    <xf numFmtId="9" fontId="12" fillId="5" borderId="10" xfId="0" applyNumberFormat="1" applyFont="1" applyFill="1" applyBorder="1" applyAlignment="1">
      <alignment horizontal="center"/>
    </xf>
    <xf numFmtId="9" fontId="0" fillId="5" borderId="10" xfId="0" applyNumberFormat="1" applyFill="1" applyBorder="1" applyAlignment="1">
      <alignment horizontal="center"/>
    </xf>
    <xf numFmtId="0" fontId="7" fillId="0" borderId="0" xfId="0" applyFont="1" applyAlignment="1">
      <alignment horizontal="center"/>
    </xf>
    <xf numFmtId="0" fontId="0" fillId="0" borderId="0" xfId="0" applyAlignment="1">
      <alignment horizontal="right"/>
    </xf>
    <xf numFmtId="0" fontId="0" fillId="0" borderId="12" xfId="0" applyBorder="1" applyAlignment="1">
      <alignment horizontal="center"/>
    </xf>
    <xf numFmtId="169" fontId="0" fillId="0" borderId="10" xfId="0" applyNumberFormat="1" applyBorder="1"/>
    <xf numFmtId="169" fontId="15" fillId="0" borderId="10" xfId="0" applyNumberFormat="1" applyFont="1" applyBorder="1"/>
    <xf numFmtId="169" fontId="0" fillId="7" borderId="10" xfId="0" applyNumberFormat="1" applyFill="1" applyBorder="1"/>
    <xf numFmtId="169" fontId="15" fillId="7" borderId="10" xfId="0" applyNumberFormat="1" applyFont="1" applyFill="1" applyBorder="1"/>
    <xf numFmtId="169" fontId="2" fillId="0" borderId="10" xfId="0" applyNumberFormat="1" applyFont="1" applyBorder="1"/>
    <xf numFmtId="169" fontId="12" fillId="0" borderId="10" xfId="0" applyNumberFormat="1" applyFont="1" applyBorder="1"/>
    <xf numFmtId="164" fontId="0" fillId="0" borderId="10" xfId="0" applyNumberFormat="1" applyBorder="1"/>
    <xf numFmtId="164" fontId="0" fillId="0" borderId="15" xfId="0" applyNumberFormat="1" applyBorder="1"/>
    <xf numFmtId="164" fontId="0" fillId="0" borderId="12" xfId="0" applyNumberFormat="1" applyBorder="1"/>
    <xf numFmtId="164" fontId="0" fillId="0" borderId="21" xfId="0" applyNumberFormat="1" applyBorder="1"/>
    <xf numFmtId="0" fontId="13" fillId="0" borderId="18" xfId="0" applyFont="1" applyBorder="1" applyAlignment="1">
      <alignment horizontal="center"/>
    </xf>
    <xf numFmtId="0" fontId="13" fillId="0" borderId="19" xfId="0" applyFont="1" applyBorder="1" applyAlignment="1">
      <alignment horizontal="center"/>
    </xf>
    <xf numFmtId="0" fontId="2" fillId="0" borderId="24" xfId="0" applyFont="1" applyBorder="1" applyAlignment="1">
      <alignment horizontal="center"/>
    </xf>
    <xf numFmtId="164" fontId="0" fillId="0" borderId="8" xfId="0" applyNumberFormat="1" applyBorder="1"/>
    <xf numFmtId="164" fontId="0" fillId="0" borderId="4" xfId="0" applyNumberFormat="1" applyBorder="1"/>
    <xf numFmtId="0" fontId="0" fillId="0" borderId="25" xfId="0" applyBorder="1"/>
    <xf numFmtId="0" fontId="2" fillId="0" borderId="20" xfId="0" applyFont="1" applyBorder="1" applyAlignment="1">
      <alignment horizontal="center"/>
    </xf>
    <xf numFmtId="0" fontId="0" fillId="0" borderId="26" xfId="0" applyBorder="1"/>
    <xf numFmtId="0" fontId="0" fillId="0" borderId="27" xfId="0" applyBorder="1"/>
    <xf numFmtId="0" fontId="2" fillId="0" borderId="20" xfId="0" applyFont="1" applyBorder="1"/>
    <xf numFmtId="164" fontId="2" fillId="0" borderId="29" xfId="0" applyNumberFormat="1" applyFont="1" applyBorder="1"/>
    <xf numFmtId="164" fontId="2" fillId="0" borderId="30" xfId="0" applyNumberFormat="1" applyFont="1" applyBorder="1"/>
    <xf numFmtId="0" fontId="0" fillId="0" borderId="28" xfId="0" applyBorder="1"/>
    <xf numFmtId="164" fontId="0" fillId="0" borderId="24" xfId="0" applyNumberFormat="1" applyBorder="1"/>
    <xf numFmtId="164" fontId="0" fillId="0" borderId="18" xfId="0" applyNumberFormat="1" applyBorder="1"/>
    <xf numFmtId="0" fontId="2" fillId="0" borderId="17" xfId="0" applyFont="1" applyBorder="1" applyAlignment="1">
      <alignment horizontal="center"/>
    </xf>
    <xf numFmtId="164" fontId="0" fillId="0" borderId="16" xfId="0" applyNumberFormat="1" applyBorder="1"/>
    <xf numFmtId="164" fontId="2" fillId="0" borderId="22" xfId="0" applyNumberFormat="1" applyFont="1" applyBorder="1"/>
    <xf numFmtId="0" fontId="2" fillId="0" borderId="32" xfId="0" applyFont="1" applyFill="1" applyBorder="1"/>
    <xf numFmtId="164" fontId="2" fillId="0" borderId="6" xfId="0" applyNumberFormat="1" applyFont="1" applyBorder="1"/>
    <xf numFmtId="164" fontId="2" fillId="0" borderId="33" xfId="0" applyNumberFormat="1" applyFont="1" applyBorder="1"/>
    <xf numFmtId="164" fontId="2" fillId="0" borderId="34" xfId="0" applyNumberFormat="1" applyFont="1" applyBorder="1"/>
    <xf numFmtId="0" fontId="2" fillId="7" borderId="35" xfId="0" applyFont="1" applyFill="1" applyBorder="1"/>
    <xf numFmtId="169" fontId="2" fillId="0" borderId="36" xfId="0" applyNumberFormat="1" applyFont="1" applyFill="1" applyBorder="1"/>
    <xf numFmtId="169" fontId="2" fillId="0" borderId="37" xfId="0" applyNumberFormat="1" applyFont="1" applyFill="1" applyBorder="1"/>
    <xf numFmtId="164" fontId="2" fillId="6" borderId="1" xfId="0" applyNumberFormat="1" applyFont="1" applyFill="1" applyBorder="1"/>
    <xf numFmtId="164" fontId="2" fillId="3" borderId="1" xfId="0" applyNumberFormat="1" applyFont="1" applyFill="1" applyBorder="1"/>
    <xf numFmtId="168" fontId="2" fillId="6" borderId="1" xfId="0" applyNumberFormat="1" applyFont="1" applyFill="1" applyBorder="1"/>
    <xf numFmtId="168" fontId="2" fillId="0" borderId="1" xfId="0" applyNumberFormat="1" applyFont="1" applyBorder="1"/>
    <xf numFmtId="168" fontId="2" fillId="3" borderId="1" xfId="0" applyNumberFormat="1" applyFont="1" applyFill="1" applyBorder="1"/>
    <xf numFmtId="168" fontId="0" fillId="0" borderId="1" xfId="0" applyNumberFormat="1" applyBorder="1"/>
    <xf numFmtId="164" fontId="0" fillId="0" borderId="19" xfId="0" applyNumberFormat="1" applyBorder="1"/>
    <xf numFmtId="170" fontId="0" fillId="0" borderId="0" xfId="0" applyNumberFormat="1"/>
    <xf numFmtId="3" fontId="0" fillId="0" borderId="0" xfId="0" applyNumberFormat="1"/>
    <xf numFmtId="9" fontId="0" fillId="0" borderId="0" xfId="0" applyNumberFormat="1" applyAlignment="1">
      <alignment horizontal="center"/>
    </xf>
    <xf numFmtId="0" fontId="18" fillId="0" borderId="0" xfId="2" applyFont="1"/>
    <xf numFmtId="0" fontId="18" fillId="0" borderId="0" xfId="2" applyFont="1" applyAlignment="1">
      <alignment horizontal="right"/>
    </xf>
    <xf numFmtId="171" fontId="6" fillId="8" borderId="0" xfId="2" applyNumberFormat="1" applyFont="1" applyFill="1"/>
    <xf numFmtId="0" fontId="13" fillId="0" borderId="1" xfId="2" applyFont="1" applyBorder="1"/>
    <xf numFmtId="0" fontId="13" fillId="0" borderId="1" xfId="2" applyFont="1" applyBorder="1" applyAlignment="1">
      <alignment horizontal="center"/>
    </xf>
    <xf numFmtId="164" fontId="18" fillId="0" borderId="0" xfId="2" applyNumberFormat="1" applyFont="1"/>
    <xf numFmtId="0" fontId="18" fillId="0" borderId="0" xfId="2" applyFont="1" applyAlignment="1">
      <alignment horizontal="left" indent="1"/>
    </xf>
    <xf numFmtId="0" fontId="18" fillId="0" borderId="0" xfId="3" applyFont="1"/>
    <xf numFmtId="0" fontId="18" fillId="0" borderId="0" xfId="3" applyFont="1" applyAlignment="1">
      <alignment horizontal="right"/>
    </xf>
    <xf numFmtId="171" fontId="6" fillId="8" borderId="0" xfId="3" applyNumberFormat="1" applyFont="1" applyFill="1"/>
    <xf numFmtId="0" fontId="13" fillId="0" borderId="1" xfId="3" applyFont="1" applyBorder="1"/>
    <xf numFmtId="0" fontId="13" fillId="0" borderId="1" xfId="3" applyFont="1" applyBorder="1" applyAlignment="1">
      <alignment horizontal="center"/>
    </xf>
    <xf numFmtId="164" fontId="18" fillId="0" borderId="0" xfId="3" applyNumberFormat="1" applyFont="1"/>
    <xf numFmtId="0" fontId="18" fillId="0" borderId="0" xfId="3" applyFont="1" applyAlignment="1">
      <alignment horizontal="left" indent="1"/>
    </xf>
    <xf numFmtId="164" fontId="0" fillId="0" borderId="18" xfId="0" applyNumberFormat="1" applyFont="1" applyBorder="1"/>
    <xf numFmtId="164" fontId="0" fillId="0" borderId="38" xfId="0" applyNumberFormat="1" applyBorder="1"/>
    <xf numFmtId="0" fontId="2" fillId="0" borderId="0" xfId="0" applyFont="1" applyAlignment="1">
      <alignment horizontal="right"/>
    </xf>
    <xf numFmtId="0" fontId="0" fillId="7" borderId="0" xfId="0" applyFill="1"/>
    <xf numFmtId="169" fontId="2" fillId="0" borderId="0" xfId="0" applyNumberFormat="1" applyFont="1"/>
    <xf numFmtId="172" fontId="2" fillId="0" borderId="0" xfId="0" applyNumberFormat="1" applyFont="1"/>
    <xf numFmtId="0" fontId="2" fillId="0" borderId="32" xfId="0" applyFont="1" applyBorder="1" applyAlignment="1"/>
    <xf numFmtId="165" fontId="2" fillId="7" borderId="35" xfId="1" applyNumberFormat="1" applyFont="1" applyFill="1" applyBorder="1"/>
    <xf numFmtId="173" fontId="2" fillId="0" borderId="36" xfId="1" applyNumberFormat="1" applyFont="1" applyFill="1" applyBorder="1"/>
    <xf numFmtId="173" fontId="2" fillId="0" borderId="37" xfId="1" applyNumberFormat="1" applyFont="1" applyFill="1" applyBorder="1"/>
    <xf numFmtId="0" fontId="0" fillId="0" borderId="0" xfId="0" applyFont="1" applyAlignment="1"/>
    <xf numFmtId="0" fontId="0" fillId="0" borderId="0" xfId="0"/>
    <xf numFmtId="0" fontId="0" fillId="0" borderId="0" xfId="0" applyAlignment="1">
      <alignment horizontal="center"/>
    </xf>
    <xf numFmtId="0" fontId="0" fillId="0" borderId="1" xfId="0" applyBorder="1" applyAlignment="1">
      <alignment horizontal="center"/>
    </xf>
    <xf numFmtId="0" fontId="6" fillId="0" borderId="0" xfId="0" applyFont="1"/>
    <xf numFmtId="0" fontId="0" fillId="3" borderId="0" xfId="0" applyFill="1"/>
    <xf numFmtId="165" fontId="0" fillId="0" borderId="0" xfId="1" applyNumberFormat="1" applyFont="1"/>
    <xf numFmtId="165" fontId="0" fillId="0" borderId="0" xfId="0" applyNumberFormat="1"/>
    <xf numFmtId="165" fontId="0" fillId="3" borderId="0" xfId="0" applyNumberFormat="1" applyFill="1"/>
    <xf numFmtId="0" fontId="3" fillId="0" borderId="0" xfId="0" applyFont="1"/>
    <xf numFmtId="0" fontId="5" fillId="0" borderId="2" xfId="0" applyFont="1" applyBorder="1"/>
    <xf numFmtId="0" fontId="5" fillId="0" borderId="3" xfId="0" applyFont="1" applyBorder="1" applyAlignment="1">
      <alignment horizontal="center"/>
    </xf>
    <xf numFmtId="0" fontId="5" fillId="0" borderId="4" xfId="0" applyFont="1" applyBorder="1" applyAlignment="1">
      <alignment horizontal="center"/>
    </xf>
    <xf numFmtId="0" fontId="3" fillId="0" borderId="5" xfId="0" applyFont="1" applyBorder="1"/>
    <xf numFmtId="2" fontId="3" fillId="0" borderId="0" xfId="0" applyNumberFormat="1" applyFont="1" applyBorder="1"/>
    <xf numFmtId="164" fontId="3" fillId="0" borderId="6" xfId="0" applyNumberFormat="1" applyFont="1" applyBorder="1"/>
    <xf numFmtId="165" fontId="3" fillId="0" borderId="0" xfId="1" applyNumberFormat="1" applyFont="1" applyBorder="1"/>
    <xf numFmtId="165" fontId="3" fillId="0" borderId="6" xfId="0" applyNumberFormat="1" applyFont="1" applyBorder="1"/>
    <xf numFmtId="0" fontId="3" fillId="0" borderId="5" xfId="0" applyFont="1" applyBorder="1" applyAlignment="1">
      <alignment horizontal="left" indent="1"/>
    </xf>
    <xf numFmtId="0" fontId="3" fillId="0" borderId="7" xfId="0" applyFont="1" applyBorder="1"/>
    <xf numFmtId="2" fontId="3" fillId="0" borderId="1" xfId="0" applyNumberFormat="1" applyFont="1" applyBorder="1"/>
    <xf numFmtId="164" fontId="3" fillId="0" borderId="8" xfId="0" applyNumberFormat="1" applyFont="1" applyBorder="1"/>
    <xf numFmtId="165" fontId="3" fillId="0" borderId="1" xfId="0" applyNumberFormat="1" applyFont="1" applyBorder="1"/>
    <xf numFmtId="165" fontId="3" fillId="0" borderId="8" xfId="0" applyNumberFormat="1" applyFont="1" applyBorder="1"/>
    <xf numFmtId="0" fontId="5" fillId="0" borderId="7" xfId="0" applyFont="1" applyBorder="1"/>
    <xf numFmtId="2" fontId="5" fillId="0" borderId="1" xfId="0" applyNumberFormat="1" applyFont="1" applyBorder="1"/>
    <xf numFmtId="164" fontId="5" fillId="0" borderId="8" xfId="0" applyNumberFormat="1" applyFont="1" applyBorder="1"/>
    <xf numFmtId="165" fontId="5" fillId="0" borderId="1" xfId="0" applyNumberFormat="1" applyFont="1" applyBorder="1"/>
    <xf numFmtId="165" fontId="5" fillId="0" borderId="8" xfId="0" applyNumberFormat="1" applyFont="1" applyBorder="1"/>
    <xf numFmtId="166" fontId="3" fillId="0" borderId="0" xfId="1" applyNumberFormat="1" applyFont="1" applyBorder="1"/>
    <xf numFmtId="166" fontId="3" fillId="0" borderId="6" xfId="0" applyNumberFormat="1" applyFont="1" applyBorder="1"/>
    <xf numFmtId="166" fontId="3" fillId="0" borderId="1" xfId="0" applyNumberFormat="1" applyFont="1" applyBorder="1"/>
    <xf numFmtId="166" fontId="3" fillId="0" borderId="8" xfId="0" applyNumberFormat="1" applyFont="1" applyBorder="1"/>
    <xf numFmtId="166" fontId="5" fillId="0" borderId="1" xfId="0" applyNumberFormat="1" applyFont="1" applyBorder="1"/>
    <xf numFmtId="166" fontId="5" fillId="0" borderId="8" xfId="0" applyNumberFormat="1" applyFont="1" applyBorder="1"/>
    <xf numFmtId="166" fontId="3" fillId="0" borderId="0" xfId="0" applyNumberFormat="1" applyFont="1"/>
    <xf numFmtId="166" fontId="5" fillId="0" borderId="3" xfId="0" applyNumberFormat="1" applyFont="1" applyBorder="1" applyAlignment="1">
      <alignment horizontal="center"/>
    </xf>
    <xf numFmtId="166" fontId="5" fillId="0" borderId="4" xfId="0" applyNumberFormat="1" applyFont="1" applyBorder="1" applyAlignment="1">
      <alignment horizontal="center"/>
    </xf>
    <xf numFmtId="0" fontId="0" fillId="2" borderId="0" xfId="0" applyFill="1"/>
    <xf numFmtId="164" fontId="0" fillId="0" borderId="0" xfId="0" applyNumberFormat="1" applyAlignment="1">
      <alignment horizontal="center"/>
    </xf>
    <xf numFmtId="0" fontId="2" fillId="3" borderId="0" xfId="0" applyFont="1" applyFill="1" applyAlignment="1">
      <alignment horizontal="center" vertical="center"/>
    </xf>
    <xf numFmtId="164" fontId="2" fillId="8" borderId="0" xfId="0" applyNumberFormat="1" applyFont="1" applyFill="1"/>
    <xf numFmtId="164" fontId="0" fillId="0" borderId="10" xfId="0" applyNumberFormat="1" applyFont="1" applyFill="1" applyBorder="1"/>
    <xf numFmtId="164" fontId="0" fillId="0" borderId="4" xfId="0" applyNumberFormat="1" applyFont="1" applyFill="1" applyBorder="1"/>
    <xf numFmtId="164" fontId="0" fillId="0" borderId="18" xfId="0" applyNumberFormat="1" applyFont="1" applyFill="1" applyBorder="1"/>
    <xf numFmtId="0" fontId="0" fillId="0" borderId="0" xfId="0" applyAlignment="1">
      <alignment horizontal="center"/>
    </xf>
    <xf numFmtId="0" fontId="0" fillId="0" borderId="1" xfId="0" applyBorder="1" applyAlignment="1">
      <alignment horizontal="center"/>
    </xf>
    <xf numFmtId="0" fontId="0" fillId="0" borderId="0" xfId="0" applyAlignment="1">
      <alignment horizontal="center"/>
    </xf>
    <xf numFmtId="2" fontId="0" fillId="0" borderId="1" xfId="0" applyNumberFormat="1" applyBorder="1"/>
    <xf numFmtId="2" fontId="2" fillId="0" borderId="0" xfId="0" applyNumberFormat="1" applyFont="1"/>
    <xf numFmtId="2" fontId="2" fillId="3" borderId="0" xfId="0" applyNumberFormat="1" applyFont="1" applyFill="1"/>
    <xf numFmtId="0" fontId="2" fillId="9" borderId="24" xfId="0" applyFont="1" applyFill="1" applyBorder="1" applyAlignment="1">
      <alignment horizontal="center"/>
    </xf>
    <xf numFmtId="164" fontId="0" fillId="9" borderId="8" xfId="0" applyNumberFormat="1" applyFill="1" applyBorder="1"/>
    <xf numFmtId="164" fontId="0" fillId="9" borderId="4" xfId="0" applyNumberFormat="1" applyFill="1" applyBorder="1"/>
    <xf numFmtId="164" fontId="0" fillId="9" borderId="24" xfId="0" applyNumberFormat="1" applyFill="1" applyBorder="1"/>
    <xf numFmtId="0" fontId="13" fillId="9" borderId="18" xfId="0" applyFont="1" applyFill="1" applyBorder="1" applyAlignment="1">
      <alignment horizontal="center"/>
    </xf>
    <xf numFmtId="164" fontId="0" fillId="9" borderId="12" xfId="0" applyNumberFormat="1" applyFill="1" applyBorder="1"/>
    <xf numFmtId="164" fontId="0" fillId="9" borderId="10" xfId="0" applyNumberFormat="1" applyFill="1" applyBorder="1"/>
    <xf numFmtId="164" fontId="0" fillId="9" borderId="18" xfId="0" applyNumberFormat="1" applyFont="1" applyFill="1" applyBorder="1"/>
    <xf numFmtId="0" fontId="13" fillId="3" borderId="18" xfId="0" applyFont="1" applyFill="1" applyBorder="1" applyAlignment="1">
      <alignment horizontal="center"/>
    </xf>
    <xf numFmtId="164" fontId="0" fillId="3" borderId="12" xfId="0" applyNumberFormat="1" applyFill="1" applyBorder="1"/>
    <xf numFmtId="164" fontId="0" fillId="3" borderId="10" xfId="0" applyNumberFormat="1" applyFill="1" applyBorder="1"/>
    <xf numFmtId="164" fontId="0" fillId="3" borderId="4" xfId="0" applyNumberFormat="1" applyFill="1" applyBorder="1"/>
    <xf numFmtId="164" fontId="0" fillId="3" borderId="18" xfId="0" applyNumberFormat="1" applyFont="1" applyFill="1" applyBorder="1"/>
    <xf numFmtId="0" fontId="2" fillId="9" borderId="17" xfId="0" applyFont="1" applyFill="1" applyBorder="1" applyAlignment="1">
      <alignment horizontal="center"/>
    </xf>
    <xf numFmtId="164" fontId="0" fillId="9" borderId="16" xfId="0" applyNumberFormat="1" applyFill="1" applyBorder="1"/>
    <xf numFmtId="164" fontId="0" fillId="9" borderId="38" xfId="0" applyNumberFormat="1" applyFill="1" applyBorder="1"/>
    <xf numFmtId="164" fontId="2" fillId="9" borderId="22" xfId="0" applyNumberFormat="1" applyFont="1" applyFill="1" applyBorder="1"/>
    <xf numFmtId="164" fontId="0" fillId="9" borderId="18" xfId="0" applyNumberFormat="1" applyFill="1" applyBorder="1"/>
    <xf numFmtId="164" fontId="2" fillId="9" borderId="29" xfId="0" applyNumberFormat="1" applyFont="1" applyFill="1" applyBorder="1"/>
    <xf numFmtId="164" fontId="0" fillId="3" borderId="18" xfId="0" applyNumberFormat="1" applyFill="1" applyBorder="1"/>
    <xf numFmtId="164" fontId="2" fillId="3" borderId="29" xfId="0" applyNumberFormat="1" applyFont="1" applyFill="1" applyBorder="1"/>
    <xf numFmtId="0" fontId="13" fillId="3" borderId="19" xfId="0" applyFont="1" applyFill="1" applyBorder="1" applyAlignment="1">
      <alignment horizontal="center"/>
    </xf>
    <xf numFmtId="164" fontId="0" fillId="3" borderId="21" xfId="0" applyNumberFormat="1" applyFill="1" applyBorder="1"/>
    <xf numFmtId="164" fontId="0" fillId="3" borderId="15" xfId="0" applyNumberFormat="1" applyFill="1" applyBorder="1"/>
    <xf numFmtId="164" fontId="0" fillId="3" borderId="39" xfId="0" applyNumberFormat="1" applyFont="1" applyFill="1" applyBorder="1"/>
    <xf numFmtId="164" fontId="0" fillId="3" borderId="19" xfId="0" applyNumberFormat="1" applyFont="1" applyFill="1" applyBorder="1"/>
    <xf numFmtId="164" fontId="2" fillId="3" borderId="30" xfId="0" applyNumberFormat="1" applyFont="1" applyFill="1" applyBorder="1"/>
    <xf numFmtId="164" fontId="2" fillId="9" borderId="40" xfId="0" applyNumberFormat="1" applyFont="1" applyFill="1" applyBorder="1"/>
    <xf numFmtId="0" fontId="2" fillId="0" borderId="0" xfId="0" applyFont="1" applyFill="1"/>
    <xf numFmtId="164" fontId="2" fillId="0" borderId="0" xfId="0" applyNumberFormat="1" applyFont="1" applyAlignment="1">
      <alignment horizontal="right"/>
    </xf>
    <xf numFmtId="9" fontId="0" fillId="0" borderId="0" xfId="1" applyFont="1"/>
    <xf numFmtId="9" fontId="0" fillId="0" borderId="0" xfId="1" applyNumberFormat="1" applyFont="1"/>
    <xf numFmtId="0" fontId="20" fillId="0" borderId="0" xfId="0" applyFont="1"/>
    <xf numFmtId="165" fontId="2" fillId="0" borderId="0" xfId="1" applyNumberFormat="1" applyFont="1"/>
    <xf numFmtId="0" fontId="0" fillId="0" borderId="0" xfId="0" applyAlignment="1">
      <alignment horizontal="left" vertical="center"/>
    </xf>
    <xf numFmtId="0" fontId="0" fillId="0" borderId="0" xfId="0" applyAlignment="1">
      <alignment horizontal="left" vertical="center" wrapText="1"/>
    </xf>
    <xf numFmtId="0" fontId="21" fillId="0" borderId="0" xfId="0" applyFont="1" applyAlignment="1">
      <alignment horizontal="center"/>
    </xf>
    <xf numFmtId="0" fontId="6" fillId="0" borderId="0" xfId="0" applyFont="1" applyAlignment="1">
      <alignment horizontal="center"/>
    </xf>
    <xf numFmtId="0" fontId="14" fillId="0" borderId="0" xfId="0" applyFont="1" applyAlignment="1">
      <alignment horizontal="center"/>
    </xf>
    <xf numFmtId="0" fontId="12" fillId="0" borderId="23" xfId="0" applyFont="1" applyBorder="1" applyAlignment="1">
      <alignment horizontal="center"/>
    </xf>
    <xf numFmtId="0" fontId="12" fillId="0" borderId="13" xfId="0" applyFont="1" applyBorder="1" applyAlignment="1">
      <alignment horizontal="center"/>
    </xf>
    <xf numFmtId="0" fontId="12" fillId="0" borderId="14" xfId="0" applyFont="1" applyBorder="1" applyAlignment="1">
      <alignment horizontal="center"/>
    </xf>
    <xf numFmtId="0" fontId="12" fillId="0" borderId="31" xfId="0" applyFont="1" applyBorder="1" applyAlignment="1">
      <alignment horizontal="center"/>
    </xf>
    <xf numFmtId="0" fontId="12" fillId="0" borderId="0" xfId="0" applyFont="1" applyAlignment="1">
      <alignment horizontal="center"/>
    </xf>
    <xf numFmtId="0" fontId="2" fillId="0" borderId="0" xfId="0" applyFont="1" applyAlignment="1">
      <alignment horizontal="center"/>
    </xf>
    <xf numFmtId="0" fontId="4" fillId="0" borderId="1" xfId="0" applyFont="1" applyBorder="1" applyAlignment="1">
      <alignment horizontal="center"/>
    </xf>
    <xf numFmtId="0" fontId="0" fillId="0" borderId="0" xfId="0" applyAlignment="1">
      <alignment horizontal="center"/>
    </xf>
    <xf numFmtId="0" fontId="10" fillId="0" borderId="0" xfId="0" applyFont="1" applyAlignment="1">
      <alignment horizontal="center"/>
    </xf>
    <xf numFmtId="0" fontId="0" fillId="0" borderId="1" xfId="0" applyBorder="1" applyAlignment="1">
      <alignment horizontal="center"/>
    </xf>
    <xf numFmtId="0" fontId="2" fillId="0" borderId="10" xfId="0" applyFont="1" applyBorder="1" applyAlignment="1">
      <alignment horizontal="center"/>
    </xf>
    <xf numFmtId="0" fontId="16" fillId="0" borderId="0" xfId="0" applyFont="1" applyAlignment="1">
      <alignment horizontal="center"/>
    </xf>
    <xf numFmtId="0" fontId="6" fillId="0" borderId="0" xfId="2" applyFont="1" applyAlignment="1">
      <alignment horizontal="center"/>
    </xf>
    <xf numFmtId="0" fontId="19" fillId="0" borderId="0" xfId="3" applyFont="1" applyAlignment="1">
      <alignment horizontal="center"/>
    </xf>
    <xf numFmtId="0" fontId="6" fillId="0" borderId="0" xfId="3" applyFont="1" applyAlignment="1">
      <alignment horizontal="center"/>
    </xf>
  </cellXfs>
  <cellStyles count="5">
    <cellStyle name="Normal" xfId="0" builtinId="0"/>
    <cellStyle name="Normal 2" xfId="2" xr:uid="{AFC06FD9-9C23-4E56-A8DE-386E9026EAEB}"/>
    <cellStyle name="Normal 2 2" xfId="3" xr:uid="{637ECC25-8EA6-4A9A-AEE2-22B6A6232506}"/>
    <cellStyle name="Normal 2 2 2" xfId="4" xr:uid="{3FEC543E-DF05-4441-9A87-0005729699CC}"/>
    <cellStyle name="Percent" xfId="1" builtinId="5"/>
  </cellStyles>
  <dxfs count="100">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5187483-19E6-4700-A6F8-2EB31C0D96BB}">
      <tableStyleElement type="wholeTable" dxfId="99"/>
      <tableStyleElement type="headerRow" dxfId="98"/>
    </tableStyle>
  </tableStyles>
  <colors>
    <mruColors>
      <color rgb="FFFFFFCC"/>
      <color rgb="FF0000FF"/>
      <color rgb="FFDFDC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'Emissions-RFP'!$Q$5:$R$5</c:f>
              <c:numCache>
                <c:formatCode>General</c:formatCode>
                <c:ptCount val="2"/>
                <c:pt idx="0">
                  <c:v>2019</c:v>
                </c:pt>
                <c:pt idx="1">
                  <c:v>2024</c:v>
                </c:pt>
              </c:numCache>
            </c:numRef>
          </c:xVal>
          <c:yVal>
            <c:numRef>
              <c:f>'Emissions-RFP'!$Q$12:$R$12</c:f>
              <c:numCache>
                <c:formatCode>0.00</c:formatCode>
                <c:ptCount val="2"/>
                <c:pt idx="0">
                  <c:v>3.1650899284910712</c:v>
                </c:pt>
                <c:pt idx="1">
                  <c:v>1.9934006702699889</c:v>
                </c:pt>
              </c:numCache>
            </c:numRef>
          </c:yVal>
          <c:smooth val="0"/>
          <c:extLst>
            <c:ext xmlns:c16="http://schemas.microsoft.com/office/drawing/2014/chart" uri="{C3380CC4-5D6E-409C-BE32-E72D297353CC}">
              <c16:uniqueId val="{00000000-2ED2-4F58-AF02-0C33C338300E}"/>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'Emissions-RFP'!$L$5:$P$5</c:f>
              <c:numCache>
                <c:formatCode>General</c:formatCode>
                <c:ptCount val="5"/>
                <c:pt idx="0">
                  <c:v>2019</c:v>
                </c:pt>
                <c:pt idx="1">
                  <c:v>2020</c:v>
                </c:pt>
                <c:pt idx="2">
                  <c:v>2023</c:v>
                </c:pt>
                <c:pt idx="3">
                  <c:v>2024</c:v>
                </c:pt>
                <c:pt idx="4">
                  <c:v>2026</c:v>
                </c:pt>
              </c:numCache>
            </c:numRef>
          </c:xVal>
          <c:yVal>
            <c:numRef>
              <c:f>'Emissions-RFP'!$L$11:$P$11</c:f>
              <c:numCache>
                <c:formatCode>0.00</c:formatCode>
                <c:ptCount val="5"/>
                <c:pt idx="0">
                  <c:v>3.1650899284910712</c:v>
                </c:pt>
                <c:pt idx="1">
                  <c:v>2.8152317743705968</c:v>
                </c:pt>
                <c:pt idx="2">
                  <c:v>2.1472459165068738</c:v>
                </c:pt>
                <c:pt idx="3">
                  <c:v>1.9934006702699896</c:v>
                </c:pt>
                <c:pt idx="4">
                  <c:v>1.7578577774857047</c:v>
                </c:pt>
              </c:numCache>
            </c:numRef>
          </c:yVal>
          <c:smooth val="0"/>
          <c:extLst>
            <c:ext xmlns:c16="http://schemas.microsoft.com/office/drawing/2014/chart" uri="{C3380CC4-5D6E-409C-BE32-E72D297353CC}">
              <c16:uniqueId val="{00000001-2ED2-4F58-AF02-0C33C338300E}"/>
            </c:ext>
          </c:extLst>
        </c:ser>
        <c:dLbls>
          <c:showLegendKey val="0"/>
          <c:showVal val="0"/>
          <c:showCatName val="0"/>
          <c:showSerName val="0"/>
          <c:showPercent val="0"/>
          <c:showBubbleSize val="0"/>
        </c:dLbls>
        <c:axId val="436190143"/>
        <c:axId val="229906655"/>
      </c:scatterChart>
      <c:valAx>
        <c:axId val="436190143"/>
        <c:scaling>
          <c:orientation val="minMax"/>
          <c:min val="201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PM</a:t>
                </a:r>
                <a:r>
                  <a:rPr lang="en-US" sz="1050" baseline="-25000">
                    <a:solidFill>
                      <a:schemeClr val="tx1"/>
                    </a:solidFill>
                  </a:rPr>
                  <a:t>2.5</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633991688538933"/>
          <c:y val="0.125"/>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FA22-457C-86C0-899E67F85CE1}"/>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FA22-457C-86C0-899E67F85CE1}"/>
              </c:ext>
            </c:extLst>
          </c:dPt>
          <c:dPt>
            <c:idx val="2"/>
            <c:bubble3D val="0"/>
            <c:spPr>
              <a:solidFill>
                <a:srgbClr val="FFFFCC"/>
              </a:solidFill>
              <a:ln>
                <a:solidFill>
                  <a:schemeClr val="tx1"/>
                </a:solidFill>
              </a:ln>
            </c:spPr>
            <c:extLst>
              <c:ext xmlns:c16="http://schemas.microsoft.com/office/drawing/2014/chart" uri="{C3380CC4-5D6E-409C-BE32-E72D297353CC}">
                <c16:uniqueId val="{00000005-FA22-457C-86C0-899E67F85CE1}"/>
              </c:ext>
            </c:extLst>
          </c:dPt>
          <c:dPt>
            <c:idx val="3"/>
            <c:bubble3D val="0"/>
            <c:spPr>
              <a:solidFill>
                <a:srgbClr val="C00000"/>
              </a:solidFill>
              <a:ln>
                <a:solidFill>
                  <a:schemeClr val="tx1"/>
                </a:solidFill>
              </a:ln>
            </c:spPr>
            <c:extLst>
              <c:ext xmlns:c16="http://schemas.microsoft.com/office/drawing/2014/chart" uri="{C3380CC4-5D6E-409C-BE32-E72D297353CC}">
                <c16:uniqueId val="{00000007-FA22-457C-86C0-899E67F85CE1}"/>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FA22-457C-86C0-899E67F85CE1}"/>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FA22-457C-86C0-899E67F85CE1}"/>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FA22-457C-86C0-899E67F85CE1}"/>
              </c:ext>
            </c:extLst>
          </c:dPt>
          <c:dPt>
            <c:idx val="7"/>
            <c:bubble3D val="0"/>
            <c:extLst>
              <c:ext xmlns:c16="http://schemas.microsoft.com/office/drawing/2014/chart" uri="{C3380CC4-5D6E-409C-BE32-E72D297353CC}">
                <c16:uniqueId val="{0000000E-FA22-457C-86C0-899E67F85CE1}"/>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22-457C-86C0-899E67F85CE1}"/>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(SectorSum2023!$I$22,SectorSum2023!$I$24:$I$30)</c:f>
              <c:numCache>
                <c:formatCode>0.0%</c:formatCode>
                <c:ptCount val="8"/>
                <c:pt idx="0">
                  <c:v>0.68328290411639114</c:v>
                </c:pt>
                <c:pt idx="1">
                  <c:v>2.4138587661761468E-2</c:v>
                </c:pt>
                <c:pt idx="2">
                  <c:v>0.11319093867978343</c:v>
                </c:pt>
                <c:pt idx="3">
                  <c:v>3.1183010506183784E-3</c:v>
                </c:pt>
                <c:pt idx="4">
                  <c:v>9.4565868817666036E-3</c:v>
                </c:pt>
                <c:pt idx="5">
                  <c:v>2.3245026498687989E-2</c:v>
                </c:pt>
                <c:pt idx="6">
                  <c:v>8.1280515304482631E-2</c:v>
                </c:pt>
                <c:pt idx="7">
                  <c:v>6.2275841614295994E-2</c:v>
                </c:pt>
              </c:numCache>
            </c:numRef>
          </c:val>
          <c:extLst>
            <c:ext xmlns:c16="http://schemas.microsoft.com/office/drawing/2014/chart" uri="{C3380CC4-5D6E-409C-BE32-E72D297353CC}">
              <c16:uniqueId val="{0000000F-FA22-457C-86C0-899E67F85CE1}"/>
            </c:ext>
          </c:extLst>
        </c:ser>
        <c:dLbls>
          <c:showLegendKey val="0"/>
          <c:showVal val="0"/>
          <c:showCatName val="0"/>
          <c:showSerName val="0"/>
          <c:showPercent val="0"/>
          <c:showBubbleSize val="0"/>
          <c:showLeaderLines val="1"/>
        </c:dLbls>
        <c:firstSliceAng val="146"/>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DAA-4EF0-8655-437DAE2EFCC2}"/>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DAA-4EF0-8655-437DAE2EFCC2}"/>
              </c:ext>
            </c:extLst>
          </c:dPt>
          <c:dPt>
            <c:idx val="2"/>
            <c:bubble3D val="0"/>
            <c:spPr>
              <a:solidFill>
                <a:srgbClr val="FFFFCC"/>
              </a:solidFill>
              <a:ln>
                <a:solidFill>
                  <a:schemeClr val="tx1"/>
                </a:solidFill>
              </a:ln>
            </c:spPr>
            <c:extLst>
              <c:ext xmlns:c16="http://schemas.microsoft.com/office/drawing/2014/chart" uri="{C3380CC4-5D6E-409C-BE32-E72D297353CC}">
                <c16:uniqueId val="{00000005-4DAA-4EF0-8655-437DAE2EFCC2}"/>
              </c:ext>
            </c:extLst>
          </c:dPt>
          <c:dPt>
            <c:idx val="3"/>
            <c:bubble3D val="0"/>
            <c:spPr>
              <a:solidFill>
                <a:srgbClr val="C00000"/>
              </a:solidFill>
              <a:ln>
                <a:solidFill>
                  <a:schemeClr val="tx1"/>
                </a:solidFill>
              </a:ln>
            </c:spPr>
            <c:extLst>
              <c:ext xmlns:c16="http://schemas.microsoft.com/office/drawing/2014/chart" uri="{C3380CC4-5D6E-409C-BE32-E72D297353CC}">
                <c16:uniqueId val="{00000007-4DAA-4EF0-8655-437DAE2EFCC2}"/>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DAA-4EF0-8655-437DAE2EFCC2}"/>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DAA-4EF0-8655-437DAE2EFCC2}"/>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DAA-4EF0-8655-437DAE2EFCC2}"/>
              </c:ext>
            </c:extLst>
          </c:dPt>
          <c:dPt>
            <c:idx val="7"/>
            <c:bubble3D val="0"/>
            <c:extLst>
              <c:ext xmlns:c16="http://schemas.microsoft.com/office/drawing/2014/chart" uri="{C3380CC4-5D6E-409C-BE32-E72D297353CC}">
                <c16:uniqueId val="{0000000E-4DAA-4EF0-8655-437DAE2EFCC2}"/>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DAA-4EF0-8655-437DAE2EFCC2}"/>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(SectorSum2023!$J$22,SectorSum2023!$J$24:$J$30)</c:f>
              <c:numCache>
                <c:formatCode>0.0%</c:formatCode>
                <c:ptCount val="8"/>
                <c:pt idx="0">
                  <c:v>0.37544907906355457</c:v>
                </c:pt>
                <c:pt idx="1">
                  <c:v>1.3416462769656724E-2</c:v>
                </c:pt>
                <c:pt idx="2">
                  <c:v>0.15954690821717826</c:v>
                </c:pt>
                <c:pt idx="3">
                  <c:v>6.5479391175684255E-3</c:v>
                </c:pt>
                <c:pt idx="4">
                  <c:v>1.418586565250442E-3</c:v>
                </c:pt>
                <c:pt idx="5">
                  <c:v>2.3613511153534085E-3</c:v>
                </c:pt>
                <c:pt idx="6">
                  <c:v>5.4505851532253438E-4</c:v>
                </c:pt>
                <c:pt idx="7">
                  <c:v>0.44072262924947853</c:v>
                </c:pt>
              </c:numCache>
            </c:numRef>
          </c:val>
          <c:extLst>
            <c:ext xmlns:c16="http://schemas.microsoft.com/office/drawing/2014/chart" uri="{C3380CC4-5D6E-409C-BE32-E72D297353CC}">
              <c16:uniqueId val="{0000000F-4DAA-4EF0-8655-437DAE2EFCC2}"/>
            </c:ext>
          </c:extLst>
        </c:ser>
        <c:dLbls>
          <c:showLegendKey val="0"/>
          <c:showVal val="0"/>
          <c:showCatName val="0"/>
          <c:showSerName val="0"/>
          <c:showPercent val="0"/>
          <c:showBubbleSize val="0"/>
          <c:showLeaderLines val="1"/>
        </c:dLbls>
        <c:firstSliceAng val="236"/>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1568-497A-9643-A57A42F1816B}"/>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1568-497A-9643-A57A42F1816B}"/>
              </c:ext>
            </c:extLst>
          </c:dPt>
          <c:dPt>
            <c:idx val="2"/>
            <c:bubble3D val="0"/>
            <c:spPr>
              <a:solidFill>
                <a:srgbClr val="FFFFCC"/>
              </a:solidFill>
              <a:ln>
                <a:solidFill>
                  <a:schemeClr val="tx1"/>
                </a:solidFill>
              </a:ln>
            </c:spPr>
            <c:extLst>
              <c:ext xmlns:c16="http://schemas.microsoft.com/office/drawing/2014/chart" uri="{C3380CC4-5D6E-409C-BE32-E72D297353CC}">
                <c16:uniqueId val="{00000005-1568-497A-9643-A57A42F1816B}"/>
              </c:ext>
            </c:extLst>
          </c:dPt>
          <c:dPt>
            <c:idx val="3"/>
            <c:bubble3D val="0"/>
            <c:spPr>
              <a:solidFill>
                <a:srgbClr val="C00000"/>
              </a:solidFill>
              <a:ln>
                <a:solidFill>
                  <a:schemeClr val="tx1"/>
                </a:solidFill>
              </a:ln>
            </c:spPr>
            <c:extLst>
              <c:ext xmlns:c16="http://schemas.microsoft.com/office/drawing/2014/chart" uri="{C3380CC4-5D6E-409C-BE32-E72D297353CC}">
                <c16:uniqueId val="{00000007-1568-497A-9643-A57A42F1816B}"/>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1568-497A-9643-A57A42F1816B}"/>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1568-497A-9643-A57A42F1816B}"/>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1568-497A-9643-A57A42F1816B}"/>
              </c:ext>
            </c:extLst>
          </c:dPt>
          <c:dPt>
            <c:idx val="7"/>
            <c:bubble3D val="0"/>
            <c:extLst>
              <c:ext xmlns:c16="http://schemas.microsoft.com/office/drawing/2014/chart" uri="{C3380CC4-5D6E-409C-BE32-E72D297353CC}">
                <c16:uniqueId val="{0000000E-1568-497A-9643-A57A42F1816B}"/>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568-497A-9643-A57A42F1816B}"/>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(SectorSum2023!$K$22,SectorSum2023!$K$24:$K$30)</c:f>
              <c:numCache>
                <c:formatCode>0.0%</c:formatCode>
                <c:ptCount val="8"/>
                <c:pt idx="0">
                  <c:v>1.8907941716102452E-3</c:v>
                </c:pt>
                <c:pt idx="1">
                  <c:v>0.46174567549593037</c:v>
                </c:pt>
                <c:pt idx="2">
                  <c:v>5.634015958761846E-3</c:v>
                </c:pt>
                <c:pt idx="3">
                  <c:v>5.9284059818322842E-3</c:v>
                </c:pt>
                <c:pt idx="4">
                  <c:v>4.2635796444684236E-4</c:v>
                </c:pt>
                <c:pt idx="5">
                  <c:v>0.1219484283582188</c:v>
                </c:pt>
                <c:pt idx="6">
                  <c:v>0.19731678171615849</c:v>
                </c:pt>
                <c:pt idx="7">
                  <c:v>0.20510446466298812</c:v>
                </c:pt>
              </c:numCache>
            </c:numRef>
          </c:val>
          <c:extLst>
            <c:ext xmlns:c16="http://schemas.microsoft.com/office/drawing/2014/chart" uri="{C3380CC4-5D6E-409C-BE32-E72D297353CC}">
              <c16:uniqueId val="{0000000F-1568-497A-9643-A57A42F1816B}"/>
            </c:ext>
          </c:extLst>
        </c:ser>
        <c:dLbls>
          <c:showLegendKey val="0"/>
          <c:showVal val="0"/>
          <c:showCatName val="0"/>
          <c:showSerName val="0"/>
          <c:showPercent val="0"/>
          <c:showBubbleSize val="0"/>
          <c:showLeaderLines val="1"/>
        </c:dLbls>
        <c:firstSliceAng val="23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0D15-4CD7-84BC-3AFAF5ED6D3B}"/>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0D15-4CD7-84BC-3AFAF5ED6D3B}"/>
              </c:ext>
            </c:extLst>
          </c:dPt>
          <c:dPt>
            <c:idx val="2"/>
            <c:bubble3D val="0"/>
            <c:spPr>
              <a:solidFill>
                <a:srgbClr val="FFFFCC"/>
              </a:solidFill>
              <a:ln>
                <a:solidFill>
                  <a:schemeClr val="tx1"/>
                </a:solidFill>
              </a:ln>
            </c:spPr>
            <c:extLst>
              <c:ext xmlns:c16="http://schemas.microsoft.com/office/drawing/2014/chart" uri="{C3380CC4-5D6E-409C-BE32-E72D297353CC}">
                <c16:uniqueId val="{00000005-0D15-4CD7-84BC-3AFAF5ED6D3B}"/>
              </c:ext>
            </c:extLst>
          </c:dPt>
          <c:dPt>
            <c:idx val="3"/>
            <c:bubble3D val="0"/>
            <c:spPr>
              <a:solidFill>
                <a:srgbClr val="C00000"/>
              </a:solidFill>
              <a:ln>
                <a:solidFill>
                  <a:schemeClr val="tx1"/>
                </a:solidFill>
              </a:ln>
            </c:spPr>
            <c:extLst>
              <c:ext xmlns:c16="http://schemas.microsoft.com/office/drawing/2014/chart" uri="{C3380CC4-5D6E-409C-BE32-E72D297353CC}">
                <c16:uniqueId val="{00000007-0D15-4CD7-84BC-3AFAF5ED6D3B}"/>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0D15-4CD7-84BC-3AFAF5ED6D3B}"/>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0D15-4CD7-84BC-3AFAF5ED6D3B}"/>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0D15-4CD7-84BC-3AFAF5ED6D3B}"/>
              </c:ext>
            </c:extLst>
          </c:dPt>
          <c:dPt>
            <c:idx val="7"/>
            <c:bubble3D val="0"/>
            <c:extLst>
              <c:ext xmlns:c16="http://schemas.microsoft.com/office/drawing/2014/chart" uri="{C3380CC4-5D6E-409C-BE32-E72D297353CC}">
                <c16:uniqueId val="{0000000E-0D15-4CD7-84BC-3AFAF5ED6D3B}"/>
              </c:ext>
            </c:extLst>
          </c:dPt>
          <c:dLbls>
            <c:dLbl>
              <c:idx val="7"/>
              <c:delete val="1"/>
              <c:extLst>
                <c:ext xmlns:c15="http://schemas.microsoft.com/office/drawing/2012/chart" uri="{CE6537A1-D6FC-4f65-9D91-7224C49458BB}"/>
                <c:ext xmlns:c16="http://schemas.microsoft.com/office/drawing/2014/chart" uri="{C3380CC4-5D6E-409C-BE32-E72D297353CC}">
                  <c16:uniqueId val="{0000000E-0D15-4CD7-84BC-3AFAF5ED6D3B}"/>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(SectorSum2023!$L$22,SectorSum2023!$L$24:$L$30)</c:f>
              <c:numCache>
                <c:formatCode>0.0%</c:formatCode>
                <c:ptCount val="8"/>
                <c:pt idx="0">
                  <c:v>0.2588169857071152</c:v>
                </c:pt>
                <c:pt idx="1">
                  <c:v>0.2870604654262443</c:v>
                </c:pt>
                <c:pt idx="2">
                  <c:v>1.1729352350749766E-2</c:v>
                </c:pt>
                <c:pt idx="3">
                  <c:v>4.5682740734499093E-2</c:v>
                </c:pt>
                <c:pt idx="4">
                  <c:v>8.9204811299123235E-2</c:v>
                </c:pt>
                <c:pt idx="5">
                  <c:v>0.16076645211663021</c:v>
                </c:pt>
                <c:pt idx="6">
                  <c:v>0.13906396540792471</c:v>
                </c:pt>
                <c:pt idx="7">
                  <c:v>7.366559790588598E-3</c:v>
                </c:pt>
              </c:numCache>
            </c:numRef>
          </c:val>
          <c:extLst>
            <c:ext xmlns:c16="http://schemas.microsoft.com/office/drawing/2014/chart" uri="{C3380CC4-5D6E-409C-BE32-E72D297353CC}">
              <c16:uniqueId val="{0000000F-0D15-4CD7-84BC-3AFAF5ED6D3B}"/>
            </c:ext>
          </c:extLst>
        </c:ser>
        <c:dLbls>
          <c:showLegendKey val="0"/>
          <c:showVal val="0"/>
          <c:showCatName val="0"/>
          <c:showSerName val="0"/>
          <c:showPercent val="0"/>
          <c:showBubbleSize val="0"/>
          <c:showLeaderLines val="1"/>
        </c:dLbls>
        <c:firstSliceAng val="222"/>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1EF4-4D99-8C0D-610B43E2A376}"/>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1EF4-4D99-8C0D-610B43E2A376}"/>
              </c:ext>
            </c:extLst>
          </c:dPt>
          <c:dPt>
            <c:idx val="2"/>
            <c:bubble3D val="0"/>
            <c:spPr>
              <a:solidFill>
                <a:srgbClr val="FFFFCC"/>
              </a:solidFill>
              <a:ln>
                <a:solidFill>
                  <a:schemeClr val="tx1"/>
                </a:solidFill>
              </a:ln>
            </c:spPr>
            <c:extLst>
              <c:ext xmlns:c16="http://schemas.microsoft.com/office/drawing/2014/chart" uri="{C3380CC4-5D6E-409C-BE32-E72D297353CC}">
                <c16:uniqueId val="{00000005-1EF4-4D99-8C0D-610B43E2A376}"/>
              </c:ext>
            </c:extLst>
          </c:dPt>
          <c:dPt>
            <c:idx val="3"/>
            <c:bubble3D val="0"/>
            <c:spPr>
              <a:solidFill>
                <a:srgbClr val="C00000"/>
              </a:solidFill>
              <a:ln>
                <a:solidFill>
                  <a:schemeClr val="tx1"/>
                </a:solidFill>
              </a:ln>
            </c:spPr>
            <c:extLst>
              <c:ext xmlns:c16="http://schemas.microsoft.com/office/drawing/2014/chart" uri="{C3380CC4-5D6E-409C-BE32-E72D297353CC}">
                <c16:uniqueId val="{00000007-1EF4-4D99-8C0D-610B43E2A376}"/>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1EF4-4D99-8C0D-610B43E2A376}"/>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1EF4-4D99-8C0D-610B43E2A376}"/>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1EF4-4D99-8C0D-610B43E2A376}"/>
              </c:ext>
            </c:extLst>
          </c:dPt>
          <c:dPt>
            <c:idx val="7"/>
            <c:bubble3D val="0"/>
            <c:extLst>
              <c:ext xmlns:c16="http://schemas.microsoft.com/office/drawing/2014/chart" uri="{C3380CC4-5D6E-409C-BE32-E72D297353CC}">
                <c16:uniqueId val="{0000000E-1EF4-4D99-8C0D-610B43E2A376}"/>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EF4-4D99-8C0D-610B43E2A376}"/>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(SectorSum2024!$H$22,SectorSum2024!$H$24:$H$30)</c:f>
              <c:numCache>
                <c:formatCode>0.0%</c:formatCode>
                <c:ptCount val="8"/>
                <c:pt idx="0">
                  <c:v>0.30875706528167818</c:v>
                </c:pt>
                <c:pt idx="1">
                  <c:v>0.33770554716718376</c:v>
                </c:pt>
                <c:pt idx="2">
                  <c:v>1.3545521147819022E-2</c:v>
                </c:pt>
                <c:pt idx="3">
                  <c:v>1.3594599122992282E-2</c:v>
                </c:pt>
                <c:pt idx="4">
                  <c:v>6.1347468966571669E-3</c:v>
                </c:pt>
                <c:pt idx="5">
                  <c:v>0.12029524197991792</c:v>
                </c:pt>
                <c:pt idx="6">
                  <c:v>8.1669708851993192E-2</c:v>
                </c:pt>
                <c:pt idx="7">
                  <c:v>0.11829756955175866</c:v>
                </c:pt>
              </c:numCache>
            </c:numRef>
          </c:val>
          <c:extLst>
            <c:ext xmlns:c16="http://schemas.microsoft.com/office/drawing/2014/chart" uri="{C3380CC4-5D6E-409C-BE32-E72D297353CC}">
              <c16:uniqueId val="{0000000F-1EF4-4D99-8C0D-610B43E2A376}"/>
            </c:ext>
          </c:extLst>
        </c:ser>
        <c:dLbls>
          <c:showLegendKey val="0"/>
          <c:showVal val="0"/>
          <c:showCatName val="0"/>
          <c:showSerName val="0"/>
          <c:showPercent val="0"/>
          <c:showBubbleSize val="0"/>
          <c:showLeaderLines val="1"/>
        </c:dLbls>
        <c:firstSliceAng val="13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29CE-4215-9CB0-AACA7DEBC2D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29CE-4215-9CB0-AACA7DEBC2D7}"/>
              </c:ext>
            </c:extLst>
          </c:dPt>
          <c:dPt>
            <c:idx val="2"/>
            <c:bubble3D val="0"/>
            <c:spPr>
              <a:solidFill>
                <a:srgbClr val="FFFFCC"/>
              </a:solidFill>
              <a:ln>
                <a:solidFill>
                  <a:schemeClr val="tx1"/>
                </a:solidFill>
              </a:ln>
            </c:spPr>
            <c:extLst>
              <c:ext xmlns:c16="http://schemas.microsoft.com/office/drawing/2014/chart" uri="{C3380CC4-5D6E-409C-BE32-E72D297353CC}">
                <c16:uniqueId val="{00000005-29CE-4215-9CB0-AACA7DEBC2D7}"/>
              </c:ext>
            </c:extLst>
          </c:dPt>
          <c:dPt>
            <c:idx val="3"/>
            <c:bubble3D val="0"/>
            <c:spPr>
              <a:solidFill>
                <a:srgbClr val="C00000"/>
              </a:solidFill>
              <a:ln>
                <a:solidFill>
                  <a:schemeClr val="tx1"/>
                </a:solidFill>
              </a:ln>
            </c:spPr>
            <c:extLst>
              <c:ext xmlns:c16="http://schemas.microsoft.com/office/drawing/2014/chart" uri="{C3380CC4-5D6E-409C-BE32-E72D297353CC}">
                <c16:uniqueId val="{00000007-29CE-4215-9CB0-AACA7DEBC2D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29CE-4215-9CB0-AACA7DEBC2D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29CE-4215-9CB0-AACA7DEBC2D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29CE-4215-9CB0-AACA7DEBC2D7}"/>
              </c:ext>
            </c:extLst>
          </c:dPt>
          <c:dPt>
            <c:idx val="7"/>
            <c:bubble3D val="0"/>
            <c:extLst>
              <c:ext xmlns:c16="http://schemas.microsoft.com/office/drawing/2014/chart" uri="{C3380CC4-5D6E-409C-BE32-E72D297353CC}">
                <c16:uniqueId val="{0000000E-29CE-4215-9CB0-AACA7DEBC2D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9CE-4215-9CB0-AACA7DEBC2D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(SectorSum2024!$I$22,SectorSum2024!$I$24:$I$30)</c:f>
              <c:numCache>
                <c:formatCode>0.0%</c:formatCode>
                <c:ptCount val="8"/>
                <c:pt idx="0">
                  <c:v>0.68714835942453811</c:v>
                </c:pt>
                <c:pt idx="1">
                  <c:v>2.4270768193268809E-2</c:v>
                </c:pt>
                <c:pt idx="2">
                  <c:v>0.11297285006062877</c:v>
                </c:pt>
                <c:pt idx="3">
                  <c:v>3.1086263799717699E-3</c:v>
                </c:pt>
                <c:pt idx="4">
                  <c:v>9.359425467756732E-3</c:v>
                </c:pt>
                <c:pt idx="5">
                  <c:v>2.3518655509358704E-2</c:v>
                </c:pt>
                <c:pt idx="6">
                  <c:v>7.6914483863930891E-2</c:v>
                </c:pt>
                <c:pt idx="7">
                  <c:v>6.2695648991265618E-2</c:v>
                </c:pt>
              </c:numCache>
            </c:numRef>
          </c:val>
          <c:extLst>
            <c:ext xmlns:c16="http://schemas.microsoft.com/office/drawing/2014/chart" uri="{C3380CC4-5D6E-409C-BE32-E72D297353CC}">
              <c16:uniqueId val="{0000000F-29CE-4215-9CB0-AACA7DEBC2D7}"/>
            </c:ext>
          </c:extLst>
        </c:ser>
        <c:dLbls>
          <c:showLegendKey val="0"/>
          <c:showVal val="0"/>
          <c:showCatName val="0"/>
          <c:showSerName val="0"/>
          <c:showPercent val="0"/>
          <c:showBubbleSize val="0"/>
          <c:showLeaderLines val="1"/>
        </c:dLbls>
        <c:firstSliceAng val="14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62BB-4BA3-96A5-4DB55F076696}"/>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62BB-4BA3-96A5-4DB55F076696}"/>
              </c:ext>
            </c:extLst>
          </c:dPt>
          <c:dPt>
            <c:idx val="2"/>
            <c:bubble3D val="0"/>
            <c:spPr>
              <a:solidFill>
                <a:srgbClr val="FFFFCC"/>
              </a:solidFill>
              <a:ln>
                <a:solidFill>
                  <a:schemeClr val="tx1"/>
                </a:solidFill>
              </a:ln>
            </c:spPr>
            <c:extLst>
              <c:ext xmlns:c16="http://schemas.microsoft.com/office/drawing/2014/chart" uri="{C3380CC4-5D6E-409C-BE32-E72D297353CC}">
                <c16:uniqueId val="{00000005-62BB-4BA3-96A5-4DB55F076696}"/>
              </c:ext>
            </c:extLst>
          </c:dPt>
          <c:dPt>
            <c:idx val="3"/>
            <c:bubble3D val="0"/>
            <c:spPr>
              <a:solidFill>
                <a:srgbClr val="C00000"/>
              </a:solidFill>
              <a:ln>
                <a:solidFill>
                  <a:schemeClr val="tx1"/>
                </a:solidFill>
              </a:ln>
            </c:spPr>
            <c:extLst>
              <c:ext xmlns:c16="http://schemas.microsoft.com/office/drawing/2014/chart" uri="{C3380CC4-5D6E-409C-BE32-E72D297353CC}">
                <c16:uniqueId val="{00000007-62BB-4BA3-96A5-4DB55F076696}"/>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62BB-4BA3-96A5-4DB55F076696}"/>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62BB-4BA3-96A5-4DB55F076696}"/>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62BB-4BA3-96A5-4DB55F076696}"/>
              </c:ext>
            </c:extLst>
          </c:dPt>
          <c:dPt>
            <c:idx val="7"/>
            <c:bubble3D val="0"/>
            <c:extLst>
              <c:ext xmlns:c16="http://schemas.microsoft.com/office/drawing/2014/chart" uri="{C3380CC4-5D6E-409C-BE32-E72D297353CC}">
                <c16:uniqueId val="{0000000E-62BB-4BA3-96A5-4DB55F076696}"/>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2BB-4BA3-96A5-4DB55F076696}"/>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(SectorSum2024!$J$22,SectorSum2024!$J$24:$J$30)</c:f>
              <c:numCache>
                <c:formatCode>0.0%</c:formatCode>
                <c:ptCount val="8"/>
                <c:pt idx="0">
                  <c:v>0.26284725919797769</c:v>
                </c:pt>
                <c:pt idx="1">
                  <c:v>1.4969405062488204E-2</c:v>
                </c:pt>
                <c:pt idx="2">
                  <c:v>0.19036030593947534</c:v>
                </c:pt>
                <c:pt idx="3">
                  <c:v>4.9583797625118373E-3</c:v>
                </c:pt>
                <c:pt idx="4">
                  <c:v>1.6685042166627282E-3</c:v>
                </c:pt>
                <c:pt idx="5">
                  <c:v>2.8135970552581532E-3</c:v>
                </c:pt>
                <c:pt idx="6">
                  <c:v>6.3924949189932882E-4</c:v>
                </c:pt>
                <c:pt idx="7">
                  <c:v>0.52174329927372687</c:v>
                </c:pt>
              </c:numCache>
            </c:numRef>
          </c:val>
          <c:extLst>
            <c:ext xmlns:c16="http://schemas.microsoft.com/office/drawing/2014/chart" uri="{C3380CC4-5D6E-409C-BE32-E72D297353CC}">
              <c16:uniqueId val="{0000000F-62BB-4BA3-96A5-4DB55F076696}"/>
            </c:ext>
          </c:extLst>
        </c:ser>
        <c:dLbls>
          <c:showLegendKey val="0"/>
          <c:showVal val="0"/>
          <c:showCatName val="0"/>
          <c:showSerName val="0"/>
          <c:showPercent val="0"/>
          <c:showBubbleSize val="0"/>
          <c:showLeaderLines val="1"/>
        </c:dLbls>
        <c:firstSliceAng val="24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AC68-41EF-9AAB-E3418F1070A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AC68-41EF-9AAB-E3418F1070AD}"/>
              </c:ext>
            </c:extLst>
          </c:dPt>
          <c:dPt>
            <c:idx val="2"/>
            <c:bubble3D val="0"/>
            <c:spPr>
              <a:solidFill>
                <a:srgbClr val="FFFFCC"/>
              </a:solidFill>
              <a:ln>
                <a:solidFill>
                  <a:schemeClr val="tx1"/>
                </a:solidFill>
              </a:ln>
            </c:spPr>
            <c:extLst>
              <c:ext xmlns:c16="http://schemas.microsoft.com/office/drawing/2014/chart" uri="{C3380CC4-5D6E-409C-BE32-E72D297353CC}">
                <c16:uniqueId val="{00000005-AC68-41EF-9AAB-E3418F1070AD}"/>
              </c:ext>
            </c:extLst>
          </c:dPt>
          <c:dPt>
            <c:idx val="3"/>
            <c:bubble3D val="0"/>
            <c:spPr>
              <a:solidFill>
                <a:srgbClr val="C00000"/>
              </a:solidFill>
              <a:ln>
                <a:solidFill>
                  <a:schemeClr val="tx1"/>
                </a:solidFill>
              </a:ln>
            </c:spPr>
            <c:extLst>
              <c:ext xmlns:c16="http://schemas.microsoft.com/office/drawing/2014/chart" uri="{C3380CC4-5D6E-409C-BE32-E72D297353CC}">
                <c16:uniqueId val="{00000007-AC68-41EF-9AAB-E3418F1070A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AC68-41EF-9AAB-E3418F1070A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AC68-41EF-9AAB-E3418F1070A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AC68-41EF-9AAB-E3418F1070AD}"/>
              </c:ext>
            </c:extLst>
          </c:dPt>
          <c:dPt>
            <c:idx val="7"/>
            <c:bubble3D val="0"/>
            <c:extLst>
              <c:ext xmlns:c16="http://schemas.microsoft.com/office/drawing/2014/chart" uri="{C3380CC4-5D6E-409C-BE32-E72D297353CC}">
                <c16:uniqueId val="{0000000E-AC68-41EF-9AAB-E3418F1070AD}"/>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68-41EF-9AAB-E3418F1070A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(SectorSum2024!$K$22,SectorSum2024!$K$24:$K$30)</c:f>
              <c:numCache>
                <c:formatCode>0.0%</c:formatCode>
                <c:ptCount val="8"/>
                <c:pt idx="0">
                  <c:v>1.9139904352351868E-3</c:v>
                </c:pt>
                <c:pt idx="1">
                  <c:v>0.46428087076729729</c:v>
                </c:pt>
                <c:pt idx="2">
                  <c:v>5.6229265045576677E-3</c:v>
                </c:pt>
                <c:pt idx="3">
                  <c:v>5.9143739909422472E-3</c:v>
                </c:pt>
                <c:pt idx="4">
                  <c:v>4.2209635959146024E-4</c:v>
                </c:pt>
                <c:pt idx="5">
                  <c:v>0.1241950257365869</c:v>
                </c:pt>
                <c:pt idx="6">
                  <c:v>0.19639641051149567</c:v>
                </c:pt>
                <c:pt idx="7">
                  <c:v>0.20125430569429362</c:v>
                </c:pt>
              </c:numCache>
            </c:numRef>
          </c:val>
          <c:extLst>
            <c:ext xmlns:c16="http://schemas.microsoft.com/office/drawing/2014/chart" uri="{C3380CC4-5D6E-409C-BE32-E72D297353CC}">
              <c16:uniqueId val="{0000000F-AC68-41EF-9AAB-E3418F1070AD}"/>
            </c:ext>
          </c:extLst>
        </c:ser>
        <c:dLbls>
          <c:showLegendKey val="0"/>
          <c:showVal val="0"/>
          <c:showCatName val="0"/>
          <c:showSerName val="0"/>
          <c:showPercent val="0"/>
          <c:showBubbleSize val="0"/>
          <c:showLeaderLines val="1"/>
        </c:dLbls>
        <c:firstSliceAng val="22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E8A-4CD0-99BD-8B4C19CDD795}"/>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E8A-4CD0-99BD-8B4C19CDD795}"/>
              </c:ext>
            </c:extLst>
          </c:dPt>
          <c:dPt>
            <c:idx val="2"/>
            <c:bubble3D val="0"/>
            <c:spPr>
              <a:solidFill>
                <a:srgbClr val="FFFFCC"/>
              </a:solidFill>
              <a:ln>
                <a:solidFill>
                  <a:schemeClr val="tx1"/>
                </a:solidFill>
              </a:ln>
            </c:spPr>
            <c:extLst>
              <c:ext xmlns:c16="http://schemas.microsoft.com/office/drawing/2014/chart" uri="{C3380CC4-5D6E-409C-BE32-E72D297353CC}">
                <c16:uniqueId val="{00000005-4E8A-4CD0-99BD-8B4C19CDD795}"/>
              </c:ext>
            </c:extLst>
          </c:dPt>
          <c:dPt>
            <c:idx val="3"/>
            <c:bubble3D val="0"/>
            <c:spPr>
              <a:solidFill>
                <a:srgbClr val="C00000"/>
              </a:solidFill>
              <a:ln>
                <a:solidFill>
                  <a:schemeClr val="tx1"/>
                </a:solidFill>
              </a:ln>
            </c:spPr>
            <c:extLst>
              <c:ext xmlns:c16="http://schemas.microsoft.com/office/drawing/2014/chart" uri="{C3380CC4-5D6E-409C-BE32-E72D297353CC}">
                <c16:uniqueId val="{00000007-4E8A-4CD0-99BD-8B4C19CDD795}"/>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E8A-4CD0-99BD-8B4C19CDD795}"/>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E8A-4CD0-99BD-8B4C19CDD795}"/>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E8A-4CD0-99BD-8B4C19CDD795}"/>
              </c:ext>
            </c:extLst>
          </c:dPt>
          <c:dPt>
            <c:idx val="7"/>
            <c:bubble3D val="0"/>
            <c:extLst>
              <c:ext xmlns:c16="http://schemas.microsoft.com/office/drawing/2014/chart" uri="{C3380CC4-5D6E-409C-BE32-E72D297353CC}">
                <c16:uniqueId val="{0000000E-4E8A-4CD0-99BD-8B4C19CDD795}"/>
              </c:ext>
            </c:extLst>
          </c:dPt>
          <c:dLbls>
            <c:dLbl>
              <c:idx val="7"/>
              <c:delete val="1"/>
              <c:extLst>
                <c:ext xmlns:c15="http://schemas.microsoft.com/office/drawing/2012/chart" uri="{CE6537A1-D6FC-4f65-9D91-7224C49458BB}"/>
                <c:ext xmlns:c16="http://schemas.microsoft.com/office/drawing/2014/chart" uri="{C3380CC4-5D6E-409C-BE32-E72D297353CC}">
                  <c16:uniqueId val="{0000000E-4E8A-4CD0-99BD-8B4C19CDD795}"/>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(SectorSum2024!$L$22,SectorSum2024!$L$24:$L$30)</c:f>
              <c:numCache>
                <c:formatCode>0.0%</c:formatCode>
                <c:ptCount val="8"/>
                <c:pt idx="0">
                  <c:v>0.25908050177014591</c:v>
                </c:pt>
                <c:pt idx="1">
                  <c:v>0.28701211623245471</c:v>
                </c:pt>
                <c:pt idx="2">
                  <c:v>1.1529027924770906E-2</c:v>
                </c:pt>
                <c:pt idx="3">
                  <c:v>4.520592528397014E-2</c:v>
                </c:pt>
                <c:pt idx="4">
                  <c:v>8.7681291322599803E-2</c:v>
                </c:pt>
                <c:pt idx="5">
                  <c:v>0.16190858160001617</c:v>
                </c:pt>
                <c:pt idx="6">
                  <c:v>0.14025041506869595</c:v>
                </c:pt>
                <c:pt idx="7">
                  <c:v>7.3321407973465117E-3</c:v>
                </c:pt>
              </c:numCache>
            </c:numRef>
          </c:val>
          <c:extLst>
            <c:ext xmlns:c16="http://schemas.microsoft.com/office/drawing/2014/chart" uri="{C3380CC4-5D6E-409C-BE32-E72D297353CC}">
              <c16:uniqueId val="{0000000F-4E8A-4CD0-99BD-8B4C19CDD795}"/>
            </c:ext>
          </c:extLst>
        </c:ser>
        <c:dLbls>
          <c:showLegendKey val="0"/>
          <c:showVal val="0"/>
          <c:showCatName val="0"/>
          <c:showSerName val="0"/>
          <c:showPercent val="0"/>
          <c:showBubbleSize val="0"/>
          <c:showLeaderLines val="1"/>
        </c:dLbls>
        <c:firstSliceAng val="20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D705-4B98-BAAF-670C51AA668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D705-4B98-BAAF-670C51AA6687}"/>
              </c:ext>
            </c:extLst>
          </c:dPt>
          <c:dPt>
            <c:idx val="2"/>
            <c:bubble3D val="0"/>
            <c:spPr>
              <a:solidFill>
                <a:srgbClr val="FFFFCC"/>
              </a:solidFill>
              <a:ln>
                <a:solidFill>
                  <a:schemeClr val="tx1"/>
                </a:solidFill>
              </a:ln>
            </c:spPr>
            <c:extLst>
              <c:ext xmlns:c16="http://schemas.microsoft.com/office/drawing/2014/chart" uri="{C3380CC4-5D6E-409C-BE32-E72D297353CC}">
                <c16:uniqueId val="{00000005-D705-4B98-BAAF-670C51AA6687}"/>
              </c:ext>
            </c:extLst>
          </c:dPt>
          <c:dPt>
            <c:idx val="3"/>
            <c:bubble3D val="0"/>
            <c:spPr>
              <a:solidFill>
                <a:srgbClr val="C00000"/>
              </a:solidFill>
              <a:ln>
                <a:solidFill>
                  <a:schemeClr val="tx1"/>
                </a:solidFill>
              </a:ln>
            </c:spPr>
            <c:extLst>
              <c:ext xmlns:c16="http://schemas.microsoft.com/office/drawing/2014/chart" uri="{C3380CC4-5D6E-409C-BE32-E72D297353CC}">
                <c16:uniqueId val="{00000007-D705-4B98-BAAF-670C51AA668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D705-4B98-BAAF-670C51AA668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D705-4B98-BAAF-670C51AA668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D705-4B98-BAAF-670C51AA6687}"/>
              </c:ext>
            </c:extLst>
          </c:dPt>
          <c:dPt>
            <c:idx val="7"/>
            <c:bubble3D val="0"/>
            <c:extLst>
              <c:ext xmlns:c16="http://schemas.microsoft.com/office/drawing/2014/chart" uri="{C3380CC4-5D6E-409C-BE32-E72D297353CC}">
                <c16:uniqueId val="{0000000E-D705-4B98-BAAF-670C51AA668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705-4B98-BAAF-670C51AA668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(SectorSum2024PB!$H$22,SectorSum2024PB!$H$24:$H$30)</c:f>
              <c:numCache>
                <c:formatCode>0.0%</c:formatCode>
                <c:ptCount val="8"/>
                <c:pt idx="0">
                  <c:v>0.1812766952495187</c:v>
                </c:pt>
                <c:pt idx="1">
                  <c:v>0.58447394791071261</c:v>
                </c:pt>
                <c:pt idx="2">
                  <c:v>2.016226545132117E-2</c:v>
                </c:pt>
                <c:pt idx="3">
                  <c:v>2.1916945367445997E-2</c:v>
                </c:pt>
                <c:pt idx="4">
                  <c:v>4.1383960285962989E-3</c:v>
                </c:pt>
                <c:pt idx="5">
                  <c:v>7.0627449125630459E-2</c:v>
                </c:pt>
                <c:pt idx="6">
                  <c:v>4.7949720305746846E-2</c:v>
                </c:pt>
                <c:pt idx="7">
                  <c:v>6.945458056102799E-2</c:v>
                </c:pt>
              </c:numCache>
            </c:numRef>
          </c:val>
          <c:extLst>
            <c:ext xmlns:c16="http://schemas.microsoft.com/office/drawing/2014/chart" uri="{C3380CC4-5D6E-409C-BE32-E72D297353CC}">
              <c16:uniqueId val="{0000000F-D705-4B98-BAAF-670C51AA6687}"/>
            </c:ext>
          </c:extLst>
        </c:ser>
        <c:dLbls>
          <c:showLegendKey val="0"/>
          <c:showVal val="0"/>
          <c:showCatName val="0"/>
          <c:showSerName val="0"/>
          <c:showPercent val="0"/>
          <c:showBubbleSize val="0"/>
          <c:showLeaderLines val="1"/>
        </c:dLbls>
        <c:firstSliceAng val="13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'Emissions-RFP'!$Q$21:$R$21</c:f>
              <c:numCache>
                <c:formatCode>General</c:formatCode>
                <c:ptCount val="2"/>
                <c:pt idx="0">
                  <c:v>2019</c:v>
                </c:pt>
                <c:pt idx="1">
                  <c:v>2024</c:v>
                </c:pt>
              </c:numCache>
            </c:numRef>
          </c:xVal>
          <c:yVal>
            <c:numRef>
              <c:f>'Emissions-RFP'!$Q$28:$R$28</c:f>
              <c:numCache>
                <c:formatCode>0.00</c:formatCode>
                <c:ptCount val="2"/>
                <c:pt idx="0">
                  <c:v>15.009459954062805</c:v>
                </c:pt>
                <c:pt idx="1">
                  <c:v>10.706309234777319</c:v>
                </c:pt>
              </c:numCache>
            </c:numRef>
          </c:yVal>
          <c:smooth val="0"/>
          <c:extLst>
            <c:ext xmlns:c16="http://schemas.microsoft.com/office/drawing/2014/chart" uri="{C3380CC4-5D6E-409C-BE32-E72D297353CC}">
              <c16:uniqueId val="{00000000-09B1-4474-915E-B533A3E6F7EC}"/>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'Emissions-RFP'!$L$21:$P$21</c:f>
              <c:numCache>
                <c:formatCode>General</c:formatCode>
                <c:ptCount val="5"/>
                <c:pt idx="0">
                  <c:v>2019</c:v>
                </c:pt>
                <c:pt idx="1">
                  <c:v>2020</c:v>
                </c:pt>
                <c:pt idx="2">
                  <c:v>2023</c:v>
                </c:pt>
                <c:pt idx="3">
                  <c:v>2024</c:v>
                </c:pt>
                <c:pt idx="4">
                  <c:v>2026</c:v>
                </c:pt>
              </c:numCache>
            </c:numRef>
          </c:xVal>
          <c:yVal>
            <c:numRef>
              <c:f>'Emissions-RFP'!$L$27:$P$27</c:f>
              <c:numCache>
                <c:formatCode>0.00</c:formatCode>
                <c:ptCount val="5"/>
                <c:pt idx="0">
                  <c:v>15.009459954062805</c:v>
                </c:pt>
                <c:pt idx="1">
                  <c:v>15.28277177346013</c:v>
                </c:pt>
                <c:pt idx="2">
                  <c:v>12.592141903750029</c:v>
                </c:pt>
                <c:pt idx="3">
                  <c:v>10.706309234777315</c:v>
                </c:pt>
                <c:pt idx="4">
                  <c:v>10.836108177773751</c:v>
                </c:pt>
              </c:numCache>
            </c:numRef>
          </c:yVal>
          <c:smooth val="0"/>
          <c:extLst>
            <c:ext xmlns:c16="http://schemas.microsoft.com/office/drawing/2014/chart" uri="{C3380CC4-5D6E-409C-BE32-E72D297353CC}">
              <c16:uniqueId val="{00000001-09B1-4474-915E-B533A3E6F7EC}"/>
            </c:ext>
          </c:extLst>
        </c:ser>
        <c:dLbls>
          <c:showLegendKey val="0"/>
          <c:showVal val="0"/>
          <c:showCatName val="0"/>
          <c:showSerName val="0"/>
          <c:showPercent val="0"/>
          <c:showBubbleSize val="0"/>
        </c:dLbls>
        <c:axId val="436190143"/>
        <c:axId val="229906655"/>
      </c:scatterChart>
      <c:valAx>
        <c:axId val="436190143"/>
        <c:scaling>
          <c:orientation val="minMax"/>
          <c:max val="2028"/>
          <c:min val="201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ax val="16"/>
          <c:min val="1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baseline="0">
                    <a:solidFill>
                      <a:schemeClr val="tx1"/>
                    </a:solidFill>
                  </a:rPr>
                  <a:t>SO</a:t>
                </a:r>
                <a:r>
                  <a:rPr lang="en-US" sz="1050" baseline="-25000">
                    <a:solidFill>
                      <a:schemeClr val="tx1"/>
                    </a:solidFill>
                  </a:rPr>
                  <a:t>2</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633991688538933"/>
          <c:y val="0.10648148148148148"/>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BFD4-44B5-8B40-E3D66D4B96BF}"/>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BFD4-44B5-8B40-E3D66D4B96BF}"/>
              </c:ext>
            </c:extLst>
          </c:dPt>
          <c:dPt>
            <c:idx val="2"/>
            <c:bubble3D val="0"/>
            <c:spPr>
              <a:solidFill>
                <a:srgbClr val="FFFFCC"/>
              </a:solidFill>
              <a:ln>
                <a:solidFill>
                  <a:schemeClr val="tx1"/>
                </a:solidFill>
              </a:ln>
            </c:spPr>
            <c:extLst>
              <c:ext xmlns:c16="http://schemas.microsoft.com/office/drawing/2014/chart" uri="{C3380CC4-5D6E-409C-BE32-E72D297353CC}">
                <c16:uniqueId val="{00000005-BFD4-44B5-8B40-E3D66D4B96BF}"/>
              </c:ext>
            </c:extLst>
          </c:dPt>
          <c:dPt>
            <c:idx val="3"/>
            <c:bubble3D val="0"/>
            <c:spPr>
              <a:solidFill>
                <a:srgbClr val="C00000"/>
              </a:solidFill>
              <a:ln>
                <a:solidFill>
                  <a:schemeClr val="tx1"/>
                </a:solidFill>
              </a:ln>
            </c:spPr>
            <c:extLst>
              <c:ext xmlns:c16="http://schemas.microsoft.com/office/drawing/2014/chart" uri="{C3380CC4-5D6E-409C-BE32-E72D297353CC}">
                <c16:uniqueId val="{00000007-BFD4-44B5-8B40-E3D66D4B96BF}"/>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BFD4-44B5-8B40-E3D66D4B96BF}"/>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BFD4-44B5-8B40-E3D66D4B96BF}"/>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BFD4-44B5-8B40-E3D66D4B96BF}"/>
              </c:ext>
            </c:extLst>
          </c:dPt>
          <c:dPt>
            <c:idx val="7"/>
            <c:bubble3D val="0"/>
            <c:extLst>
              <c:ext xmlns:c16="http://schemas.microsoft.com/office/drawing/2014/chart" uri="{C3380CC4-5D6E-409C-BE32-E72D297353CC}">
                <c16:uniqueId val="{0000000E-BFD4-44B5-8B40-E3D66D4B96BF}"/>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D4-44B5-8B40-E3D66D4B96BF}"/>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(SectorSum2024PB!$I$22,SectorSum2024PB!$I$24:$I$30)</c:f>
              <c:numCache>
                <c:formatCode>0.0%</c:formatCode>
                <c:ptCount val="8"/>
                <c:pt idx="0">
                  <c:v>0.68714835942453811</c:v>
                </c:pt>
                <c:pt idx="1">
                  <c:v>2.4259079562074751E-2</c:v>
                </c:pt>
                <c:pt idx="2">
                  <c:v>0.11199813635384258</c:v>
                </c:pt>
                <c:pt idx="3">
                  <c:v>3.1586060445036417E-3</c:v>
                </c:pt>
                <c:pt idx="4">
                  <c:v>1.0307030250485568E-2</c:v>
                </c:pt>
                <c:pt idx="5">
                  <c:v>2.3518655509358704E-2</c:v>
                </c:pt>
                <c:pt idx="6">
                  <c:v>7.6914483863930891E-2</c:v>
                </c:pt>
                <c:pt idx="7">
                  <c:v>6.2695648991265618E-2</c:v>
                </c:pt>
              </c:numCache>
            </c:numRef>
          </c:val>
          <c:extLst>
            <c:ext xmlns:c16="http://schemas.microsoft.com/office/drawing/2014/chart" uri="{C3380CC4-5D6E-409C-BE32-E72D297353CC}">
              <c16:uniqueId val="{0000000F-BFD4-44B5-8B40-E3D66D4B96BF}"/>
            </c:ext>
          </c:extLst>
        </c:ser>
        <c:dLbls>
          <c:showLegendKey val="0"/>
          <c:showVal val="0"/>
          <c:showCatName val="0"/>
          <c:showSerName val="0"/>
          <c:showPercent val="0"/>
          <c:showBubbleSize val="0"/>
          <c:showLeaderLines val="1"/>
        </c:dLbls>
        <c:firstSliceAng val="14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64A0-4F3C-9211-8A9531A9F07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64A0-4F3C-9211-8A9531A9F077}"/>
              </c:ext>
            </c:extLst>
          </c:dPt>
          <c:dPt>
            <c:idx val="2"/>
            <c:bubble3D val="0"/>
            <c:spPr>
              <a:solidFill>
                <a:srgbClr val="FFFFCC"/>
              </a:solidFill>
              <a:ln>
                <a:solidFill>
                  <a:schemeClr val="tx1"/>
                </a:solidFill>
              </a:ln>
            </c:spPr>
            <c:extLst>
              <c:ext xmlns:c16="http://schemas.microsoft.com/office/drawing/2014/chart" uri="{C3380CC4-5D6E-409C-BE32-E72D297353CC}">
                <c16:uniqueId val="{00000005-64A0-4F3C-9211-8A9531A9F077}"/>
              </c:ext>
            </c:extLst>
          </c:dPt>
          <c:dPt>
            <c:idx val="3"/>
            <c:bubble3D val="0"/>
            <c:spPr>
              <a:solidFill>
                <a:srgbClr val="C00000"/>
              </a:solidFill>
              <a:ln>
                <a:solidFill>
                  <a:schemeClr val="tx1"/>
                </a:solidFill>
              </a:ln>
            </c:spPr>
            <c:extLst>
              <c:ext xmlns:c16="http://schemas.microsoft.com/office/drawing/2014/chart" uri="{C3380CC4-5D6E-409C-BE32-E72D297353CC}">
                <c16:uniqueId val="{00000007-64A0-4F3C-9211-8A9531A9F07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64A0-4F3C-9211-8A9531A9F07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64A0-4F3C-9211-8A9531A9F07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64A0-4F3C-9211-8A9531A9F077}"/>
              </c:ext>
            </c:extLst>
          </c:dPt>
          <c:dPt>
            <c:idx val="7"/>
            <c:bubble3D val="0"/>
            <c:extLst>
              <c:ext xmlns:c16="http://schemas.microsoft.com/office/drawing/2014/chart" uri="{C3380CC4-5D6E-409C-BE32-E72D297353CC}">
                <c16:uniqueId val="{0000000E-64A0-4F3C-9211-8A9531A9F07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4A0-4F3C-9211-8A9531A9F07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(SectorSum2024PB!$J$22,SectorSum2024PB!$J$24:$J$30)</c:f>
              <c:numCache>
                <c:formatCode>0.0%</c:formatCode>
                <c:ptCount val="8"/>
                <c:pt idx="0">
                  <c:v>0.38526882113540978</c:v>
                </c:pt>
                <c:pt idx="1">
                  <c:v>1.0875724775748259E-2</c:v>
                </c:pt>
                <c:pt idx="2">
                  <c:v>0.24480949631579291</c:v>
                </c:pt>
                <c:pt idx="3">
                  <c:v>5.9253948778214644E-3</c:v>
                </c:pt>
                <c:pt idx="4">
                  <c:v>1.2068986114780196E-3</c:v>
                </c:pt>
                <c:pt idx="5">
                  <c:v>1.8852827794199917E-3</c:v>
                </c:pt>
                <c:pt idx="6">
                  <c:v>4.2833640893194909E-4</c:v>
                </c:pt>
                <c:pt idx="7">
                  <c:v>0.34960004509539755</c:v>
                </c:pt>
              </c:numCache>
            </c:numRef>
          </c:val>
          <c:extLst>
            <c:ext xmlns:c16="http://schemas.microsoft.com/office/drawing/2014/chart" uri="{C3380CC4-5D6E-409C-BE32-E72D297353CC}">
              <c16:uniqueId val="{0000000F-64A0-4F3C-9211-8A9531A9F077}"/>
            </c:ext>
          </c:extLst>
        </c:ser>
        <c:dLbls>
          <c:showLegendKey val="0"/>
          <c:showVal val="0"/>
          <c:showCatName val="0"/>
          <c:showSerName val="0"/>
          <c:showPercent val="0"/>
          <c:showBubbleSize val="0"/>
          <c:showLeaderLines val="1"/>
        </c:dLbls>
        <c:firstSliceAng val="24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4B7-4C44-831E-888412D06D89}"/>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4B7-4C44-831E-888412D06D89}"/>
              </c:ext>
            </c:extLst>
          </c:dPt>
          <c:dPt>
            <c:idx val="2"/>
            <c:bubble3D val="0"/>
            <c:spPr>
              <a:solidFill>
                <a:srgbClr val="FFFFCC"/>
              </a:solidFill>
              <a:ln>
                <a:solidFill>
                  <a:schemeClr val="tx1"/>
                </a:solidFill>
              </a:ln>
            </c:spPr>
            <c:extLst>
              <c:ext xmlns:c16="http://schemas.microsoft.com/office/drawing/2014/chart" uri="{C3380CC4-5D6E-409C-BE32-E72D297353CC}">
                <c16:uniqueId val="{00000005-44B7-4C44-831E-888412D06D89}"/>
              </c:ext>
            </c:extLst>
          </c:dPt>
          <c:dPt>
            <c:idx val="3"/>
            <c:bubble3D val="0"/>
            <c:spPr>
              <a:solidFill>
                <a:srgbClr val="C00000"/>
              </a:solidFill>
              <a:ln>
                <a:solidFill>
                  <a:schemeClr val="tx1"/>
                </a:solidFill>
              </a:ln>
            </c:spPr>
            <c:extLst>
              <c:ext xmlns:c16="http://schemas.microsoft.com/office/drawing/2014/chart" uri="{C3380CC4-5D6E-409C-BE32-E72D297353CC}">
                <c16:uniqueId val="{00000007-44B7-4C44-831E-888412D06D89}"/>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4B7-4C44-831E-888412D06D89}"/>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4B7-4C44-831E-888412D06D89}"/>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4B7-4C44-831E-888412D06D89}"/>
              </c:ext>
            </c:extLst>
          </c:dPt>
          <c:dPt>
            <c:idx val="7"/>
            <c:bubble3D val="0"/>
            <c:extLst>
              <c:ext xmlns:c16="http://schemas.microsoft.com/office/drawing/2014/chart" uri="{C3380CC4-5D6E-409C-BE32-E72D297353CC}">
                <c16:uniqueId val="{0000000E-44B7-4C44-831E-888412D06D89}"/>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4B7-4C44-831E-888412D06D89}"/>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(SectorSum2024PB!$K$22,SectorSum2024PB!$K$24:$K$30)</c:f>
              <c:numCache>
                <c:formatCode>0.0%</c:formatCode>
                <c:ptCount val="8"/>
                <c:pt idx="0">
                  <c:v>1.9139904352351868E-3</c:v>
                </c:pt>
                <c:pt idx="1">
                  <c:v>0.4641436773528686</c:v>
                </c:pt>
                <c:pt idx="2">
                  <c:v>5.6247760704038093E-3</c:v>
                </c:pt>
                <c:pt idx="3">
                  <c:v>6.0123098547820233E-3</c:v>
                </c:pt>
                <c:pt idx="4">
                  <c:v>4.650405412538582E-4</c:v>
                </c:pt>
                <c:pt idx="5">
                  <c:v>0.1241950257365869</c:v>
                </c:pt>
                <c:pt idx="6">
                  <c:v>0.19639641051149567</c:v>
                </c:pt>
                <c:pt idx="7">
                  <c:v>0.20125430569429362</c:v>
                </c:pt>
              </c:numCache>
            </c:numRef>
          </c:val>
          <c:extLst>
            <c:ext xmlns:c16="http://schemas.microsoft.com/office/drawing/2014/chart" uri="{C3380CC4-5D6E-409C-BE32-E72D297353CC}">
              <c16:uniqueId val="{0000000F-44B7-4C44-831E-888412D06D89}"/>
            </c:ext>
          </c:extLst>
        </c:ser>
        <c:dLbls>
          <c:showLegendKey val="0"/>
          <c:showVal val="0"/>
          <c:showCatName val="0"/>
          <c:showSerName val="0"/>
          <c:showPercent val="0"/>
          <c:showBubbleSize val="0"/>
          <c:showLeaderLines val="1"/>
        </c:dLbls>
        <c:firstSliceAng val="22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E558-4C84-B7E4-BF0BC7571E4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E558-4C84-B7E4-BF0BC7571E4D}"/>
              </c:ext>
            </c:extLst>
          </c:dPt>
          <c:dPt>
            <c:idx val="2"/>
            <c:bubble3D val="0"/>
            <c:spPr>
              <a:solidFill>
                <a:srgbClr val="FFFFCC"/>
              </a:solidFill>
              <a:ln>
                <a:solidFill>
                  <a:schemeClr val="tx1"/>
                </a:solidFill>
              </a:ln>
            </c:spPr>
            <c:extLst>
              <c:ext xmlns:c16="http://schemas.microsoft.com/office/drawing/2014/chart" uri="{C3380CC4-5D6E-409C-BE32-E72D297353CC}">
                <c16:uniqueId val="{00000005-E558-4C84-B7E4-BF0BC7571E4D}"/>
              </c:ext>
            </c:extLst>
          </c:dPt>
          <c:dPt>
            <c:idx val="3"/>
            <c:bubble3D val="0"/>
            <c:spPr>
              <a:solidFill>
                <a:srgbClr val="C00000"/>
              </a:solidFill>
              <a:ln>
                <a:solidFill>
                  <a:schemeClr val="tx1"/>
                </a:solidFill>
              </a:ln>
            </c:spPr>
            <c:extLst>
              <c:ext xmlns:c16="http://schemas.microsoft.com/office/drawing/2014/chart" uri="{C3380CC4-5D6E-409C-BE32-E72D297353CC}">
                <c16:uniqueId val="{00000007-E558-4C84-B7E4-BF0BC7571E4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E558-4C84-B7E4-BF0BC7571E4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E558-4C84-B7E4-BF0BC7571E4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E558-4C84-B7E4-BF0BC7571E4D}"/>
              </c:ext>
            </c:extLst>
          </c:dPt>
          <c:dPt>
            <c:idx val="7"/>
            <c:bubble3D val="0"/>
            <c:extLst>
              <c:ext xmlns:c16="http://schemas.microsoft.com/office/drawing/2014/chart" uri="{C3380CC4-5D6E-409C-BE32-E72D297353CC}">
                <c16:uniqueId val="{0000000E-E558-4C84-B7E4-BF0BC7571E4D}"/>
              </c:ext>
            </c:extLst>
          </c:dPt>
          <c:dLbls>
            <c:dLbl>
              <c:idx val="7"/>
              <c:delete val="1"/>
              <c:extLst>
                <c:ext xmlns:c15="http://schemas.microsoft.com/office/drawing/2012/chart" uri="{CE6537A1-D6FC-4f65-9D91-7224C49458BB}"/>
                <c:ext xmlns:c16="http://schemas.microsoft.com/office/drawing/2014/chart" uri="{C3380CC4-5D6E-409C-BE32-E72D297353CC}">
                  <c16:uniqueId val="{0000000E-E558-4C84-B7E4-BF0BC7571E4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(SectorSum2024PB!$L$22,SectorSum2024PB!$L$24:$L$30)</c:f>
              <c:numCache>
                <c:formatCode>0.0%</c:formatCode>
                <c:ptCount val="8"/>
                <c:pt idx="0">
                  <c:v>0.25908050177014591</c:v>
                </c:pt>
                <c:pt idx="1">
                  <c:v>0.28096812880674787</c:v>
                </c:pt>
                <c:pt idx="2">
                  <c:v>1.1448061127166677E-2</c:v>
                </c:pt>
                <c:pt idx="3">
                  <c:v>4.4810982126338134E-2</c:v>
                </c:pt>
                <c:pt idx="4">
                  <c:v>9.4528276164319122E-2</c:v>
                </c:pt>
                <c:pt idx="5">
                  <c:v>0.16190858160001617</c:v>
                </c:pt>
                <c:pt idx="6">
                  <c:v>0.14025041506869595</c:v>
                </c:pt>
                <c:pt idx="7">
                  <c:v>7.3321407973465117E-3</c:v>
                </c:pt>
              </c:numCache>
            </c:numRef>
          </c:val>
          <c:extLst>
            <c:ext xmlns:c16="http://schemas.microsoft.com/office/drawing/2014/chart" uri="{C3380CC4-5D6E-409C-BE32-E72D297353CC}">
              <c16:uniqueId val="{0000000F-E558-4C84-B7E4-BF0BC7571E4D}"/>
            </c:ext>
          </c:extLst>
        </c:ser>
        <c:dLbls>
          <c:showLegendKey val="0"/>
          <c:showVal val="0"/>
          <c:showCatName val="0"/>
          <c:showSerName val="0"/>
          <c:showPercent val="0"/>
          <c:showBubbleSize val="0"/>
          <c:showLeaderLines val="1"/>
        </c:dLbls>
        <c:firstSliceAng val="20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'Emissions-RFP'!$Q$37:$R$37</c:f>
              <c:numCache>
                <c:formatCode>General</c:formatCode>
                <c:ptCount val="2"/>
                <c:pt idx="0">
                  <c:v>2019</c:v>
                </c:pt>
                <c:pt idx="1">
                  <c:v>2024</c:v>
                </c:pt>
              </c:numCache>
            </c:numRef>
          </c:xVal>
          <c:yVal>
            <c:numRef>
              <c:f>'Emissions-RFP'!$Q$44:$R$44</c:f>
              <c:numCache>
                <c:formatCode>0.000</c:formatCode>
                <c:ptCount val="2"/>
                <c:pt idx="0">
                  <c:v>0.29306142179590283</c:v>
                </c:pt>
                <c:pt idx="1">
                  <c:v>0.31602862610720778</c:v>
                </c:pt>
              </c:numCache>
            </c:numRef>
          </c:yVal>
          <c:smooth val="0"/>
          <c:extLst>
            <c:ext xmlns:c16="http://schemas.microsoft.com/office/drawing/2014/chart" uri="{C3380CC4-5D6E-409C-BE32-E72D297353CC}">
              <c16:uniqueId val="{00000000-D3CC-40DD-9538-69E663148051}"/>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'Emissions-RFP'!$L$37:$P$37</c:f>
              <c:numCache>
                <c:formatCode>General</c:formatCode>
                <c:ptCount val="5"/>
                <c:pt idx="0">
                  <c:v>2019</c:v>
                </c:pt>
                <c:pt idx="1">
                  <c:v>2020</c:v>
                </c:pt>
                <c:pt idx="2">
                  <c:v>2023</c:v>
                </c:pt>
                <c:pt idx="3">
                  <c:v>2024</c:v>
                </c:pt>
                <c:pt idx="4">
                  <c:v>2026</c:v>
                </c:pt>
              </c:numCache>
            </c:numRef>
          </c:xVal>
          <c:yVal>
            <c:numRef>
              <c:f>'Emissions-RFP'!$L$43:$P$43</c:f>
              <c:numCache>
                <c:formatCode>0.000</c:formatCode>
                <c:ptCount val="5"/>
                <c:pt idx="0">
                  <c:v>0.29306142179590283</c:v>
                </c:pt>
                <c:pt idx="1">
                  <c:v>0.29777498066585384</c:v>
                </c:pt>
                <c:pt idx="2">
                  <c:v>0.31262682888727361</c:v>
                </c:pt>
                <c:pt idx="3">
                  <c:v>0.31602862610720778</c:v>
                </c:pt>
                <c:pt idx="4">
                  <c:v>0.32107214198693868</c:v>
                </c:pt>
              </c:numCache>
            </c:numRef>
          </c:yVal>
          <c:smooth val="0"/>
          <c:extLst>
            <c:ext xmlns:c16="http://schemas.microsoft.com/office/drawing/2014/chart" uri="{C3380CC4-5D6E-409C-BE32-E72D297353CC}">
              <c16:uniqueId val="{00000001-D3CC-40DD-9538-69E663148051}"/>
            </c:ext>
          </c:extLst>
        </c:ser>
        <c:dLbls>
          <c:showLegendKey val="0"/>
          <c:showVal val="0"/>
          <c:showCatName val="0"/>
          <c:showSerName val="0"/>
          <c:showPercent val="0"/>
          <c:showBubbleSize val="0"/>
        </c:dLbls>
        <c:axId val="436190143"/>
        <c:axId val="229906655"/>
      </c:scatterChart>
      <c:valAx>
        <c:axId val="4361901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ax val="0.33000000000000007"/>
          <c:min val="0.2800000000000000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NH</a:t>
                </a:r>
                <a:r>
                  <a:rPr lang="en-US" sz="1050" baseline="-25000">
                    <a:solidFill>
                      <a:schemeClr val="tx1"/>
                    </a:solidFill>
                  </a:rPr>
                  <a:t>3</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5506583552055988"/>
          <c:y val="0.53240740740740744"/>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B55C-4E5B-8B44-397178E70E2F}"/>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B55C-4E5B-8B44-397178E70E2F}"/>
              </c:ext>
            </c:extLst>
          </c:dPt>
          <c:dPt>
            <c:idx val="2"/>
            <c:bubble3D val="0"/>
            <c:spPr>
              <a:solidFill>
                <a:srgbClr val="FFFFCC"/>
              </a:solidFill>
              <a:ln>
                <a:solidFill>
                  <a:schemeClr val="tx1"/>
                </a:solidFill>
              </a:ln>
            </c:spPr>
            <c:extLst>
              <c:ext xmlns:c16="http://schemas.microsoft.com/office/drawing/2014/chart" uri="{C3380CC4-5D6E-409C-BE32-E72D297353CC}">
                <c16:uniqueId val="{00000005-B55C-4E5B-8B44-397178E70E2F}"/>
              </c:ext>
            </c:extLst>
          </c:dPt>
          <c:dPt>
            <c:idx val="3"/>
            <c:bubble3D val="0"/>
            <c:spPr>
              <a:solidFill>
                <a:srgbClr val="C00000"/>
              </a:solidFill>
              <a:ln>
                <a:solidFill>
                  <a:schemeClr val="tx1"/>
                </a:solidFill>
              </a:ln>
            </c:spPr>
            <c:extLst>
              <c:ext xmlns:c16="http://schemas.microsoft.com/office/drawing/2014/chart" uri="{C3380CC4-5D6E-409C-BE32-E72D297353CC}">
                <c16:uniqueId val="{00000007-B55C-4E5B-8B44-397178E70E2F}"/>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B55C-4E5B-8B44-397178E70E2F}"/>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B55C-4E5B-8B44-397178E70E2F}"/>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B55C-4E5B-8B44-397178E70E2F}"/>
              </c:ext>
            </c:extLst>
          </c:dPt>
          <c:dPt>
            <c:idx val="7"/>
            <c:bubble3D val="0"/>
            <c:extLst>
              <c:ext xmlns:c16="http://schemas.microsoft.com/office/drawing/2014/chart" uri="{C3380CC4-5D6E-409C-BE32-E72D297353CC}">
                <c16:uniqueId val="{0000000E-B55C-4E5B-8B44-397178E70E2F}"/>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55C-4E5B-8B44-397178E70E2F}"/>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(SectorSum2019!$H$22,SectorSum2019!$H$24:$H$30)</c:f>
              <c:numCache>
                <c:formatCode>0.0%</c:formatCode>
                <c:ptCount val="8"/>
                <c:pt idx="0">
                  <c:v>0.17956788562725959</c:v>
                </c:pt>
                <c:pt idx="1">
                  <c:v>0.55906967658934581</c:v>
                </c:pt>
                <c:pt idx="2">
                  <c:v>1.928590874832398E-2</c:v>
                </c:pt>
                <c:pt idx="3">
                  <c:v>2.0964321168128856E-2</c:v>
                </c:pt>
                <c:pt idx="4">
                  <c:v>3.9585198580303739E-3</c:v>
                </c:pt>
                <c:pt idx="5">
                  <c:v>7.0813460623179864E-2</c:v>
                </c:pt>
                <c:pt idx="6">
                  <c:v>6.8100721587795857E-2</c:v>
                </c:pt>
                <c:pt idx="7">
                  <c:v>7.823950579793551E-2</c:v>
                </c:pt>
              </c:numCache>
            </c:numRef>
          </c:val>
          <c:extLst>
            <c:ext xmlns:c16="http://schemas.microsoft.com/office/drawing/2014/chart" uri="{C3380CC4-5D6E-409C-BE32-E72D297353CC}">
              <c16:uniqueId val="{0000000F-B55C-4E5B-8B44-397178E70E2F}"/>
            </c:ext>
          </c:extLst>
        </c:ser>
        <c:dLbls>
          <c:showLegendKey val="0"/>
          <c:showVal val="0"/>
          <c:showCatName val="0"/>
          <c:showSerName val="0"/>
          <c:showPercent val="0"/>
          <c:showBubbleSize val="0"/>
          <c:showLeaderLines val="1"/>
        </c:dLbls>
        <c:firstSliceAng val="100"/>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72ED-4B11-A193-AF00AE6C058C}"/>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72ED-4B11-A193-AF00AE6C058C}"/>
              </c:ext>
            </c:extLst>
          </c:dPt>
          <c:dPt>
            <c:idx val="2"/>
            <c:bubble3D val="0"/>
            <c:spPr>
              <a:solidFill>
                <a:srgbClr val="FFFFCC"/>
              </a:solidFill>
              <a:ln>
                <a:solidFill>
                  <a:schemeClr val="tx1"/>
                </a:solidFill>
              </a:ln>
            </c:spPr>
            <c:extLst>
              <c:ext xmlns:c16="http://schemas.microsoft.com/office/drawing/2014/chart" uri="{C3380CC4-5D6E-409C-BE32-E72D297353CC}">
                <c16:uniqueId val="{00000005-72ED-4B11-A193-AF00AE6C058C}"/>
              </c:ext>
            </c:extLst>
          </c:dPt>
          <c:dPt>
            <c:idx val="3"/>
            <c:bubble3D val="0"/>
            <c:spPr>
              <a:solidFill>
                <a:srgbClr val="C00000"/>
              </a:solidFill>
              <a:ln>
                <a:solidFill>
                  <a:schemeClr val="tx1"/>
                </a:solidFill>
              </a:ln>
            </c:spPr>
            <c:extLst>
              <c:ext xmlns:c16="http://schemas.microsoft.com/office/drawing/2014/chart" uri="{C3380CC4-5D6E-409C-BE32-E72D297353CC}">
                <c16:uniqueId val="{00000007-72ED-4B11-A193-AF00AE6C058C}"/>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72ED-4B11-A193-AF00AE6C058C}"/>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72ED-4B11-A193-AF00AE6C058C}"/>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72ED-4B11-A193-AF00AE6C058C}"/>
              </c:ext>
            </c:extLst>
          </c:dPt>
          <c:dPt>
            <c:idx val="7"/>
            <c:bubble3D val="0"/>
            <c:extLst>
              <c:ext xmlns:c16="http://schemas.microsoft.com/office/drawing/2014/chart" uri="{C3380CC4-5D6E-409C-BE32-E72D297353CC}">
                <c16:uniqueId val="{0000000E-72ED-4B11-A193-AF00AE6C058C}"/>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2ED-4B11-A193-AF00AE6C058C}"/>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(SectorSum2019!$I$22,SectorSum2019!$I$24:$I$30)</c:f>
              <c:numCache>
                <c:formatCode>0.0%</c:formatCode>
                <c:ptCount val="8"/>
                <c:pt idx="0">
                  <c:v>0.65513254946554522</c:v>
                </c:pt>
                <c:pt idx="1">
                  <c:v>2.5046656724371862E-2</c:v>
                </c:pt>
                <c:pt idx="2">
                  <c:v>0.11563418421734117</c:v>
                </c:pt>
                <c:pt idx="3">
                  <c:v>3.2611509897468951E-3</c:v>
                </c:pt>
                <c:pt idx="4">
                  <c:v>1.0641650598121447E-2</c:v>
                </c:pt>
                <c:pt idx="5">
                  <c:v>2.2695865975936626E-2</c:v>
                </c:pt>
                <c:pt idx="6">
                  <c:v>0.10786382400576248</c:v>
                </c:pt>
                <c:pt idx="7">
                  <c:v>5.9724118023174219E-2</c:v>
                </c:pt>
              </c:numCache>
            </c:numRef>
          </c:val>
          <c:extLst>
            <c:ext xmlns:c16="http://schemas.microsoft.com/office/drawing/2014/chart" uri="{C3380CC4-5D6E-409C-BE32-E72D297353CC}">
              <c16:uniqueId val="{0000000F-72ED-4B11-A193-AF00AE6C058C}"/>
            </c:ext>
          </c:extLst>
        </c:ser>
        <c:dLbls>
          <c:showLegendKey val="0"/>
          <c:showVal val="0"/>
          <c:showCatName val="0"/>
          <c:showSerName val="0"/>
          <c:showPercent val="0"/>
          <c:showBubbleSize val="0"/>
          <c:showLeaderLines val="1"/>
        </c:dLbls>
        <c:firstSliceAng val="157"/>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9B2B-486D-86DE-3257DB23013A}"/>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9B2B-486D-86DE-3257DB23013A}"/>
              </c:ext>
            </c:extLst>
          </c:dPt>
          <c:dPt>
            <c:idx val="2"/>
            <c:bubble3D val="0"/>
            <c:spPr>
              <a:solidFill>
                <a:srgbClr val="FFFFCC"/>
              </a:solidFill>
              <a:ln>
                <a:solidFill>
                  <a:schemeClr val="tx1"/>
                </a:solidFill>
              </a:ln>
            </c:spPr>
            <c:extLst>
              <c:ext xmlns:c16="http://schemas.microsoft.com/office/drawing/2014/chart" uri="{C3380CC4-5D6E-409C-BE32-E72D297353CC}">
                <c16:uniqueId val="{00000005-9B2B-486D-86DE-3257DB23013A}"/>
              </c:ext>
            </c:extLst>
          </c:dPt>
          <c:dPt>
            <c:idx val="3"/>
            <c:bubble3D val="0"/>
            <c:spPr>
              <a:solidFill>
                <a:srgbClr val="C00000"/>
              </a:solidFill>
              <a:ln>
                <a:solidFill>
                  <a:schemeClr val="tx1"/>
                </a:solidFill>
              </a:ln>
            </c:spPr>
            <c:extLst>
              <c:ext xmlns:c16="http://schemas.microsoft.com/office/drawing/2014/chart" uri="{C3380CC4-5D6E-409C-BE32-E72D297353CC}">
                <c16:uniqueId val="{00000007-9B2B-486D-86DE-3257DB23013A}"/>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9B2B-486D-86DE-3257DB23013A}"/>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9B2B-486D-86DE-3257DB23013A}"/>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9B2B-486D-86DE-3257DB23013A}"/>
              </c:ext>
            </c:extLst>
          </c:dPt>
          <c:dPt>
            <c:idx val="7"/>
            <c:bubble3D val="0"/>
            <c:extLst>
              <c:ext xmlns:c16="http://schemas.microsoft.com/office/drawing/2014/chart" uri="{C3380CC4-5D6E-409C-BE32-E72D297353CC}">
                <c16:uniqueId val="{0000000E-9B2B-486D-86DE-3257DB23013A}"/>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2B-486D-86DE-3257DB23013A}"/>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(SectorSum2019!$J$22,SectorSum2019!$J$24:$J$30)</c:f>
              <c:numCache>
                <c:formatCode>0.0%</c:formatCode>
                <c:ptCount val="8"/>
                <c:pt idx="0">
                  <c:v>0.37872781260297983</c:v>
                </c:pt>
                <c:pt idx="1">
                  <c:v>1.0700703777091852E-2</c:v>
                </c:pt>
                <c:pt idx="2">
                  <c:v>0.24086982301500234</c:v>
                </c:pt>
                <c:pt idx="3">
                  <c:v>5.8300386095879739E-3</c:v>
                </c:pt>
                <c:pt idx="4">
                  <c:v>1.1874762185236723E-3</c:v>
                </c:pt>
                <c:pt idx="5">
                  <c:v>1.8758384781066202E-3</c:v>
                </c:pt>
                <c:pt idx="6">
                  <c:v>4.5715326072185206E-4</c:v>
                </c:pt>
                <c:pt idx="7">
                  <c:v>0.36035115403798595</c:v>
                </c:pt>
              </c:numCache>
            </c:numRef>
          </c:val>
          <c:extLst>
            <c:ext xmlns:c16="http://schemas.microsoft.com/office/drawing/2014/chart" uri="{C3380CC4-5D6E-409C-BE32-E72D297353CC}">
              <c16:uniqueId val="{0000000F-9B2B-486D-86DE-3257DB23013A}"/>
            </c:ext>
          </c:extLst>
        </c:ser>
        <c:dLbls>
          <c:showLegendKey val="0"/>
          <c:showVal val="0"/>
          <c:showCatName val="0"/>
          <c:showSerName val="0"/>
          <c:showPercent val="0"/>
          <c:showBubbleSize val="0"/>
          <c:showLeaderLines val="1"/>
        </c:dLbls>
        <c:firstSliceAng val="9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798E-4E3F-8D23-CA74BCA48CB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798E-4E3F-8D23-CA74BCA48CB7}"/>
              </c:ext>
            </c:extLst>
          </c:dPt>
          <c:dPt>
            <c:idx val="2"/>
            <c:bubble3D val="0"/>
            <c:spPr>
              <a:solidFill>
                <a:srgbClr val="FFFFCC"/>
              </a:solidFill>
              <a:ln>
                <a:solidFill>
                  <a:schemeClr val="tx1"/>
                </a:solidFill>
              </a:ln>
            </c:spPr>
            <c:extLst>
              <c:ext xmlns:c16="http://schemas.microsoft.com/office/drawing/2014/chart" uri="{C3380CC4-5D6E-409C-BE32-E72D297353CC}">
                <c16:uniqueId val="{00000005-798E-4E3F-8D23-CA74BCA48CB7}"/>
              </c:ext>
            </c:extLst>
          </c:dPt>
          <c:dPt>
            <c:idx val="3"/>
            <c:bubble3D val="0"/>
            <c:spPr>
              <a:solidFill>
                <a:srgbClr val="C00000"/>
              </a:solidFill>
              <a:ln>
                <a:solidFill>
                  <a:schemeClr val="tx1"/>
                </a:solidFill>
              </a:ln>
            </c:spPr>
            <c:extLst>
              <c:ext xmlns:c16="http://schemas.microsoft.com/office/drawing/2014/chart" uri="{C3380CC4-5D6E-409C-BE32-E72D297353CC}">
                <c16:uniqueId val="{00000007-798E-4E3F-8D23-CA74BCA48CB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798E-4E3F-8D23-CA74BCA48CB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798E-4E3F-8D23-CA74BCA48CB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798E-4E3F-8D23-CA74BCA48CB7}"/>
              </c:ext>
            </c:extLst>
          </c:dPt>
          <c:dPt>
            <c:idx val="7"/>
            <c:bubble3D val="0"/>
            <c:extLst>
              <c:ext xmlns:c16="http://schemas.microsoft.com/office/drawing/2014/chart" uri="{C3380CC4-5D6E-409C-BE32-E72D297353CC}">
                <c16:uniqueId val="{0000000E-798E-4E3F-8D23-CA74BCA48CB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98E-4E3F-8D23-CA74BCA48CB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(SectorSum2019!$K$22,SectorSum2019!$K$24:$K$30)</c:f>
              <c:numCache>
                <c:formatCode>0.0%</c:formatCode>
                <c:ptCount val="8"/>
                <c:pt idx="0">
                  <c:v>1.7055888955861021E-3</c:v>
                </c:pt>
                <c:pt idx="1">
                  <c:v>0.44790284069059538</c:v>
                </c:pt>
                <c:pt idx="2">
                  <c:v>5.4279597096978088E-3</c:v>
                </c:pt>
                <c:pt idx="3">
                  <c:v>5.8019333117439176E-3</c:v>
                </c:pt>
                <c:pt idx="4">
                  <c:v>4.4876832245533066E-4</c:v>
                </c:pt>
                <c:pt idx="5">
                  <c:v>0.11201969928241406</c:v>
                </c:pt>
                <c:pt idx="6">
                  <c:v>0.20458174801217796</c:v>
                </c:pt>
                <c:pt idx="7">
                  <c:v>0.22211680425535876</c:v>
                </c:pt>
              </c:numCache>
            </c:numRef>
          </c:val>
          <c:extLst>
            <c:ext xmlns:c16="http://schemas.microsoft.com/office/drawing/2014/chart" uri="{C3380CC4-5D6E-409C-BE32-E72D297353CC}">
              <c16:uniqueId val="{0000000F-798E-4E3F-8D23-CA74BCA48CB7}"/>
            </c:ext>
          </c:extLst>
        </c:ser>
        <c:dLbls>
          <c:showLegendKey val="0"/>
          <c:showVal val="0"/>
          <c:showCatName val="0"/>
          <c:showSerName val="0"/>
          <c:showPercent val="0"/>
          <c:showBubbleSize val="0"/>
          <c:showLeaderLines val="1"/>
        </c:dLbls>
        <c:firstSliceAng val="18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DAD-4E95-93A3-4EE8719BA04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DAD-4E95-93A3-4EE8719BA04D}"/>
              </c:ext>
            </c:extLst>
          </c:dPt>
          <c:dPt>
            <c:idx val="2"/>
            <c:bubble3D val="0"/>
            <c:spPr>
              <a:solidFill>
                <a:srgbClr val="FFFFCC"/>
              </a:solidFill>
              <a:ln>
                <a:solidFill>
                  <a:schemeClr val="tx1"/>
                </a:solidFill>
              </a:ln>
            </c:spPr>
            <c:extLst>
              <c:ext xmlns:c16="http://schemas.microsoft.com/office/drawing/2014/chart" uri="{C3380CC4-5D6E-409C-BE32-E72D297353CC}">
                <c16:uniqueId val="{00000005-4DAD-4E95-93A3-4EE8719BA04D}"/>
              </c:ext>
            </c:extLst>
          </c:dPt>
          <c:dPt>
            <c:idx val="3"/>
            <c:bubble3D val="0"/>
            <c:spPr>
              <a:solidFill>
                <a:srgbClr val="C00000"/>
              </a:solidFill>
              <a:ln>
                <a:solidFill>
                  <a:schemeClr val="tx1"/>
                </a:solidFill>
              </a:ln>
            </c:spPr>
            <c:extLst>
              <c:ext xmlns:c16="http://schemas.microsoft.com/office/drawing/2014/chart" uri="{C3380CC4-5D6E-409C-BE32-E72D297353CC}">
                <c16:uniqueId val="{00000007-4DAD-4E95-93A3-4EE8719BA04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DAD-4E95-93A3-4EE8719BA04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DAD-4E95-93A3-4EE8719BA04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DAD-4E95-93A3-4EE8719BA04D}"/>
              </c:ext>
            </c:extLst>
          </c:dPt>
          <c:dPt>
            <c:idx val="7"/>
            <c:bubble3D val="0"/>
            <c:extLst>
              <c:ext xmlns:c16="http://schemas.microsoft.com/office/drawing/2014/chart" uri="{C3380CC4-5D6E-409C-BE32-E72D297353CC}">
                <c16:uniqueId val="{0000000E-4DAD-4E95-93A3-4EE8719BA04D}"/>
              </c:ext>
            </c:extLst>
          </c:dPt>
          <c:dLbls>
            <c:dLbl>
              <c:idx val="7"/>
              <c:delete val="1"/>
              <c:extLst>
                <c:ext xmlns:c15="http://schemas.microsoft.com/office/drawing/2012/chart" uri="{CE6537A1-D6FC-4f65-9D91-7224C49458BB}"/>
                <c:ext xmlns:c16="http://schemas.microsoft.com/office/drawing/2014/chart" uri="{C3380CC4-5D6E-409C-BE32-E72D297353CC}">
                  <c16:uniqueId val="{0000000E-4DAD-4E95-93A3-4EE8719BA04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(SectorSum2019!$L$22,SectorSum2019!$L$24:$L$30)</c:f>
              <c:numCache>
                <c:formatCode>0.0%</c:formatCode>
                <c:ptCount val="8"/>
                <c:pt idx="0">
                  <c:v>0.2495832298077186</c:v>
                </c:pt>
                <c:pt idx="1">
                  <c:v>0.29311261602976685</c:v>
                </c:pt>
                <c:pt idx="2">
                  <c:v>1.1942888895275713E-2</c:v>
                </c:pt>
                <c:pt idx="3">
                  <c:v>4.6747879390079225E-2</c:v>
                </c:pt>
                <c:pt idx="4">
                  <c:v>9.8614139735276607E-2</c:v>
                </c:pt>
                <c:pt idx="5">
                  <c:v>0.1578723752619294</c:v>
                </c:pt>
                <c:pt idx="6">
                  <c:v>0.13511901854106451</c:v>
                </c:pt>
                <c:pt idx="7">
                  <c:v>7.349077735897081E-3</c:v>
                </c:pt>
              </c:numCache>
            </c:numRef>
          </c:val>
          <c:extLst>
            <c:ext xmlns:c16="http://schemas.microsoft.com/office/drawing/2014/chart" uri="{C3380CC4-5D6E-409C-BE32-E72D297353CC}">
              <c16:uniqueId val="{0000000F-4DAD-4E95-93A3-4EE8719BA04D}"/>
            </c:ext>
          </c:extLst>
        </c:ser>
        <c:dLbls>
          <c:showLegendKey val="0"/>
          <c:showVal val="0"/>
          <c:showCatName val="0"/>
          <c:showSerName val="0"/>
          <c:showPercent val="0"/>
          <c:showBubbleSize val="0"/>
          <c:showLeaderLines val="1"/>
        </c:dLbls>
        <c:firstSliceAng val="191"/>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FF59-4C9E-98E1-EDE2DB393410}"/>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FF59-4C9E-98E1-EDE2DB393410}"/>
              </c:ext>
            </c:extLst>
          </c:dPt>
          <c:dPt>
            <c:idx val="2"/>
            <c:bubble3D val="0"/>
            <c:spPr>
              <a:solidFill>
                <a:srgbClr val="FFFFCC"/>
              </a:solidFill>
              <a:ln>
                <a:solidFill>
                  <a:schemeClr val="tx1"/>
                </a:solidFill>
              </a:ln>
            </c:spPr>
            <c:extLst>
              <c:ext xmlns:c16="http://schemas.microsoft.com/office/drawing/2014/chart" uri="{C3380CC4-5D6E-409C-BE32-E72D297353CC}">
                <c16:uniqueId val="{00000005-FF59-4C9E-98E1-EDE2DB393410}"/>
              </c:ext>
            </c:extLst>
          </c:dPt>
          <c:dPt>
            <c:idx val="3"/>
            <c:bubble3D val="0"/>
            <c:spPr>
              <a:solidFill>
                <a:srgbClr val="C00000"/>
              </a:solidFill>
              <a:ln>
                <a:solidFill>
                  <a:schemeClr val="tx1"/>
                </a:solidFill>
              </a:ln>
            </c:spPr>
            <c:extLst>
              <c:ext xmlns:c16="http://schemas.microsoft.com/office/drawing/2014/chart" uri="{C3380CC4-5D6E-409C-BE32-E72D297353CC}">
                <c16:uniqueId val="{00000007-FF59-4C9E-98E1-EDE2DB393410}"/>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FF59-4C9E-98E1-EDE2DB393410}"/>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FF59-4C9E-98E1-EDE2DB393410}"/>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FF59-4C9E-98E1-EDE2DB393410}"/>
              </c:ext>
            </c:extLst>
          </c:dPt>
          <c:dPt>
            <c:idx val="7"/>
            <c:bubble3D val="0"/>
            <c:extLst>
              <c:ext xmlns:c16="http://schemas.microsoft.com/office/drawing/2014/chart" uri="{C3380CC4-5D6E-409C-BE32-E72D297353CC}">
                <c16:uniqueId val="{0000000E-FF59-4C9E-98E1-EDE2DB393410}"/>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F59-4C9E-98E1-EDE2DB393410}"/>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(SectorSum2023!$H$22,SectorSum2023!$H$24:$H$30)</c:f>
              <c:numCache>
                <c:formatCode>0.0%</c:formatCode>
                <c:ptCount val="8"/>
                <c:pt idx="0">
                  <c:v>0.28465623331487083</c:v>
                </c:pt>
                <c:pt idx="1">
                  <c:v>0.37511959751676938</c:v>
                </c:pt>
                <c:pt idx="2">
                  <c:v>1.2763821522019129E-2</c:v>
                </c:pt>
                <c:pt idx="3">
                  <c:v>2.0513284588959312E-2</c:v>
                </c:pt>
                <c:pt idx="4">
                  <c:v>5.6981346080442535E-3</c:v>
                </c:pt>
                <c:pt idx="5">
                  <c:v>0.11023506387540667</c:v>
                </c:pt>
                <c:pt idx="6">
                  <c:v>8.037626693207589E-2</c:v>
                </c:pt>
                <c:pt idx="7">
                  <c:v>0.11068318271871905</c:v>
                </c:pt>
              </c:numCache>
            </c:numRef>
          </c:val>
          <c:extLst>
            <c:ext xmlns:c16="http://schemas.microsoft.com/office/drawing/2014/chart" uri="{C3380CC4-5D6E-409C-BE32-E72D297353CC}">
              <c16:uniqueId val="{0000000F-FF59-4C9E-98E1-EDE2DB393410}"/>
            </c:ext>
          </c:extLst>
        </c:ser>
        <c:dLbls>
          <c:showLegendKey val="0"/>
          <c:showVal val="0"/>
          <c:showCatName val="0"/>
          <c:showSerName val="0"/>
          <c:showPercent val="0"/>
          <c:showBubbleSize val="0"/>
          <c:showLeaderLines val="1"/>
        </c:dLbls>
        <c:firstSliceAng val="100"/>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chart" Target="../charts/chart8.xml"/><Relationship Id="rId4" Type="http://schemas.openxmlformats.org/officeDocument/2006/relationships/chart" Target="../charts/chart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5" Type="http://schemas.openxmlformats.org/officeDocument/2006/relationships/chart" Target="../charts/chart18.xml"/><Relationship Id="rId4" Type="http://schemas.openxmlformats.org/officeDocument/2006/relationships/chart" Target="../charts/chart1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5" Type="http://schemas.openxmlformats.org/officeDocument/2006/relationships/chart" Target="../charts/chart23.xml"/><Relationship Id="rId4"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19</xdr:col>
      <xdr:colOff>160020</xdr:colOff>
      <xdr:row>3</xdr:row>
      <xdr:rowOff>0</xdr:rowOff>
    </xdr:from>
    <xdr:to>
      <xdr:col>26</xdr:col>
      <xdr:colOff>464820</xdr:colOff>
      <xdr:row>17</xdr:row>
      <xdr:rowOff>179070</xdr:rowOff>
    </xdr:to>
    <xdr:graphicFrame macro="">
      <xdr:nvGraphicFramePr>
        <xdr:cNvPr id="2" name="Chart 1">
          <a:extLst>
            <a:ext uri="{FF2B5EF4-FFF2-40B4-BE49-F238E27FC236}">
              <a16:creationId xmlns:a16="http://schemas.microsoft.com/office/drawing/2014/main" id="{8DA243F2-F9C2-4789-9EA4-8109802AC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160020</xdr:colOff>
      <xdr:row>19</xdr:row>
      <xdr:rowOff>179070</xdr:rowOff>
    </xdr:from>
    <xdr:to>
      <xdr:col>26</xdr:col>
      <xdr:colOff>464820</xdr:colOff>
      <xdr:row>34</xdr:row>
      <xdr:rowOff>179070</xdr:rowOff>
    </xdr:to>
    <xdr:graphicFrame macro="">
      <xdr:nvGraphicFramePr>
        <xdr:cNvPr id="3" name="Chart 2">
          <a:extLst>
            <a:ext uri="{FF2B5EF4-FFF2-40B4-BE49-F238E27FC236}">
              <a16:creationId xmlns:a16="http://schemas.microsoft.com/office/drawing/2014/main" id="{BBFD035F-1F2D-446B-81F9-D14655E261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160020</xdr:colOff>
      <xdr:row>36</xdr:row>
      <xdr:rowOff>179070</xdr:rowOff>
    </xdr:from>
    <xdr:to>
      <xdr:col>26</xdr:col>
      <xdr:colOff>464820</xdr:colOff>
      <xdr:row>51</xdr:row>
      <xdr:rowOff>179070</xdr:rowOff>
    </xdr:to>
    <xdr:graphicFrame macro="">
      <xdr:nvGraphicFramePr>
        <xdr:cNvPr id="4" name="Chart 3">
          <a:extLst>
            <a:ext uri="{FF2B5EF4-FFF2-40B4-BE49-F238E27FC236}">
              <a16:creationId xmlns:a16="http://schemas.microsoft.com/office/drawing/2014/main" id="{942C5901-0763-429F-868D-DEB74D501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1575D883-09D4-4CB9-A130-DEB3CD9DCA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8D861B73-EA34-47E7-870C-BF03BC4032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AACC501B-DFDB-43AF-8B46-4956AD59A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F2C33C47-0AC1-4D3C-82E0-CC54172726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7FB90173-EFA4-4A9F-9942-84BC76988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E5DC1EFE-B080-46DC-B087-313A1FCF2B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D97A18E7-8CED-4E62-8EE6-C3FAB0DB9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90A21354-10C3-4BF8-913D-5AA60EADE7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F0EB6C0C-4E7C-47B6-BBB2-18964940B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B1F69387-B6D3-4093-8FCE-B0D9FD8DF6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BF4929C9-6153-4CBB-8915-B6E8FEA58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1C3E9136-93F7-4365-B1DF-72357F34C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B928701E-CBCA-4D39-AED9-C80EEEACE1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85C43F9E-B4C4-4073-B159-E6D4DE9B65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7EF6C307-06F6-4D9E-B726-A1C089BF0D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D105C607-980D-485D-915D-943F2A95CD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CB4E19E9-DE49-449B-9777-C2FEA6E1D0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1FF7DFD0-8A78-46F5-B38B-4C808CB7D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3DCAC4BE-0D56-45F6-A494-E049DBA5F1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B1F3CE68-C1E7-4BC3-886D-62E216743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A9881-5FDF-4D37-AF46-A81D8978A7AC}">
  <sheetPr>
    <tabColor rgb="FF92D050"/>
  </sheetPr>
  <dimension ref="A1:B13"/>
  <sheetViews>
    <sheetView workbookViewId="0">
      <pane ySplit="5" topLeftCell="A6" activePane="bottomLeft" state="frozen"/>
      <selection pane="bottomLeft" sqref="A1:B1"/>
    </sheetView>
  </sheetViews>
  <sheetFormatPr defaultColWidth="8.85546875" defaultRowHeight="15" x14ac:dyDescent="0.25"/>
  <cols>
    <col min="1" max="1" width="21.28515625" style="129" customWidth="1"/>
    <col min="2" max="2" width="127" style="129" customWidth="1"/>
    <col min="3" max="16384" width="8.85546875" style="129"/>
  </cols>
  <sheetData>
    <row r="1" spans="1:2" ht="18.75" x14ac:dyDescent="0.3">
      <c r="A1" s="215" t="s">
        <v>284</v>
      </c>
      <c r="B1" s="215"/>
    </row>
    <row r="2" spans="1:2" ht="18.75" x14ac:dyDescent="0.3">
      <c r="A2" s="215" t="s">
        <v>290</v>
      </c>
      <c r="B2" s="215"/>
    </row>
    <row r="3" spans="1:2" ht="18.75" x14ac:dyDescent="0.3">
      <c r="A3" s="215" t="s">
        <v>285</v>
      </c>
      <c r="B3" s="215"/>
    </row>
    <row r="4" spans="1:2" x14ac:dyDescent="0.25">
      <c r="A4" s="216" t="s">
        <v>311</v>
      </c>
      <c r="B4" s="216"/>
    </row>
    <row r="5" spans="1:2" ht="15.75" thickBot="1" x14ac:dyDescent="0.3">
      <c r="A5" s="13" t="s">
        <v>286</v>
      </c>
      <c r="B5" s="13" t="s">
        <v>287</v>
      </c>
    </row>
    <row r="6" spans="1:2" ht="45.75" thickTop="1" x14ac:dyDescent="0.25">
      <c r="A6" s="213" t="s">
        <v>291</v>
      </c>
      <c r="B6" s="214" t="s">
        <v>300</v>
      </c>
    </row>
    <row r="7" spans="1:2" ht="43.15" customHeight="1" x14ac:dyDescent="0.25">
      <c r="A7" s="213" t="s">
        <v>292</v>
      </c>
      <c r="B7" s="214" t="s">
        <v>299</v>
      </c>
    </row>
    <row r="8" spans="1:2" ht="30" x14ac:dyDescent="0.25">
      <c r="A8" s="213" t="s">
        <v>294</v>
      </c>
      <c r="B8" s="214" t="s">
        <v>298</v>
      </c>
    </row>
    <row r="9" spans="1:2" ht="30" x14ac:dyDescent="0.25">
      <c r="A9" s="213" t="s">
        <v>293</v>
      </c>
      <c r="B9" s="214" t="s">
        <v>301</v>
      </c>
    </row>
    <row r="10" spans="1:2" ht="45" x14ac:dyDescent="0.25">
      <c r="A10" s="213" t="s">
        <v>288</v>
      </c>
      <c r="B10" s="214" t="s">
        <v>289</v>
      </c>
    </row>
    <row r="11" spans="1:2" ht="30" x14ac:dyDescent="0.25">
      <c r="A11" s="213" t="s">
        <v>295</v>
      </c>
      <c r="B11" s="214" t="s">
        <v>308</v>
      </c>
    </row>
    <row r="12" spans="1:2" ht="45" x14ac:dyDescent="0.25">
      <c r="A12" s="213" t="s">
        <v>296</v>
      </c>
      <c r="B12" s="214" t="s">
        <v>309</v>
      </c>
    </row>
    <row r="13" spans="1:2" ht="30" x14ac:dyDescent="0.25">
      <c r="A13" s="213" t="s">
        <v>297</v>
      </c>
      <c r="B13" s="214" t="s">
        <v>310</v>
      </c>
    </row>
  </sheetData>
  <mergeCells count="4">
    <mergeCell ref="A1:B1"/>
    <mergeCell ref="A2:B2"/>
    <mergeCell ref="A3:B3"/>
    <mergeCell ref="A4:B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B68BD-2488-4334-B10B-D16E893E130A}">
  <sheetPr>
    <pageSetUpPr fitToPage="1"/>
  </sheetPr>
  <dimension ref="A1:S59"/>
  <sheetViews>
    <sheetView workbookViewId="0">
      <selection sqref="A1:I1"/>
    </sheetView>
  </sheetViews>
  <sheetFormatPr defaultRowHeight="15" x14ac:dyDescent="0.25"/>
  <cols>
    <col min="2" max="2" width="13.5703125" customWidth="1"/>
    <col min="8" max="9" width="9.7109375" customWidth="1"/>
    <col min="12" max="12" width="13.5703125" customWidth="1"/>
  </cols>
  <sheetData>
    <row r="1" spans="1:19" ht="15.75" x14ac:dyDescent="0.25">
      <c r="A1" s="217" t="s">
        <v>304</v>
      </c>
      <c r="B1" s="217"/>
      <c r="C1" s="217"/>
      <c r="D1" s="217"/>
      <c r="E1" s="217"/>
      <c r="F1" s="217"/>
      <c r="G1" s="217"/>
      <c r="H1" s="217"/>
      <c r="I1" s="217"/>
      <c r="K1" s="217" t="s">
        <v>305</v>
      </c>
      <c r="L1" s="217"/>
      <c r="M1" s="217"/>
      <c r="N1" s="217"/>
      <c r="O1" s="217"/>
      <c r="P1" s="217"/>
      <c r="Q1" s="217"/>
      <c r="R1" s="217"/>
      <c r="S1" s="217"/>
    </row>
    <row r="2" spans="1:19" ht="15.75" x14ac:dyDescent="0.25">
      <c r="A2" s="217" t="s">
        <v>105</v>
      </c>
      <c r="B2" s="217"/>
      <c r="C2" s="217"/>
      <c r="D2" s="217"/>
      <c r="E2" s="217"/>
      <c r="F2" s="217"/>
      <c r="G2" s="217"/>
      <c r="H2" s="217"/>
      <c r="I2" s="217"/>
      <c r="K2" s="217" t="s">
        <v>105</v>
      </c>
      <c r="L2" s="217"/>
      <c r="M2" s="217"/>
      <c r="N2" s="217"/>
      <c r="O2" s="217"/>
      <c r="P2" s="217"/>
      <c r="Q2" s="217"/>
      <c r="R2" s="217"/>
      <c r="S2" s="217"/>
    </row>
    <row r="3" spans="1:19" x14ac:dyDescent="0.25">
      <c r="K3" s="129"/>
      <c r="L3" s="129"/>
      <c r="M3" s="129"/>
      <c r="N3" s="129"/>
      <c r="O3" s="129"/>
      <c r="P3" s="129"/>
      <c r="Q3" s="129"/>
      <c r="R3" s="129"/>
      <c r="S3" s="129"/>
    </row>
    <row r="4" spans="1:19" hidden="1" x14ac:dyDescent="0.25">
      <c r="A4" s="57" t="s">
        <v>106</v>
      </c>
      <c r="B4" s="57"/>
      <c r="C4" s="8">
        <v>1</v>
      </c>
      <c r="D4" s="8">
        <v>2</v>
      </c>
      <c r="E4" s="8">
        <v>3</v>
      </c>
      <c r="F4" s="8">
        <v>4</v>
      </c>
      <c r="G4" s="8">
        <v>5</v>
      </c>
      <c r="H4" s="8">
        <v>1</v>
      </c>
      <c r="I4" s="8">
        <v>2</v>
      </c>
      <c r="K4" s="57" t="s">
        <v>106</v>
      </c>
      <c r="L4" s="57"/>
      <c r="M4" s="130">
        <v>1</v>
      </c>
      <c r="N4" s="130">
        <v>2</v>
      </c>
      <c r="O4" s="130">
        <v>3</v>
      </c>
      <c r="P4" s="130">
        <v>4</v>
      </c>
      <c r="Q4" s="130">
        <v>5</v>
      </c>
      <c r="R4" s="130">
        <v>1</v>
      </c>
      <c r="S4" s="130">
        <v>2</v>
      </c>
    </row>
    <row r="5" spans="1:19" x14ac:dyDescent="0.25">
      <c r="A5" s="8" t="s">
        <v>107</v>
      </c>
      <c r="B5" s="8" t="s">
        <v>108</v>
      </c>
      <c r="C5" s="225" t="s">
        <v>109</v>
      </c>
      <c r="D5" s="225"/>
      <c r="E5" s="225"/>
      <c r="F5" s="225"/>
      <c r="G5" s="225"/>
      <c r="H5" s="225" t="s">
        <v>110</v>
      </c>
      <c r="I5" s="225"/>
      <c r="K5" s="130" t="s">
        <v>107</v>
      </c>
      <c r="L5" s="130" t="s">
        <v>108</v>
      </c>
      <c r="M5" s="225" t="s">
        <v>109</v>
      </c>
      <c r="N5" s="225"/>
      <c r="O5" s="225"/>
      <c r="P5" s="225"/>
      <c r="Q5" s="225"/>
      <c r="R5" s="225" t="s">
        <v>110</v>
      </c>
      <c r="S5" s="225"/>
    </row>
    <row r="6" spans="1:19" x14ac:dyDescent="0.25">
      <c r="A6" s="28" t="s">
        <v>111</v>
      </c>
      <c r="B6" s="28" t="s">
        <v>112</v>
      </c>
      <c r="C6" s="28" t="s">
        <v>3</v>
      </c>
      <c r="D6" s="28" t="s">
        <v>4</v>
      </c>
      <c r="E6" s="28" t="s">
        <v>5</v>
      </c>
      <c r="F6" s="28" t="s">
        <v>6</v>
      </c>
      <c r="G6" s="28" t="s">
        <v>7</v>
      </c>
      <c r="H6" s="28" t="s">
        <v>113</v>
      </c>
      <c r="I6" s="28" t="s">
        <v>114</v>
      </c>
      <c r="K6" s="131" t="s">
        <v>111</v>
      </c>
      <c r="L6" s="131" t="s">
        <v>112</v>
      </c>
      <c r="M6" s="131" t="s">
        <v>3</v>
      </c>
      <c r="N6" s="131" t="s">
        <v>4</v>
      </c>
      <c r="O6" s="131" t="s">
        <v>5</v>
      </c>
      <c r="P6" s="131" t="s">
        <v>6</v>
      </c>
      <c r="Q6" s="131" t="s">
        <v>7</v>
      </c>
      <c r="R6" s="131" t="s">
        <v>113</v>
      </c>
      <c r="S6" s="131" t="s">
        <v>114</v>
      </c>
    </row>
    <row r="7" spans="1:19" x14ac:dyDescent="0.25">
      <c r="A7" s="8">
        <v>2019</v>
      </c>
      <c r="B7" s="8" t="s">
        <v>115</v>
      </c>
      <c r="C7" s="15">
        <v>0.21554490802050713</v>
      </c>
      <c r="D7" s="5">
        <v>1.6967672422689866</v>
      </c>
      <c r="E7" s="101">
        <v>6.8616235596738713E-3</v>
      </c>
      <c r="F7" s="5">
        <v>3.8293404353943652</v>
      </c>
      <c r="G7" s="5">
        <v>3.9598171685311323E-2</v>
      </c>
      <c r="H7" s="102">
        <v>1661971.2224936693</v>
      </c>
      <c r="I7" s="102">
        <v>94583.619536140992</v>
      </c>
      <c r="K7" s="130">
        <v>2019</v>
      </c>
      <c r="L7" s="130" t="s">
        <v>115</v>
      </c>
      <c r="M7" s="169">
        <v>0.27231048618162906</v>
      </c>
      <c r="N7" s="5">
        <v>2.2978944962828831</v>
      </c>
      <c r="O7" s="101">
        <v>9.1099406926983054E-3</v>
      </c>
      <c r="P7" s="5">
        <v>4.8953308993950069</v>
      </c>
      <c r="Q7" s="5">
        <v>5.4768161479629651E-2</v>
      </c>
      <c r="R7" s="102">
        <v>2284468.9506161138</v>
      </c>
      <c r="S7" s="102">
        <v>120519.62369962598</v>
      </c>
    </row>
    <row r="8" spans="1:19" x14ac:dyDescent="0.25">
      <c r="A8" s="8">
        <v>2020</v>
      </c>
      <c r="B8" s="8" t="s">
        <v>116</v>
      </c>
      <c r="C8" s="5">
        <v>0.20311369212954972</v>
      </c>
      <c r="D8" s="5">
        <v>1.5778347656132174</v>
      </c>
      <c r="E8" s="101">
        <v>6.880424023629146E-3</v>
      </c>
      <c r="F8" s="5">
        <v>3.764044593597049</v>
      </c>
      <c r="G8" s="5">
        <v>4.010742608850091E-2</v>
      </c>
      <c r="H8" s="102">
        <v>1703368.4369384774</v>
      </c>
      <c r="I8" s="102">
        <v>96939.56002515</v>
      </c>
      <c r="K8" s="130">
        <v>2020</v>
      </c>
      <c r="L8" s="130" t="s">
        <v>116</v>
      </c>
      <c r="M8" s="5">
        <v>0.25554158540013616</v>
      </c>
      <c r="N8" s="5">
        <v>2.1291982566124772</v>
      </c>
      <c r="O8" s="101">
        <v>9.0971432622833047E-3</v>
      </c>
      <c r="P8" s="5">
        <v>4.7909124345884164</v>
      </c>
      <c r="Q8" s="5">
        <v>5.5232218046366889E-2</v>
      </c>
      <c r="R8" s="102">
        <v>2331360.4564192612</v>
      </c>
      <c r="S8" s="102">
        <v>122993.39073783898</v>
      </c>
    </row>
    <row r="9" spans="1:19" x14ac:dyDescent="0.25">
      <c r="A9" s="8">
        <v>2021</v>
      </c>
      <c r="B9" s="103">
        <v>0.05</v>
      </c>
      <c r="C9" s="5">
        <v>0.19054574007651448</v>
      </c>
      <c r="D9" s="5">
        <v>1.4810681939134611</v>
      </c>
      <c r="E9" s="101">
        <v>6.8826212376879763E-3</v>
      </c>
      <c r="F9" s="5">
        <v>3.705551554935484</v>
      </c>
      <c r="G9" s="5">
        <v>4.1002556673144376E-2</v>
      </c>
      <c r="H9" s="102">
        <v>1744764.9086144066</v>
      </c>
      <c r="I9" s="102">
        <v>99295.350273317032</v>
      </c>
      <c r="K9" s="130">
        <v>2021</v>
      </c>
      <c r="L9" s="103">
        <v>0.05</v>
      </c>
      <c r="M9" s="5">
        <v>0.23895958200277567</v>
      </c>
      <c r="N9" s="5">
        <v>1.9928748914661361</v>
      </c>
      <c r="O9" s="101">
        <v>9.0641408136818927E-3</v>
      </c>
      <c r="P9" s="5">
        <v>4.6965687510892371</v>
      </c>
      <c r="Q9" s="5">
        <v>5.6229229745958349E-2</v>
      </c>
      <c r="R9" s="102">
        <v>2378250.2482774658</v>
      </c>
      <c r="S9" s="102">
        <v>125467.15234584901</v>
      </c>
    </row>
    <row r="10" spans="1:19" x14ac:dyDescent="0.25">
      <c r="A10" s="8">
        <v>2022</v>
      </c>
      <c r="B10" s="103">
        <v>0.05</v>
      </c>
      <c r="C10" s="5">
        <v>0.18068519137235634</v>
      </c>
      <c r="D10" s="5">
        <v>1.3922257880531432</v>
      </c>
      <c r="E10" s="101">
        <v>6.8769364654461393E-3</v>
      </c>
      <c r="F10" s="5">
        <v>3.6424305840326654</v>
      </c>
      <c r="G10" s="5">
        <v>4.1651201013059955E-2</v>
      </c>
      <c r="H10" s="102">
        <v>1786163.108260626</v>
      </c>
      <c r="I10" s="102">
        <v>101651.42104354801</v>
      </c>
      <c r="K10" s="130">
        <v>2022</v>
      </c>
      <c r="L10" s="103">
        <v>0.05</v>
      </c>
      <c r="M10" s="5">
        <v>0.22591358939608369</v>
      </c>
      <c r="N10" s="5">
        <v>1.8676547655189828</v>
      </c>
      <c r="O10" s="101">
        <v>9.0225544931975717E-3</v>
      </c>
      <c r="P10" s="5">
        <v>4.5981735528308532</v>
      </c>
      <c r="Q10" s="5">
        <v>5.6889303985774818E-2</v>
      </c>
      <c r="R10" s="102">
        <v>2425138.8625232065</v>
      </c>
      <c r="S10" s="102">
        <v>127940.88911845601</v>
      </c>
    </row>
    <row r="11" spans="1:19" x14ac:dyDescent="0.25">
      <c r="A11" s="8">
        <v>2023</v>
      </c>
      <c r="B11" s="8" t="s">
        <v>116</v>
      </c>
      <c r="C11" s="15">
        <v>0.17258761095396644</v>
      </c>
      <c r="D11" s="5">
        <v>1.3184063619118556</v>
      </c>
      <c r="E11" s="101">
        <v>6.8634541707886625E-3</v>
      </c>
      <c r="F11" s="5">
        <v>3.5829354317294158</v>
      </c>
      <c r="G11" s="5">
        <v>4.2265270018920061E-2</v>
      </c>
      <c r="H11" s="102">
        <v>1827560.4545344505</v>
      </c>
      <c r="I11" s="102">
        <v>104007.25812698</v>
      </c>
      <c r="K11" s="130">
        <v>2023</v>
      </c>
      <c r="L11" s="130" t="s">
        <v>116</v>
      </c>
      <c r="M11" s="169">
        <v>0.21517879996108633</v>
      </c>
      <c r="N11" s="5">
        <v>1.763491944266335</v>
      </c>
      <c r="O11" s="101">
        <v>8.9725820204671538E-3</v>
      </c>
      <c r="P11" s="5">
        <v>4.5058522487243309</v>
      </c>
      <c r="Q11" s="5">
        <v>5.7505973042814136E-2</v>
      </c>
      <c r="R11" s="102">
        <v>2472031.4743056539</v>
      </c>
      <c r="S11" s="102">
        <v>130414.59351442901</v>
      </c>
    </row>
    <row r="12" spans="1:19" x14ac:dyDescent="0.25">
      <c r="A12" s="8">
        <v>2024</v>
      </c>
      <c r="B12" s="8" t="s">
        <v>115</v>
      </c>
      <c r="C12" s="15">
        <v>0.16280045236631813</v>
      </c>
      <c r="D12" s="5">
        <v>1.2491944125433669</v>
      </c>
      <c r="E12" s="101">
        <v>6.8440027384484908E-3</v>
      </c>
      <c r="F12" s="5">
        <v>3.5474968351114198</v>
      </c>
      <c r="G12" s="5">
        <v>4.2878566709918041E-2</v>
      </c>
      <c r="H12" s="102">
        <v>1868957.499629162</v>
      </c>
      <c r="I12" s="102">
        <v>106363.17720132203</v>
      </c>
      <c r="K12" s="130">
        <v>2024</v>
      </c>
      <c r="L12" s="130" t="s">
        <v>115</v>
      </c>
      <c r="M12" s="169">
        <v>0.2029646671180699</v>
      </c>
      <c r="N12" s="5">
        <v>1.6666259014452456</v>
      </c>
      <c r="O12" s="101">
        <v>8.9189348031002303E-3</v>
      </c>
      <c r="P12" s="5">
        <v>4.4462330944812587</v>
      </c>
      <c r="Q12" s="5">
        <v>5.8142756937343359E-2</v>
      </c>
      <c r="R12" s="102">
        <v>2519683.2599613559</v>
      </c>
      <c r="S12" s="102">
        <v>132928.66532849605</v>
      </c>
    </row>
    <row r="13" spans="1:19" x14ac:dyDescent="0.25">
      <c r="A13" s="8">
        <v>2025</v>
      </c>
      <c r="B13" s="8"/>
      <c r="C13" s="5">
        <v>0.15888478173070195</v>
      </c>
      <c r="D13" s="5">
        <v>1.1995148313905444</v>
      </c>
      <c r="E13" s="101">
        <v>7.0525778741141274E-3</v>
      </c>
      <c r="F13" s="5">
        <v>3.4822799127973676</v>
      </c>
      <c r="G13" s="5">
        <v>4.4091972142176146E-2</v>
      </c>
      <c r="H13" s="102">
        <v>1900825.467449836</v>
      </c>
      <c r="I13" s="102">
        <v>108176.84283219301</v>
      </c>
      <c r="K13" s="130">
        <v>2025</v>
      </c>
      <c r="L13" s="130"/>
      <c r="M13" s="5">
        <v>0.19074927945366577</v>
      </c>
      <c r="N13" s="5">
        <v>1.5705077103427241</v>
      </c>
      <c r="O13" s="101">
        <v>8.8166377360230953E-3</v>
      </c>
      <c r="P13" s="5">
        <v>4.3436819097492823</v>
      </c>
      <c r="Q13" s="5">
        <v>5.8860709652377177E-2</v>
      </c>
      <c r="R13" s="102">
        <v>2557601.7046617321</v>
      </c>
      <c r="S13" s="102">
        <v>134929.09231284799</v>
      </c>
    </row>
    <row r="14" spans="1:19" x14ac:dyDescent="0.25">
      <c r="A14" s="8">
        <v>2026</v>
      </c>
      <c r="B14" s="8" t="s">
        <v>116</v>
      </c>
      <c r="C14" s="5">
        <v>0.14561866773161886</v>
      </c>
      <c r="D14" s="5">
        <v>1.1009959284935478</v>
      </c>
      <c r="E14" s="101">
        <v>6.7162490917116796E-3</v>
      </c>
      <c r="F14" s="5">
        <v>3.3877556104013782</v>
      </c>
      <c r="G14" s="5">
        <v>4.3909567020139796E-2</v>
      </c>
      <c r="H14" s="102">
        <v>1930615.5252692914</v>
      </c>
      <c r="I14" s="102">
        <v>109872.283316898</v>
      </c>
      <c r="K14" s="130">
        <v>2026</v>
      </c>
      <c r="L14" s="130" t="s">
        <v>116</v>
      </c>
      <c r="M14" s="5">
        <v>0.18010950037139367</v>
      </c>
      <c r="N14" s="5">
        <v>1.4662830347017797</v>
      </c>
      <c r="O14" s="101">
        <v>8.7192174298555102E-3</v>
      </c>
      <c r="P14" s="5">
        <v>4.2291280947624026</v>
      </c>
      <c r="Q14" s="5">
        <v>5.9255044548236602E-2</v>
      </c>
      <c r="R14" s="102">
        <v>2592619.5257175537</v>
      </c>
      <c r="S14" s="102">
        <v>136776.26194191095</v>
      </c>
    </row>
    <row r="15" spans="1:19" hidden="1" x14ac:dyDescent="0.25">
      <c r="A15" s="8">
        <v>2027</v>
      </c>
      <c r="B15" s="8"/>
      <c r="C15" s="5">
        <v>0.13707332596246249</v>
      </c>
      <c r="D15" s="5">
        <v>1.0440596019215933</v>
      </c>
      <c r="E15" s="101">
        <v>6.6685156906709881E-3</v>
      </c>
      <c r="F15" s="5">
        <v>3.3408380910802835</v>
      </c>
      <c r="G15" s="5">
        <v>4.4397994823872904E-2</v>
      </c>
      <c r="H15" s="102">
        <v>1961011.3659823257</v>
      </c>
      <c r="I15" s="102">
        <v>111602.02885427698</v>
      </c>
      <c r="K15" s="130">
        <v>2027</v>
      </c>
      <c r="L15" s="130"/>
      <c r="M15" s="5">
        <v>0.16962132918744338</v>
      </c>
      <c r="N15" s="5">
        <v>1.3892266197130776</v>
      </c>
      <c r="O15" s="101">
        <v>8.6404869927867133E-3</v>
      </c>
      <c r="P15" s="5">
        <v>4.1620478583503395</v>
      </c>
      <c r="Q15" s="5">
        <v>5.9787145991188811E-2</v>
      </c>
      <c r="R15" s="102">
        <v>2628084.3621457405</v>
      </c>
      <c r="S15" s="102">
        <v>138647.409732125</v>
      </c>
    </row>
    <row r="16" spans="1:19" hidden="1" x14ac:dyDescent="0.25">
      <c r="A16" s="8">
        <v>2028</v>
      </c>
      <c r="B16" s="8"/>
      <c r="C16" s="5">
        <v>0.12952419791980024</v>
      </c>
      <c r="D16" s="5">
        <v>0.99051883288541709</v>
      </c>
      <c r="E16" s="101">
        <v>6.6276919578522626E-3</v>
      </c>
      <c r="F16" s="5">
        <v>3.3079538070162817</v>
      </c>
      <c r="G16" s="5">
        <v>4.4849815805950537E-2</v>
      </c>
      <c r="H16" s="102">
        <v>1990402.6782230705</v>
      </c>
      <c r="I16" s="102">
        <v>113274.75729770401</v>
      </c>
      <c r="K16" s="130">
        <v>2028</v>
      </c>
      <c r="L16" s="130"/>
      <c r="M16" s="5">
        <v>0.15997680347106125</v>
      </c>
      <c r="N16" s="5">
        <v>1.3177890418265006</v>
      </c>
      <c r="O16" s="101">
        <v>8.5727598906994631E-3</v>
      </c>
      <c r="P16" s="5">
        <v>4.1134829657405838</v>
      </c>
      <c r="Q16" s="5">
        <v>6.0282610438916487E-2</v>
      </c>
      <c r="R16" s="102">
        <v>2662678.8858751501</v>
      </c>
      <c r="S16" s="102">
        <v>140472.38596345298</v>
      </c>
    </row>
    <row r="17" spans="1:19" hidden="1" x14ac:dyDescent="0.25">
      <c r="A17" s="8">
        <v>2029</v>
      </c>
      <c r="B17" s="8" t="s">
        <v>116</v>
      </c>
      <c r="C17" s="5">
        <v>0.12396382075344352</v>
      </c>
      <c r="D17" s="5">
        <v>0.94284032641568483</v>
      </c>
      <c r="E17" s="101">
        <v>6.5997177600011165E-3</v>
      </c>
      <c r="F17" s="5">
        <v>3.2812254299714714</v>
      </c>
      <c r="G17" s="5">
        <v>4.5337208122577903E-2</v>
      </c>
      <c r="H17" s="102">
        <v>2019443.7787674805</v>
      </c>
      <c r="I17" s="102">
        <v>114927.355758666</v>
      </c>
      <c r="K17" s="130">
        <v>2029</v>
      </c>
      <c r="L17" s="130" t="s">
        <v>116</v>
      </c>
      <c r="M17" s="5">
        <v>0.15269010495156687</v>
      </c>
      <c r="N17" s="5">
        <v>1.2527683113304928</v>
      </c>
      <c r="O17" s="101">
        <v>8.5221623239508763E-3</v>
      </c>
      <c r="P17" s="5">
        <v>4.0727061663295991</v>
      </c>
      <c r="Q17" s="5">
        <v>6.0857513654430581E-2</v>
      </c>
      <c r="R17" s="102">
        <v>2696648.3947008336</v>
      </c>
      <c r="S17" s="102">
        <v>142264.56517667201</v>
      </c>
    </row>
    <row r="18" spans="1:19" x14ac:dyDescent="0.25">
      <c r="K18" s="129"/>
      <c r="L18" s="129"/>
      <c r="M18" s="129"/>
      <c r="N18" s="129"/>
      <c r="O18" s="129"/>
      <c r="P18" s="129"/>
      <c r="Q18" s="129"/>
      <c r="R18" s="129"/>
      <c r="S18" s="129"/>
    </row>
    <row r="19" spans="1:19" x14ac:dyDescent="0.25">
      <c r="K19" s="129"/>
      <c r="L19" s="129"/>
      <c r="M19" s="129"/>
      <c r="N19" s="129"/>
      <c r="O19" s="129"/>
      <c r="P19" s="129"/>
      <c r="Q19" s="129"/>
      <c r="R19" s="129"/>
      <c r="S19" s="129"/>
    </row>
    <row r="20" spans="1:19" ht="15.75" x14ac:dyDescent="0.25">
      <c r="A20" s="217" t="s">
        <v>306</v>
      </c>
      <c r="B20" s="217"/>
      <c r="C20" s="217"/>
      <c r="D20" s="217"/>
      <c r="E20" s="217"/>
      <c r="F20" s="217"/>
      <c r="G20" s="217"/>
      <c r="H20" s="217"/>
      <c r="I20" s="217"/>
      <c r="K20" s="217" t="s">
        <v>307</v>
      </c>
      <c r="L20" s="217"/>
      <c r="M20" s="217"/>
      <c r="N20" s="217"/>
      <c r="O20" s="217"/>
      <c r="P20" s="217"/>
      <c r="Q20" s="217"/>
      <c r="R20" s="217"/>
      <c r="S20" s="217"/>
    </row>
    <row r="21" spans="1:19" ht="15.75" x14ac:dyDescent="0.25">
      <c r="A21" s="217" t="s">
        <v>105</v>
      </c>
      <c r="B21" s="217"/>
      <c r="C21" s="217"/>
      <c r="D21" s="217"/>
      <c r="E21" s="217"/>
      <c r="F21" s="217"/>
      <c r="G21" s="217"/>
      <c r="H21" s="217"/>
      <c r="I21" s="217"/>
      <c r="K21" s="217" t="s">
        <v>105</v>
      </c>
      <c r="L21" s="217"/>
      <c r="M21" s="217"/>
      <c r="N21" s="217"/>
      <c r="O21" s="217"/>
      <c r="P21" s="217"/>
      <c r="Q21" s="217"/>
      <c r="R21" s="217"/>
      <c r="S21" s="217"/>
    </row>
    <row r="22" spans="1:19" ht="15.75" x14ac:dyDescent="0.25">
      <c r="A22" s="229" t="s">
        <v>117</v>
      </c>
      <c r="B22" s="229"/>
      <c r="C22" s="229"/>
      <c r="D22" s="229"/>
      <c r="E22" s="229"/>
      <c r="F22" s="229"/>
      <c r="G22" s="229"/>
      <c r="H22" s="229"/>
      <c r="I22" s="229"/>
      <c r="K22" s="229" t="s">
        <v>117</v>
      </c>
      <c r="L22" s="229"/>
      <c r="M22" s="229"/>
      <c r="N22" s="229"/>
      <c r="O22" s="229"/>
      <c r="P22" s="229"/>
      <c r="Q22" s="229"/>
      <c r="R22" s="229"/>
      <c r="S22" s="229"/>
    </row>
    <row r="23" spans="1:19" x14ac:dyDescent="0.25">
      <c r="K23" s="129"/>
      <c r="L23" s="129"/>
      <c r="M23" s="129"/>
      <c r="N23" s="129"/>
      <c r="O23" s="129"/>
      <c r="P23" s="129"/>
      <c r="Q23" s="129"/>
      <c r="R23" s="129"/>
      <c r="S23" s="129"/>
    </row>
    <row r="24" spans="1:19" x14ac:dyDescent="0.25">
      <c r="K24" s="129"/>
      <c r="L24" s="129"/>
      <c r="M24" s="129"/>
      <c r="N24" s="129"/>
      <c r="O24" s="129"/>
      <c r="P24" s="129"/>
      <c r="Q24" s="129"/>
      <c r="R24" s="129"/>
      <c r="S24" s="129"/>
    </row>
    <row r="25" spans="1:19" x14ac:dyDescent="0.25">
      <c r="A25" s="8" t="s">
        <v>107</v>
      </c>
      <c r="B25" s="8" t="s">
        <v>118</v>
      </c>
      <c r="C25" s="225" t="s">
        <v>109</v>
      </c>
      <c r="D25" s="225"/>
      <c r="E25" s="225"/>
      <c r="F25" s="225"/>
      <c r="G25" s="225"/>
      <c r="K25" s="130" t="s">
        <v>107</v>
      </c>
      <c r="L25" s="130" t="s">
        <v>118</v>
      </c>
      <c r="M25" s="225" t="s">
        <v>109</v>
      </c>
      <c r="N25" s="225"/>
      <c r="O25" s="225"/>
      <c r="P25" s="225"/>
      <c r="Q25" s="225"/>
      <c r="R25" s="129"/>
      <c r="S25" s="129"/>
    </row>
    <row r="26" spans="1:19" x14ac:dyDescent="0.25">
      <c r="A26" s="28" t="s">
        <v>111</v>
      </c>
      <c r="B26" s="28" t="s">
        <v>119</v>
      </c>
      <c r="C26" s="28" t="s">
        <v>3</v>
      </c>
      <c r="D26" s="28" t="s">
        <v>4</v>
      </c>
      <c r="E26" s="28" t="s">
        <v>5</v>
      </c>
      <c r="F26" s="28" t="s">
        <v>6</v>
      </c>
      <c r="G26" s="28" t="s">
        <v>7</v>
      </c>
      <c r="K26" s="131" t="s">
        <v>111</v>
      </c>
      <c r="L26" s="131" t="s">
        <v>119</v>
      </c>
      <c r="M26" s="131" t="s">
        <v>3</v>
      </c>
      <c r="N26" s="131" t="s">
        <v>4</v>
      </c>
      <c r="O26" s="131" t="s">
        <v>5</v>
      </c>
      <c r="P26" s="131" t="s">
        <v>6</v>
      </c>
      <c r="Q26" s="131" t="s">
        <v>7</v>
      </c>
      <c r="R26" s="129"/>
      <c r="S26" s="129"/>
    </row>
    <row r="27" spans="1:19" x14ac:dyDescent="0.25">
      <c r="A27" s="8">
        <v>2019</v>
      </c>
      <c r="B27" s="8" t="s">
        <v>120</v>
      </c>
      <c r="C27" s="5">
        <v>7.4561973472924065E-2</v>
      </c>
      <c r="D27" s="5">
        <v>1.0635690832532327</v>
      </c>
      <c r="E27" s="101">
        <v>5.6020764323866414E-3</v>
      </c>
      <c r="F27" s="5">
        <v>0.15790657556388094</v>
      </c>
      <c r="G27" s="5">
        <v>3.9409582300925408E-2</v>
      </c>
      <c r="K27" s="130">
        <v>2019</v>
      </c>
      <c r="L27" s="130" t="s">
        <v>120</v>
      </c>
      <c r="M27" s="5">
        <v>9.1872975461332926E-2</v>
      </c>
      <c r="N27" s="5">
        <v>1.4234095704637357</v>
      </c>
      <c r="O27" s="101">
        <v>7.4820148525984427E-3</v>
      </c>
      <c r="P27" s="5">
        <v>0.20509472503804091</v>
      </c>
      <c r="Q27" s="5">
        <v>5.4350599584712479E-2</v>
      </c>
      <c r="R27" s="129"/>
      <c r="S27" s="129"/>
    </row>
    <row r="28" spans="1:19" x14ac:dyDescent="0.25">
      <c r="A28" s="8">
        <v>2019</v>
      </c>
      <c r="B28" t="s">
        <v>121</v>
      </c>
      <c r="C28" s="5">
        <v>0.14098293454758301</v>
      </c>
      <c r="D28" s="5">
        <v>0.63319815901575349</v>
      </c>
      <c r="E28" s="101">
        <v>1.2595471272872315E-3</v>
      </c>
      <c r="F28" s="5">
        <v>3.671433859830485</v>
      </c>
      <c r="G28" s="5">
        <v>1.8858938438593814E-4</v>
      </c>
      <c r="K28" s="130">
        <v>2019</v>
      </c>
      <c r="L28" s="129" t="s">
        <v>121</v>
      </c>
      <c r="M28" s="5">
        <v>0.18043751072029615</v>
      </c>
      <c r="N28" s="5">
        <v>0.8744849258191475</v>
      </c>
      <c r="O28" s="101">
        <v>1.6279258400998659E-3</v>
      </c>
      <c r="P28" s="5">
        <v>4.6902361743569649</v>
      </c>
      <c r="Q28" s="5">
        <v>4.1756189491718831E-4</v>
      </c>
      <c r="R28" s="129"/>
      <c r="S28" s="129"/>
    </row>
    <row r="29" spans="1:19" x14ac:dyDescent="0.25">
      <c r="A29" s="8">
        <v>2019</v>
      </c>
      <c r="B29" s="8" t="s">
        <v>122</v>
      </c>
      <c r="C29" s="5">
        <v>0.21554490802050708</v>
      </c>
      <c r="D29" s="5">
        <v>1.6967672422689861</v>
      </c>
      <c r="E29" s="101">
        <v>6.8616235596738731E-3</v>
      </c>
      <c r="F29" s="5">
        <v>3.8293404353943661</v>
      </c>
      <c r="G29" s="5">
        <v>3.9598171685311344E-2</v>
      </c>
      <c r="K29" s="130">
        <v>2019</v>
      </c>
      <c r="L29" s="130" t="s">
        <v>122</v>
      </c>
      <c r="M29" s="5">
        <v>0.27231048618162906</v>
      </c>
      <c r="N29" s="5">
        <v>2.2978944962828831</v>
      </c>
      <c r="O29" s="101">
        <v>9.1099406926983088E-3</v>
      </c>
      <c r="P29" s="5">
        <v>4.895330899395006</v>
      </c>
      <c r="Q29" s="5">
        <v>5.4768161479629665E-2</v>
      </c>
      <c r="R29" s="129"/>
      <c r="S29" s="129"/>
    </row>
    <row r="30" spans="1:19" x14ac:dyDescent="0.25">
      <c r="A30" s="8">
        <v>2020</v>
      </c>
      <c r="B30" s="8" t="s">
        <v>120</v>
      </c>
      <c r="C30" s="5">
        <v>6.855910340472833E-2</v>
      </c>
      <c r="D30" s="5">
        <v>0.95898446930797188</v>
      </c>
      <c r="E30" s="101">
        <v>5.6044266061938131E-3</v>
      </c>
      <c r="F30" s="5">
        <v>0.14436050592006247</v>
      </c>
      <c r="G30" s="5">
        <v>3.9916412685080414E-2</v>
      </c>
      <c r="K30" s="130">
        <v>2020</v>
      </c>
      <c r="L30" s="130" t="s">
        <v>120</v>
      </c>
      <c r="M30" s="5">
        <v>8.4108211198267946E-2</v>
      </c>
      <c r="N30" s="5">
        <v>1.2779310641286346</v>
      </c>
      <c r="O30" s="101">
        <v>7.4556979318976778E-3</v>
      </c>
      <c r="P30" s="5">
        <v>0.1870461648252828</v>
      </c>
      <c r="Q30" s="5">
        <v>5.4816556362207843E-2</v>
      </c>
      <c r="R30" s="129"/>
      <c r="S30" s="129"/>
    </row>
    <row r="31" spans="1:19" x14ac:dyDescent="0.25">
      <c r="A31" s="8">
        <v>2020</v>
      </c>
      <c r="B31" t="s">
        <v>121</v>
      </c>
      <c r="C31" s="5">
        <v>0.1345545887248214</v>
      </c>
      <c r="D31" s="5">
        <v>0.61885029630524513</v>
      </c>
      <c r="E31" s="101">
        <v>1.2759974174353342E-3</v>
      </c>
      <c r="F31" s="5">
        <v>3.6196840876769856</v>
      </c>
      <c r="G31" s="5">
        <v>1.9101340342049582E-4</v>
      </c>
      <c r="K31" s="130">
        <v>2020</v>
      </c>
      <c r="L31" s="129" t="s">
        <v>121</v>
      </c>
      <c r="M31" s="5">
        <v>0.17143337420186813</v>
      </c>
      <c r="N31" s="5">
        <v>0.85126719248384308</v>
      </c>
      <c r="O31" s="101">
        <v>1.6414453303856291E-3</v>
      </c>
      <c r="P31" s="5">
        <v>4.6038662697631318</v>
      </c>
      <c r="Q31" s="5">
        <v>4.1566168415904165E-4</v>
      </c>
      <c r="R31" s="129"/>
      <c r="S31" s="129"/>
    </row>
    <row r="32" spans="1:19" x14ac:dyDescent="0.25">
      <c r="A32" s="8">
        <v>2020</v>
      </c>
      <c r="B32" s="8" t="s">
        <v>122</v>
      </c>
      <c r="C32" s="5">
        <v>0.20311369212954972</v>
      </c>
      <c r="D32" s="5">
        <v>1.577834765613217</v>
      </c>
      <c r="E32" s="101">
        <v>6.8804240236291468E-3</v>
      </c>
      <c r="F32" s="5">
        <v>3.7640445935970481</v>
      </c>
      <c r="G32" s="5">
        <v>4.010742608850091E-2</v>
      </c>
      <c r="K32" s="130">
        <v>2020</v>
      </c>
      <c r="L32" s="130" t="s">
        <v>122</v>
      </c>
      <c r="M32" s="5">
        <v>0.25554158540013605</v>
      </c>
      <c r="N32" s="5">
        <v>2.1291982566124776</v>
      </c>
      <c r="O32" s="101">
        <v>9.0971432622833064E-3</v>
      </c>
      <c r="P32" s="5">
        <v>4.7909124345884146</v>
      </c>
      <c r="Q32" s="5">
        <v>5.5232218046366882E-2</v>
      </c>
      <c r="R32" s="129"/>
      <c r="S32" s="129"/>
    </row>
    <row r="33" spans="1:19" x14ac:dyDescent="0.25">
      <c r="A33" s="8">
        <v>2021</v>
      </c>
      <c r="B33" s="8" t="s">
        <v>120</v>
      </c>
      <c r="C33" s="5">
        <v>6.0130513493207312E-2</v>
      </c>
      <c r="D33" s="5">
        <v>0.87123546927026474</v>
      </c>
      <c r="E33" s="101">
        <v>5.5920566512752705E-3</v>
      </c>
      <c r="F33" s="5">
        <v>0.13562097077231008</v>
      </c>
      <c r="G33" s="5">
        <v>4.0808955898108269E-2</v>
      </c>
      <c r="K33" s="130">
        <v>2021</v>
      </c>
      <c r="L33" s="130" t="s">
        <v>120</v>
      </c>
      <c r="M33" s="5">
        <v>7.3525103375488732E-2</v>
      </c>
      <c r="N33" s="5">
        <v>1.1571793961507013</v>
      </c>
      <c r="O33" s="101">
        <v>7.4113645412163427E-3</v>
      </c>
      <c r="P33" s="5">
        <v>0.17510567490031576</v>
      </c>
      <c r="Q33" s="5">
        <v>5.5814786771881189E-2</v>
      </c>
      <c r="R33" s="129"/>
      <c r="S33" s="129"/>
    </row>
    <row r="34" spans="1:19" x14ac:dyDescent="0.25">
      <c r="A34" s="8">
        <v>2021</v>
      </c>
      <c r="B34" t="s">
        <v>121</v>
      </c>
      <c r="C34" s="5">
        <v>0.1304152265833072</v>
      </c>
      <c r="D34" s="5">
        <v>0.60983272464319671</v>
      </c>
      <c r="E34" s="101">
        <v>1.2905645864127054E-3</v>
      </c>
      <c r="F34" s="5">
        <v>3.5699305841631745</v>
      </c>
      <c r="G34" s="5">
        <v>1.9360077503609914E-4</v>
      </c>
      <c r="K34" s="130">
        <v>2021</v>
      </c>
      <c r="L34" s="129" t="s">
        <v>121</v>
      </c>
      <c r="M34" s="5">
        <v>0.16543447862728697</v>
      </c>
      <c r="N34" s="5">
        <v>0.83569549531543508</v>
      </c>
      <c r="O34" s="101">
        <v>1.6527762724655533E-3</v>
      </c>
      <c r="P34" s="5">
        <v>4.5214630761889216</v>
      </c>
      <c r="Q34" s="5">
        <v>4.144429740771752E-4</v>
      </c>
      <c r="R34" s="129"/>
      <c r="S34" s="129"/>
    </row>
    <row r="35" spans="1:19" x14ac:dyDescent="0.25">
      <c r="A35" s="8">
        <v>2021</v>
      </c>
      <c r="B35" s="8" t="s">
        <v>122</v>
      </c>
      <c r="C35" s="5">
        <v>0.19054574007651451</v>
      </c>
      <c r="D35" s="5">
        <v>1.4810681939134613</v>
      </c>
      <c r="E35" s="101">
        <v>6.8826212376879754E-3</v>
      </c>
      <c r="F35" s="5">
        <v>3.7055515549354845</v>
      </c>
      <c r="G35" s="5">
        <v>4.1002556673144369E-2</v>
      </c>
      <c r="K35" s="130">
        <v>2021</v>
      </c>
      <c r="L35" s="130" t="s">
        <v>122</v>
      </c>
      <c r="M35" s="5">
        <v>0.2389595820027757</v>
      </c>
      <c r="N35" s="5">
        <v>1.9928748914661365</v>
      </c>
      <c r="O35" s="101">
        <v>9.0641408136818962E-3</v>
      </c>
      <c r="P35" s="5">
        <v>4.6965687510892371</v>
      </c>
      <c r="Q35" s="5">
        <v>5.6229229745958363E-2</v>
      </c>
      <c r="R35" s="129"/>
      <c r="S35" s="129"/>
    </row>
    <row r="36" spans="1:19" x14ac:dyDescent="0.25">
      <c r="A36" s="8">
        <v>2022</v>
      </c>
      <c r="B36" s="8" t="s">
        <v>120</v>
      </c>
      <c r="C36" s="5">
        <v>5.4917079141088149E-2</v>
      </c>
      <c r="D36" s="5">
        <v>0.79226875915158534</v>
      </c>
      <c r="E36" s="101">
        <v>5.5733915385246359E-3</v>
      </c>
      <c r="F36" s="5">
        <v>0.12791674539797032</v>
      </c>
      <c r="G36" s="5">
        <v>4.1455008420007732E-2</v>
      </c>
      <c r="K36" s="130">
        <v>2022</v>
      </c>
      <c r="L36" s="130" t="s">
        <v>120</v>
      </c>
      <c r="M36" s="5">
        <v>6.7035864729367609E-2</v>
      </c>
      <c r="N36" s="5">
        <v>1.048765912433586</v>
      </c>
      <c r="O36" s="101">
        <v>7.3601942782405855E-3</v>
      </c>
      <c r="P36" s="5">
        <v>0.16461462843638297</v>
      </c>
      <c r="Q36" s="5">
        <v>5.6475779868417834E-2</v>
      </c>
      <c r="R36" s="129"/>
      <c r="S36" s="129"/>
    </row>
    <row r="37" spans="1:19" x14ac:dyDescent="0.25">
      <c r="A37" s="8">
        <v>2022</v>
      </c>
      <c r="B37" t="s">
        <v>121</v>
      </c>
      <c r="C37" s="5">
        <v>0.12576811223126819</v>
      </c>
      <c r="D37" s="5">
        <v>0.599957028901558</v>
      </c>
      <c r="E37" s="101">
        <v>1.3035449269215025E-3</v>
      </c>
      <c r="F37" s="5">
        <v>3.5145138386346955</v>
      </c>
      <c r="G37" s="5">
        <v>1.961925930522329E-4</v>
      </c>
      <c r="K37" s="130">
        <v>2022</v>
      </c>
      <c r="L37" s="129" t="s">
        <v>121</v>
      </c>
      <c r="M37" s="5">
        <v>0.15887772466671607</v>
      </c>
      <c r="N37" s="5">
        <v>0.81888885308539749</v>
      </c>
      <c r="O37" s="101">
        <v>1.6623602149569855E-3</v>
      </c>
      <c r="P37" s="5">
        <v>4.4335589243944682</v>
      </c>
      <c r="Q37" s="5">
        <v>4.1352411735698266E-4</v>
      </c>
      <c r="R37" s="129"/>
      <c r="S37" s="129"/>
    </row>
    <row r="38" spans="1:19" x14ac:dyDescent="0.25">
      <c r="A38" s="8">
        <v>2022</v>
      </c>
      <c r="B38" s="8" t="s">
        <v>122</v>
      </c>
      <c r="C38" s="5">
        <v>0.18068519137235634</v>
      </c>
      <c r="D38" s="5">
        <v>1.3922257880531435</v>
      </c>
      <c r="E38" s="101">
        <v>6.8769364654461384E-3</v>
      </c>
      <c r="F38" s="5">
        <v>3.6424305840326658</v>
      </c>
      <c r="G38" s="5">
        <v>4.1651201013059962E-2</v>
      </c>
      <c r="K38" s="130">
        <v>2022</v>
      </c>
      <c r="L38" s="130" t="s">
        <v>122</v>
      </c>
      <c r="M38" s="5">
        <v>0.22591358939608369</v>
      </c>
      <c r="N38" s="5">
        <v>1.8676547655189835</v>
      </c>
      <c r="O38" s="101">
        <v>9.0225544931975717E-3</v>
      </c>
      <c r="P38" s="5">
        <v>4.5981735528308514</v>
      </c>
      <c r="Q38" s="5">
        <v>5.6889303985774818E-2</v>
      </c>
      <c r="R38" s="129"/>
      <c r="S38" s="129"/>
    </row>
    <row r="39" spans="1:19" x14ac:dyDescent="0.25">
      <c r="A39" s="8">
        <v>2023</v>
      </c>
      <c r="B39" s="8" t="s">
        <v>120</v>
      </c>
      <c r="C39" s="5">
        <v>5.0596444370389508E-2</v>
      </c>
      <c r="D39" s="5">
        <v>0.72798080904221685</v>
      </c>
      <c r="E39" s="101">
        <v>5.5480863541917062E-3</v>
      </c>
      <c r="F39" s="5">
        <v>0.12093938062126813</v>
      </c>
      <c r="G39" s="5">
        <v>4.2066195353265522E-2</v>
      </c>
      <c r="K39" s="130">
        <v>2023</v>
      </c>
      <c r="L39" s="130" t="s">
        <v>120</v>
      </c>
      <c r="M39" s="5">
        <v>6.168318182768779E-2</v>
      </c>
      <c r="N39" s="5">
        <v>0.9605606434029258</v>
      </c>
      <c r="O39" s="101">
        <v>7.3018934995381897E-3</v>
      </c>
      <c r="P39" s="5">
        <v>0.1551650574100833</v>
      </c>
      <c r="Q39" s="5">
        <v>5.709250753372265E-2</v>
      </c>
      <c r="R39" s="129"/>
      <c r="S39" s="129"/>
    </row>
    <row r="40" spans="1:19" x14ac:dyDescent="0.25">
      <c r="A40" s="8">
        <v>2023</v>
      </c>
      <c r="B40" t="s">
        <v>121</v>
      </c>
      <c r="C40" s="5">
        <v>0.12199116658357695</v>
      </c>
      <c r="D40" s="5">
        <v>0.59042555286963883</v>
      </c>
      <c r="E40" s="101">
        <v>1.3153678165969541E-3</v>
      </c>
      <c r="F40" s="5">
        <v>3.461996051108148</v>
      </c>
      <c r="G40" s="5">
        <v>1.9907466565452226E-4</v>
      </c>
      <c r="K40" s="130">
        <v>2023</v>
      </c>
      <c r="L40" s="129" t="s">
        <v>121</v>
      </c>
      <c r="M40" s="5">
        <v>0.1534956181333986</v>
      </c>
      <c r="N40" s="5">
        <v>0.80293130086340958</v>
      </c>
      <c r="O40" s="101">
        <v>1.6706885209289658E-3</v>
      </c>
      <c r="P40" s="5">
        <v>4.3506871913142477</v>
      </c>
      <c r="Q40" s="5">
        <v>4.134655090914957E-4</v>
      </c>
      <c r="R40" s="129"/>
      <c r="S40" s="129"/>
    </row>
    <row r="41" spans="1:19" x14ac:dyDescent="0.25">
      <c r="A41" s="8">
        <v>2023</v>
      </c>
      <c r="B41" s="8" t="s">
        <v>122</v>
      </c>
      <c r="C41" s="5">
        <v>0.17258761095396646</v>
      </c>
      <c r="D41" s="5">
        <v>1.3184063619118556</v>
      </c>
      <c r="E41" s="101">
        <v>6.8634541707886607E-3</v>
      </c>
      <c r="F41" s="5">
        <v>3.5829354317294162</v>
      </c>
      <c r="G41" s="5">
        <v>4.2265270018920047E-2</v>
      </c>
      <c r="K41" s="130">
        <v>2023</v>
      </c>
      <c r="L41" s="130" t="s">
        <v>122</v>
      </c>
      <c r="M41" s="5">
        <v>0.21517879996108638</v>
      </c>
      <c r="N41" s="5">
        <v>1.7634919442663355</v>
      </c>
      <c r="O41" s="101">
        <v>8.9725820204671555E-3</v>
      </c>
      <c r="P41" s="5">
        <v>4.5058522487243309</v>
      </c>
      <c r="Q41" s="5">
        <v>5.7505973042814143E-2</v>
      </c>
      <c r="R41" s="129"/>
      <c r="S41" s="129"/>
    </row>
    <row r="42" spans="1:19" x14ac:dyDescent="0.25">
      <c r="A42" s="8">
        <v>2024</v>
      </c>
      <c r="B42" s="8" t="s">
        <v>120</v>
      </c>
      <c r="C42" s="5">
        <v>4.657270663731327E-2</v>
      </c>
      <c r="D42" s="5">
        <v>0.66505633581985768</v>
      </c>
      <c r="E42" s="101">
        <v>5.5183008476779854E-3</v>
      </c>
      <c r="F42" s="5">
        <v>0.1153906967297733</v>
      </c>
      <c r="G42" s="5">
        <v>4.267643077800419E-2</v>
      </c>
      <c r="K42" s="130">
        <v>2024</v>
      </c>
      <c r="L42" s="130" t="s">
        <v>120</v>
      </c>
      <c r="M42" s="5">
        <v>5.7215485610698898E-2</v>
      </c>
      <c r="N42" s="5">
        <v>0.87490852615458103</v>
      </c>
      <c r="O42" s="101">
        <v>7.2410210274507503E-3</v>
      </c>
      <c r="P42" s="5">
        <v>0.14758583559786015</v>
      </c>
      <c r="Q42" s="5">
        <v>5.772848520542144E-2</v>
      </c>
      <c r="R42" s="129"/>
      <c r="S42" s="129"/>
    </row>
    <row r="43" spans="1:19" x14ac:dyDescent="0.25">
      <c r="A43" s="8">
        <v>2024</v>
      </c>
      <c r="B43" t="s">
        <v>121</v>
      </c>
      <c r="C43" s="5">
        <v>0.11622774572900485</v>
      </c>
      <c r="D43" s="5">
        <v>0.58413807672350926</v>
      </c>
      <c r="E43" s="101">
        <v>1.325701890770505E-3</v>
      </c>
      <c r="F43" s="5">
        <v>3.4321061383816445</v>
      </c>
      <c r="G43" s="5">
        <v>2.0213593191384163E-4</v>
      </c>
      <c r="K43" s="130">
        <v>2024</v>
      </c>
      <c r="L43" s="129" t="s">
        <v>121</v>
      </c>
      <c r="M43" s="5">
        <v>0.14574918150737107</v>
      </c>
      <c r="N43" s="5">
        <v>0.79171737529066455</v>
      </c>
      <c r="O43" s="101">
        <v>1.6779137756494796E-3</v>
      </c>
      <c r="P43" s="5">
        <v>4.298647258883399</v>
      </c>
      <c r="Q43" s="5">
        <v>4.1427173192192939E-4</v>
      </c>
      <c r="R43" s="129"/>
      <c r="S43" s="129"/>
    </row>
    <row r="44" spans="1:19" x14ac:dyDescent="0.25">
      <c r="A44" s="8">
        <v>2024</v>
      </c>
      <c r="B44" s="8" t="s">
        <v>122</v>
      </c>
      <c r="C44" s="5">
        <v>0.16280045236631813</v>
      </c>
      <c r="D44" s="5">
        <v>1.2491944125433669</v>
      </c>
      <c r="E44" s="101">
        <v>6.8440027384484899E-3</v>
      </c>
      <c r="F44" s="5">
        <v>3.5474968351114176</v>
      </c>
      <c r="G44" s="5">
        <v>4.2878566709918034E-2</v>
      </c>
      <c r="K44" s="130">
        <v>2024</v>
      </c>
      <c r="L44" s="130" t="s">
        <v>122</v>
      </c>
      <c r="M44" s="5">
        <v>0.20296466711806996</v>
      </c>
      <c r="N44" s="5">
        <v>1.6666259014452456</v>
      </c>
      <c r="O44" s="101">
        <v>8.9189348031002303E-3</v>
      </c>
      <c r="P44" s="5">
        <v>4.4462330944812596</v>
      </c>
      <c r="Q44" s="5">
        <v>5.8142756937343366E-2</v>
      </c>
      <c r="R44" s="129"/>
      <c r="S44" s="129"/>
    </row>
    <row r="45" spans="1:19" x14ac:dyDescent="0.25">
      <c r="A45" s="8">
        <v>2025</v>
      </c>
      <c r="B45" s="8" t="s">
        <v>120</v>
      </c>
      <c r="C45" s="5">
        <v>4.8598246968781109E-2</v>
      </c>
      <c r="D45" s="5">
        <v>0.63308854184826702</v>
      </c>
      <c r="E45" s="101">
        <v>5.726281631421375E-3</v>
      </c>
      <c r="F45" s="5">
        <v>0.11904437357417441</v>
      </c>
      <c r="G45" s="5">
        <v>4.3901756044014008E-2</v>
      </c>
      <c r="K45" s="130">
        <v>2025</v>
      </c>
      <c r="L45" s="130" t="s">
        <v>120</v>
      </c>
      <c r="M45" s="5">
        <v>5.2726859415892849E-2</v>
      </c>
      <c r="N45" s="5">
        <v>0.80170979023459621</v>
      </c>
      <c r="O45" s="101">
        <v>7.140974725040522E-3</v>
      </c>
      <c r="P45" s="5">
        <v>0.1392808078866688</v>
      </c>
      <c r="Q45" s="5">
        <v>5.8459982424372864E-2</v>
      </c>
      <c r="R45" s="129"/>
      <c r="S45" s="129"/>
    </row>
    <row r="46" spans="1:19" x14ac:dyDescent="0.25">
      <c r="A46" s="8">
        <v>2025</v>
      </c>
      <c r="B46" t="s">
        <v>121</v>
      </c>
      <c r="C46" s="5">
        <v>0.11028653476192084</v>
      </c>
      <c r="D46" s="5">
        <v>0.56642628954227736</v>
      </c>
      <c r="E46" s="101">
        <v>1.3262962426927531E-3</v>
      </c>
      <c r="F46" s="5">
        <v>3.3632355392231932</v>
      </c>
      <c r="G46" s="5">
        <v>1.9021609816215654E-4</v>
      </c>
      <c r="K46" s="130">
        <v>2025</v>
      </c>
      <c r="L46" s="129" t="s">
        <v>121</v>
      </c>
      <c r="M46" s="5">
        <v>0.13802242003777296</v>
      </c>
      <c r="N46" s="5">
        <v>0.76879792010812831</v>
      </c>
      <c r="O46" s="101">
        <v>1.675663010982572E-3</v>
      </c>
      <c r="P46" s="5">
        <v>4.204401101862616</v>
      </c>
      <c r="Q46" s="5">
        <v>4.0072722800429754E-4</v>
      </c>
      <c r="R46" s="129"/>
      <c r="S46" s="129"/>
    </row>
    <row r="47" spans="1:19" x14ac:dyDescent="0.25">
      <c r="A47" s="8">
        <v>2025</v>
      </c>
      <c r="B47" s="8" t="s">
        <v>122</v>
      </c>
      <c r="C47" s="5">
        <v>0.15888478173070195</v>
      </c>
      <c r="D47" s="5">
        <v>1.1995148313905444</v>
      </c>
      <c r="E47" s="101">
        <v>7.0525778741141283E-3</v>
      </c>
      <c r="F47" s="5">
        <v>3.4822799127973676</v>
      </c>
      <c r="G47" s="5">
        <v>4.4091972142176167E-2</v>
      </c>
      <c r="K47" s="130">
        <v>2025</v>
      </c>
      <c r="L47" s="130" t="s">
        <v>122</v>
      </c>
      <c r="M47" s="5">
        <v>0.19074927945366582</v>
      </c>
      <c r="N47" s="5">
        <v>1.5705077103427245</v>
      </c>
      <c r="O47" s="101">
        <v>8.8166377360230936E-3</v>
      </c>
      <c r="P47" s="5">
        <v>4.3436819097492849</v>
      </c>
      <c r="Q47" s="5">
        <v>5.8860709652377163E-2</v>
      </c>
      <c r="R47" s="129"/>
      <c r="S47" s="129"/>
    </row>
    <row r="48" spans="1:19" x14ac:dyDescent="0.25">
      <c r="A48" s="8">
        <v>2026</v>
      </c>
      <c r="B48" s="8" t="s">
        <v>120</v>
      </c>
      <c r="C48" s="5">
        <v>4.095446046162661E-2</v>
      </c>
      <c r="D48" s="5">
        <v>0.54850675771789625</v>
      </c>
      <c r="E48" s="101">
        <v>5.3890112244418644E-3</v>
      </c>
      <c r="F48" s="5">
        <v>9.8785878770757674E-2</v>
      </c>
      <c r="G48" s="5">
        <v>4.3716401459778453E-2</v>
      </c>
      <c r="K48" s="130">
        <v>2026</v>
      </c>
      <c r="L48" s="130" t="s">
        <v>120</v>
      </c>
      <c r="M48" s="5">
        <v>4.9394753231158182E-2</v>
      </c>
      <c r="N48" s="5">
        <v>0.71737730745345207</v>
      </c>
      <c r="O48" s="101">
        <v>7.0459641002535989E-3</v>
      </c>
      <c r="P48" s="5">
        <v>0.12590348598787582</v>
      </c>
      <c r="Q48" s="5">
        <v>5.8853939945920981E-2</v>
      </c>
      <c r="R48" s="129"/>
      <c r="S48" s="129"/>
    </row>
    <row r="49" spans="1:19" x14ac:dyDescent="0.25">
      <c r="A49" s="8">
        <v>2026</v>
      </c>
      <c r="B49" t="s">
        <v>121</v>
      </c>
      <c r="C49" s="5">
        <v>0.1046642072699923</v>
      </c>
      <c r="D49" s="5">
        <v>0.55248917077565152</v>
      </c>
      <c r="E49" s="101">
        <v>1.3272378672698167E-3</v>
      </c>
      <c r="F49" s="5">
        <v>3.2889697316306199</v>
      </c>
      <c r="G49" s="5">
        <v>1.9316556036134245E-4</v>
      </c>
      <c r="K49" s="130">
        <v>2026</v>
      </c>
      <c r="L49" s="129" t="s">
        <v>121</v>
      </c>
      <c r="M49" s="5">
        <v>0.13071474714023543</v>
      </c>
      <c r="N49" s="5">
        <v>0.74890572724832771</v>
      </c>
      <c r="O49" s="101">
        <v>1.6732533296019117E-3</v>
      </c>
      <c r="P49" s="5">
        <v>4.103224608774525</v>
      </c>
      <c r="Q49" s="5">
        <v>4.0110460231560863E-4</v>
      </c>
      <c r="R49" s="129"/>
      <c r="S49" s="129"/>
    </row>
    <row r="50" spans="1:19" x14ac:dyDescent="0.25">
      <c r="A50" s="8">
        <v>2026</v>
      </c>
      <c r="B50" s="8" t="s">
        <v>122</v>
      </c>
      <c r="C50" s="5">
        <v>0.14561866773161891</v>
      </c>
      <c r="D50" s="5">
        <v>1.1009959284935478</v>
      </c>
      <c r="E50" s="101">
        <v>6.7162490917116813E-3</v>
      </c>
      <c r="F50" s="5">
        <v>3.3877556104013777</v>
      </c>
      <c r="G50" s="5">
        <v>4.3909567020139796E-2</v>
      </c>
      <c r="K50" s="130">
        <v>2026</v>
      </c>
      <c r="L50" s="130" t="s">
        <v>122</v>
      </c>
      <c r="M50" s="5">
        <v>0.18010950037139362</v>
      </c>
      <c r="N50" s="5">
        <v>1.4662830347017799</v>
      </c>
      <c r="O50" s="101">
        <v>8.7192174298555102E-3</v>
      </c>
      <c r="P50" s="5">
        <v>4.2291280947624008</v>
      </c>
      <c r="Q50" s="5">
        <v>5.9255044548236588E-2</v>
      </c>
      <c r="R50" s="129"/>
      <c r="S50" s="129"/>
    </row>
    <row r="51" spans="1:19" hidden="1" x14ac:dyDescent="0.25">
      <c r="A51" s="8">
        <v>2027</v>
      </c>
      <c r="B51" s="8" t="s">
        <v>120</v>
      </c>
      <c r="C51" s="5">
        <v>3.7200809546900207E-2</v>
      </c>
      <c r="D51" s="5">
        <v>0.50053513500202351</v>
      </c>
      <c r="E51" s="101">
        <v>5.3387708566324642E-3</v>
      </c>
      <c r="F51" s="5">
        <v>9.4695844575109572E-2</v>
      </c>
      <c r="G51" s="5">
        <v>4.4203862326215169E-2</v>
      </c>
      <c r="K51" s="130">
        <v>2027</v>
      </c>
      <c r="L51" s="130" t="s">
        <v>120</v>
      </c>
      <c r="M51" s="5">
        <v>4.5154431217746302E-2</v>
      </c>
      <c r="N51" s="5">
        <v>0.6533561242971011</v>
      </c>
      <c r="O51" s="101">
        <v>6.967598590277682E-3</v>
      </c>
      <c r="P51" s="5">
        <v>0.12055689134359952</v>
      </c>
      <c r="Q51" s="5">
        <v>5.9386493769874218E-2</v>
      </c>
      <c r="R51" s="129"/>
      <c r="S51" s="129"/>
    </row>
    <row r="52" spans="1:19" hidden="1" x14ac:dyDescent="0.25">
      <c r="A52" s="8">
        <v>2027</v>
      </c>
      <c r="B52" t="s">
        <v>121</v>
      </c>
      <c r="C52" s="5">
        <v>9.9872516415562329E-2</v>
      </c>
      <c r="D52" s="5">
        <v>0.54352446691956957</v>
      </c>
      <c r="E52" s="101">
        <v>1.3297448340385217E-3</v>
      </c>
      <c r="F52" s="5">
        <v>3.2461422465051739</v>
      </c>
      <c r="G52" s="5">
        <v>1.9413249765774397E-4</v>
      </c>
      <c r="K52" s="130">
        <v>2027</v>
      </c>
      <c r="L52" s="129" t="s">
        <v>121</v>
      </c>
      <c r="M52" s="5">
        <v>0.12446689796969705</v>
      </c>
      <c r="N52" s="5">
        <v>0.7358704954159766</v>
      </c>
      <c r="O52" s="101">
        <v>1.6728884025090332E-3</v>
      </c>
      <c r="P52" s="5">
        <v>4.04149096700674</v>
      </c>
      <c r="Q52" s="5">
        <v>4.0065222131457028E-4</v>
      </c>
      <c r="R52" s="129"/>
      <c r="S52" s="129"/>
    </row>
    <row r="53" spans="1:19" hidden="1" x14ac:dyDescent="0.25">
      <c r="A53" s="8">
        <v>2027</v>
      </c>
      <c r="B53" s="8" t="s">
        <v>122</v>
      </c>
      <c r="C53" s="5">
        <v>0.13707332596246252</v>
      </c>
      <c r="D53" s="5">
        <v>1.0440596019215931</v>
      </c>
      <c r="E53" s="101">
        <v>6.6685156906709855E-3</v>
      </c>
      <c r="F53" s="5">
        <v>3.3408380910802835</v>
      </c>
      <c r="G53" s="5">
        <v>4.4397994823872911E-2</v>
      </c>
      <c r="K53" s="130">
        <v>2027</v>
      </c>
      <c r="L53" s="130" t="s">
        <v>122</v>
      </c>
      <c r="M53" s="5">
        <v>0.16962132918744335</v>
      </c>
      <c r="N53" s="5">
        <v>1.3892266197130776</v>
      </c>
      <c r="O53" s="101">
        <v>8.640486992786715E-3</v>
      </c>
      <c r="P53" s="5">
        <v>4.1620478583503395</v>
      </c>
      <c r="Q53" s="5">
        <v>5.9787145991188791E-2</v>
      </c>
      <c r="R53" s="129"/>
      <c r="S53" s="129"/>
    </row>
    <row r="54" spans="1:19" hidden="1" x14ac:dyDescent="0.25">
      <c r="A54" s="8">
        <v>2028</v>
      </c>
      <c r="B54" s="8" t="s">
        <v>120</v>
      </c>
      <c r="C54" s="5">
        <v>3.3952641512039375E-2</v>
      </c>
      <c r="D54" s="5">
        <v>0.45456121991418375</v>
      </c>
      <c r="E54" s="101">
        <v>5.2954922783917851E-3</v>
      </c>
      <c r="F54" s="5">
        <v>8.9495720599214582E-2</v>
      </c>
      <c r="G54" s="5">
        <v>4.4654790250604086E-2</v>
      </c>
      <c r="K54" s="130">
        <v>2028</v>
      </c>
      <c r="L54" s="130" t="s">
        <v>120</v>
      </c>
      <c r="M54" s="5">
        <v>4.1094077548801081E-2</v>
      </c>
      <c r="N54" s="5">
        <v>0.5929303579301598</v>
      </c>
      <c r="O54" s="101">
        <v>6.8999020190808483E-3</v>
      </c>
      <c r="P54" s="5">
        <v>0.11377425247882056</v>
      </c>
      <c r="Q54" s="5">
        <v>5.988220659675577E-2</v>
      </c>
      <c r="R54" s="129"/>
      <c r="S54" s="129"/>
    </row>
    <row r="55" spans="1:19" hidden="1" x14ac:dyDescent="0.25">
      <c r="A55" s="8">
        <v>2028</v>
      </c>
      <c r="B55" t="s">
        <v>121</v>
      </c>
      <c r="C55" s="5">
        <v>9.5571556407760883E-2</v>
      </c>
      <c r="D55" s="5">
        <v>0.53595761297123334</v>
      </c>
      <c r="E55" s="101">
        <v>1.3321996794604784E-3</v>
      </c>
      <c r="F55" s="5">
        <v>3.2184580864170682</v>
      </c>
      <c r="G55" s="5">
        <v>1.9502555534644674E-4</v>
      </c>
      <c r="K55" s="130">
        <v>2028</v>
      </c>
      <c r="L55" s="129" t="s">
        <v>121</v>
      </c>
      <c r="M55" s="5">
        <v>0.11888272592226018</v>
      </c>
      <c r="N55" s="5">
        <v>0.72485868389634112</v>
      </c>
      <c r="O55" s="101">
        <v>1.6728578716186143E-3</v>
      </c>
      <c r="P55" s="5">
        <v>3.9997087132617639</v>
      </c>
      <c r="Q55" s="5">
        <v>4.0040384216070789E-4</v>
      </c>
      <c r="R55" s="129"/>
      <c r="S55" s="129"/>
    </row>
    <row r="56" spans="1:19" hidden="1" x14ac:dyDescent="0.25">
      <c r="A56" s="8">
        <v>2028</v>
      </c>
      <c r="B56" s="8" t="s">
        <v>122</v>
      </c>
      <c r="C56" s="5">
        <v>0.12952419791980024</v>
      </c>
      <c r="D56" s="5">
        <v>0.99051883288541709</v>
      </c>
      <c r="E56" s="101">
        <v>6.6276919578522634E-3</v>
      </c>
      <c r="F56" s="5">
        <v>3.3079538070162826</v>
      </c>
      <c r="G56" s="5">
        <v>4.484981580595053E-2</v>
      </c>
      <c r="K56" s="130">
        <v>2028</v>
      </c>
      <c r="L56" s="130" t="s">
        <v>122</v>
      </c>
      <c r="M56" s="5">
        <v>0.15997680347106125</v>
      </c>
      <c r="N56" s="5">
        <v>1.3177890418265008</v>
      </c>
      <c r="O56" s="101">
        <v>8.5727598906994631E-3</v>
      </c>
      <c r="P56" s="5">
        <v>4.1134829657405847</v>
      </c>
      <c r="Q56" s="5">
        <v>6.028261043891648E-2</v>
      </c>
      <c r="R56" s="129"/>
      <c r="S56" s="129"/>
    </row>
    <row r="57" spans="1:19" hidden="1" x14ac:dyDescent="0.25">
      <c r="A57" s="8">
        <v>2029</v>
      </c>
      <c r="B57" s="8" t="s">
        <v>120</v>
      </c>
      <c r="C57" s="5">
        <v>3.2498072773166103E-2</v>
      </c>
      <c r="D57" s="5">
        <v>0.41004920046776416</v>
      </c>
      <c r="E57" s="101">
        <v>5.2631782102201333E-3</v>
      </c>
      <c r="F57" s="5">
        <v>8.6409583739280454E-2</v>
      </c>
      <c r="G57" s="5">
        <v>4.5130679444192426E-2</v>
      </c>
      <c r="K57" s="130">
        <v>2029</v>
      </c>
      <c r="L57" s="130" t="s">
        <v>120</v>
      </c>
      <c r="M57" s="5">
        <v>3.9128633811291308E-2</v>
      </c>
      <c r="N57" s="5">
        <v>0.53395723646552207</v>
      </c>
      <c r="O57" s="101">
        <v>6.8472102772910437E-3</v>
      </c>
      <c r="P57" s="5">
        <v>0.10969636127691612</v>
      </c>
      <c r="Q57" s="5">
        <v>6.0445670747123717E-2</v>
      </c>
      <c r="R57" s="129"/>
      <c r="S57" s="129"/>
    </row>
    <row r="58" spans="1:19" hidden="1" x14ac:dyDescent="0.25">
      <c r="A58" s="8">
        <v>2029</v>
      </c>
      <c r="B58" t="s">
        <v>121</v>
      </c>
      <c r="C58" s="5">
        <v>9.1465747980277429E-2</v>
      </c>
      <c r="D58" s="5">
        <v>0.53279112594792055</v>
      </c>
      <c r="E58" s="101">
        <v>1.3365395497809823E-3</v>
      </c>
      <c r="F58" s="5">
        <v>3.1948158462321921</v>
      </c>
      <c r="G58" s="5">
        <v>2.0652867838547113E-4</v>
      </c>
      <c r="K58" s="130">
        <v>2029</v>
      </c>
      <c r="L58" s="129" t="s">
        <v>121</v>
      </c>
      <c r="M58" s="5">
        <v>0.11356147114027559</v>
      </c>
      <c r="N58" s="5">
        <v>0.71881107486497076</v>
      </c>
      <c r="O58" s="101">
        <v>1.6749520466598315E-3</v>
      </c>
      <c r="P58" s="5">
        <v>3.9630098050526814</v>
      </c>
      <c r="Q58" s="5">
        <v>4.1184290730685426E-4</v>
      </c>
      <c r="R58" s="129"/>
      <c r="S58" s="129"/>
    </row>
    <row r="59" spans="1:19" hidden="1" x14ac:dyDescent="0.25">
      <c r="A59" s="8">
        <v>2029</v>
      </c>
      <c r="B59" s="8" t="s">
        <v>122</v>
      </c>
      <c r="C59" s="5">
        <v>0.12396382075344353</v>
      </c>
      <c r="D59" s="5">
        <v>0.94284032641568472</v>
      </c>
      <c r="E59" s="101">
        <v>6.5997177600011156E-3</v>
      </c>
      <c r="F59" s="5">
        <v>3.2812254299714727</v>
      </c>
      <c r="G59" s="5">
        <v>4.5337208122577896E-2</v>
      </c>
      <c r="K59" s="130">
        <v>2029</v>
      </c>
      <c r="L59" s="130" t="s">
        <v>122</v>
      </c>
      <c r="M59" s="5">
        <v>0.1526901049515669</v>
      </c>
      <c r="N59" s="5">
        <v>1.2527683113304928</v>
      </c>
      <c r="O59" s="101">
        <v>8.5221623239508746E-3</v>
      </c>
      <c r="P59" s="5">
        <v>4.0727061663295974</v>
      </c>
      <c r="Q59" s="5">
        <v>6.0857513654430574E-2</v>
      </c>
      <c r="R59" s="129"/>
      <c r="S59" s="129"/>
    </row>
  </sheetData>
  <mergeCells count="16">
    <mergeCell ref="K21:S21"/>
    <mergeCell ref="K22:S22"/>
    <mergeCell ref="M25:Q25"/>
    <mergeCell ref="K1:S1"/>
    <mergeCell ref="K2:S2"/>
    <mergeCell ref="M5:Q5"/>
    <mergeCell ref="R5:S5"/>
    <mergeCell ref="K20:S20"/>
    <mergeCell ref="A22:I22"/>
    <mergeCell ref="C25:G25"/>
    <mergeCell ref="A1:I1"/>
    <mergeCell ref="A2:I2"/>
    <mergeCell ref="C5:G5"/>
    <mergeCell ref="H5:I5"/>
    <mergeCell ref="A20:I20"/>
    <mergeCell ref="A21:I21"/>
  </mergeCells>
  <printOptions horizontalCentered="1" gridLines="1"/>
  <pageMargins left="0.25" right="0.25" top="0.75" bottom="0.75" header="0.3" footer="0.3"/>
  <pageSetup scale="74" orientation="landscape" r:id="rId1"/>
  <headerFooter>
    <oddHeader>&amp;F</oddHeader>
    <oddFooter>&amp;A</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7E203-C160-41BE-8C9C-7448AC11A139}">
  <dimension ref="A1:AB9"/>
  <sheetViews>
    <sheetView workbookViewId="0">
      <selection sqref="A1:K1"/>
    </sheetView>
  </sheetViews>
  <sheetFormatPr defaultColWidth="8.85546875" defaultRowHeight="15" x14ac:dyDescent="0.25"/>
  <cols>
    <col min="1" max="1" width="25" style="104" customWidth="1"/>
    <col min="2" max="16384" width="8.85546875" style="104"/>
  </cols>
  <sheetData>
    <row r="1" spans="1:28" ht="15.75" x14ac:dyDescent="0.25">
      <c r="A1" s="231" t="s">
        <v>133</v>
      </c>
      <c r="B1" s="231"/>
      <c r="C1" s="231"/>
      <c r="D1" s="231"/>
      <c r="E1" s="231"/>
      <c r="F1" s="231"/>
      <c r="G1" s="231"/>
      <c r="H1" s="231"/>
      <c r="I1" s="231"/>
      <c r="J1" s="231"/>
      <c r="K1" s="231"/>
    </row>
    <row r="2" spans="1:28" x14ac:dyDescent="0.25">
      <c r="P2" s="105" t="s">
        <v>123</v>
      </c>
      <c r="Q2" s="106">
        <v>0.92996343569032691</v>
      </c>
    </row>
    <row r="3" spans="1:28" x14ac:dyDescent="0.25">
      <c r="B3" s="230" t="s">
        <v>124</v>
      </c>
      <c r="C3" s="230"/>
      <c r="D3" s="230"/>
      <c r="E3" s="230"/>
      <c r="F3" s="230"/>
      <c r="G3" s="230" t="s">
        <v>0</v>
      </c>
      <c r="H3" s="230"/>
      <c r="I3" s="230"/>
      <c r="J3" s="230"/>
      <c r="K3" s="230"/>
      <c r="R3" s="230" t="s">
        <v>125</v>
      </c>
      <c r="S3" s="230"/>
      <c r="T3" s="230"/>
      <c r="U3" s="230"/>
      <c r="V3" s="230"/>
      <c r="W3" s="230" t="s">
        <v>0</v>
      </c>
      <c r="X3" s="230"/>
      <c r="Y3" s="230"/>
      <c r="Z3" s="230"/>
      <c r="AA3" s="230"/>
    </row>
    <row r="4" spans="1:28" x14ac:dyDescent="0.25">
      <c r="A4" s="107" t="s">
        <v>2</v>
      </c>
      <c r="B4" s="108" t="s">
        <v>3</v>
      </c>
      <c r="C4" s="108" t="s">
        <v>4</v>
      </c>
      <c r="D4" s="108" t="s">
        <v>5</v>
      </c>
      <c r="E4" s="108" t="s">
        <v>6</v>
      </c>
      <c r="F4" s="108" t="s">
        <v>7</v>
      </c>
      <c r="G4" s="108" t="s">
        <v>3</v>
      </c>
      <c r="H4" s="108" t="s">
        <v>4</v>
      </c>
      <c r="I4" s="108" t="s">
        <v>5</v>
      </c>
      <c r="J4" s="108" t="s">
        <v>6</v>
      </c>
      <c r="K4" s="108" t="s">
        <v>7</v>
      </c>
      <c r="R4" s="108" t="s">
        <v>3</v>
      </c>
      <c r="S4" s="108" t="s">
        <v>4</v>
      </c>
      <c r="T4" s="108" t="s">
        <v>5</v>
      </c>
      <c r="U4" s="108" t="s">
        <v>6</v>
      </c>
      <c r="V4" s="108" t="s">
        <v>7</v>
      </c>
      <c r="W4" s="108" t="s">
        <v>3</v>
      </c>
      <c r="X4" s="108" t="s">
        <v>4</v>
      </c>
      <c r="Y4" s="108" t="s">
        <v>5</v>
      </c>
      <c r="Z4" s="108" t="s">
        <v>6</v>
      </c>
      <c r="AA4" s="108" t="s">
        <v>7</v>
      </c>
    </row>
    <row r="5" spans="1:28" x14ac:dyDescent="0.25">
      <c r="A5" s="104" t="s">
        <v>14</v>
      </c>
      <c r="B5" s="109">
        <v>0.22413097102002566</v>
      </c>
      <c r="C5" s="109">
        <v>0.3570205514022865</v>
      </c>
      <c r="D5" s="109">
        <v>2.8155322517431434E-2</v>
      </c>
      <c r="E5" s="109">
        <v>2.0967733837005387</v>
      </c>
      <c r="F5" s="109">
        <v>4.6266302756557347E-2</v>
      </c>
      <c r="G5" s="109">
        <v>0.24101051978850074</v>
      </c>
      <c r="H5" s="109">
        <v>0.38390815993455096</v>
      </c>
      <c r="I5" s="109">
        <v>3.0275730675939191E-2</v>
      </c>
      <c r="J5" s="109">
        <v>2.2546836824224923</v>
      </c>
      <c r="K5" s="109">
        <v>4.9750668661734124E-2</v>
      </c>
      <c r="L5" s="104" t="s">
        <v>126</v>
      </c>
      <c r="R5" s="109">
        <v>0.24101051978850074</v>
      </c>
      <c r="S5" s="109">
        <v>0.38390815993455096</v>
      </c>
      <c r="T5" s="109">
        <v>3.0275730675939191E-2</v>
      </c>
      <c r="U5" s="109">
        <v>2.2546836824224923</v>
      </c>
      <c r="V5" s="109">
        <v>4.9750668661734124E-2</v>
      </c>
      <c r="W5" s="109">
        <v>0.24101051978850074</v>
      </c>
      <c r="X5" s="109">
        <v>0.38390815993455096</v>
      </c>
      <c r="Y5" s="109">
        <v>3.0275730675939191E-2</v>
      </c>
      <c r="Z5" s="109">
        <v>2.2546836824224923</v>
      </c>
      <c r="AA5" s="109">
        <v>4.9750668661734124E-2</v>
      </c>
    </row>
    <row r="6" spans="1:28" x14ac:dyDescent="0.25">
      <c r="A6" s="110" t="s">
        <v>16</v>
      </c>
      <c r="B6" s="109">
        <v>0.12788065876310314</v>
      </c>
      <c r="C6" s="109">
        <v>0.42572390185957598</v>
      </c>
      <c r="D6" s="109">
        <v>2.1978775850369646E-3</v>
      </c>
      <c r="E6" s="109">
        <v>4.0009323296341064</v>
      </c>
      <c r="F6" s="109">
        <v>2.0874005378606216E-3</v>
      </c>
      <c r="G6" s="109">
        <v>0.15699765408948793</v>
      </c>
      <c r="H6" s="109">
        <v>0.51817427405984395</v>
      </c>
      <c r="I6" s="109">
        <v>2.3634021518334691E-3</v>
      </c>
      <c r="J6" s="109">
        <v>4.9468585006880552</v>
      </c>
      <c r="K6" s="109">
        <v>2.579185038385379E-3</v>
      </c>
      <c r="L6" s="104" t="s">
        <v>127</v>
      </c>
      <c r="R6" s="109">
        <v>0.13751149115682731</v>
      </c>
      <c r="S6" s="109">
        <v>0.45778563491967211</v>
      </c>
      <c r="T6" s="109">
        <v>2.3634021518334691E-3</v>
      </c>
      <c r="U6" s="109">
        <v>4.3022469229278348</v>
      </c>
      <c r="V6" s="109">
        <v>2.2446049573025531E-3</v>
      </c>
      <c r="W6" s="109">
        <v>0.15699765408948793</v>
      </c>
      <c r="X6" s="109">
        <v>0.51817427405984395</v>
      </c>
      <c r="Y6" s="109">
        <v>2.3634021518334691E-3</v>
      </c>
      <c r="Z6" s="109">
        <v>4.9468585006880552</v>
      </c>
      <c r="AA6" s="109">
        <v>2.579185038385379E-3</v>
      </c>
    </row>
    <row r="7" spans="1:28" x14ac:dyDescent="0.25">
      <c r="A7" s="110" t="s">
        <v>128</v>
      </c>
      <c r="B7" s="109">
        <v>1.9378105640011861E-3</v>
      </c>
      <c r="C7" s="109">
        <v>8.2307005398813124E-2</v>
      </c>
      <c r="D7" s="109">
        <v>7.5025632261007568E-5</v>
      </c>
      <c r="E7" s="109">
        <v>3.2816522239932644E-3</v>
      </c>
      <c r="F7" s="109">
        <v>6.633063230999154E-5</v>
      </c>
      <c r="G7" s="109">
        <v>1.459095218148547E-2</v>
      </c>
      <c r="H7" s="109">
        <v>0.61973941224453688</v>
      </c>
      <c r="I7" s="109">
        <v>5.6491353336713649E-4</v>
      </c>
      <c r="J7" s="109">
        <v>2.4709551886064468E-2</v>
      </c>
      <c r="K7" s="109">
        <v>4.9944359999999936E-4</v>
      </c>
      <c r="L7" s="104" t="s">
        <v>129</v>
      </c>
      <c r="W7" s="109">
        <v>1.459095218148547E-2</v>
      </c>
      <c r="X7" s="109">
        <v>0.61973941224453688</v>
      </c>
      <c r="Y7" s="109">
        <v>5.6491353336713649E-4</v>
      </c>
      <c r="Z7" s="109">
        <v>2.4709551886064468E-2</v>
      </c>
      <c r="AA7" s="109">
        <v>4.9944359999999936E-4</v>
      </c>
    </row>
    <row r="8" spans="1:28" x14ac:dyDescent="0.25">
      <c r="A8" s="110" t="s">
        <v>130</v>
      </c>
      <c r="B8" s="109">
        <v>0.11781660248406012</v>
      </c>
      <c r="C8" s="109">
        <v>0.43146783543142098</v>
      </c>
      <c r="D8" s="109">
        <v>5.4064033127161695</v>
      </c>
      <c r="E8" s="109">
        <v>0.15334586001493897</v>
      </c>
      <c r="F8" s="109">
        <v>0</v>
      </c>
      <c r="G8" s="109">
        <v>0.17829861720289203</v>
      </c>
      <c r="H8" s="109">
        <v>0.61691683037638689</v>
      </c>
      <c r="I8" s="109">
        <v>7.7781644091643258</v>
      </c>
      <c r="J8" s="109">
        <v>0.29135203106436558</v>
      </c>
      <c r="K8" s="109">
        <v>0</v>
      </c>
      <c r="W8" s="109">
        <v>0.34995473690214696</v>
      </c>
      <c r="X8" s="109">
        <v>1.2108504847191437</v>
      </c>
      <c r="Y8" s="109">
        <v>15.266554065830373</v>
      </c>
      <c r="Z8" s="109">
        <v>0.57184977077535293</v>
      </c>
      <c r="AA8" s="109">
        <v>0</v>
      </c>
      <c r="AB8" s="104" t="s">
        <v>131</v>
      </c>
    </row>
    <row r="9" spans="1:28" x14ac:dyDescent="0.25">
      <c r="A9" s="104" t="s">
        <v>132</v>
      </c>
      <c r="B9" s="109">
        <v>0.24763507181116445</v>
      </c>
      <c r="C9" s="109">
        <v>0.93949874268981004</v>
      </c>
      <c r="D9" s="109">
        <v>5.4086762159334674</v>
      </c>
      <c r="E9" s="109">
        <v>4.1575598418730388</v>
      </c>
      <c r="F9" s="109">
        <v>2.1537311701706132E-3</v>
      </c>
      <c r="G9" s="109">
        <v>0.34988722347386542</v>
      </c>
      <c r="H9" s="109">
        <v>1.7548305166807676</v>
      </c>
      <c r="I9" s="109">
        <v>7.7810927248495263</v>
      </c>
      <c r="J9" s="109">
        <v>5.2629200836384857</v>
      </c>
      <c r="K9" s="109">
        <v>3.0786286383853783E-3</v>
      </c>
      <c r="R9" s="109"/>
      <c r="S9" s="109"/>
      <c r="T9" s="109"/>
      <c r="U9" s="109"/>
      <c r="V9" s="109"/>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184FF-0FE3-4F5F-946B-71D23003CD34}">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134</v>
      </c>
      <c r="B1" s="231"/>
      <c r="C1" s="231"/>
      <c r="D1" s="231"/>
      <c r="E1" s="231"/>
      <c r="F1" s="231"/>
      <c r="G1" s="231"/>
      <c r="H1" s="231"/>
      <c r="I1" s="231"/>
      <c r="J1" s="231"/>
      <c r="K1" s="231"/>
    </row>
    <row r="2" spans="1:28" x14ac:dyDescent="0.25">
      <c r="P2" s="112" t="s">
        <v>123</v>
      </c>
      <c r="Q2" s="113">
        <v>0.92979999999999996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0.22658341351903982</v>
      </c>
      <c r="C5" s="116">
        <v>0.36092707252828565</v>
      </c>
      <c r="D5" s="116">
        <v>2.8463398234057986E-2</v>
      </c>
      <c r="E5" s="116">
        <v>2.1197162912941954</v>
      </c>
      <c r="F5" s="116">
        <v>4.6772548933228297E-2</v>
      </c>
      <c r="G5" s="116">
        <v>0.2436904856087759</v>
      </c>
      <c r="H5" s="116">
        <v>0.38817710532188177</v>
      </c>
      <c r="I5" s="116">
        <v>3.0612387861968151E-2</v>
      </c>
      <c r="J5" s="116">
        <v>2.2797550992624172</v>
      </c>
      <c r="K5" s="116">
        <v>5.0303881408075179E-2</v>
      </c>
      <c r="L5" s="111" t="s">
        <v>126</v>
      </c>
      <c r="R5" s="116">
        <v>0.2436904856087759</v>
      </c>
      <c r="S5" s="116">
        <v>0.38817710532188177</v>
      </c>
      <c r="T5" s="116">
        <v>3.0612387861968151E-2</v>
      </c>
      <c r="U5" s="116">
        <v>2.2797550992624172</v>
      </c>
      <c r="V5" s="116">
        <v>5.0303881408075179E-2</v>
      </c>
      <c r="W5" s="116">
        <v>0.2436904856087759</v>
      </c>
      <c r="X5" s="116">
        <v>0.38817710532188177</v>
      </c>
      <c r="Y5" s="116">
        <v>3.0612387861968151E-2</v>
      </c>
      <c r="Z5" s="116">
        <v>2.2797550992624172</v>
      </c>
      <c r="AA5" s="116">
        <v>5.0303881408075179E-2</v>
      </c>
    </row>
    <row r="6" spans="1:28" x14ac:dyDescent="0.25">
      <c r="A6" s="117" t="s">
        <v>16</v>
      </c>
      <c r="B6" s="116">
        <v>0.12632112579950602</v>
      </c>
      <c r="C6" s="116">
        <v>0.4542540597997986</v>
      </c>
      <c r="D6" s="116">
        <v>2.1974913207747594E-3</v>
      </c>
      <c r="E6" s="116">
        <v>3.9208331538922301</v>
      </c>
      <c r="F6" s="116">
        <v>2.147188011861392E-3</v>
      </c>
      <c r="G6" s="116">
        <v>0.15546429817391713</v>
      </c>
      <c r="H6" s="116">
        <v>0.55483446851690832</v>
      </c>
      <c r="I6" s="116">
        <v>2.3634021518334691E-3</v>
      </c>
      <c r="J6" s="116">
        <v>4.8606407274403791</v>
      </c>
      <c r="K6" s="116">
        <v>2.6600357383645252E-3</v>
      </c>
      <c r="L6" s="111" t="s">
        <v>127</v>
      </c>
      <c r="R6" s="116">
        <v>0.13585838438320716</v>
      </c>
      <c r="S6" s="116">
        <v>0.48855029016971246</v>
      </c>
      <c r="T6" s="116">
        <v>2.3634021518334691E-3</v>
      </c>
      <c r="U6" s="116">
        <v>4.2168564786967417</v>
      </c>
      <c r="V6" s="116">
        <v>2.3093009376870212E-3</v>
      </c>
      <c r="W6" s="116">
        <v>0.15546429817391713</v>
      </c>
      <c r="X6" s="116">
        <v>0.55483446851690832</v>
      </c>
      <c r="Y6" s="116">
        <v>2.3634021518334691E-3</v>
      </c>
      <c r="Z6" s="116">
        <v>4.8606407274403791</v>
      </c>
      <c r="AA6" s="116">
        <v>2.6600357383645252E-3</v>
      </c>
    </row>
    <row r="7" spans="1:28" x14ac:dyDescent="0.25">
      <c r="A7" s="117" t="s">
        <v>128</v>
      </c>
      <c r="B7" s="116">
        <v>1.7827857188810895E-3</v>
      </c>
      <c r="C7" s="116">
        <v>7.9110616839635953E-2</v>
      </c>
      <c r="D7" s="116">
        <v>7.5025632261007568E-5</v>
      </c>
      <c r="E7" s="116">
        <v>3.0292174375322421E-3</v>
      </c>
      <c r="F7" s="116">
        <v>6.633063230999154E-5</v>
      </c>
      <c r="G7" s="116">
        <v>1.3423676006966621E-2</v>
      </c>
      <c r="H7" s="116">
        <v>0.59567186225445823</v>
      </c>
      <c r="I7" s="116">
        <v>5.6491353336713649E-4</v>
      </c>
      <c r="J7" s="116">
        <v>2.2808817125597982E-2</v>
      </c>
      <c r="K7" s="116">
        <v>4.9944359999999936E-4</v>
      </c>
      <c r="L7" s="111" t="s">
        <v>129</v>
      </c>
      <c r="W7" s="116">
        <v>1.3423676006966621E-2</v>
      </c>
      <c r="X7" s="116">
        <v>0.59567186225445823</v>
      </c>
      <c r="Y7" s="116">
        <v>5.6491353336713649E-4</v>
      </c>
      <c r="Z7" s="116">
        <v>2.2808817125597982E-2</v>
      </c>
      <c r="AA7" s="116">
        <v>4.9944359999999936E-4</v>
      </c>
    </row>
    <row r="8" spans="1:28" x14ac:dyDescent="0.25">
      <c r="A8" s="117" t="s">
        <v>130</v>
      </c>
      <c r="B8" s="116">
        <v>0.11868385051471678</v>
      </c>
      <c r="C8" s="116">
        <v>0.43349282211779516</v>
      </c>
      <c r="D8" s="116">
        <v>5.441017075551505</v>
      </c>
      <c r="E8" s="116">
        <v>0.15486373885348079</v>
      </c>
      <c r="F8" s="116">
        <v>0</v>
      </c>
      <c r="G8" s="116">
        <v>0.1931121750081235</v>
      </c>
      <c r="H8" s="116">
        <v>0.65308055864038062</v>
      </c>
      <c r="I8" s="116">
        <v>8.27450154155013</v>
      </c>
      <c r="J8" s="116">
        <v>0.30708603691207981</v>
      </c>
      <c r="K8" s="116">
        <v>0</v>
      </c>
      <c r="W8" s="116">
        <v>0.37902997486888557</v>
      </c>
      <c r="X8" s="116">
        <v>1.2818306650961198</v>
      </c>
      <c r="Y8" s="116">
        <v>16.240737339395451</v>
      </c>
      <c r="Z8" s="116">
        <v>0.60273161362547434</v>
      </c>
      <c r="AA8" s="116">
        <v>0</v>
      </c>
      <c r="AB8" s="111" t="s">
        <v>131</v>
      </c>
    </row>
    <row r="9" spans="1:28" x14ac:dyDescent="0.25">
      <c r="A9" s="111" t="s">
        <v>132</v>
      </c>
      <c r="B9" s="116">
        <v>0.2467877620331039</v>
      </c>
      <c r="C9" s="116">
        <v>0.96685749875722971</v>
      </c>
      <c r="D9" s="116">
        <v>5.4432895925045406</v>
      </c>
      <c r="E9" s="116">
        <v>4.0787261101832426</v>
      </c>
      <c r="F9" s="116">
        <v>2.2135186441713836E-3</v>
      </c>
      <c r="G9" s="116">
        <v>0.36200014918900725</v>
      </c>
      <c r="H9" s="116">
        <v>1.8035868894117471</v>
      </c>
      <c r="I9" s="116">
        <v>8.2774298572353313</v>
      </c>
      <c r="J9" s="116">
        <v>5.1905355814780565</v>
      </c>
      <c r="K9" s="116">
        <v>3.1594793383645245E-3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E259D-D54E-48D4-9359-FE6209F47525}">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150</v>
      </c>
      <c r="B1" s="231"/>
      <c r="C1" s="231"/>
      <c r="D1" s="231"/>
      <c r="E1" s="231"/>
      <c r="F1" s="231"/>
      <c r="G1" s="231"/>
      <c r="H1" s="231"/>
      <c r="I1" s="231"/>
      <c r="J1" s="231"/>
      <c r="K1" s="231"/>
    </row>
    <row r="2" spans="1:28" x14ac:dyDescent="0.25">
      <c r="P2" s="112" t="s">
        <v>123</v>
      </c>
      <c r="Q2" s="113">
        <v>0.92996999999999996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0.2296271341784937</v>
      </c>
      <c r="C5" s="116">
        <v>0.3657754467766427</v>
      </c>
      <c r="D5" s="116">
        <v>2.8845750286654218E-2</v>
      </c>
      <c r="E5" s="116">
        <v>2.1481906803405537</v>
      </c>
      <c r="F5" s="116">
        <v>4.7400849881088378E-2</v>
      </c>
      <c r="G5" s="116">
        <v>0.24691886209070585</v>
      </c>
      <c r="H5" s="116">
        <v>0.39331961974756469</v>
      </c>
      <c r="I5" s="116">
        <v>3.1017936370693912E-2</v>
      </c>
      <c r="J5" s="116">
        <v>2.3099569667199522</v>
      </c>
      <c r="K5" s="116">
        <v>5.0970299989342001E-2</v>
      </c>
      <c r="L5" s="111" t="s">
        <v>126</v>
      </c>
      <c r="R5" s="116">
        <v>0.24691886209070585</v>
      </c>
      <c r="S5" s="116">
        <v>0.39331961974756469</v>
      </c>
      <c r="T5" s="116">
        <v>3.1017936370693912E-2</v>
      </c>
      <c r="U5" s="116">
        <v>2.3099569667199522</v>
      </c>
      <c r="V5" s="116">
        <v>5.0970299989342001E-2</v>
      </c>
      <c r="W5" s="116">
        <v>0.24691886209070585</v>
      </c>
      <c r="X5" s="116">
        <v>0.39331961974756469</v>
      </c>
      <c r="Y5" s="116">
        <v>3.1017936370693912E-2</v>
      </c>
      <c r="Z5" s="116">
        <v>2.3099569667199522</v>
      </c>
      <c r="AA5" s="116">
        <v>5.0970299989342001E-2</v>
      </c>
    </row>
    <row r="6" spans="1:28" x14ac:dyDescent="0.25">
      <c r="A6" s="117" t="s">
        <v>16</v>
      </c>
      <c r="B6" s="116">
        <v>0.12249399226419888</v>
      </c>
      <c r="C6" s="116">
        <v>0.47374700560736394</v>
      </c>
      <c r="D6" s="116">
        <v>2.197893099140571E-3</v>
      </c>
      <c r="E6" s="116">
        <v>3.7968690383817196</v>
      </c>
      <c r="F6" s="116">
        <v>2.1634279344824627E-3</v>
      </c>
      <c r="G6" s="116">
        <v>0.14935015972511179</v>
      </c>
      <c r="H6" s="116">
        <v>0.57401830261130848</v>
      </c>
      <c r="I6" s="116">
        <v>2.3634021518334691E-3</v>
      </c>
      <c r="J6" s="116">
        <v>4.6619314422911549</v>
      </c>
      <c r="K6" s="116">
        <v>2.6545894051042979E-3</v>
      </c>
      <c r="L6" s="111" t="s">
        <v>127</v>
      </c>
      <c r="R6" s="116">
        <v>0.13171821915136928</v>
      </c>
      <c r="S6" s="116">
        <v>0.50942181533529463</v>
      </c>
      <c r="T6" s="116">
        <v>2.3634021518334691E-3</v>
      </c>
      <c r="U6" s="116">
        <v>4.0827865827733367</v>
      </c>
      <c r="V6" s="116">
        <v>2.3263416394963951E-3</v>
      </c>
      <c r="W6" s="116">
        <v>0.14935015972511179</v>
      </c>
      <c r="X6" s="116">
        <v>0.57401830261130848</v>
      </c>
      <c r="Y6" s="116">
        <v>2.3634021518334691E-3</v>
      </c>
      <c r="Z6" s="116">
        <v>4.6619314422911549</v>
      </c>
      <c r="AA6" s="116">
        <v>2.6545894051042979E-3</v>
      </c>
    </row>
    <row r="7" spans="1:28" x14ac:dyDescent="0.25">
      <c r="A7" s="117" t="s">
        <v>128</v>
      </c>
      <c r="B7" s="116">
        <v>1.7782948791359452E-3</v>
      </c>
      <c r="C7" s="116">
        <v>7.8879130254834701E-2</v>
      </c>
      <c r="D7" s="116">
        <v>7.5025632261007568E-5</v>
      </c>
      <c r="E7" s="116">
        <v>3.0194672225804134E-3</v>
      </c>
      <c r="F7" s="116">
        <v>6.633063230999154E-5</v>
      </c>
      <c r="G7" s="116">
        <v>1.2840037919707205E-2</v>
      </c>
      <c r="H7" s="116">
        <v>0.56558742476685941</v>
      </c>
      <c r="I7" s="116">
        <v>5.6491353336713649E-4</v>
      </c>
      <c r="J7" s="116">
        <v>2.1541660618620305E-2</v>
      </c>
      <c r="K7" s="116">
        <v>4.9944359999999936E-4</v>
      </c>
      <c r="L7" s="111" t="s">
        <v>129</v>
      </c>
      <c r="W7" s="116">
        <v>1.2840037919707205E-2</v>
      </c>
      <c r="X7" s="116">
        <v>0.56558742476685941</v>
      </c>
      <c r="Y7" s="116">
        <v>5.6491353336713649E-4</v>
      </c>
      <c r="Z7" s="116">
        <v>2.1541660618620305E-2</v>
      </c>
      <c r="AA7" s="116">
        <v>4.9944359999999936E-4</v>
      </c>
    </row>
    <row r="8" spans="1:28" x14ac:dyDescent="0.25">
      <c r="A8" s="117" t="s">
        <v>130</v>
      </c>
      <c r="B8" s="116">
        <v>0.11953013809942867</v>
      </c>
      <c r="C8" s="116">
        <v>0.43554210864440557</v>
      </c>
      <c r="D8" s="116">
        <v>5.4760462035408617</v>
      </c>
      <c r="E8" s="116">
        <v>0.15639983223808507</v>
      </c>
      <c r="F8" s="116">
        <v>0</v>
      </c>
      <c r="G8" s="116">
        <v>0.20789679875823491</v>
      </c>
      <c r="H8" s="116">
        <v>0.68926858674461067</v>
      </c>
      <c r="I8" s="116">
        <v>8.7712540390899534</v>
      </c>
      <c r="J8" s="116">
        <v>0.32283825730585647</v>
      </c>
      <c r="K8" s="116">
        <v>0</v>
      </c>
      <c r="W8" s="116">
        <v>0.4080484226607709</v>
      </c>
      <c r="X8" s="116">
        <v>1.3528585398654027</v>
      </c>
      <c r="Y8" s="116">
        <v>17.215735868880479</v>
      </c>
      <c r="Z8" s="116">
        <v>0.63364920698659288</v>
      </c>
      <c r="AA8" s="116">
        <v>0</v>
      </c>
      <c r="AB8" s="111" t="s">
        <v>131</v>
      </c>
    </row>
    <row r="9" spans="1:28" x14ac:dyDescent="0.25">
      <c r="A9" s="111" t="s">
        <v>132</v>
      </c>
      <c r="B9" s="116">
        <v>0.24380242524276349</v>
      </c>
      <c r="C9" s="116">
        <v>0.98816824450660423</v>
      </c>
      <c r="D9" s="116">
        <v>5.4783191222722634</v>
      </c>
      <c r="E9" s="116">
        <v>3.956288337842385</v>
      </c>
      <c r="F9" s="116">
        <v>2.2297585667924542E-3</v>
      </c>
      <c r="G9" s="116">
        <v>0.37008699640305387</v>
      </c>
      <c r="H9" s="116">
        <v>1.8288743141227786</v>
      </c>
      <c r="I9" s="116">
        <v>8.7741823547751547</v>
      </c>
      <c r="J9" s="116">
        <v>5.0063113602156317</v>
      </c>
      <c r="K9" s="116">
        <v>3.1540330051042973E-3</v>
      </c>
      <c r="R9" s="116"/>
      <c r="S9" s="116"/>
      <c r="T9" s="116"/>
      <c r="U9" s="116"/>
      <c r="V9" s="116"/>
    </row>
  </sheetData>
  <mergeCells count="5">
    <mergeCell ref="A1:K1"/>
    <mergeCell ref="B3:F3"/>
    <mergeCell ref="G3:K3"/>
    <mergeCell ref="R3:V3"/>
    <mergeCell ref="W3:AA3"/>
  </mergeCells>
  <pageMargins left="0.7" right="0.7" top="0.75" bottom="0.75" header="0.3" footer="0.3"/>
  <pageSetup orientation="portrait" verticalDpi="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E639-F209-422A-B217-52058BFB921A}">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149</v>
      </c>
      <c r="B1" s="231"/>
      <c r="C1" s="231"/>
      <c r="D1" s="231"/>
      <c r="E1" s="231"/>
      <c r="F1" s="231"/>
      <c r="G1" s="231"/>
      <c r="H1" s="231"/>
      <c r="I1" s="231"/>
      <c r="J1" s="231"/>
      <c r="K1" s="231"/>
    </row>
    <row r="2" spans="1:28" x14ac:dyDescent="0.25">
      <c r="P2" s="112" t="s">
        <v>123</v>
      </c>
      <c r="Q2" s="113">
        <v>0.92913000000000001</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0.23322985791979625</v>
      </c>
      <c r="C5" s="116">
        <v>0.37151426283948413</v>
      </c>
      <c r="D5" s="116">
        <v>2.9298324281296476E-2</v>
      </c>
      <c r="E5" s="116">
        <v>2.1818946134257957</v>
      </c>
      <c r="F5" s="116">
        <v>4.8144543207382186E-2</v>
      </c>
      <c r="G5" s="116">
        <v>0.25101961826633112</v>
      </c>
      <c r="H5" s="116">
        <v>0.39985175684724866</v>
      </c>
      <c r="I5" s="116">
        <v>3.1533073177377198E-2</v>
      </c>
      <c r="J5" s="116">
        <v>2.3483200557788422</v>
      </c>
      <c r="K5" s="116">
        <v>5.1816799809910545E-2</v>
      </c>
      <c r="L5" s="111" t="s">
        <v>126</v>
      </c>
      <c r="R5" s="116">
        <v>0.25101961826633112</v>
      </c>
      <c r="S5" s="116">
        <v>0.39985175684724866</v>
      </c>
      <c r="T5" s="116">
        <v>3.1533073177377198E-2</v>
      </c>
      <c r="U5" s="116">
        <v>2.3483200557788422</v>
      </c>
      <c r="V5" s="116">
        <v>5.1816799809910545E-2</v>
      </c>
      <c r="W5" s="116">
        <v>0.25101961826633112</v>
      </c>
      <c r="X5" s="116">
        <v>0.39985175684724866</v>
      </c>
      <c r="Y5" s="116">
        <v>3.1533073177377198E-2</v>
      </c>
      <c r="Z5" s="116">
        <v>2.3483200557788422</v>
      </c>
      <c r="AA5" s="116">
        <v>5.1816799809910545E-2</v>
      </c>
    </row>
    <row r="6" spans="1:28" x14ac:dyDescent="0.25">
      <c r="A6" s="117" t="s">
        <v>16</v>
      </c>
      <c r="B6" s="116">
        <v>0.11851889398268714</v>
      </c>
      <c r="C6" s="116">
        <v>0.49044031733724369</v>
      </c>
      <c r="D6" s="116">
        <v>2.195907841333031E-3</v>
      </c>
      <c r="E6" s="116">
        <v>3.6757936232890773</v>
      </c>
      <c r="F6" s="116">
        <v>2.1714233538135475E-3</v>
      </c>
      <c r="G6" s="116">
        <v>0.14437840769739008</v>
      </c>
      <c r="H6" s="116">
        <v>0.59421505257640828</v>
      </c>
      <c r="I6" s="116">
        <v>2.3634021518334691E-3</v>
      </c>
      <c r="J6" s="116">
        <v>4.5099161733060313</v>
      </c>
      <c r="K6" s="116">
        <v>2.6624320654644301E-3</v>
      </c>
      <c r="L6" s="111" t="s">
        <v>127</v>
      </c>
      <c r="R6" s="116">
        <v>0.12755900033653755</v>
      </c>
      <c r="S6" s="116">
        <v>0.52784897413412946</v>
      </c>
      <c r="T6" s="116">
        <v>2.3634021518334691E-3</v>
      </c>
      <c r="U6" s="116">
        <v>3.9561671922003137</v>
      </c>
      <c r="V6" s="116">
        <v>2.3370500939734456E-3</v>
      </c>
      <c r="W6" s="116">
        <v>0.14437840769739008</v>
      </c>
      <c r="X6" s="116">
        <v>0.59421505257640828</v>
      </c>
      <c r="Y6" s="116">
        <v>2.3634021518334691E-3</v>
      </c>
      <c r="Z6" s="116">
        <v>4.5099161733060313</v>
      </c>
      <c r="AA6" s="116">
        <v>2.6624320654644301E-3</v>
      </c>
    </row>
    <row r="7" spans="1:28" x14ac:dyDescent="0.25">
      <c r="A7" s="117" t="s">
        <v>128</v>
      </c>
      <c r="B7" s="116">
        <v>1.7693131996456568E-3</v>
      </c>
      <c r="C7" s="116">
        <v>7.8647643670033449E-2</v>
      </c>
      <c r="D7" s="116">
        <v>7.5025632261007568E-5</v>
      </c>
      <c r="E7" s="116">
        <v>3.0097170076285843E-3</v>
      </c>
      <c r="F7" s="116">
        <v>6.633063230999154E-5</v>
      </c>
      <c r="G7" s="116">
        <v>1.1672761745188375E-2</v>
      </c>
      <c r="H7" s="116">
        <v>0.53550298727926016</v>
      </c>
      <c r="I7" s="116">
        <v>5.6491353336713649E-4</v>
      </c>
      <c r="J7" s="116">
        <v>2.0274504111642656E-2</v>
      </c>
      <c r="K7" s="116">
        <v>4.9944359999999936E-4</v>
      </c>
      <c r="L7" s="111" t="s">
        <v>129</v>
      </c>
      <c r="W7" s="116">
        <v>1.1672761745188375E-2</v>
      </c>
      <c r="X7" s="116">
        <v>0.53550298727926016</v>
      </c>
      <c r="Y7" s="116">
        <v>5.6491353336713649E-4</v>
      </c>
      <c r="Z7" s="116">
        <v>2.0274504111642656E-2</v>
      </c>
      <c r="AA7" s="116">
        <v>4.9944359999999936E-4</v>
      </c>
    </row>
    <row r="8" spans="1:28" x14ac:dyDescent="0.25">
      <c r="A8" s="117" t="s">
        <v>130</v>
      </c>
      <c r="B8" s="116">
        <v>0.12038658113515718</v>
      </c>
      <c r="C8" s="116">
        <v>0.43761598660933571</v>
      </c>
      <c r="D8" s="116">
        <v>5.511495681066096</v>
      </c>
      <c r="E8" s="116">
        <v>0.15795435874330466</v>
      </c>
      <c r="F8" s="116">
        <v>0</v>
      </c>
      <c r="G8" s="116">
        <v>0.20875324179396343</v>
      </c>
      <c r="H8" s="116">
        <v>0.69134246470954086</v>
      </c>
      <c r="I8" s="116">
        <v>8.8067035166151886</v>
      </c>
      <c r="J8" s="116">
        <v>0.32439278381107606</v>
      </c>
      <c r="K8" s="116">
        <v>0</v>
      </c>
      <c r="W8" s="116">
        <v>0.40972940203089686</v>
      </c>
      <c r="X8" s="116">
        <v>1.3569290336750008</v>
      </c>
      <c r="Y8" s="116">
        <v>17.285314157121185</v>
      </c>
      <c r="Z8" s="116">
        <v>0.63670034626448468</v>
      </c>
      <c r="AA8" s="116">
        <v>0</v>
      </c>
      <c r="AB8" s="111" t="s">
        <v>131</v>
      </c>
    </row>
    <row r="9" spans="1:28" x14ac:dyDescent="0.25">
      <c r="A9" s="111" t="s">
        <v>132</v>
      </c>
      <c r="B9" s="116">
        <v>0.24067478831748998</v>
      </c>
      <c r="C9" s="116">
        <v>1.0067039476166129</v>
      </c>
      <c r="D9" s="116">
        <v>5.5137666145396897</v>
      </c>
      <c r="E9" s="116">
        <v>3.8367576990400103</v>
      </c>
      <c r="F9" s="116">
        <v>2.237753986123539E-3</v>
      </c>
      <c r="G9" s="116">
        <v>0.36480441123654189</v>
      </c>
      <c r="H9" s="116">
        <v>1.8210605045652093</v>
      </c>
      <c r="I9" s="116">
        <v>8.8096318323003899</v>
      </c>
      <c r="J9" s="116">
        <v>4.8545834612287502</v>
      </c>
      <c r="K9" s="116">
        <v>3.1618756654644294E-3</v>
      </c>
      <c r="R9" s="116"/>
      <c r="S9" s="116"/>
      <c r="T9" s="116"/>
      <c r="U9" s="116"/>
      <c r="V9" s="116"/>
    </row>
  </sheetData>
  <mergeCells count="5">
    <mergeCell ref="A1:K1"/>
    <mergeCell ref="B3:F3"/>
    <mergeCell ref="G3:K3"/>
    <mergeCell ref="R3:V3"/>
    <mergeCell ref="W3:AA3"/>
  </mergeCells>
  <pageMargins left="0.7" right="0.7" top="0.75" bottom="0.75" header="0.3" footer="0.3"/>
  <pageSetup orientation="portrait" verticalDpi="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E28F-E97A-4FAD-AD04-21DE638A7556}">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135</v>
      </c>
      <c r="B1" s="231"/>
      <c r="C1" s="231"/>
      <c r="D1" s="231"/>
      <c r="E1" s="231"/>
      <c r="F1" s="231"/>
      <c r="G1" s="231"/>
      <c r="H1" s="231"/>
      <c r="I1" s="231"/>
      <c r="J1" s="231"/>
      <c r="K1" s="231"/>
    </row>
    <row r="2" spans="1:28" x14ac:dyDescent="0.25">
      <c r="P2" s="112" t="s">
        <v>123</v>
      </c>
      <c r="Q2" s="113">
        <v>0.92930005486013756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0.23670179076234138</v>
      </c>
      <c r="C5" s="116">
        <v>0.37704474072139349</v>
      </c>
      <c r="D5" s="116">
        <v>2.9734468329108525E-2</v>
      </c>
      <c r="E5" s="116">
        <v>2.2143749812264319</v>
      </c>
      <c r="F5" s="116">
        <v>4.8861237983265131E-2</v>
      </c>
      <c r="G5" s="116">
        <v>0.2547097565790693</v>
      </c>
      <c r="H5" s="116">
        <v>0.40572981648875495</v>
      </c>
      <c r="I5" s="116">
        <v>3.1996628186558809E-2</v>
      </c>
      <c r="J5" s="116">
        <v>2.3828417631587269</v>
      </c>
      <c r="K5" s="116">
        <v>5.2578537715268825E-2</v>
      </c>
      <c r="L5" s="111" t="s">
        <v>126</v>
      </c>
      <c r="R5" s="116">
        <v>0.2547097565790693</v>
      </c>
      <c r="S5" s="116">
        <v>0.40572981648875495</v>
      </c>
      <c r="T5" s="116">
        <v>3.1996628186558809E-2</v>
      </c>
      <c r="U5" s="116">
        <v>2.3828417631587269</v>
      </c>
      <c r="V5" s="116">
        <v>5.2578537715268825E-2</v>
      </c>
      <c r="W5" s="116">
        <v>0.2547097565790693</v>
      </c>
      <c r="X5" s="116">
        <v>0.40572981648875495</v>
      </c>
      <c r="Y5" s="116">
        <v>3.1996628186558809E-2</v>
      </c>
      <c r="Z5" s="116">
        <v>2.3828417631587269</v>
      </c>
      <c r="AA5" s="116">
        <v>5.2578537715268825E-2</v>
      </c>
    </row>
    <row r="6" spans="1:28" x14ac:dyDescent="0.25">
      <c r="A6" s="117" t="s">
        <v>16</v>
      </c>
      <c r="B6" s="116">
        <v>0.11493797460279837</v>
      </c>
      <c r="C6" s="116">
        <v>0.50330313204827171</v>
      </c>
      <c r="D6" s="116">
        <v>2.1963097493554098E-3</v>
      </c>
      <c r="E6" s="116">
        <v>3.5622945531266983</v>
      </c>
      <c r="F6" s="116">
        <v>2.1725645246520992E-3</v>
      </c>
      <c r="G6" s="116">
        <v>0.13983847192471519</v>
      </c>
      <c r="H6" s="116">
        <v>0.60940494870065676</v>
      </c>
      <c r="I6" s="116">
        <v>2.3634021518334691E-3</v>
      </c>
      <c r="J6" s="116">
        <v>4.3657785158369897</v>
      </c>
      <c r="K6" s="116">
        <v>2.6608625449827087E-3</v>
      </c>
      <c r="L6" s="111" t="s">
        <v>127</v>
      </c>
      <c r="R6" s="116">
        <v>0.1236823069165716</v>
      </c>
      <c r="S6" s="116">
        <v>0.54159378277882519</v>
      </c>
      <c r="T6" s="116">
        <v>2.3634021518334691E-3</v>
      </c>
      <c r="U6" s="116">
        <v>3.8333093111275391</v>
      </c>
      <c r="V6" s="116">
        <v>2.3378504211743283E-3</v>
      </c>
      <c r="W6" s="116">
        <v>0.13983847192471519</v>
      </c>
      <c r="X6" s="116">
        <v>0.60940494870065676</v>
      </c>
      <c r="Y6" s="116">
        <v>2.3634021518334691E-3</v>
      </c>
      <c r="Z6" s="116">
        <v>4.3657785158369897</v>
      </c>
      <c r="AA6" s="116">
        <v>2.6608625449827087E-3</v>
      </c>
    </row>
    <row r="7" spans="1:28" x14ac:dyDescent="0.25">
      <c r="A7" s="117" t="s">
        <v>128</v>
      </c>
      <c r="B7" s="116">
        <v>1.4727360286409001E-3</v>
      </c>
      <c r="C7" s="116">
        <v>6.7124159742721526E-2</v>
      </c>
      <c r="D7" s="116">
        <v>7.5025632261007568E-5</v>
      </c>
      <c r="E7" s="116">
        <v>2.5243478646102069E-3</v>
      </c>
      <c r="F7" s="116">
        <v>6.633063230999154E-5</v>
      </c>
      <c r="G7" s="116">
        <v>1.1089123657928952E-2</v>
      </c>
      <c r="H7" s="116">
        <v>0.50541854979166134</v>
      </c>
      <c r="I7" s="116">
        <v>5.6491353336713649E-4</v>
      </c>
      <c r="J7" s="116">
        <v>1.9007347604664968E-2</v>
      </c>
      <c r="K7" s="116">
        <v>4.9944359999999936E-4</v>
      </c>
      <c r="L7" s="111" t="s">
        <v>129</v>
      </c>
      <c r="W7" s="116">
        <v>1.1089123657928952E-2</v>
      </c>
      <c r="X7" s="116">
        <v>0.50541854979166134</v>
      </c>
      <c r="Y7" s="116">
        <v>5.6491353336713649E-4</v>
      </c>
      <c r="Z7" s="116">
        <v>1.9007347604664968E-2</v>
      </c>
      <c r="AA7" s="116">
        <v>4.9944359999999936E-4</v>
      </c>
    </row>
    <row r="8" spans="1:28" x14ac:dyDescent="0.25">
      <c r="A8" s="117" t="s">
        <v>130</v>
      </c>
      <c r="B8" s="116">
        <v>0.12125330148731439</v>
      </c>
      <c r="C8" s="116">
        <v>0.43971475110984493</v>
      </c>
      <c r="D8" s="116">
        <v>5.547370552321631</v>
      </c>
      <c r="E8" s="116">
        <v>0.15952753956658688</v>
      </c>
      <c r="F8" s="116">
        <v>0</v>
      </c>
      <c r="G8" s="116">
        <v>0.20961996214612064</v>
      </c>
      <c r="H8" s="116">
        <v>0.69344122921005003</v>
      </c>
      <c r="I8" s="116">
        <v>8.8425783878707236</v>
      </c>
      <c r="J8" s="116">
        <v>0.32596596463435829</v>
      </c>
      <c r="K8" s="116">
        <v>0</v>
      </c>
      <c r="W8" s="116">
        <v>0.41143055315346427</v>
      </c>
      <c r="X8" s="116">
        <v>1.361048373410314</v>
      </c>
      <c r="Y8" s="116">
        <v>17.355727384820774</v>
      </c>
      <c r="Z8" s="116">
        <v>0.63978809921371116</v>
      </c>
      <c r="AA8" s="116">
        <v>0</v>
      </c>
      <c r="AB8" s="111" t="s">
        <v>131</v>
      </c>
    </row>
    <row r="9" spans="1:28" x14ac:dyDescent="0.25">
      <c r="A9" s="111" t="s">
        <v>132</v>
      </c>
      <c r="B9" s="116">
        <v>0.23766401211875365</v>
      </c>
      <c r="C9" s="116">
        <v>1.0101420429008381</v>
      </c>
      <c r="D9" s="116">
        <v>5.5496418877032472</v>
      </c>
      <c r="E9" s="116">
        <v>3.7243464405578952</v>
      </c>
      <c r="F9" s="116">
        <v>2.2388951569620908E-3</v>
      </c>
      <c r="G9" s="116">
        <v>0.36054755772876479</v>
      </c>
      <c r="H9" s="116">
        <v>1.808264727702368</v>
      </c>
      <c r="I9" s="116">
        <v>8.8455067035559249</v>
      </c>
      <c r="J9" s="116">
        <v>4.7107518280760132</v>
      </c>
      <c r="K9" s="116">
        <v>3.160306144982708E-3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5758C-E1F6-448E-8D34-D47C0D2B3B80}">
  <dimension ref="A1:AB9"/>
  <sheetViews>
    <sheetView workbookViewId="0">
      <selection activeCell="G6" sqref="G6"/>
    </sheetView>
  </sheetViews>
  <sheetFormatPr defaultColWidth="8.85546875" defaultRowHeight="15" x14ac:dyDescent="0.25"/>
  <cols>
    <col min="1" max="1" width="25" style="111" customWidth="1"/>
    <col min="2" max="16384" width="8.85546875" style="111"/>
  </cols>
  <sheetData>
    <row r="1" spans="1:28" ht="15.75" x14ac:dyDescent="0.25">
      <c r="A1" s="231" t="s">
        <v>136</v>
      </c>
      <c r="B1" s="231"/>
      <c r="C1" s="231"/>
      <c r="D1" s="231"/>
      <c r="E1" s="231"/>
      <c r="F1" s="231"/>
      <c r="G1" s="231"/>
      <c r="H1" s="231"/>
      <c r="I1" s="231"/>
      <c r="J1" s="231"/>
      <c r="K1" s="231"/>
    </row>
    <row r="2" spans="1:28" x14ac:dyDescent="0.25">
      <c r="P2" s="112" t="s">
        <v>123</v>
      </c>
      <c r="Q2" s="113">
        <v>0.92838856530980784</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0.23979661599305896</v>
      </c>
      <c r="C5" s="116">
        <v>0.38197451997205228</v>
      </c>
      <c r="D5" s="116">
        <v>3.0123240135652627E-2</v>
      </c>
      <c r="E5" s="116">
        <v>2.2433274599554598</v>
      </c>
      <c r="F5" s="116">
        <v>4.9500088207539678E-2</v>
      </c>
      <c r="G5" s="116">
        <v>0.25829337515917988</v>
      </c>
      <c r="H5" s="116">
        <v>0.41143819974192108</v>
      </c>
      <c r="I5" s="116">
        <v>3.2446802191709839E-2</v>
      </c>
      <c r="J5" s="116">
        <v>2.4163669650614992</v>
      </c>
      <c r="K5" s="116">
        <v>5.3318287252946996E-2</v>
      </c>
      <c r="L5" s="111" t="s">
        <v>126</v>
      </c>
      <c r="R5" s="116">
        <v>0.25829337515917988</v>
      </c>
      <c r="S5" s="116">
        <v>0.41143819974192108</v>
      </c>
      <c r="T5" s="116">
        <v>3.2446802191709839E-2</v>
      </c>
      <c r="U5" s="116">
        <v>2.4163669650614992</v>
      </c>
      <c r="V5" s="116">
        <v>5.3318287252946996E-2</v>
      </c>
      <c r="W5" s="116">
        <v>0.25829337515917988</v>
      </c>
      <c r="X5" s="116">
        <v>0.41143819974192108</v>
      </c>
      <c r="Y5" s="116">
        <v>3.2446802191709839E-2</v>
      </c>
      <c r="Z5" s="116">
        <v>2.4163669650614992</v>
      </c>
      <c r="AA5" s="116">
        <v>5.3318287252946996E-2</v>
      </c>
    </row>
    <row r="6" spans="1:28" x14ac:dyDescent="0.25">
      <c r="A6" s="117" t="s">
        <v>16</v>
      </c>
      <c r="B6" s="116">
        <v>0.11236632076856817</v>
      </c>
      <c r="C6" s="116">
        <v>0.51329408226263895</v>
      </c>
      <c r="D6" s="116">
        <v>2.1941555329907871E-3</v>
      </c>
      <c r="E6" s="116">
        <v>3.4717690540857875</v>
      </c>
      <c r="F6" s="116">
        <v>2.1753147000873642E-3</v>
      </c>
      <c r="G6" s="116">
        <v>0.13670271455451735</v>
      </c>
      <c r="H6" s="116">
        <v>0.62176110392561734</v>
      </c>
      <c r="I6" s="116">
        <v>2.3634021518334691E-3</v>
      </c>
      <c r="J6" s="116">
        <v>4.2549902196117069</v>
      </c>
      <c r="K6" s="116">
        <v>2.6643359832784E-3</v>
      </c>
      <c r="L6" s="111" t="s">
        <v>127</v>
      </c>
      <c r="R6" s="116">
        <v>0.12103371903451975</v>
      </c>
      <c r="S6" s="116">
        <v>0.55288712231322046</v>
      </c>
      <c r="T6" s="116">
        <v>2.3634021518334691E-3</v>
      </c>
      <c r="U6" s="116">
        <v>3.7395646433099281</v>
      </c>
      <c r="V6" s="116">
        <v>2.3431080275762022E-3</v>
      </c>
      <c r="W6" s="116">
        <v>0.13670271455451735</v>
      </c>
      <c r="X6" s="116">
        <v>0.62176110392561734</v>
      </c>
      <c r="Y6" s="116">
        <v>2.3634021518334691E-3</v>
      </c>
      <c r="Z6" s="116">
        <v>4.2549902196117069</v>
      </c>
      <c r="AA6" s="116">
        <v>2.6643359832784E-3</v>
      </c>
    </row>
    <row r="7" spans="1:28" x14ac:dyDescent="0.25">
      <c r="A7" s="117" t="s">
        <v>128</v>
      </c>
      <c r="B7" s="116">
        <v>1.3177111835208062E-3</v>
      </c>
      <c r="C7" s="116">
        <v>6.3128674043749958E-2</v>
      </c>
      <c r="D7" s="116">
        <v>7.5025632261007568E-5</v>
      </c>
      <c r="E7" s="116">
        <v>2.3560580069695216E-3</v>
      </c>
      <c r="F7" s="116">
        <v>6.633063230999154E-5</v>
      </c>
      <c r="G7" s="116">
        <v>9.921847483410115E-3</v>
      </c>
      <c r="H7" s="116">
        <v>0.47533411230406247</v>
      </c>
      <c r="I7" s="116">
        <v>5.6491353336713649E-4</v>
      </c>
      <c r="J7" s="116">
        <v>1.7740191097687312E-2</v>
      </c>
      <c r="K7" s="116">
        <v>4.9944359999999936E-4</v>
      </c>
      <c r="L7" s="111" t="s">
        <v>129</v>
      </c>
      <c r="W7" s="116">
        <v>9.921847483410115E-3</v>
      </c>
      <c r="X7" s="116">
        <v>0.47533411230406247</v>
      </c>
      <c r="Y7" s="116">
        <v>5.6491353336713649E-4</v>
      </c>
      <c r="Z7" s="116">
        <v>1.7740191097687312E-2</v>
      </c>
      <c r="AA7" s="116">
        <v>4.9944359999999936E-4</v>
      </c>
    </row>
    <row r="8" spans="1:28" x14ac:dyDescent="0.25">
      <c r="A8" s="117" t="s">
        <v>130</v>
      </c>
      <c r="B8" s="116">
        <v>0.12213042248369742</v>
      </c>
      <c r="C8" s="116">
        <v>0.44183870078436016</v>
      </c>
      <c r="D8" s="116">
        <v>5.5836759220322341</v>
      </c>
      <c r="E8" s="116">
        <v>0.16111959855974839</v>
      </c>
      <c r="F8" s="116">
        <v>0</v>
      </c>
      <c r="G8" s="116">
        <v>0.21049708314250365</v>
      </c>
      <c r="H8" s="116">
        <v>0.69556517888456526</v>
      </c>
      <c r="I8" s="116">
        <v>8.8788837575813258</v>
      </c>
      <c r="J8" s="116">
        <v>0.32755802362751979</v>
      </c>
      <c r="K8" s="116">
        <v>0</v>
      </c>
      <c r="W8" s="116">
        <v>0.41315211808950231</v>
      </c>
      <c r="X8" s="116">
        <v>1.3652171452224509</v>
      </c>
      <c r="Y8" s="116">
        <v>17.426985571252761</v>
      </c>
      <c r="Z8" s="116">
        <v>0.64291290519832811</v>
      </c>
      <c r="AA8" s="116">
        <v>0</v>
      </c>
      <c r="AB8" s="111" t="s">
        <v>131</v>
      </c>
    </row>
    <row r="9" spans="1:28" x14ac:dyDescent="0.25">
      <c r="A9" s="111" t="s">
        <v>132</v>
      </c>
      <c r="B9" s="116">
        <v>0.23581445443578641</v>
      </c>
      <c r="C9" s="116">
        <v>1.0182614570907491</v>
      </c>
      <c r="D9" s="116">
        <v>5.5859451031974858</v>
      </c>
      <c r="E9" s="116">
        <v>3.6352447106525054</v>
      </c>
      <c r="F9" s="116">
        <v>2.2416453323973557E-3</v>
      </c>
      <c r="G9" s="116">
        <v>0.3571216451804311</v>
      </c>
      <c r="H9" s="116">
        <v>1.792660395114245</v>
      </c>
      <c r="I9" s="116">
        <v>8.8818120732665271</v>
      </c>
      <c r="J9" s="116">
        <v>4.6002884343369139</v>
      </c>
      <c r="K9" s="116">
        <v>3.1637795832783993E-3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D322A-69BE-4490-888D-FC7ED198ECAE}">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137</v>
      </c>
      <c r="B1" s="231"/>
      <c r="C1" s="231"/>
      <c r="D1" s="231"/>
      <c r="E1" s="231"/>
      <c r="F1" s="231"/>
      <c r="G1" s="231"/>
      <c r="H1" s="231"/>
      <c r="I1" s="231"/>
      <c r="J1" s="231"/>
      <c r="K1" s="231"/>
    </row>
    <row r="2" spans="1:28" x14ac:dyDescent="0.25">
      <c r="P2" s="112" t="s">
        <v>123</v>
      </c>
      <c r="Q2" s="113">
        <v>0.92700000000000005</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0.24558687978912971</v>
      </c>
      <c r="C5" s="116">
        <v>0.3911978913063654</v>
      </c>
      <c r="D5" s="116">
        <v>3.085061281376774E-2</v>
      </c>
      <c r="E5" s="116">
        <v>2.2974961049979212</v>
      </c>
      <c r="F5" s="116">
        <v>5.0695345144187685E-2</v>
      </c>
      <c r="G5" s="116">
        <v>0.26492651541437939</v>
      </c>
      <c r="H5" s="116">
        <v>0.42200419774149445</v>
      </c>
      <c r="I5" s="116">
        <v>3.3280056972780733E-2</v>
      </c>
      <c r="J5" s="116">
        <v>2.4784208252404758</v>
      </c>
      <c r="K5" s="116">
        <v>5.4687535214873441E-2</v>
      </c>
      <c r="L5" s="111" t="s">
        <v>126</v>
      </c>
      <c r="R5" s="116">
        <v>0.26492651541437939</v>
      </c>
      <c r="S5" s="116">
        <v>0.42200419774149445</v>
      </c>
      <c r="T5" s="116">
        <v>3.3280056972780733E-2</v>
      </c>
      <c r="U5" s="116">
        <v>2.4784208252404758</v>
      </c>
      <c r="V5" s="116">
        <v>5.4687535214873441E-2</v>
      </c>
      <c r="W5" s="116">
        <v>0.26492651541437939</v>
      </c>
      <c r="X5" s="116">
        <v>0.42200419774149445</v>
      </c>
      <c r="Y5" s="116">
        <v>3.3280056972780733E-2</v>
      </c>
      <c r="Z5" s="116">
        <v>2.4784208252404758</v>
      </c>
      <c r="AA5" s="116">
        <v>5.4687535214873441E-2</v>
      </c>
    </row>
    <row r="6" spans="1:28" x14ac:dyDescent="0.25">
      <c r="A6" s="117" t="s">
        <v>16</v>
      </c>
      <c r="B6" s="116">
        <v>0.11082582826983334</v>
      </c>
      <c r="C6" s="116">
        <v>0.52659744145821641</v>
      </c>
      <c r="D6" s="116">
        <v>2.1908737947496258E-3</v>
      </c>
      <c r="E6" s="116">
        <v>3.4083547322951531</v>
      </c>
      <c r="F6" s="116">
        <v>2.1945427271523399E-3</v>
      </c>
      <c r="G6" s="116">
        <v>0.13476905577312773</v>
      </c>
      <c r="H6" s="116">
        <v>0.63789388064279628</v>
      </c>
      <c r="I6" s="116">
        <v>2.3634021518334691E-3</v>
      </c>
      <c r="J6" s="116">
        <v>4.1754125071627346</v>
      </c>
      <c r="K6" s="116">
        <v>2.6866774395854789E-3</v>
      </c>
      <c r="L6" s="111" t="s">
        <v>127</v>
      </c>
      <c r="R6" s="116">
        <v>0.1195532128045667</v>
      </c>
      <c r="S6" s="116">
        <v>0.56806627989020109</v>
      </c>
      <c r="T6" s="116">
        <v>2.3634021518334691E-3</v>
      </c>
      <c r="U6" s="116">
        <v>3.676758071515807</v>
      </c>
      <c r="V6" s="116">
        <v>2.3673600077155771E-3</v>
      </c>
      <c r="W6" s="116">
        <v>0.13476905577312773</v>
      </c>
      <c r="X6" s="116">
        <v>0.63789388064279628</v>
      </c>
      <c r="Y6" s="116">
        <v>2.3634021518334691E-3</v>
      </c>
      <c r="Z6" s="116">
        <v>4.1754125071627346</v>
      </c>
      <c r="AA6" s="116">
        <v>2.6866774395854789E-3</v>
      </c>
    </row>
    <row r="7" spans="1:28" x14ac:dyDescent="0.25">
      <c r="A7" s="117" t="s">
        <v>128</v>
      </c>
      <c r="B7" s="116">
        <v>1.1626863384007102E-3</v>
      </c>
      <c r="C7" s="116">
        <v>5.5137702645806877E-2</v>
      </c>
      <c r="D7" s="116">
        <v>7.5025632261007568E-5</v>
      </c>
      <c r="E7" s="116">
        <v>2.1036232205085027E-3</v>
      </c>
      <c r="F7" s="116">
        <v>6.633063230999154E-5</v>
      </c>
      <c r="G7" s="116">
        <v>8.7545713088912781E-3</v>
      </c>
      <c r="H7" s="116">
        <v>0.41516523732886446</v>
      </c>
      <c r="I7" s="116">
        <v>5.6491353336713649E-4</v>
      </c>
      <c r="J7" s="116">
        <v>1.5839456337220819E-2</v>
      </c>
      <c r="K7" s="116">
        <v>4.9944359999999936E-4</v>
      </c>
      <c r="L7" s="111" t="s">
        <v>129</v>
      </c>
      <c r="W7" s="116">
        <v>8.7545713088912781E-3</v>
      </c>
      <c r="X7" s="116">
        <v>0.41516523732886446</v>
      </c>
      <c r="Y7" s="116">
        <v>5.6491353336713649E-4</v>
      </c>
      <c r="Z7" s="116">
        <v>1.5839456337220819E-2</v>
      </c>
      <c r="AA7" s="116">
        <v>4.9944359999999936E-4</v>
      </c>
    </row>
    <row r="8" spans="1:28" x14ac:dyDescent="0.25">
      <c r="A8" s="117" t="s">
        <v>130</v>
      </c>
      <c r="B8" s="116">
        <v>0.12391636713775686</v>
      </c>
      <c r="C8" s="116">
        <v>0.44616336817042634</v>
      </c>
      <c r="D8" s="116">
        <v>5.6575988827362522</v>
      </c>
      <c r="E8" s="116">
        <v>0.16436125992632034</v>
      </c>
      <c r="F8" s="116">
        <v>0</v>
      </c>
      <c r="G8" s="116">
        <v>0.21228302779656311</v>
      </c>
      <c r="H8" s="116">
        <v>0.69988984627063144</v>
      </c>
      <c r="I8" s="116">
        <v>8.9528067182853448</v>
      </c>
      <c r="J8" s="116">
        <v>0.33079968499409174</v>
      </c>
      <c r="K8" s="116">
        <v>0</v>
      </c>
      <c r="W8" s="116">
        <v>0.41665747220462684</v>
      </c>
      <c r="X8" s="116">
        <v>1.3737053649351023</v>
      </c>
      <c r="Y8" s="116">
        <v>17.572077500007119</v>
      </c>
      <c r="Z8" s="116">
        <v>0.64927546015507032</v>
      </c>
      <c r="AA8" s="116">
        <v>0</v>
      </c>
      <c r="AB8" s="111" t="s">
        <v>131</v>
      </c>
    </row>
    <row r="9" spans="1:28" x14ac:dyDescent="0.25">
      <c r="A9" s="111" t="s">
        <v>132</v>
      </c>
      <c r="B9" s="116">
        <v>0.23590488174599089</v>
      </c>
      <c r="C9" s="116">
        <v>1.0278985122744495</v>
      </c>
      <c r="D9" s="116">
        <v>5.6598647821632628</v>
      </c>
      <c r="E9" s="116">
        <v>3.574819615441982</v>
      </c>
      <c r="F9" s="116">
        <v>2.2608733594623315E-3</v>
      </c>
      <c r="G9" s="116">
        <v>0.3558066548785821</v>
      </c>
      <c r="H9" s="116">
        <v>1.7529489642422922</v>
      </c>
      <c r="I9" s="116">
        <v>8.9557350339705462</v>
      </c>
      <c r="J9" s="116">
        <v>4.5220516484940472</v>
      </c>
      <c r="K9" s="116">
        <v>3.1861210395854782E-3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FCD8-5011-4DB4-80B8-C1D30BD67A29}">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138</v>
      </c>
      <c r="B1" s="231"/>
      <c r="C1" s="231"/>
      <c r="D1" s="231"/>
      <c r="E1" s="231"/>
      <c r="F1" s="231"/>
      <c r="G1" s="231"/>
      <c r="H1" s="231"/>
      <c r="I1" s="231"/>
      <c r="J1" s="231"/>
      <c r="K1" s="231"/>
    </row>
    <row r="2" spans="1:28" x14ac:dyDescent="0.25">
      <c r="P2" s="112" t="s">
        <v>123</v>
      </c>
      <c r="Q2" s="113">
        <v>0.9252261393073411</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0.25384965001254511</v>
      </c>
      <c r="C5" s="116">
        <v>0.40435974380648504</v>
      </c>
      <c r="D5" s="116">
        <v>3.1888581638285549E-2</v>
      </c>
      <c r="E5" s="116">
        <v>2.3747953582035075</v>
      </c>
      <c r="F5" s="116">
        <v>5.2400989959915746E-2</v>
      </c>
      <c r="G5" s="116">
        <v>0.27436497870951471</v>
      </c>
      <c r="H5" s="116">
        <v>0.43703882394546684</v>
      </c>
      <c r="I5" s="116">
        <v>3.4465716308186595E-2</v>
      </c>
      <c r="J5" s="116">
        <v>2.566718834793587</v>
      </c>
      <c r="K5" s="116">
        <v>5.6635872824718388E-2</v>
      </c>
      <c r="L5" s="111" t="s">
        <v>126</v>
      </c>
      <c r="R5" s="116">
        <v>0.27436497870951471</v>
      </c>
      <c r="S5" s="116">
        <v>0.43703882394546684</v>
      </c>
      <c r="T5" s="116">
        <v>3.4465716308186595E-2</v>
      </c>
      <c r="U5" s="116">
        <v>2.566718834793587</v>
      </c>
      <c r="V5" s="116">
        <v>5.6635872824718388E-2</v>
      </c>
      <c r="W5" s="116">
        <v>0.27436497870951471</v>
      </c>
      <c r="X5" s="116">
        <v>0.43703882394546684</v>
      </c>
      <c r="Y5" s="116">
        <v>3.4465716308186595E-2</v>
      </c>
      <c r="Z5" s="116">
        <v>2.566718834793587</v>
      </c>
      <c r="AA5" s="116">
        <v>5.6635872824718388E-2</v>
      </c>
    </row>
    <row r="6" spans="1:28" x14ac:dyDescent="0.25">
      <c r="A6" s="117" t="s">
        <v>16</v>
      </c>
      <c r="B6" s="116">
        <v>0.10731820400345192</v>
      </c>
      <c r="C6" s="116">
        <v>0.53867922175387428</v>
      </c>
      <c r="D6" s="116">
        <v>2.186681448571543E-3</v>
      </c>
      <c r="E6" s="116">
        <v>3.2784052729578037</v>
      </c>
      <c r="F6" s="116">
        <v>2.1955224349516568E-3</v>
      </c>
      <c r="G6" s="116">
        <v>0.13072681444230949</v>
      </c>
      <c r="H6" s="116">
        <v>0.65398301384095758</v>
      </c>
      <c r="I6" s="116">
        <v>2.3634021518334691E-3</v>
      </c>
      <c r="J6" s="116">
        <v>4.0238972093493866</v>
      </c>
      <c r="K6" s="116">
        <v>2.6929492298584856E-3</v>
      </c>
      <c r="L6" s="111" t="s">
        <v>127</v>
      </c>
      <c r="R6" s="116">
        <v>0.11599132303351735</v>
      </c>
      <c r="S6" s="116">
        <v>0.58221357878750557</v>
      </c>
      <c r="T6" s="116">
        <v>2.3634021518334691E-3</v>
      </c>
      <c r="U6" s="116">
        <v>3.5433556550965375</v>
      </c>
      <c r="V6" s="116">
        <v>2.3729576388701111E-3</v>
      </c>
      <c r="W6" s="116">
        <v>0.13072681444230949</v>
      </c>
      <c r="X6" s="116">
        <v>0.65398301384095758</v>
      </c>
      <c r="Y6" s="116">
        <v>2.3634021518334691E-3</v>
      </c>
      <c r="Z6" s="116">
        <v>4.0238972093493866</v>
      </c>
      <c r="AA6" s="116">
        <v>2.6929492298584856E-3</v>
      </c>
    </row>
    <row r="7" spans="1:28" x14ac:dyDescent="0.25">
      <c r="A7" s="117" t="s">
        <v>128</v>
      </c>
      <c r="B7" s="116">
        <v>8.5263664816052215E-4</v>
      </c>
      <c r="C7" s="116">
        <v>4.5548536968275308E-2</v>
      </c>
      <c r="D7" s="116">
        <v>7.5025632261007568E-5</v>
      </c>
      <c r="E7" s="116">
        <v>1.6828985764068011E-3</v>
      </c>
      <c r="F7" s="116">
        <v>6.633063230999154E-5</v>
      </c>
      <c r="G7" s="116">
        <v>6.4200189598536024E-3</v>
      </c>
      <c r="H7" s="116">
        <v>0.34296258735862761</v>
      </c>
      <c r="I7" s="116">
        <v>5.6491353336713649E-4</v>
      </c>
      <c r="J7" s="116">
        <v>1.2671565069776652E-2</v>
      </c>
      <c r="K7" s="116">
        <v>4.9944359999999936E-4</v>
      </c>
      <c r="L7" s="111" t="s">
        <v>129</v>
      </c>
      <c r="W7" s="116">
        <v>6.4200189598536024E-3</v>
      </c>
      <c r="X7" s="116">
        <v>0.34296258735862761</v>
      </c>
      <c r="Y7" s="116">
        <v>5.6491353336713649E-4</v>
      </c>
      <c r="Z7" s="116">
        <v>1.2671565069776652E-2</v>
      </c>
      <c r="AA7" s="116">
        <v>4.9944359999999936E-4</v>
      </c>
    </row>
    <row r="8" spans="1:28" x14ac:dyDescent="0.25">
      <c r="A8" s="117" t="s">
        <v>130</v>
      </c>
      <c r="B8" s="116">
        <v>0.12667645819775372</v>
      </c>
      <c r="C8" s="116">
        <v>0.45284693239096918</v>
      </c>
      <c r="D8" s="116">
        <v>5.7718432421590986</v>
      </c>
      <c r="E8" s="116">
        <v>0.16937109073886852</v>
      </c>
      <c r="F8" s="116">
        <v>0</v>
      </c>
      <c r="G8" s="116">
        <v>0.21504311885655997</v>
      </c>
      <c r="H8" s="116">
        <v>0.70657341049117428</v>
      </c>
      <c r="I8" s="116">
        <v>9.0670510777081912</v>
      </c>
      <c r="J8" s="116">
        <v>0.33580951580663992</v>
      </c>
      <c r="K8" s="116">
        <v>0</v>
      </c>
      <c r="W8" s="116">
        <v>0.42207482740277752</v>
      </c>
      <c r="X8" s="116">
        <v>1.3868234978464029</v>
      </c>
      <c r="Y8" s="116">
        <v>17.796310056442941</v>
      </c>
      <c r="Z8" s="116">
        <v>0.65910848102440511</v>
      </c>
      <c r="AA8" s="116">
        <v>0</v>
      </c>
      <c r="AB8" s="111" t="s">
        <v>131</v>
      </c>
    </row>
    <row r="9" spans="1:28" x14ac:dyDescent="0.25">
      <c r="A9" s="111" t="s">
        <v>132</v>
      </c>
      <c r="B9" s="116">
        <v>0.23484729884936617</v>
      </c>
      <c r="C9" s="116">
        <v>1.0370746911131188</v>
      </c>
      <c r="D9" s="116">
        <v>5.7741049492399315</v>
      </c>
      <c r="E9" s="116">
        <v>3.4494592622730789</v>
      </c>
      <c r="F9" s="116">
        <v>2.2618530672616484E-3</v>
      </c>
      <c r="G9" s="116">
        <v>0.35218995225872307</v>
      </c>
      <c r="H9" s="116">
        <v>1.7035190116907595</v>
      </c>
      <c r="I9" s="116">
        <v>9.0699793933933925</v>
      </c>
      <c r="J9" s="116">
        <v>4.3723782902258037</v>
      </c>
      <c r="K9" s="116">
        <v>3.1923928298584849E-3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38B58-36F3-442A-A01A-F16FD72FAB7C}">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169</v>
      </c>
    </row>
    <row r="3" spans="1:24" x14ac:dyDescent="0.25">
      <c r="A3" s="132" t="s">
        <v>173</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3.4460000000000002</v>
      </c>
      <c r="C7" s="129">
        <v>1.26E-2</v>
      </c>
      <c r="D7" s="129">
        <v>0.1769</v>
      </c>
      <c r="E7" s="129">
        <v>0.30430000000000001</v>
      </c>
      <c r="F7" s="129">
        <v>0.30430000000000001</v>
      </c>
      <c r="G7" s="129">
        <v>0.30430000000000001</v>
      </c>
      <c r="H7" s="129">
        <v>0.95030000000000003</v>
      </c>
      <c r="I7" s="129">
        <v>25.777100000000001</v>
      </c>
      <c r="J7" s="129">
        <v>0.13189999999999999</v>
      </c>
      <c r="K7" s="129">
        <v>2.4317000000000002</v>
      </c>
      <c r="L7" s="129">
        <v>2.4447999999999999</v>
      </c>
      <c r="M7" s="129">
        <v>2.4447999999999999</v>
      </c>
      <c r="N7" s="129">
        <v>3.7875999999999999</v>
      </c>
      <c r="O7" s="129">
        <v>8.6022999999999996</v>
      </c>
      <c r="P7" s="129">
        <v>29.223099999999999</v>
      </c>
      <c r="Q7" s="129">
        <v>0.14449999999999999</v>
      </c>
      <c r="R7" s="129">
        <v>2.6086</v>
      </c>
      <c r="S7" s="129">
        <v>2.7490999999999999</v>
      </c>
      <c r="T7" s="129">
        <v>2.7490999999999999</v>
      </c>
      <c r="U7" s="129">
        <v>4.0918999999999999</v>
      </c>
      <c r="V7" s="129">
        <v>9.5526999999999997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1.09E-2</v>
      </c>
      <c r="E10" s="129">
        <v>2.9999999999999997E-4</v>
      </c>
      <c r="F10" s="129">
        <v>2.9999999999999997E-4</v>
      </c>
      <c r="G10" s="129">
        <v>7.7000000000000002E-3</v>
      </c>
      <c r="H10" s="129">
        <v>4.0000000000000002E-4</v>
      </c>
      <c r="I10" s="129">
        <v>1.46E-2</v>
      </c>
      <c r="J10" s="129">
        <v>8.0000000000000004E-4</v>
      </c>
      <c r="K10" s="129">
        <v>0.5877</v>
      </c>
      <c r="L10" s="129">
        <v>1.49E-2</v>
      </c>
      <c r="M10" s="129">
        <v>1.49E-2</v>
      </c>
      <c r="N10" s="129">
        <v>0.41539999999999999</v>
      </c>
      <c r="O10" s="129">
        <v>2.3300000000000001E-2</v>
      </c>
      <c r="P10" s="129">
        <v>1.49E-2</v>
      </c>
      <c r="Q10" s="129">
        <v>8.0000000000000004E-4</v>
      </c>
      <c r="R10" s="129">
        <v>0.59850000000000003</v>
      </c>
      <c r="S10" s="129">
        <v>1.52E-2</v>
      </c>
      <c r="T10" s="129">
        <v>1.52E-2</v>
      </c>
      <c r="U10" s="129">
        <v>0.42309999999999998</v>
      </c>
      <c r="V10" s="129">
        <v>2.3699999999999999E-2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0.19900000000000001</v>
      </c>
      <c r="C13" s="129">
        <v>1.9E-3</v>
      </c>
      <c r="D13" s="129">
        <v>7.1999999999999998E-3</v>
      </c>
      <c r="E13" s="129">
        <v>1.2200000000000001E-2</v>
      </c>
      <c r="F13" s="129">
        <v>1.2200000000000001E-2</v>
      </c>
      <c r="G13" s="129">
        <v>1.4200000000000001E-2</v>
      </c>
      <c r="H13" s="129">
        <v>1.52E-2</v>
      </c>
      <c r="I13" s="129">
        <v>1.4148000000000001</v>
      </c>
      <c r="J13" s="129">
        <v>1.37E-2</v>
      </c>
      <c r="K13" s="129">
        <v>5.11E-2</v>
      </c>
      <c r="L13" s="129">
        <v>8.6599999999999996E-2</v>
      </c>
      <c r="M13" s="129">
        <v>8.6599999999999996E-2</v>
      </c>
      <c r="N13" s="129">
        <v>0.1008</v>
      </c>
      <c r="O13" s="129">
        <v>0.10829999999999999</v>
      </c>
      <c r="P13" s="129">
        <v>1.6137999999999999</v>
      </c>
      <c r="Q13" s="129">
        <v>1.5599999999999999E-2</v>
      </c>
      <c r="R13" s="129">
        <v>5.8299999999999998E-2</v>
      </c>
      <c r="S13" s="129">
        <v>9.8699999999999996E-2</v>
      </c>
      <c r="T13" s="129">
        <v>9.8699999999999996E-2</v>
      </c>
      <c r="U13" s="129">
        <v>0.1149</v>
      </c>
      <c r="V13" s="129">
        <v>0.1236</v>
      </c>
      <c r="W13" s="130" t="s">
        <v>180</v>
      </c>
      <c r="X13" s="130" t="s">
        <v>166</v>
      </c>
    </row>
    <row r="14" spans="1:24" x14ac:dyDescent="0.25">
      <c r="A14" s="130">
        <v>2104004000</v>
      </c>
      <c r="B14" s="129">
        <v>4.1999999999999997E-3</v>
      </c>
      <c r="C14" s="129">
        <v>2.0000000000000001E-4</v>
      </c>
      <c r="D14" s="129">
        <v>0.1052</v>
      </c>
      <c r="E14" s="129">
        <v>4.3E-3</v>
      </c>
      <c r="F14" s="129">
        <v>4.3E-3</v>
      </c>
      <c r="G14" s="129">
        <v>0.27139999999999997</v>
      </c>
      <c r="H14" s="129">
        <v>6.7000000000000002E-3</v>
      </c>
      <c r="I14" s="129">
        <v>4.9200000000000001E-2</v>
      </c>
      <c r="J14" s="129">
        <v>2.7000000000000001E-3</v>
      </c>
      <c r="K14" s="129">
        <v>1.2313000000000001</v>
      </c>
      <c r="L14" s="129">
        <v>5.0099999999999999E-2</v>
      </c>
      <c r="M14" s="129">
        <v>5.0099999999999999E-2</v>
      </c>
      <c r="N14" s="129">
        <v>3.1726999999999999</v>
      </c>
      <c r="O14" s="129">
        <v>7.8299999999999995E-2</v>
      </c>
      <c r="P14" s="129">
        <v>5.3400000000000003E-2</v>
      </c>
      <c r="Q14" s="129">
        <v>2.8999999999999998E-3</v>
      </c>
      <c r="R14" s="129">
        <v>1.3365</v>
      </c>
      <c r="S14" s="129">
        <v>5.4399999999999997E-2</v>
      </c>
      <c r="T14" s="129">
        <v>5.4399999999999997E-2</v>
      </c>
      <c r="U14" s="129">
        <v>3.4441000000000002</v>
      </c>
      <c r="V14" s="129">
        <v>8.5000000000000006E-2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0.37709999999999999</v>
      </c>
      <c r="C16" s="129">
        <v>2.7000000000000001E-3</v>
      </c>
      <c r="D16" s="129">
        <v>3.8999999999999998E-3</v>
      </c>
      <c r="E16" s="129">
        <v>5.1700000000000003E-2</v>
      </c>
      <c r="F16" s="129">
        <v>5.1700000000000003E-2</v>
      </c>
      <c r="G16" s="129">
        <v>5.9999999999999995E-4</v>
      </c>
      <c r="H16" s="129">
        <v>0.34189999999999998</v>
      </c>
      <c r="I16" s="129">
        <v>4.4950000000000001</v>
      </c>
      <c r="J16" s="129">
        <v>3.2000000000000001E-2</v>
      </c>
      <c r="K16" s="129">
        <v>4.6300000000000001E-2</v>
      </c>
      <c r="L16" s="129">
        <v>0.61570000000000003</v>
      </c>
      <c r="M16" s="129">
        <v>0.61570000000000003</v>
      </c>
      <c r="N16" s="129">
        <v>7.1000000000000004E-3</v>
      </c>
      <c r="O16" s="129">
        <v>4.0750000000000002</v>
      </c>
      <c r="P16" s="129">
        <v>4.8720999999999997</v>
      </c>
      <c r="Q16" s="129">
        <v>3.4700000000000002E-2</v>
      </c>
      <c r="R16" s="129">
        <v>5.0099999999999999E-2</v>
      </c>
      <c r="S16" s="129">
        <v>0.66739999999999999</v>
      </c>
      <c r="T16" s="129">
        <v>0.66739999999999999</v>
      </c>
      <c r="U16" s="129">
        <v>7.7000000000000002E-3</v>
      </c>
      <c r="V16" s="129">
        <v>4.4169</v>
      </c>
      <c r="W16" s="130" t="s">
        <v>183</v>
      </c>
      <c r="X16" s="130" t="s">
        <v>168</v>
      </c>
    </row>
    <row r="17" spans="1:24" x14ac:dyDescent="0.25">
      <c r="A17" s="130">
        <v>2104008210</v>
      </c>
      <c r="B17" s="129">
        <v>5.3999999999999999E-2</v>
      </c>
      <c r="C17" s="129">
        <v>4.0000000000000002E-4</v>
      </c>
      <c r="D17" s="129">
        <v>6.9999999999999999E-4</v>
      </c>
      <c r="E17" s="129">
        <v>7.1999999999999998E-3</v>
      </c>
      <c r="F17" s="129">
        <v>7.1999999999999998E-3</v>
      </c>
      <c r="G17" s="129">
        <v>1E-4</v>
      </c>
      <c r="H17" s="129">
        <v>1.24E-2</v>
      </c>
      <c r="I17" s="129">
        <v>0.3624</v>
      </c>
      <c r="J17" s="129">
        <v>2.7000000000000001E-3</v>
      </c>
      <c r="K17" s="129">
        <v>4.4000000000000003E-3</v>
      </c>
      <c r="L17" s="129">
        <v>4.8099999999999997E-2</v>
      </c>
      <c r="M17" s="129">
        <v>4.8099999999999997E-2</v>
      </c>
      <c r="N17" s="129">
        <v>5.9999999999999995E-4</v>
      </c>
      <c r="O17" s="129">
        <v>8.3199999999999996E-2</v>
      </c>
      <c r="P17" s="129">
        <v>0.41639999999999999</v>
      </c>
      <c r="Q17" s="129">
        <v>3.0999999999999999E-3</v>
      </c>
      <c r="R17" s="129">
        <v>5.1000000000000004E-3</v>
      </c>
      <c r="S17" s="129">
        <v>5.5199999999999999E-2</v>
      </c>
      <c r="T17" s="129">
        <v>5.5199999999999999E-2</v>
      </c>
      <c r="U17" s="129">
        <v>6.9999999999999999E-4</v>
      </c>
      <c r="V17" s="129">
        <v>9.5600000000000004E-2</v>
      </c>
      <c r="W17" s="130" t="s">
        <v>184</v>
      </c>
      <c r="X17" s="130" t="s">
        <v>168</v>
      </c>
    </row>
    <row r="18" spans="1:24" x14ac:dyDescent="0.25">
      <c r="A18" s="130">
        <v>2104008220</v>
      </c>
      <c r="B18" s="129">
        <v>6.93E-2</v>
      </c>
      <c r="C18" s="129">
        <v>4.0000000000000002E-4</v>
      </c>
      <c r="D18" s="129">
        <v>1E-3</v>
      </c>
      <c r="E18" s="129">
        <v>5.8999999999999999E-3</v>
      </c>
      <c r="F18" s="129">
        <v>5.8999999999999999E-3</v>
      </c>
      <c r="G18" s="129">
        <v>2.0000000000000001E-4</v>
      </c>
      <c r="H18" s="129">
        <v>5.8999999999999999E-3</v>
      </c>
      <c r="I18" s="129">
        <v>0.46550000000000002</v>
      </c>
      <c r="J18" s="129">
        <v>3.0000000000000001E-3</v>
      </c>
      <c r="K18" s="129">
        <v>6.6E-3</v>
      </c>
      <c r="L18" s="129">
        <v>3.9699999999999999E-2</v>
      </c>
      <c r="M18" s="129">
        <v>3.9699999999999999E-2</v>
      </c>
      <c r="N18" s="129">
        <v>1.2999999999999999E-3</v>
      </c>
      <c r="O18" s="129">
        <v>3.9699999999999999E-2</v>
      </c>
      <c r="P18" s="129">
        <v>0.53490000000000004</v>
      </c>
      <c r="Q18" s="129">
        <v>3.3999999999999998E-3</v>
      </c>
      <c r="R18" s="129">
        <v>7.6E-3</v>
      </c>
      <c r="S18" s="129">
        <v>4.5600000000000002E-2</v>
      </c>
      <c r="T18" s="129">
        <v>4.5600000000000002E-2</v>
      </c>
      <c r="U18" s="129">
        <v>1.5E-3</v>
      </c>
      <c r="V18" s="129">
        <v>4.5600000000000002E-2</v>
      </c>
      <c r="W18" s="130" t="s">
        <v>185</v>
      </c>
      <c r="X18" s="130" t="s">
        <v>168</v>
      </c>
    </row>
    <row r="19" spans="1:24" x14ac:dyDescent="0.25">
      <c r="A19" s="130">
        <v>2104008230</v>
      </c>
      <c r="B19" s="129">
        <v>3.1699999999999999E-2</v>
      </c>
      <c r="C19" s="129">
        <v>2.9999999999999997E-4</v>
      </c>
      <c r="D19" s="129">
        <v>5.9999999999999995E-4</v>
      </c>
      <c r="E19" s="129">
        <v>3.8999999999999998E-3</v>
      </c>
      <c r="F19" s="129">
        <v>3.8999999999999998E-3</v>
      </c>
      <c r="G19" s="129">
        <v>1E-4</v>
      </c>
      <c r="H19" s="129">
        <v>4.4000000000000003E-3</v>
      </c>
      <c r="I19" s="129">
        <v>0.21299999999999999</v>
      </c>
      <c r="J19" s="129">
        <v>1.8E-3</v>
      </c>
      <c r="K19" s="129">
        <v>4.0000000000000001E-3</v>
      </c>
      <c r="L19" s="129">
        <v>2.5899999999999999E-2</v>
      </c>
      <c r="M19" s="129">
        <v>2.5899999999999999E-2</v>
      </c>
      <c r="N19" s="129">
        <v>8.0000000000000004E-4</v>
      </c>
      <c r="O19" s="129">
        <v>2.9899999999999999E-2</v>
      </c>
      <c r="P19" s="129">
        <v>0.2447</v>
      </c>
      <c r="Q19" s="129">
        <v>2.0999999999999999E-3</v>
      </c>
      <c r="R19" s="129">
        <v>4.5999999999999999E-3</v>
      </c>
      <c r="S19" s="129">
        <v>2.9700000000000001E-2</v>
      </c>
      <c r="T19" s="129">
        <v>2.9700000000000001E-2</v>
      </c>
      <c r="U19" s="129">
        <v>8.9999999999999998E-4</v>
      </c>
      <c r="V19" s="129">
        <v>3.4299999999999997E-2</v>
      </c>
      <c r="W19" s="130" t="s">
        <v>186</v>
      </c>
      <c r="X19" s="130" t="s">
        <v>168</v>
      </c>
    </row>
    <row r="20" spans="1:24" x14ac:dyDescent="0.25">
      <c r="A20" s="130">
        <v>2104008310</v>
      </c>
      <c r="B20" s="129">
        <v>0.57520000000000004</v>
      </c>
      <c r="C20" s="129">
        <v>1.9E-3</v>
      </c>
      <c r="D20" s="129">
        <v>6.8999999999999999E-3</v>
      </c>
      <c r="E20" s="129">
        <v>5.7599999999999998E-2</v>
      </c>
      <c r="F20" s="129">
        <v>5.7599999999999998E-2</v>
      </c>
      <c r="G20" s="129">
        <v>1.9E-3</v>
      </c>
      <c r="H20" s="129">
        <v>0.25159999999999999</v>
      </c>
      <c r="I20" s="129">
        <v>3.8616000000000001</v>
      </c>
      <c r="J20" s="129">
        <v>1.2699999999999999E-2</v>
      </c>
      <c r="K20" s="129">
        <v>4.6300000000000001E-2</v>
      </c>
      <c r="L20" s="129">
        <v>0.38700000000000001</v>
      </c>
      <c r="M20" s="129">
        <v>0.38700000000000001</v>
      </c>
      <c r="N20" s="129">
        <v>1.2699999999999999E-2</v>
      </c>
      <c r="O20" s="129">
        <v>1.6891</v>
      </c>
      <c r="P20" s="129">
        <v>4.4367999999999999</v>
      </c>
      <c r="Q20" s="129">
        <v>1.4500000000000001E-2</v>
      </c>
      <c r="R20" s="129">
        <v>5.3199999999999997E-2</v>
      </c>
      <c r="S20" s="129">
        <v>0.4446</v>
      </c>
      <c r="T20" s="129">
        <v>0.4446</v>
      </c>
      <c r="U20" s="129">
        <v>1.46E-2</v>
      </c>
      <c r="V20" s="129">
        <v>1.9407000000000001</v>
      </c>
      <c r="W20" s="130" t="s">
        <v>187</v>
      </c>
      <c r="X20" s="130" t="s">
        <v>168</v>
      </c>
    </row>
    <row r="21" spans="1:24" x14ac:dyDescent="0.25">
      <c r="A21" s="130">
        <v>2104008320</v>
      </c>
      <c r="B21" s="129">
        <v>1.2357</v>
      </c>
      <c r="C21" s="129">
        <v>2.5000000000000001E-3</v>
      </c>
      <c r="D21" s="129">
        <v>1.61E-2</v>
      </c>
      <c r="E21" s="129">
        <v>7.9200000000000007E-2</v>
      </c>
      <c r="F21" s="129">
        <v>7.9200000000000007E-2</v>
      </c>
      <c r="G21" s="129">
        <v>4.0000000000000001E-3</v>
      </c>
      <c r="H21" s="129">
        <v>0.11990000000000001</v>
      </c>
      <c r="I21" s="129">
        <v>8.2960999999999991</v>
      </c>
      <c r="J21" s="129">
        <v>1.6799999999999999E-2</v>
      </c>
      <c r="K21" s="129">
        <v>0.108</v>
      </c>
      <c r="L21" s="129">
        <v>0.53180000000000005</v>
      </c>
      <c r="M21" s="129">
        <v>0.53180000000000005</v>
      </c>
      <c r="N21" s="129">
        <v>2.6800000000000001E-2</v>
      </c>
      <c r="O21" s="129">
        <v>0.80520000000000003</v>
      </c>
      <c r="P21" s="129">
        <v>9.5318000000000005</v>
      </c>
      <c r="Q21" s="129">
        <v>1.9300000000000001E-2</v>
      </c>
      <c r="R21" s="129">
        <v>0.124</v>
      </c>
      <c r="S21" s="129">
        <v>0.61099999999999999</v>
      </c>
      <c r="T21" s="129">
        <v>0.61099999999999999</v>
      </c>
      <c r="U21" s="129">
        <v>3.0800000000000001E-2</v>
      </c>
      <c r="V21" s="129">
        <v>0.92510000000000003</v>
      </c>
      <c r="W21" s="130" t="s">
        <v>188</v>
      </c>
      <c r="X21" s="130" t="s">
        <v>168</v>
      </c>
    </row>
    <row r="22" spans="1:24" x14ac:dyDescent="0.25">
      <c r="A22" s="130">
        <v>2104008330</v>
      </c>
      <c r="B22" s="129">
        <v>0.74399999999999999</v>
      </c>
      <c r="C22" s="129">
        <v>1.5E-3</v>
      </c>
      <c r="D22" s="129">
        <v>9.7000000000000003E-3</v>
      </c>
      <c r="E22" s="129">
        <v>5.2900000000000003E-2</v>
      </c>
      <c r="F22" s="129">
        <v>5.2900000000000003E-2</v>
      </c>
      <c r="G22" s="129">
        <v>2.3999999999999998E-3</v>
      </c>
      <c r="H22" s="129">
        <v>9.0300000000000005E-2</v>
      </c>
      <c r="I22" s="129">
        <v>4.9949000000000003</v>
      </c>
      <c r="J22" s="129">
        <v>1.01E-2</v>
      </c>
      <c r="K22" s="129">
        <v>6.5000000000000002E-2</v>
      </c>
      <c r="L22" s="129">
        <v>0.35520000000000002</v>
      </c>
      <c r="M22" s="129">
        <v>0.35520000000000002</v>
      </c>
      <c r="N22" s="129">
        <v>1.6199999999999999E-2</v>
      </c>
      <c r="O22" s="129">
        <v>0.60599999999999998</v>
      </c>
      <c r="P22" s="129">
        <v>5.7388000000000003</v>
      </c>
      <c r="Q22" s="129">
        <v>1.1599999999999999E-2</v>
      </c>
      <c r="R22" s="129">
        <v>7.4700000000000003E-2</v>
      </c>
      <c r="S22" s="129">
        <v>0.40820000000000001</v>
      </c>
      <c r="T22" s="129">
        <v>0.40820000000000001</v>
      </c>
      <c r="U22" s="129">
        <v>1.8599999999999998E-2</v>
      </c>
      <c r="V22" s="129">
        <v>0.69620000000000004</v>
      </c>
      <c r="W22" s="130" t="s">
        <v>189</v>
      </c>
      <c r="X22" s="130" t="s">
        <v>168</v>
      </c>
    </row>
    <row r="23" spans="1:24" x14ac:dyDescent="0.25">
      <c r="A23" s="130">
        <v>2104008410</v>
      </c>
      <c r="B23" s="129">
        <v>6.6E-3</v>
      </c>
      <c r="C23" s="129">
        <v>0</v>
      </c>
      <c r="D23" s="129">
        <v>2.5999999999999999E-3</v>
      </c>
      <c r="E23" s="129">
        <v>2E-3</v>
      </c>
      <c r="F23" s="129">
        <v>2E-3</v>
      </c>
      <c r="G23" s="129">
        <v>2.0000000000000001E-4</v>
      </c>
      <c r="H23" s="129">
        <v>1.5E-3</v>
      </c>
      <c r="I23" s="129">
        <v>4.3999999999999997E-2</v>
      </c>
      <c r="J23" s="129">
        <v>2.9999999999999997E-4</v>
      </c>
      <c r="K23" s="129">
        <v>1.77E-2</v>
      </c>
      <c r="L23" s="129">
        <v>1.3100000000000001E-2</v>
      </c>
      <c r="M23" s="129">
        <v>1.3100000000000001E-2</v>
      </c>
      <c r="N23" s="129">
        <v>1.4E-3</v>
      </c>
      <c r="O23" s="129">
        <v>1.0200000000000001E-2</v>
      </c>
      <c r="P23" s="129">
        <v>5.0500000000000003E-2</v>
      </c>
      <c r="Q23" s="129">
        <v>4.0000000000000002E-4</v>
      </c>
      <c r="R23" s="129">
        <v>2.0400000000000001E-2</v>
      </c>
      <c r="S23" s="129">
        <v>1.5100000000000001E-2</v>
      </c>
      <c r="T23" s="129">
        <v>1.5100000000000001E-2</v>
      </c>
      <c r="U23" s="129">
        <v>1.6000000000000001E-3</v>
      </c>
      <c r="V23" s="129">
        <v>1.17E-2</v>
      </c>
      <c r="W23" s="130" t="s">
        <v>190</v>
      </c>
      <c r="X23" s="130" t="s">
        <v>168</v>
      </c>
    </row>
    <row r="24" spans="1:24" x14ac:dyDescent="0.25">
      <c r="A24" s="130">
        <v>2104008420</v>
      </c>
      <c r="B24" s="129">
        <v>2.2100000000000002E-2</v>
      </c>
      <c r="C24" s="129">
        <v>2.0000000000000001E-4</v>
      </c>
      <c r="D24" s="129">
        <v>8.8999999999999999E-3</v>
      </c>
      <c r="E24" s="129">
        <v>6.6E-3</v>
      </c>
      <c r="F24" s="129">
        <v>6.6E-3</v>
      </c>
      <c r="G24" s="129">
        <v>6.9999999999999999E-4</v>
      </c>
      <c r="H24" s="129">
        <v>5.1000000000000004E-3</v>
      </c>
      <c r="I24" s="129">
        <v>0.1484</v>
      </c>
      <c r="J24" s="129">
        <v>1.1000000000000001E-3</v>
      </c>
      <c r="K24" s="129">
        <v>5.9799999999999999E-2</v>
      </c>
      <c r="L24" s="129">
        <v>4.4200000000000003E-2</v>
      </c>
      <c r="M24" s="129">
        <v>4.4200000000000003E-2</v>
      </c>
      <c r="N24" s="129">
        <v>4.7999999999999996E-3</v>
      </c>
      <c r="O24" s="129">
        <v>3.4200000000000001E-2</v>
      </c>
      <c r="P24" s="129">
        <v>0.17050000000000001</v>
      </c>
      <c r="Q24" s="129">
        <v>1.1999999999999999E-3</v>
      </c>
      <c r="R24" s="129">
        <v>6.8699999999999997E-2</v>
      </c>
      <c r="S24" s="129">
        <v>5.0799999999999998E-2</v>
      </c>
      <c r="T24" s="129">
        <v>5.0799999999999998E-2</v>
      </c>
      <c r="U24" s="129">
        <v>5.4999999999999997E-3</v>
      </c>
      <c r="V24" s="129">
        <v>3.9300000000000002E-2</v>
      </c>
      <c r="W24" s="130" t="s">
        <v>191</v>
      </c>
      <c r="X24" s="130" t="s">
        <v>168</v>
      </c>
    </row>
    <row r="25" spans="1:24" x14ac:dyDescent="0.25">
      <c r="A25" s="130">
        <v>2104008610</v>
      </c>
      <c r="B25" s="129">
        <v>0.1263</v>
      </c>
      <c r="C25" s="129">
        <v>5.0000000000000001E-4</v>
      </c>
      <c r="D25" s="129">
        <v>3.3999999999999998E-3</v>
      </c>
      <c r="E25" s="129">
        <v>2.06E-2</v>
      </c>
      <c r="F25" s="129">
        <v>2.06E-2</v>
      </c>
      <c r="G25" s="129">
        <v>8.0000000000000004E-4</v>
      </c>
      <c r="H25" s="129">
        <v>9.4700000000000006E-2</v>
      </c>
      <c r="I25" s="129">
        <v>1.3481000000000001</v>
      </c>
      <c r="J25" s="129">
        <v>5.4000000000000003E-3</v>
      </c>
      <c r="K25" s="129">
        <v>3.5900000000000001E-2</v>
      </c>
      <c r="L25" s="129">
        <v>0.21970000000000001</v>
      </c>
      <c r="M25" s="129">
        <v>0.21970000000000001</v>
      </c>
      <c r="N25" s="129">
        <v>8.8999999999999999E-3</v>
      </c>
      <c r="O25" s="129">
        <v>1.0104</v>
      </c>
      <c r="P25" s="129">
        <v>1.4743999999999999</v>
      </c>
      <c r="Q25" s="129">
        <v>5.8999999999999999E-3</v>
      </c>
      <c r="R25" s="129">
        <v>3.9300000000000002E-2</v>
      </c>
      <c r="S25" s="129">
        <v>0.24030000000000001</v>
      </c>
      <c r="T25" s="129">
        <v>0.24030000000000001</v>
      </c>
      <c r="U25" s="129">
        <v>9.7000000000000003E-3</v>
      </c>
      <c r="V25" s="129">
        <v>1.1051</v>
      </c>
      <c r="W25" s="130" t="s">
        <v>192</v>
      </c>
      <c r="X25" s="130" t="s">
        <v>168</v>
      </c>
    </row>
    <row r="26" spans="1:24" x14ac:dyDescent="0.25">
      <c r="X26" s="130"/>
    </row>
    <row r="27" spans="1:24" x14ac:dyDescent="0.25">
      <c r="B27" s="134">
        <f>SUMIFS(B8:B25,$X8:$X25,$X27)/B7</f>
        <v>0.9408879860708067</v>
      </c>
      <c r="C27" s="134">
        <f t="shared" ref="C27:V27" si="0">SUMIFS(C8:C25,$X8:$X25,$X27)/C7</f>
        <v>0.82539682539682546</v>
      </c>
      <c r="D27" s="134">
        <f t="shared" si="0"/>
        <v>0.30412662521198419</v>
      </c>
      <c r="E27" s="134">
        <f t="shared" si="0"/>
        <v>0.94511994742030891</v>
      </c>
      <c r="F27" s="134">
        <f t="shared" si="0"/>
        <v>0.94511994742030891</v>
      </c>
      <c r="G27" s="134">
        <f t="shared" si="0"/>
        <v>3.6148537627341437E-2</v>
      </c>
      <c r="H27" s="134">
        <f t="shared" si="0"/>
        <v>0.97642849626433759</v>
      </c>
      <c r="I27" s="134">
        <f t="shared" si="0"/>
        <v>0.94001652629659649</v>
      </c>
      <c r="J27" s="134">
        <f t="shared" si="0"/>
        <v>0.65125094768764225</v>
      </c>
      <c r="K27" s="134">
        <f t="shared" si="0"/>
        <v>0.1620265657770284</v>
      </c>
      <c r="L27" s="134">
        <f t="shared" si="0"/>
        <v>0.93287794502617827</v>
      </c>
      <c r="M27" s="134">
        <f t="shared" si="0"/>
        <v>0.93287794502617827</v>
      </c>
      <c r="N27" s="134">
        <f t="shared" si="0"/>
        <v>2.1279966205512729E-2</v>
      </c>
      <c r="O27" s="134">
        <f t="shared" si="0"/>
        <v>0.97459981632819126</v>
      </c>
      <c r="P27" s="134">
        <f t="shared" si="0"/>
        <v>0.94011244529156746</v>
      </c>
      <c r="Q27" s="134">
        <f t="shared" si="0"/>
        <v>0.6657439446366783</v>
      </c>
      <c r="R27" s="134">
        <f t="shared" si="0"/>
        <v>0.17162462623629532</v>
      </c>
      <c r="S27" s="134">
        <f t="shared" si="0"/>
        <v>0.93419664617511189</v>
      </c>
      <c r="T27" s="134">
        <f t="shared" si="0"/>
        <v>0.93419664617511189</v>
      </c>
      <c r="U27" s="134">
        <f t="shared" si="0"/>
        <v>2.2385688799824048E-2</v>
      </c>
      <c r="V27" s="134">
        <f t="shared" si="0"/>
        <v>0.97476106231746007</v>
      </c>
      <c r="X27" s="130" t="s">
        <v>168</v>
      </c>
    </row>
    <row r="28" spans="1:24" x14ac:dyDescent="0.25">
      <c r="B28" s="134">
        <f>SUMIFS(B8:B25,$X8:$X25,$X28)/B7</f>
        <v>1.3058618688334299E-3</v>
      </c>
      <c r="C28" s="134">
        <f t="shared" ref="C28:V28" si="1">SUMIFS(C8:C25,$X8:$X25,$X28)/C7</f>
        <v>1.5873015873015872E-2</v>
      </c>
      <c r="D28" s="134">
        <f t="shared" si="1"/>
        <v>0.65630299604296216</v>
      </c>
      <c r="E28" s="134">
        <f t="shared" si="1"/>
        <v>1.5116661189615511E-2</v>
      </c>
      <c r="F28" s="134">
        <f t="shared" si="1"/>
        <v>1.5116661189615511E-2</v>
      </c>
      <c r="G28" s="134">
        <f t="shared" si="1"/>
        <v>0.91718698652645403</v>
      </c>
      <c r="H28" s="134">
        <f t="shared" si="1"/>
        <v>7.4713248447858573E-3</v>
      </c>
      <c r="I28" s="134">
        <f t="shared" si="1"/>
        <v>2.4750650771421141E-3</v>
      </c>
      <c r="J28" s="134">
        <f t="shared" si="1"/>
        <v>2.6535253980288099E-2</v>
      </c>
      <c r="K28" s="134">
        <f t="shared" si="1"/>
        <v>0.74803635316856509</v>
      </c>
      <c r="L28" s="134">
        <f t="shared" si="1"/>
        <v>2.6587041884816757E-2</v>
      </c>
      <c r="M28" s="134">
        <f t="shared" si="1"/>
        <v>2.6587041884816757E-2</v>
      </c>
      <c r="N28" s="134">
        <f t="shared" si="1"/>
        <v>0.94732812334987859</v>
      </c>
      <c r="O28" s="134">
        <f t="shared" si="1"/>
        <v>1.1810794787440569E-2</v>
      </c>
      <c r="P28" s="134">
        <f t="shared" si="1"/>
        <v>2.3371921527832436E-3</v>
      </c>
      <c r="Q28" s="134">
        <f t="shared" si="1"/>
        <v>2.5605536332179931E-2</v>
      </c>
      <c r="R28" s="134">
        <f t="shared" si="1"/>
        <v>0.7417771984972783</v>
      </c>
      <c r="S28" s="134">
        <f t="shared" si="1"/>
        <v>2.5317376595976864E-2</v>
      </c>
      <c r="T28" s="134">
        <f t="shared" si="1"/>
        <v>2.5317376595976864E-2</v>
      </c>
      <c r="U28" s="134">
        <f t="shared" si="1"/>
        <v>0.94508663457073738</v>
      </c>
      <c r="V28" s="134">
        <f t="shared" si="1"/>
        <v>1.1378981858532143E-2</v>
      </c>
      <c r="X28" s="130" t="s">
        <v>167</v>
      </c>
    </row>
    <row r="29" spans="1:24" x14ac:dyDescent="0.25">
      <c r="B29" s="134">
        <f>SUMIFS(B8:B25,$X8:$X25,$X29)/B7</f>
        <v>5.783517121300058E-2</v>
      </c>
      <c r="C29" s="134">
        <f t="shared" ref="C29:V29" si="2">SUMIFS(C8:C25,$X8:$X25,$X29)/C7</f>
        <v>0.15079365079365079</v>
      </c>
      <c r="D29" s="134">
        <f t="shared" si="2"/>
        <v>4.0700960994912376E-2</v>
      </c>
      <c r="E29" s="134">
        <f t="shared" si="2"/>
        <v>4.009201445941505E-2</v>
      </c>
      <c r="F29" s="134">
        <f t="shared" si="2"/>
        <v>4.009201445941505E-2</v>
      </c>
      <c r="G29" s="134">
        <f t="shared" si="2"/>
        <v>4.6664475846204402E-2</v>
      </c>
      <c r="H29" s="134">
        <f t="shared" si="2"/>
        <v>1.5994948963485214E-2</v>
      </c>
      <c r="I29" s="134">
        <f t="shared" si="2"/>
        <v>5.5052740610852267E-2</v>
      </c>
      <c r="J29" s="134">
        <f t="shared" si="2"/>
        <v>0.10386656557998485</v>
      </c>
      <c r="K29" s="134">
        <f t="shared" si="2"/>
        <v>2.1096352346095321E-2</v>
      </c>
      <c r="L29" s="134">
        <f t="shared" si="2"/>
        <v>3.5544829842931933E-2</v>
      </c>
      <c r="M29" s="134">
        <f t="shared" si="2"/>
        <v>3.5544829842931933E-2</v>
      </c>
      <c r="N29" s="134">
        <f t="shared" si="2"/>
        <v>2.6692364558031471E-2</v>
      </c>
      <c r="O29" s="134">
        <f t="shared" si="2"/>
        <v>1.2624530648779976E-2</v>
      </c>
      <c r="P29" s="134">
        <f t="shared" si="2"/>
        <v>5.5377424024145278E-2</v>
      </c>
      <c r="Q29" s="134">
        <f t="shared" si="2"/>
        <v>0.10795847750865052</v>
      </c>
      <c r="R29" s="134">
        <f t="shared" si="2"/>
        <v>2.2425822280150269E-2</v>
      </c>
      <c r="S29" s="134">
        <f t="shared" si="2"/>
        <v>3.6011785675311922E-2</v>
      </c>
      <c r="T29" s="134">
        <f t="shared" si="2"/>
        <v>3.6011785675311922E-2</v>
      </c>
      <c r="U29" s="134">
        <f t="shared" si="2"/>
        <v>2.8153180674014518E-2</v>
      </c>
      <c r="V29" s="134">
        <f t="shared" si="2"/>
        <v>1.2970155034702231E-2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2.4595474277556433E-3</v>
      </c>
      <c r="J30" s="134">
        <f t="shared" si="3"/>
        <v>0.21910538286580744</v>
      </c>
      <c r="K30" s="134">
        <f t="shared" si="3"/>
        <v>6.8840728708311053E-2</v>
      </c>
      <c r="L30" s="134">
        <f t="shared" si="3"/>
        <v>5.1128926701570678E-3</v>
      </c>
      <c r="M30" s="134">
        <f t="shared" si="3"/>
        <v>5.1128926701570678E-3</v>
      </c>
      <c r="N30" s="134">
        <f t="shared" si="3"/>
        <v>4.6731439433942328E-3</v>
      </c>
      <c r="O30" s="134">
        <f t="shared" si="3"/>
        <v>9.764830336072911E-4</v>
      </c>
      <c r="P30" s="134">
        <f t="shared" si="3"/>
        <v>2.1695165810608733E-3</v>
      </c>
      <c r="Q30" s="134">
        <f t="shared" si="3"/>
        <v>0.2</v>
      </c>
      <c r="R30" s="134">
        <f t="shared" si="3"/>
        <v>6.417235298627616E-2</v>
      </c>
      <c r="S30" s="134">
        <f t="shared" si="3"/>
        <v>4.546942635771707E-3</v>
      </c>
      <c r="T30" s="134">
        <f t="shared" si="3"/>
        <v>4.546942635771707E-3</v>
      </c>
      <c r="U30" s="134">
        <f t="shared" si="3"/>
        <v>4.3256189056428548E-3</v>
      </c>
      <c r="V30" s="134">
        <f t="shared" si="3"/>
        <v>8.793325447255749E-4</v>
      </c>
      <c r="X30" s="130" t="s">
        <v>165</v>
      </c>
    </row>
    <row r="33" spans="1:24" x14ac:dyDescent="0.25">
      <c r="A33" s="129" t="s">
        <v>171</v>
      </c>
    </row>
    <row r="34" spans="1:24" x14ac:dyDescent="0.25">
      <c r="A34" s="132" t="s">
        <v>172</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3.4460000000000002</v>
      </c>
      <c r="C38" s="129">
        <v>1.26E-2</v>
      </c>
      <c r="D38" s="129">
        <v>0.1769</v>
      </c>
      <c r="E38" s="129">
        <v>0.30430000000000001</v>
      </c>
      <c r="F38" s="129">
        <v>0.30430000000000001</v>
      </c>
      <c r="G38" s="129">
        <v>0.30430000000000001</v>
      </c>
      <c r="H38" s="129">
        <v>0.95030000000000003</v>
      </c>
      <c r="I38" s="129">
        <v>25.777100000000001</v>
      </c>
      <c r="J38" s="129">
        <v>0.13189999999999999</v>
      </c>
      <c r="K38" s="129">
        <v>2.4317000000000002</v>
      </c>
      <c r="L38" s="129">
        <v>2.2502</v>
      </c>
      <c r="M38" s="129">
        <v>2.2502</v>
      </c>
      <c r="N38" s="129">
        <v>3.7898999999999998</v>
      </c>
      <c r="O38" s="129">
        <v>8.6022999999999996</v>
      </c>
      <c r="P38" s="129">
        <v>29.223099999999999</v>
      </c>
      <c r="Q38" s="129">
        <v>0.14449999999999999</v>
      </c>
      <c r="R38" s="129">
        <v>2.6086</v>
      </c>
      <c r="S38" s="129">
        <v>2.5545</v>
      </c>
      <c r="T38" s="129">
        <v>2.5545</v>
      </c>
      <c r="U38" s="129">
        <v>4.0941999999999998</v>
      </c>
      <c r="V38" s="129">
        <v>9.5526999999999997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1.09E-2</v>
      </c>
      <c r="E41" s="129">
        <v>2.9999999999999997E-4</v>
      </c>
      <c r="F41" s="129">
        <v>2.9999999999999997E-4</v>
      </c>
      <c r="G41" s="129">
        <v>7.7000000000000002E-3</v>
      </c>
      <c r="H41" s="129">
        <v>4.0000000000000002E-4</v>
      </c>
      <c r="I41" s="129">
        <v>1.46E-2</v>
      </c>
      <c r="J41" s="129">
        <v>8.0000000000000004E-4</v>
      </c>
      <c r="K41" s="129">
        <v>0.5877</v>
      </c>
      <c r="L41" s="129">
        <v>1.49E-2</v>
      </c>
      <c r="M41" s="129">
        <v>1.49E-2</v>
      </c>
      <c r="N41" s="129">
        <v>0.41539999999999999</v>
      </c>
      <c r="O41" s="129">
        <v>2.3300000000000001E-2</v>
      </c>
      <c r="P41" s="129">
        <v>1.49E-2</v>
      </c>
      <c r="Q41" s="129">
        <v>8.0000000000000004E-4</v>
      </c>
      <c r="R41" s="129">
        <v>0.59850000000000003</v>
      </c>
      <c r="S41" s="129">
        <v>1.52E-2</v>
      </c>
      <c r="T41" s="129">
        <v>1.52E-2</v>
      </c>
      <c r="U41" s="129">
        <v>0.42309999999999998</v>
      </c>
      <c r="V41" s="129">
        <v>2.3699999999999999E-2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0.19900000000000001</v>
      </c>
      <c r="C44" s="129">
        <v>1.9E-3</v>
      </c>
      <c r="D44" s="129">
        <v>7.1999999999999998E-3</v>
      </c>
      <c r="E44" s="129">
        <v>1.2200000000000001E-2</v>
      </c>
      <c r="F44" s="129">
        <v>1.2200000000000001E-2</v>
      </c>
      <c r="G44" s="129">
        <v>1.4200000000000001E-2</v>
      </c>
      <c r="H44" s="129">
        <v>1.52E-2</v>
      </c>
      <c r="I44" s="129">
        <v>1.4148000000000001</v>
      </c>
      <c r="J44" s="129">
        <v>1.37E-2</v>
      </c>
      <c r="K44" s="129">
        <v>5.11E-2</v>
      </c>
      <c r="L44" s="129">
        <v>7.9600000000000004E-2</v>
      </c>
      <c r="M44" s="129">
        <v>7.9600000000000004E-2</v>
      </c>
      <c r="N44" s="129">
        <v>0.1008</v>
      </c>
      <c r="O44" s="129">
        <v>0.10829999999999999</v>
      </c>
      <c r="P44" s="129">
        <v>1.6137999999999999</v>
      </c>
      <c r="Q44" s="129">
        <v>1.5599999999999999E-2</v>
      </c>
      <c r="R44" s="129">
        <v>5.8299999999999998E-2</v>
      </c>
      <c r="S44" s="129">
        <v>9.1800000000000007E-2</v>
      </c>
      <c r="T44" s="129">
        <v>9.1800000000000007E-2</v>
      </c>
      <c r="U44" s="129">
        <v>0.115</v>
      </c>
      <c r="V44" s="129">
        <v>0.1236</v>
      </c>
      <c r="W44" s="130" t="s">
        <v>180</v>
      </c>
      <c r="X44" s="130" t="s">
        <v>166</v>
      </c>
    </row>
    <row r="45" spans="1:24" x14ac:dyDescent="0.25">
      <c r="A45" s="130">
        <v>2104004000</v>
      </c>
      <c r="B45" s="129">
        <v>4.1999999999999997E-3</v>
      </c>
      <c r="C45" s="129">
        <v>2.0000000000000001E-4</v>
      </c>
      <c r="D45" s="129">
        <v>0.1052</v>
      </c>
      <c r="E45" s="129">
        <v>4.3E-3</v>
      </c>
      <c r="F45" s="129">
        <v>4.3E-3</v>
      </c>
      <c r="G45" s="129">
        <v>0.27139999999999997</v>
      </c>
      <c r="H45" s="129">
        <v>6.7000000000000002E-3</v>
      </c>
      <c r="I45" s="129">
        <v>4.9200000000000001E-2</v>
      </c>
      <c r="J45" s="129">
        <v>2.7000000000000001E-3</v>
      </c>
      <c r="K45" s="129">
        <v>1.2313000000000001</v>
      </c>
      <c r="L45" s="129">
        <v>4.5999999999999999E-2</v>
      </c>
      <c r="M45" s="129">
        <v>4.5999999999999999E-2</v>
      </c>
      <c r="N45" s="129">
        <v>3.1749000000000001</v>
      </c>
      <c r="O45" s="129">
        <v>7.8299999999999995E-2</v>
      </c>
      <c r="P45" s="129">
        <v>5.3400000000000003E-2</v>
      </c>
      <c r="Q45" s="129">
        <v>2.8999999999999998E-3</v>
      </c>
      <c r="R45" s="129">
        <v>1.3365</v>
      </c>
      <c r="S45" s="129">
        <v>5.0299999999999997E-2</v>
      </c>
      <c r="T45" s="129">
        <v>5.0299999999999997E-2</v>
      </c>
      <c r="U45" s="129">
        <v>3.4462999999999999</v>
      </c>
      <c r="V45" s="129">
        <v>8.5000000000000006E-2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0.37709999999999999</v>
      </c>
      <c r="C47" s="129">
        <v>2.7000000000000001E-3</v>
      </c>
      <c r="D47" s="129">
        <v>3.8999999999999998E-3</v>
      </c>
      <c r="E47" s="129">
        <v>5.1700000000000003E-2</v>
      </c>
      <c r="F47" s="129">
        <v>5.1700000000000003E-2</v>
      </c>
      <c r="G47" s="129">
        <v>5.9999999999999995E-4</v>
      </c>
      <c r="H47" s="129">
        <v>0.34189999999999998</v>
      </c>
      <c r="I47" s="129">
        <v>4.4950000000000001</v>
      </c>
      <c r="J47" s="129">
        <v>3.2000000000000001E-2</v>
      </c>
      <c r="K47" s="129">
        <v>4.6300000000000001E-2</v>
      </c>
      <c r="L47" s="129">
        <v>0.56610000000000005</v>
      </c>
      <c r="M47" s="129">
        <v>0.56610000000000005</v>
      </c>
      <c r="N47" s="129">
        <v>7.1000000000000004E-3</v>
      </c>
      <c r="O47" s="129">
        <v>4.0750000000000002</v>
      </c>
      <c r="P47" s="129">
        <v>4.8720999999999997</v>
      </c>
      <c r="Q47" s="129">
        <v>3.4700000000000002E-2</v>
      </c>
      <c r="R47" s="129">
        <v>5.0099999999999999E-2</v>
      </c>
      <c r="S47" s="129">
        <v>0.61780000000000002</v>
      </c>
      <c r="T47" s="129">
        <v>0.61780000000000002</v>
      </c>
      <c r="U47" s="129">
        <v>7.7000000000000002E-3</v>
      </c>
      <c r="V47" s="129">
        <v>4.4169</v>
      </c>
      <c r="W47" s="130" t="s">
        <v>183</v>
      </c>
      <c r="X47" s="130" t="s">
        <v>168</v>
      </c>
    </row>
    <row r="48" spans="1:24" x14ac:dyDescent="0.25">
      <c r="A48" s="130">
        <v>2104008210</v>
      </c>
      <c r="B48" s="129">
        <v>5.3999999999999999E-2</v>
      </c>
      <c r="C48" s="129">
        <v>4.0000000000000002E-4</v>
      </c>
      <c r="D48" s="129">
        <v>6.9999999999999999E-4</v>
      </c>
      <c r="E48" s="129">
        <v>7.1999999999999998E-3</v>
      </c>
      <c r="F48" s="129">
        <v>7.1999999999999998E-3</v>
      </c>
      <c r="G48" s="129">
        <v>1E-4</v>
      </c>
      <c r="H48" s="129">
        <v>1.24E-2</v>
      </c>
      <c r="I48" s="129">
        <v>0.3624</v>
      </c>
      <c r="J48" s="129">
        <v>2.7000000000000001E-3</v>
      </c>
      <c r="K48" s="129">
        <v>4.4000000000000003E-3</v>
      </c>
      <c r="L48" s="129">
        <v>4.4200000000000003E-2</v>
      </c>
      <c r="M48" s="129">
        <v>4.4200000000000003E-2</v>
      </c>
      <c r="N48" s="129">
        <v>5.9999999999999995E-4</v>
      </c>
      <c r="O48" s="129">
        <v>8.3199999999999996E-2</v>
      </c>
      <c r="P48" s="129">
        <v>0.41639999999999999</v>
      </c>
      <c r="Q48" s="129">
        <v>3.0999999999999999E-3</v>
      </c>
      <c r="R48" s="129">
        <v>5.1000000000000004E-3</v>
      </c>
      <c r="S48" s="129">
        <v>5.1299999999999998E-2</v>
      </c>
      <c r="T48" s="129">
        <v>5.1299999999999998E-2</v>
      </c>
      <c r="U48" s="129">
        <v>6.9999999999999999E-4</v>
      </c>
      <c r="V48" s="129">
        <v>9.5600000000000004E-2</v>
      </c>
      <c r="W48" s="130" t="s">
        <v>184</v>
      </c>
      <c r="X48" s="130" t="s">
        <v>168</v>
      </c>
    </row>
    <row r="49" spans="1:24" x14ac:dyDescent="0.25">
      <c r="A49" s="130">
        <v>2104008220</v>
      </c>
      <c r="B49" s="129">
        <v>6.93E-2</v>
      </c>
      <c r="C49" s="129">
        <v>4.0000000000000002E-4</v>
      </c>
      <c r="D49" s="129">
        <v>1E-3</v>
      </c>
      <c r="E49" s="129">
        <v>5.8999999999999999E-3</v>
      </c>
      <c r="F49" s="129">
        <v>5.8999999999999999E-3</v>
      </c>
      <c r="G49" s="129">
        <v>2.0000000000000001E-4</v>
      </c>
      <c r="H49" s="129">
        <v>5.8999999999999999E-3</v>
      </c>
      <c r="I49" s="129">
        <v>0.46550000000000002</v>
      </c>
      <c r="J49" s="129">
        <v>3.0000000000000001E-3</v>
      </c>
      <c r="K49" s="129">
        <v>6.6E-3</v>
      </c>
      <c r="L49" s="129">
        <v>3.6499999999999998E-2</v>
      </c>
      <c r="M49" s="129">
        <v>3.6499999999999998E-2</v>
      </c>
      <c r="N49" s="129">
        <v>1.2999999999999999E-3</v>
      </c>
      <c r="O49" s="129">
        <v>3.9699999999999999E-2</v>
      </c>
      <c r="P49" s="129">
        <v>0.53490000000000004</v>
      </c>
      <c r="Q49" s="129">
        <v>3.3999999999999998E-3</v>
      </c>
      <c r="R49" s="129">
        <v>7.6E-3</v>
      </c>
      <c r="S49" s="129">
        <v>4.24E-2</v>
      </c>
      <c r="T49" s="129">
        <v>4.24E-2</v>
      </c>
      <c r="U49" s="129">
        <v>1.5E-3</v>
      </c>
      <c r="V49" s="129">
        <v>4.5600000000000002E-2</v>
      </c>
      <c r="W49" s="130" t="s">
        <v>185</v>
      </c>
      <c r="X49" s="130" t="s">
        <v>168</v>
      </c>
    </row>
    <row r="50" spans="1:24" x14ac:dyDescent="0.25">
      <c r="A50" s="130">
        <v>2104008230</v>
      </c>
      <c r="B50" s="129">
        <v>3.1699999999999999E-2</v>
      </c>
      <c r="C50" s="129">
        <v>2.9999999999999997E-4</v>
      </c>
      <c r="D50" s="129">
        <v>5.9999999999999995E-4</v>
      </c>
      <c r="E50" s="129">
        <v>3.8999999999999998E-3</v>
      </c>
      <c r="F50" s="129">
        <v>3.8999999999999998E-3</v>
      </c>
      <c r="G50" s="129">
        <v>1E-4</v>
      </c>
      <c r="H50" s="129">
        <v>4.4000000000000003E-3</v>
      </c>
      <c r="I50" s="129">
        <v>0.21299999999999999</v>
      </c>
      <c r="J50" s="129">
        <v>1.8E-3</v>
      </c>
      <c r="K50" s="129">
        <v>4.0000000000000001E-3</v>
      </c>
      <c r="L50" s="129">
        <v>2.3800000000000002E-2</v>
      </c>
      <c r="M50" s="129">
        <v>2.3800000000000002E-2</v>
      </c>
      <c r="N50" s="129">
        <v>8.0000000000000004E-4</v>
      </c>
      <c r="O50" s="129">
        <v>2.9899999999999999E-2</v>
      </c>
      <c r="P50" s="129">
        <v>0.2447</v>
      </c>
      <c r="Q50" s="129">
        <v>2.0999999999999999E-3</v>
      </c>
      <c r="R50" s="129">
        <v>4.5999999999999999E-3</v>
      </c>
      <c r="S50" s="129">
        <v>2.76E-2</v>
      </c>
      <c r="T50" s="129">
        <v>2.76E-2</v>
      </c>
      <c r="U50" s="129">
        <v>8.9999999999999998E-4</v>
      </c>
      <c r="V50" s="129">
        <v>3.4299999999999997E-2</v>
      </c>
      <c r="W50" s="130" t="s">
        <v>186</v>
      </c>
      <c r="X50" s="130" t="s">
        <v>168</v>
      </c>
    </row>
    <row r="51" spans="1:24" x14ac:dyDescent="0.25">
      <c r="A51" s="130">
        <v>2104008310</v>
      </c>
      <c r="B51" s="129">
        <v>0.57520000000000004</v>
      </c>
      <c r="C51" s="129">
        <v>1.9E-3</v>
      </c>
      <c r="D51" s="129">
        <v>6.8999999999999999E-3</v>
      </c>
      <c r="E51" s="129">
        <v>5.7599999999999998E-2</v>
      </c>
      <c r="F51" s="129">
        <v>5.7599999999999998E-2</v>
      </c>
      <c r="G51" s="129">
        <v>1.9E-3</v>
      </c>
      <c r="H51" s="129">
        <v>0.25159999999999999</v>
      </c>
      <c r="I51" s="129">
        <v>3.8616000000000001</v>
      </c>
      <c r="J51" s="129">
        <v>1.2699999999999999E-2</v>
      </c>
      <c r="K51" s="129">
        <v>4.6300000000000001E-2</v>
      </c>
      <c r="L51" s="129">
        <v>0.35580000000000001</v>
      </c>
      <c r="M51" s="129">
        <v>0.35580000000000001</v>
      </c>
      <c r="N51" s="129">
        <v>1.2800000000000001E-2</v>
      </c>
      <c r="O51" s="129">
        <v>1.6891</v>
      </c>
      <c r="P51" s="129">
        <v>4.4367999999999999</v>
      </c>
      <c r="Q51" s="129">
        <v>1.4500000000000001E-2</v>
      </c>
      <c r="R51" s="129">
        <v>5.3199999999999997E-2</v>
      </c>
      <c r="S51" s="129">
        <v>0.41339999999999999</v>
      </c>
      <c r="T51" s="129">
        <v>0.41339999999999999</v>
      </c>
      <c r="U51" s="129">
        <v>1.47E-2</v>
      </c>
      <c r="V51" s="129">
        <v>1.9407000000000001</v>
      </c>
      <c r="W51" s="130" t="s">
        <v>187</v>
      </c>
      <c r="X51" s="130" t="s">
        <v>168</v>
      </c>
    </row>
    <row r="52" spans="1:24" x14ac:dyDescent="0.25">
      <c r="A52" s="130">
        <v>2104008320</v>
      </c>
      <c r="B52" s="129">
        <v>1.2357</v>
      </c>
      <c r="C52" s="129">
        <v>2.5000000000000001E-3</v>
      </c>
      <c r="D52" s="129">
        <v>1.61E-2</v>
      </c>
      <c r="E52" s="129">
        <v>7.9200000000000007E-2</v>
      </c>
      <c r="F52" s="129">
        <v>7.9200000000000007E-2</v>
      </c>
      <c r="G52" s="129">
        <v>4.0000000000000001E-3</v>
      </c>
      <c r="H52" s="129">
        <v>0.11990000000000001</v>
      </c>
      <c r="I52" s="129">
        <v>8.2960999999999991</v>
      </c>
      <c r="J52" s="129">
        <v>1.6799999999999999E-2</v>
      </c>
      <c r="K52" s="129">
        <v>0.108</v>
      </c>
      <c r="L52" s="129">
        <v>0.48899999999999999</v>
      </c>
      <c r="M52" s="129">
        <v>0.48899999999999999</v>
      </c>
      <c r="N52" s="129">
        <v>2.69E-2</v>
      </c>
      <c r="O52" s="129">
        <v>0.80520000000000003</v>
      </c>
      <c r="P52" s="129">
        <v>9.5318000000000005</v>
      </c>
      <c r="Q52" s="129">
        <v>1.9300000000000001E-2</v>
      </c>
      <c r="R52" s="129">
        <v>0.124</v>
      </c>
      <c r="S52" s="129">
        <v>0.56820000000000004</v>
      </c>
      <c r="T52" s="129">
        <v>0.56820000000000004</v>
      </c>
      <c r="U52" s="129">
        <v>3.09E-2</v>
      </c>
      <c r="V52" s="129">
        <v>0.92510000000000003</v>
      </c>
      <c r="W52" s="130" t="s">
        <v>188</v>
      </c>
      <c r="X52" s="130" t="s">
        <v>168</v>
      </c>
    </row>
    <row r="53" spans="1:24" x14ac:dyDescent="0.25">
      <c r="A53" s="130">
        <v>2104008330</v>
      </c>
      <c r="B53" s="129">
        <v>0.74399999999999999</v>
      </c>
      <c r="C53" s="129">
        <v>1.5E-3</v>
      </c>
      <c r="D53" s="129">
        <v>9.7000000000000003E-3</v>
      </c>
      <c r="E53" s="129">
        <v>5.2900000000000003E-2</v>
      </c>
      <c r="F53" s="129">
        <v>5.2900000000000003E-2</v>
      </c>
      <c r="G53" s="129">
        <v>2.3999999999999998E-3</v>
      </c>
      <c r="H53" s="129">
        <v>9.0300000000000005E-2</v>
      </c>
      <c r="I53" s="129">
        <v>4.9949000000000003</v>
      </c>
      <c r="J53" s="129">
        <v>1.01E-2</v>
      </c>
      <c r="K53" s="129">
        <v>6.5000000000000002E-2</v>
      </c>
      <c r="L53" s="129">
        <v>0.3266</v>
      </c>
      <c r="M53" s="129">
        <v>0.3266</v>
      </c>
      <c r="N53" s="129">
        <v>1.6199999999999999E-2</v>
      </c>
      <c r="O53" s="129">
        <v>0.60599999999999998</v>
      </c>
      <c r="P53" s="129">
        <v>5.7388000000000003</v>
      </c>
      <c r="Q53" s="129">
        <v>1.1599999999999999E-2</v>
      </c>
      <c r="R53" s="129">
        <v>7.4700000000000003E-2</v>
      </c>
      <c r="S53" s="129">
        <v>0.37959999999999999</v>
      </c>
      <c r="T53" s="129">
        <v>0.37959999999999999</v>
      </c>
      <c r="U53" s="129">
        <v>1.8599999999999998E-2</v>
      </c>
      <c r="V53" s="129">
        <v>0.69620000000000004</v>
      </c>
      <c r="W53" s="130" t="s">
        <v>189</v>
      </c>
      <c r="X53" s="130" t="s">
        <v>168</v>
      </c>
    </row>
    <row r="54" spans="1:24" x14ac:dyDescent="0.25">
      <c r="A54" s="130">
        <v>2104008410</v>
      </c>
      <c r="B54" s="129">
        <v>6.6E-3</v>
      </c>
      <c r="C54" s="129">
        <v>0</v>
      </c>
      <c r="D54" s="129">
        <v>2.5999999999999999E-3</v>
      </c>
      <c r="E54" s="129">
        <v>2E-3</v>
      </c>
      <c r="F54" s="129">
        <v>2E-3</v>
      </c>
      <c r="G54" s="129">
        <v>2.0000000000000001E-4</v>
      </c>
      <c r="H54" s="129">
        <v>1.5E-3</v>
      </c>
      <c r="I54" s="129">
        <v>4.3999999999999997E-2</v>
      </c>
      <c r="J54" s="129">
        <v>2.9999999999999997E-4</v>
      </c>
      <c r="K54" s="129">
        <v>1.77E-2</v>
      </c>
      <c r="L54" s="129">
        <v>1.21E-2</v>
      </c>
      <c r="M54" s="129">
        <v>1.21E-2</v>
      </c>
      <c r="N54" s="129">
        <v>1.4E-3</v>
      </c>
      <c r="O54" s="129">
        <v>1.0200000000000001E-2</v>
      </c>
      <c r="P54" s="129">
        <v>5.0500000000000003E-2</v>
      </c>
      <c r="Q54" s="129">
        <v>4.0000000000000002E-4</v>
      </c>
      <c r="R54" s="129">
        <v>2.0400000000000001E-2</v>
      </c>
      <c r="S54" s="129">
        <v>1.4E-2</v>
      </c>
      <c r="T54" s="129">
        <v>1.4E-2</v>
      </c>
      <c r="U54" s="129">
        <v>1.6000000000000001E-3</v>
      </c>
      <c r="V54" s="129">
        <v>1.17E-2</v>
      </c>
      <c r="W54" s="130" t="s">
        <v>190</v>
      </c>
      <c r="X54" s="130" t="s">
        <v>168</v>
      </c>
    </row>
    <row r="55" spans="1:24" x14ac:dyDescent="0.25">
      <c r="A55" s="130">
        <v>2104008420</v>
      </c>
      <c r="B55" s="129">
        <v>2.2100000000000002E-2</v>
      </c>
      <c r="C55" s="129">
        <v>2.0000000000000001E-4</v>
      </c>
      <c r="D55" s="129">
        <v>8.8999999999999999E-3</v>
      </c>
      <c r="E55" s="129">
        <v>6.6E-3</v>
      </c>
      <c r="F55" s="129">
        <v>6.6E-3</v>
      </c>
      <c r="G55" s="129">
        <v>6.9999999999999999E-4</v>
      </c>
      <c r="H55" s="129">
        <v>5.1000000000000004E-3</v>
      </c>
      <c r="I55" s="129">
        <v>0.1484</v>
      </c>
      <c r="J55" s="129">
        <v>1.1000000000000001E-3</v>
      </c>
      <c r="K55" s="129">
        <v>5.9799999999999999E-2</v>
      </c>
      <c r="L55" s="129">
        <v>4.07E-2</v>
      </c>
      <c r="M55" s="129">
        <v>4.07E-2</v>
      </c>
      <c r="N55" s="129">
        <v>4.7999999999999996E-3</v>
      </c>
      <c r="O55" s="129">
        <v>3.4200000000000001E-2</v>
      </c>
      <c r="P55" s="129">
        <v>0.17050000000000001</v>
      </c>
      <c r="Q55" s="129">
        <v>1.1999999999999999E-3</v>
      </c>
      <c r="R55" s="129">
        <v>6.8699999999999997E-2</v>
      </c>
      <c r="S55" s="129">
        <v>4.7199999999999999E-2</v>
      </c>
      <c r="T55" s="129">
        <v>4.7199999999999999E-2</v>
      </c>
      <c r="U55" s="129">
        <v>5.4999999999999997E-3</v>
      </c>
      <c r="V55" s="129">
        <v>3.9300000000000002E-2</v>
      </c>
      <c r="W55" s="130" t="s">
        <v>191</v>
      </c>
      <c r="X55" s="130" t="s">
        <v>168</v>
      </c>
    </row>
    <row r="56" spans="1:24" x14ac:dyDescent="0.25">
      <c r="A56" s="130">
        <v>2104008610</v>
      </c>
      <c r="B56" s="129">
        <v>0.1263</v>
      </c>
      <c r="C56" s="129">
        <v>5.0000000000000001E-4</v>
      </c>
      <c r="D56" s="129">
        <v>3.3999999999999998E-3</v>
      </c>
      <c r="E56" s="129">
        <v>2.06E-2</v>
      </c>
      <c r="F56" s="129">
        <v>2.06E-2</v>
      </c>
      <c r="G56" s="129">
        <v>8.0000000000000004E-4</v>
      </c>
      <c r="H56" s="129">
        <v>9.4700000000000006E-2</v>
      </c>
      <c r="I56" s="129">
        <v>1.3481000000000001</v>
      </c>
      <c r="J56" s="129">
        <v>5.4000000000000003E-3</v>
      </c>
      <c r="K56" s="129">
        <v>3.5900000000000001E-2</v>
      </c>
      <c r="L56" s="129">
        <v>0.20200000000000001</v>
      </c>
      <c r="M56" s="129">
        <v>0.20200000000000001</v>
      </c>
      <c r="N56" s="129">
        <v>8.8999999999999999E-3</v>
      </c>
      <c r="O56" s="129">
        <v>1.0104</v>
      </c>
      <c r="P56" s="129">
        <v>1.4743999999999999</v>
      </c>
      <c r="Q56" s="129">
        <v>5.8999999999999999E-3</v>
      </c>
      <c r="R56" s="129">
        <v>3.9300000000000002E-2</v>
      </c>
      <c r="S56" s="129">
        <v>0.22259999999999999</v>
      </c>
      <c r="T56" s="129">
        <v>0.22259999999999999</v>
      </c>
      <c r="U56" s="129">
        <v>9.7000000000000003E-3</v>
      </c>
      <c r="V56" s="129">
        <v>1.1051</v>
      </c>
      <c r="W56" s="130" t="s">
        <v>192</v>
      </c>
      <c r="X56" s="130" t="s">
        <v>168</v>
      </c>
    </row>
    <row r="58" spans="1:24" x14ac:dyDescent="0.25">
      <c r="B58" s="134">
        <f>SUMIFS(B39:B56,$X39:$X56,$X58)/B38</f>
        <v>0.9408879860708067</v>
      </c>
      <c r="C58" s="134">
        <f t="shared" ref="C58:V58" si="4">SUMIFS(C39:C56,$X39:$X56,$X58)/C38</f>
        <v>0.82539682539682546</v>
      </c>
      <c r="D58" s="134">
        <f t="shared" si="4"/>
        <v>0.30412662521198419</v>
      </c>
      <c r="E58" s="134">
        <f t="shared" si="4"/>
        <v>0.94511994742030891</v>
      </c>
      <c r="F58" s="134">
        <f t="shared" si="4"/>
        <v>0.94511994742030891</v>
      </c>
      <c r="G58" s="134">
        <f t="shared" si="4"/>
        <v>3.6148537627341437E-2</v>
      </c>
      <c r="H58" s="134">
        <f t="shared" si="4"/>
        <v>0.97642849626433759</v>
      </c>
      <c r="I58" s="134">
        <f t="shared" si="4"/>
        <v>0.94001652629659649</v>
      </c>
      <c r="J58" s="134">
        <f t="shared" si="4"/>
        <v>0.65125094768764225</v>
      </c>
      <c r="K58" s="134">
        <f t="shared" si="4"/>
        <v>0.1620265657770284</v>
      </c>
      <c r="L58" s="134">
        <f t="shared" si="4"/>
        <v>0.9319616034130298</v>
      </c>
      <c r="M58" s="134">
        <f t="shared" si="4"/>
        <v>0.9319616034130298</v>
      </c>
      <c r="N58" s="134">
        <f t="shared" si="4"/>
        <v>2.1319823742051245E-2</v>
      </c>
      <c r="O58" s="134">
        <f t="shared" si="4"/>
        <v>0.97459981632819126</v>
      </c>
      <c r="P58" s="134">
        <f t="shared" si="4"/>
        <v>0.94011244529156746</v>
      </c>
      <c r="Q58" s="134">
        <f t="shared" si="4"/>
        <v>0.6657439446366783</v>
      </c>
      <c r="R58" s="134">
        <f t="shared" si="4"/>
        <v>0.17162462623629532</v>
      </c>
      <c r="S58" s="134">
        <f t="shared" si="4"/>
        <v>0.93341162654139753</v>
      </c>
      <c r="T58" s="134">
        <f t="shared" si="4"/>
        <v>0.93341162654139753</v>
      </c>
      <c r="U58" s="134">
        <f t="shared" si="4"/>
        <v>2.2421962776610817E-2</v>
      </c>
      <c r="V58" s="134">
        <f t="shared" si="4"/>
        <v>0.97476106231746007</v>
      </c>
      <c r="X58" s="130" t="s">
        <v>168</v>
      </c>
    </row>
    <row r="59" spans="1:24" x14ac:dyDescent="0.25">
      <c r="B59" s="134">
        <f>SUMIFS(B39:B56,$X39:$X56,$X59)/B38</f>
        <v>1.3058618688334299E-3</v>
      </c>
      <c r="C59" s="134">
        <f t="shared" ref="C59:V59" si="5">SUMIFS(C39:C56,$X39:$X56,$X59)/C38</f>
        <v>1.5873015873015872E-2</v>
      </c>
      <c r="D59" s="134">
        <f t="shared" si="5"/>
        <v>0.65630299604296216</v>
      </c>
      <c r="E59" s="134">
        <f t="shared" si="5"/>
        <v>1.5116661189615511E-2</v>
      </c>
      <c r="F59" s="134">
        <f t="shared" si="5"/>
        <v>1.5116661189615511E-2</v>
      </c>
      <c r="G59" s="134">
        <f t="shared" si="5"/>
        <v>0.91718698652645403</v>
      </c>
      <c r="H59" s="134">
        <f t="shared" si="5"/>
        <v>7.4713248447858573E-3</v>
      </c>
      <c r="I59" s="134">
        <f t="shared" si="5"/>
        <v>2.4750650771421141E-3</v>
      </c>
      <c r="J59" s="134">
        <f t="shared" si="5"/>
        <v>2.6535253980288099E-2</v>
      </c>
      <c r="K59" s="134">
        <f t="shared" si="5"/>
        <v>0.74803635316856509</v>
      </c>
      <c r="L59" s="134">
        <f t="shared" si="5"/>
        <v>2.7064260954581813E-2</v>
      </c>
      <c r="M59" s="134">
        <f t="shared" si="5"/>
        <v>2.7064260954581813E-2</v>
      </c>
      <c r="N59" s="134">
        <f t="shared" si="5"/>
        <v>0.94733370273621997</v>
      </c>
      <c r="O59" s="134">
        <f t="shared" si="5"/>
        <v>1.1810794787440569E-2</v>
      </c>
      <c r="P59" s="134">
        <f t="shared" si="5"/>
        <v>2.3371921527832436E-3</v>
      </c>
      <c r="Q59" s="134">
        <f t="shared" si="5"/>
        <v>2.5605536332179931E-2</v>
      </c>
      <c r="R59" s="134">
        <f t="shared" si="5"/>
        <v>0.7417771984972783</v>
      </c>
      <c r="S59" s="134">
        <f t="shared" si="5"/>
        <v>2.5641025641025644E-2</v>
      </c>
      <c r="T59" s="134">
        <f t="shared" si="5"/>
        <v>2.5641025641025644E-2</v>
      </c>
      <c r="U59" s="134">
        <f t="shared" si="5"/>
        <v>0.94509305847296177</v>
      </c>
      <c r="V59" s="134">
        <f t="shared" si="5"/>
        <v>1.1378981858532143E-2</v>
      </c>
      <c r="X59" s="130" t="s">
        <v>167</v>
      </c>
    </row>
    <row r="60" spans="1:24" x14ac:dyDescent="0.25">
      <c r="B60" s="134">
        <f>SUMIFS(B39:B56,$X39:$X56,$X60)/B38</f>
        <v>5.783517121300058E-2</v>
      </c>
      <c r="C60" s="134">
        <f t="shared" ref="C60:V60" si="6">SUMIFS(C39:C56,$X39:$X56,$X60)/C38</f>
        <v>0.15079365079365079</v>
      </c>
      <c r="D60" s="134">
        <f t="shared" si="6"/>
        <v>4.0700960994912376E-2</v>
      </c>
      <c r="E60" s="134">
        <f t="shared" si="6"/>
        <v>4.009201445941505E-2</v>
      </c>
      <c r="F60" s="134">
        <f t="shared" si="6"/>
        <v>4.009201445941505E-2</v>
      </c>
      <c r="G60" s="134">
        <f t="shared" si="6"/>
        <v>4.6664475846204402E-2</v>
      </c>
      <c r="H60" s="134">
        <f t="shared" si="6"/>
        <v>1.5994948963485214E-2</v>
      </c>
      <c r="I60" s="134">
        <f t="shared" si="6"/>
        <v>5.5052740610852267E-2</v>
      </c>
      <c r="J60" s="134">
        <f t="shared" si="6"/>
        <v>0.10386656557998485</v>
      </c>
      <c r="K60" s="134">
        <f t="shared" si="6"/>
        <v>2.1096352346095321E-2</v>
      </c>
      <c r="L60" s="134">
        <f t="shared" si="6"/>
        <v>3.5507954848457916E-2</v>
      </c>
      <c r="M60" s="134">
        <f t="shared" si="6"/>
        <v>3.5507954848457916E-2</v>
      </c>
      <c r="N60" s="134">
        <f t="shared" si="6"/>
        <v>2.6676165598036889E-2</v>
      </c>
      <c r="O60" s="134">
        <f t="shared" si="6"/>
        <v>1.2624530648779976E-2</v>
      </c>
      <c r="P60" s="134">
        <f t="shared" si="6"/>
        <v>5.5377424024145278E-2</v>
      </c>
      <c r="Q60" s="134">
        <f t="shared" si="6"/>
        <v>0.10795847750865052</v>
      </c>
      <c r="R60" s="134">
        <f t="shared" si="6"/>
        <v>2.2425822280150269E-2</v>
      </c>
      <c r="S60" s="134">
        <f t="shared" si="6"/>
        <v>3.6054022313564298E-2</v>
      </c>
      <c r="T60" s="134">
        <f t="shared" si="6"/>
        <v>3.6054022313564298E-2</v>
      </c>
      <c r="U60" s="134">
        <f t="shared" si="6"/>
        <v>2.816178984905476E-2</v>
      </c>
      <c r="V60" s="134">
        <f t="shared" si="6"/>
        <v>1.2970155034702231E-2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2.4595474277556433E-3</v>
      </c>
      <c r="J61" s="134">
        <f t="shared" si="7"/>
        <v>0.21910538286580744</v>
      </c>
      <c r="K61" s="134">
        <f t="shared" si="7"/>
        <v>6.8840728708311053E-2</v>
      </c>
      <c r="L61" s="134">
        <f t="shared" si="7"/>
        <v>5.5550617722869072E-3</v>
      </c>
      <c r="M61" s="134">
        <f t="shared" si="7"/>
        <v>5.5550617722869072E-3</v>
      </c>
      <c r="N61" s="134">
        <f t="shared" si="7"/>
        <v>4.6703079236919175E-3</v>
      </c>
      <c r="O61" s="134">
        <f t="shared" si="7"/>
        <v>9.764830336072911E-4</v>
      </c>
      <c r="P61" s="134">
        <f t="shared" si="7"/>
        <v>2.1695165810608733E-3</v>
      </c>
      <c r="Q61" s="134">
        <f t="shared" si="7"/>
        <v>0.2</v>
      </c>
      <c r="R61" s="134">
        <f t="shared" si="7"/>
        <v>6.417235298627616E-2</v>
      </c>
      <c r="S61" s="134">
        <f t="shared" si="7"/>
        <v>4.8933255040125266E-3</v>
      </c>
      <c r="T61" s="134">
        <f t="shared" si="7"/>
        <v>4.8933255040125266E-3</v>
      </c>
      <c r="U61" s="134">
        <f t="shared" si="7"/>
        <v>4.3231889013726731E-3</v>
      </c>
      <c r="V61" s="134">
        <f t="shared" si="7"/>
        <v>8.793325447255749E-4</v>
      </c>
      <c r="X61" s="130" t="s">
        <v>165</v>
      </c>
    </row>
    <row r="64" spans="1:24" x14ac:dyDescent="0.25">
      <c r="A64" s="129" t="s">
        <v>170</v>
      </c>
    </row>
    <row r="65" spans="1:24" x14ac:dyDescent="0.25">
      <c r="A65" s="132" t="s">
        <v>174</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3.4460000000000002</v>
      </c>
      <c r="C69" s="129">
        <v>1.26E-2</v>
      </c>
      <c r="D69" s="129">
        <v>0.1769</v>
      </c>
      <c r="E69" s="129">
        <v>0.30430000000000001</v>
      </c>
      <c r="F69" s="129">
        <v>0.30430000000000001</v>
      </c>
      <c r="G69" s="129">
        <v>0.30430000000000001</v>
      </c>
      <c r="H69" s="129">
        <v>0.95030000000000003</v>
      </c>
      <c r="I69" s="129">
        <v>25.777100000000001</v>
      </c>
      <c r="J69" s="133">
        <v>0.13189999999999999</v>
      </c>
      <c r="K69" s="133">
        <v>2.4317000000000002</v>
      </c>
      <c r="L69" s="129">
        <v>1.905</v>
      </c>
      <c r="M69" s="166">
        <v>1.905</v>
      </c>
      <c r="N69" s="133">
        <v>3.8544</v>
      </c>
      <c r="O69" s="133">
        <v>8.6022999999999996</v>
      </c>
      <c r="P69" s="129">
        <v>29.223099999999999</v>
      </c>
      <c r="Q69" s="133">
        <v>0.14449999999999999</v>
      </c>
      <c r="R69" s="133">
        <v>2.6086</v>
      </c>
      <c r="S69" s="129">
        <v>2.2092999999999998</v>
      </c>
      <c r="T69" s="166">
        <v>2.2092999999999998</v>
      </c>
      <c r="U69" s="133">
        <v>4.1586999999999996</v>
      </c>
      <c r="V69" s="133">
        <v>9.5526999999999997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1.09E-2</v>
      </c>
      <c r="E72" s="129">
        <v>2.9999999999999997E-4</v>
      </c>
      <c r="F72" s="129">
        <v>2.9999999999999997E-4</v>
      </c>
      <c r="G72" s="129">
        <v>7.7000000000000002E-3</v>
      </c>
      <c r="H72" s="129">
        <v>4.0000000000000002E-4</v>
      </c>
      <c r="I72" s="129">
        <v>1.46E-2</v>
      </c>
      <c r="J72" s="129">
        <v>8.0000000000000004E-4</v>
      </c>
      <c r="K72" s="129">
        <v>0.5877</v>
      </c>
      <c r="L72" s="129">
        <v>1.49E-2</v>
      </c>
      <c r="M72" s="129">
        <v>1.49E-2</v>
      </c>
      <c r="N72" s="129">
        <v>0.41539999999999999</v>
      </c>
      <c r="O72" s="129">
        <v>2.3300000000000001E-2</v>
      </c>
      <c r="P72" s="129">
        <v>1.49E-2</v>
      </c>
      <c r="Q72" s="129">
        <v>8.0000000000000004E-4</v>
      </c>
      <c r="R72" s="129">
        <v>0.59850000000000003</v>
      </c>
      <c r="S72" s="129">
        <v>1.52E-2</v>
      </c>
      <c r="T72" s="129">
        <v>1.52E-2</v>
      </c>
      <c r="U72" s="129">
        <v>0.42309999999999998</v>
      </c>
      <c r="V72" s="129">
        <v>2.3699999999999999E-2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0.19900000000000001</v>
      </c>
      <c r="C75" s="129">
        <v>1.9E-3</v>
      </c>
      <c r="D75" s="129">
        <v>7.1999999999999998E-3</v>
      </c>
      <c r="E75" s="129">
        <v>1.2200000000000001E-2</v>
      </c>
      <c r="F75" s="129">
        <v>1.2200000000000001E-2</v>
      </c>
      <c r="G75" s="129">
        <v>1.4200000000000001E-2</v>
      </c>
      <c r="H75" s="129">
        <v>1.52E-2</v>
      </c>
      <c r="I75" s="129">
        <v>1.4148000000000001</v>
      </c>
      <c r="J75" s="129">
        <v>1.37E-2</v>
      </c>
      <c r="K75" s="129">
        <v>5.11E-2</v>
      </c>
      <c r="L75" s="129">
        <v>6.59E-2</v>
      </c>
      <c r="M75" s="129">
        <v>6.59E-2</v>
      </c>
      <c r="N75" s="129">
        <v>8.6599999999999996E-2</v>
      </c>
      <c r="O75" s="129">
        <v>0.10829999999999999</v>
      </c>
      <c r="P75" s="129">
        <v>1.6137999999999999</v>
      </c>
      <c r="Q75" s="129">
        <v>1.5599999999999999E-2</v>
      </c>
      <c r="R75" s="129">
        <v>5.8299999999999998E-2</v>
      </c>
      <c r="S75" s="129">
        <v>7.8100000000000003E-2</v>
      </c>
      <c r="T75" s="129">
        <v>7.8100000000000003E-2</v>
      </c>
      <c r="U75" s="129">
        <v>0.1007</v>
      </c>
      <c r="V75" s="129">
        <v>0.1236</v>
      </c>
      <c r="W75" s="130" t="s">
        <v>180</v>
      </c>
      <c r="X75" s="130" t="s">
        <v>166</v>
      </c>
    </row>
    <row r="76" spans="1:24" x14ac:dyDescent="0.25">
      <c r="A76" s="130">
        <v>2104004000</v>
      </c>
      <c r="B76" s="129">
        <v>4.1999999999999997E-3</v>
      </c>
      <c r="C76" s="129">
        <v>2.0000000000000001E-4</v>
      </c>
      <c r="D76" s="129">
        <v>0.1052</v>
      </c>
      <c r="E76" s="129">
        <v>4.3E-3</v>
      </c>
      <c r="F76" s="129">
        <v>4.3E-3</v>
      </c>
      <c r="G76" s="129">
        <v>0.27139999999999997</v>
      </c>
      <c r="H76" s="129">
        <v>6.7000000000000002E-3</v>
      </c>
      <c r="I76" s="129">
        <v>4.9200000000000001E-2</v>
      </c>
      <c r="J76" s="129">
        <v>2.7000000000000001E-3</v>
      </c>
      <c r="K76" s="129">
        <v>1.2313000000000001</v>
      </c>
      <c r="L76" s="129">
        <v>4.5999999999999999E-2</v>
      </c>
      <c r="M76" s="129">
        <v>4.5999999999999999E-2</v>
      </c>
      <c r="N76" s="129">
        <v>3.1749000000000001</v>
      </c>
      <c r="O76" s="129">
        <v>7.8299999999999995E-2</v>
      </c>
      <c r="P76" s="129">
        <v>5.3400000000000003E-2</v>
      </c>
      <c r="Q76" s="129">
        <v>2.8999999999999998E-3</v>
      </c>
      <c r="R76" s="129">
        <v>1.3365</v>
      </c>
      <c r="S76" s="129">
        <v>5.0299999999999997E-2</v>
      </c>
      <c r="T76" s="129">
        <v>5.0299999999999997E-2</v>
      </c>
      <c r="U76" s="129">
        <v>3.4462999999999999</v>
      </c>
      <c r="V76" s="129">
        <v>8.5000000000000006E-2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0.37709999999999999</v>
      </c>
      <c r="C78" s="129">
        <v>2.7000000000000001E-3</v>
      </c>
      <c r="D78" s="129">
        <v>3.8999999999999998E-3</v>
      </c>
      <c r="E78" s="129">
        <v>5.1700000000000003E-2</v>
      </c>
      <c r="F78" s="129">
        <v>5.1700000000000003E-2</v>
      </c>
      <c r="G78" s="129">
        <v>5.9999999999999995E-4</v>
      </c>
      <c r="H78" s="129">
        <v>0.34189999999999998</v>
      </c>
      <c r="I78" s="129">
        <v>4.4950000000000001</v>
      </c>
      <c r="J78" s="129">
        <v>3.2000000000000001E-2</v>
      </c>
      <c r="K78" s="129">
        <v>4.6300000000000001E-2</v>
      </c>
      <c r="L78" s="129">
        <v>0.48720000000000002</v>
      </c>
      <c r="M78" s="129">
        <v>0.48720000000000002</v>
      </c>
      <c r="N78" s="129">
        <v>6.8999999999999999E-3</v>
      </c>
      <c r="O78" s="129">
        <v>4.0750000000000002</v>
      </c>
      <c r="P78" s="129">
        <v>4.8720999999999997</v>
      </c>
      <c r="Q78" s="129">
        <v>3.4700000000000002E-2</v>
      </c>
      <c r="R78" s="129">
        <v>5.0099999999999999E-2</v>
      </c>
      <c r="S78" s="129">
        <v>0.53890000000000005</v>
      </c>
      <c r="T78" s="129">
        <v>0.53890000000000005</v>
      </c>
      <c r="U78" s="129">
        <v>7.4999999999999997E-3</v>
      </c>
      <c r="V78" s="129">
        <v>4.4169</v>
      </c>
      <c r="W78" s="130" t="s">
        <v>183</v>
      </c>
      <c r="X78" s="130" t="s">
        <v>168</v>
      </c>
    </row>
    <row r="79" spans="1:24" x14ac:dyDescent="0.25">
      <c r="A79" s="130">
        <v>2104008210</v>
      </c>
      <c r="B79" s="129">
        <v>5.3999999999999999E-2</v>
      </c>
      <c r="C79" s="129">
        <v>4.0000000000000002E-4</v>
      </c>
      <c r="D79" s="129">
        <v>6.9999999999999999E-4</v>
      </c>
      <c r="E79" s="129">
        <v>7.1999999999999998E-3</v>
      </c>
      <c r="F79" s="129">
        <v>7.1999999999999998E-3</v>
      </c>
      <c r="G79" s="129">
        <v>1E-4</v>
      </c>
      <c r="H79" s="129">
        <v>1.24E-2</v>
      </c>
      <c r="I79" s="129">
        <v>0.3624</v>
      </c>
      <c r="J79" s="129">
        <v>2.7000000000000001E-3</v>
      </c>
      <c r="K79" s="129">
        <v>4.4000000000000003E-3</v>
      </c>
      <c r="L79" s="129">
        <v>3.6900000000000002E-2</v>
      </c>
      <c r="M79" s="129">
        <v>3.6900000000000002E-2</v>
      </c>
      <c r="N79" s="129">
        <v>1E-3</v>
      </c>
      <c r="O79" s="129">
        <v>8.3199999999999996E-2</v>
      </c>
      <c r="P79" s="129">
        <v>0.41639999999999999</v>
      </c>
      <c r="Q79" s="129">
        <v>3.0999999999999999E-3</v>
      </c>
      <c r="R79" s="129">
        <v>5.1000000000000004E-3</v>
      </c>
      <c r="S79" s="129">
        <v>4.3999999999999997E-2</v>
      </c>
      <c r="T79" s="129">
        <v>4.3999999999999997E-2</v>
      </c>
      <c r="U79" s="129">
        <v>1.1000000000000001E-3</v>
      </c>
      <c r="V79" s="129">
        <v>9.5600000000000004E-2</v>
      </c>
      <c r="W79" s="130" t="s">
        <v>184</v>
      </c>
      <c r="X79" s="130" t="s">
        <v>168</v>
      </c>
    </row>
    <row r="80" spans="1:24" x14ac:dyDescent="0.25">
      <c r="A80" s="130">
        <v>2104008220</v>
      </c>
      <c r="B80" s="129">
        <v>6.93E-2</v>
      </c>
      <c r="C80" s="129">
        <v>4.0000000000000002E-4</v>
      </c>
      <c r="D80" s="129">
        <v>1E-3</v>
      </c>
      <c r="E80" s="129">
        <v>5.8999999999999999E-3</v>
      </c>
      <c r="F80" s="129">
        <v>5.8999999999999999E-3</v>
      </c>
      <c r="G80" s="129">
        <v>2.0000000000000001E-4</v>
      </c>
      <c r="H80" s="129">
        <v>5.8999999999999999E-3</v>
      </c>
      <c r="I80" s="129">
        <v>0.46550000000000002</v>
      </c>
      <c r="J80" s="129">
        <v>3.0000000000000001E-3</v>
      </c>
      <c r="K80" s="129">
        <v>6.6E-3</v>
      </c>
      <c r="L80" s="129">
        <v>3.04E-2</v>
      </c>
      <c r="M80" s="129">
        <v>3.04E-2</v>
      </c>
      <c r="N80" s="129">
        <v>2.8E-3</v>
      </c>
      <c r="O80" s="129">
        <v>3.9699999999999999E-2</v>
      </c>
      <c r="P80" s="129">
        <v>0.53490000000000004</v>
      </c>
      <c r="Q80" s="129">
        <v>3.3999999999999998E-3</v>
      </c>
      <c r="R80" s="129">
        <v>7.6E-3</v>
      </c>
      <c r="S80" s="129">
        <v>3.6299999999999999E-2</v>
      </c>
      <c r="T80" s="129">
        <v>3.6299999999999999E-2</v>
      </c>
      <c r="U80" s="129">
        <v>3.0000000000000001E-3</v>
      </c>
      <c r="V80" s="129">
        <v>4.5600000000000002E-2</v>
      </c>
      <c r="W80" s="130" t="s">
        <v>185</v>
      </c>
      <c r="X80" s="130" t="s">
        <v>168</v>
      </c>
    </row>
    <row r="81" spans="1:24" x14ac:dyDescent="0.25">
      <c r="A81" s="130">
        <v>2104008230</v>
      </c>
      <c r="B81" s="129">
        <v>3.1699999999999999E-2</v>
      </c>
      <c r="C81" s="129">
        <v>2.9999999999999997E-4</v>
      </c>
      <c r="D81" s="129">
        <v>5.9999999999999995E-4</v>
      </c>
      <c r="E81" s="129">
        <v>3.8999999999999998E-3</v>
      </c>
      <c r="F81" s="129">
        <v>3.8999999999999998E-3</v>
      </c>
      <c r="G81" s="129">
        <v>1E-4</v>
      </c>
      <c r="H81" s="129">
        <v>4.4000000000000003E-3</v>
      </c>
      <c r="I81" s="129">
        <v>0.21299999999999999</v>
      </c>
      <c r="J81" s="129">
        <v>1.8E-3</v>
      </c>
      <c r="K81" s="129">
        <v>4.0000000000000001E-3</v>
      </c>
      <c r="L81" s="129">
        <v>1.9800000000000002E-2</v>
      </c>
      <c r="M81" s="129">
        <v>1.9800000000000002E-2</v>
      </c>
      <c r="N81" s="129">
        <v>1.6999999999999999E-3</v>
      </c>
      <c r="O81" s="129">
        <v>2.9899999999999999E-2</v>
      </c>
      <c r="P81" s="129">
        <v>0.2447</v>
      </c>
      <c r="Q81" s="129">
        <v>2.0999999999999999E-3</v>
      </c>
      <c r="R81" s="129">
        <v>4.5999999999999999E-3</v>
      </c>
      <c r="S81" s="129">
        <v>2.3699999999999999E-2</v>
      </c>
      <c r="T81" s="129">
        <v>2.3699999999999999E-2</v>
      </c>
      <c r="U81" s="129">
        <v>1.9E-3</v>
      </c>
      <c r="V81" s="129">
        <v>3.4299999999999997E-2</v>
      </c>
      <c r="W81" s="130" t="s">
        <v>186</v>
      </c>
      <c r="X81" s="130" t="s">
        <v>168</v>
      </c>
    </row>
    <row r="82" spans="1:24" x14ac:dyDescent="0.25">
      <c r="A82" s="130">
        <v>2104008310</v>
      </c>
      <c r="B82" s="129">
        <v>0.57520000000000004</v>
      </c>
      <c r="C82" s="129">
        <v>1.9E-3</v>
      </c>
      <c r="D82" s="129">
        <v>6.8999999999999999E-3</v>
      </c>
      <c r="E82" s="129">
        <v>5.7599999999999998E-2</v>
      </c>
      <c r="F82" s="129">
        <v>5.7599999999999998E-2</v>
      </c>
      <c r="G82" s="129">
        <v>1.9E-3</v>
      </c>
      <c r="H82" s="129">
        <v>0.25159999999999999</v>
      </c>
      <c r="I82" s="129">
        <v>3.8616000000000001</v>
      </c>
      <c r="J82" s="129">
        <v>1.2699999999999999E-2</v>
      </c>
      <c r="K82" s="129">
        <v>4.6300000000000001E-2</v>
      </c>
      <c r="L82" s="129">
        <v>0.2969</v>
      </c>
      <c r="M82" s="129">
        <v>0.2969</v>
      </c>
      <c r="N82" s="129">
        <v>2.3800000000000002E-2</v>
      </c>
      <c r="O82" s="129">
        <v>1.6891</v>
      </c>
      <c r="P82" s="129">
        <v>4.4367999999999999</v>
      </c>
      <c r="Q82" s="129">
        <v>1.4500000000000001E-2</v>
      </c>
      <c r="R82" s="129">
        <v>5.3199999999999997E-2</v>
      </c>
      <c r="S82" s="129">
        <v>0.35449999999999998</v>
      </c>
      <c r="T82" s="129">
        <v>0.35449999999999998</v>
      </c>
      <c r="U82" s="129">
        <v>2.5700000000000001E-2</v>
      </c>
      <c r="V82" s="129">
        <v>1.9407000000000001</v>
      </c>
      <c r="W82" s="130" t="s">
        <v>187</v>
      </c>
      <c r="X82" s="130" t="s">
        <v>168</v>
      </c>
    </row>
    <row r="83" spans="1:24" x14ac:dyDescent="0.25">
      <c r="A83" s="130">
        <v>2104008320</v>
      </c>
      <c r="B83" s="129">
        <v>1.2357</v>
      </c>
      <c r="C83" s="129">
        <v>2.5000000000000001E-3</v>
      </c>
      <c r="D83" s="129">
        <v>1.61E-2</v>
      </c>
      <c r="E83" s="129">
        <v>7.9200000000000007E-2</v>
      </c>
      <c r="F83" s="129">
        <v>7.9200000000000007E-2</v>
      </c>
      <c r="G83" s="129">
        <v>4.0000000000000001E-3</v>
      </c>
      <c r="H83" s="129">
        <v>0.11990000000000001</v>
      </c>
      <c r="I83" s="129">
        <v>8.2960999999999991</v>
      </c>
      <c r="J83" s="129">
        <v>1.6799999999999999E-2</v>
      </c>
      <c r="K83" s="129">
        <v>0.108</v>
      </c>
      <c r="L83" s="129">
        <v>0.4078</v>
      </c>
      <c r="M83" s="129">
        <v>0.4078</v>
      </c>
      <c r="N83" s="129">
        <v>5.74E-2</v>
      </c>
      <c r="O83" s="129">
        <v>0.80520000000000003</v>
      </c>
      <c r="P83" s="129">
        <v>9.5318000000000005</v>
      </c>
      <c r="Q83" s="129">
        <v>1.9300000000000001E-2</v>
      </c>
      <c r="R83" s="129">
        <v>0.124</v>
      </c>
      <c r="S83" s="129">
        <v>0.48699999999999999</v>
      </c>
      <c r="T83" s="129">
        <v>0.48699999999999999</v>
      </c>
      <c r="U83" s="129">
        <v>6.1400000000000003E-2</v>
      </c>
      <c r="V83" s="129">
        <v>0.92510000000000003</v>
      </c>
      <c r="W83" s="130" t="s">
        <v>188</v>
      </c>
      <c r="X83" s="130" t="s">
        <v>168</v>
      </c>
    </row>
    <row r="84" spans="1:24" x14ac:dyDescent="0.25">
      <c r="A84" s="130">
        <v>2104008330</v>
      </c>
      <c r="B84" s="129">
        <v>0.74399999999999999</v>
      </c>
      <c r="C84" s="129">
        <v>1.5E-3</v>
      </c>
      <c r="D84" s="129">
        <v>9.7000000000000003E-3</v>
      </c>
      <c r="E84" s="129">
        <v>5.2900000000000003E-2</v>
      </c>
      <c r="F84" s="129">
        <v>5.2900000000000003E-2</v>
      </c>
      <c r="G84" s="129">
        <v>2.3999999999999998E-3</v>
      </c>
      <c r="H84" s="129">
        <v>9.0300000000000005E-2</v>
      </c>
      <c r="I84" s="129">
        <v>4.9949000000000003</v>
      </c>
      <c r="J84" s="129">
        <v>1.01E-2</v>
      </c>
      <c r="K84" s="129">
        <v>6.5000000000000002E-2</v>
      </c>
      <c r="L84" s="129">
        <v>0.27239999999999998</v>
      </c>
      <c r="M84" s="129">
        <v>0.27239999999999998</v>
      </c>
      <c r="N84" s="129">
        <v>3.5799999999999998E-2</v>
      </c>
      <c r="O84" s="129">
        <v>0.60599999999999998</v>
      </c>
      <c r="P84" s="129">
        <v>5.7388000000000003</v>
      </c>
      <c r="Q84" s="129">
        <v>1.1599999999999999E-2</v>
      </c>
      <c r="R84" s="129">
        <v>7.4700000000000003E-2</v>
      </c>
      <c r="S84" s="129">
        <v>0.32540000000000002</v>
      </c>
      <c r="T84" s="129">
        <v>0.32540000000000002</v>
      </c>
      <c r="U84" s="129">
        <v>3.8199999999999998E-2</v>
      </c>
      <c r="V84" s="129">
        <v>0.69620000000000004</v>
      </c>
      <c r="W84" s="130" t="s">
        <v>189</v>
      </c>
      <c r="X84" s="130" t="s">
        <v>168</v>
      </c>
    </row>
    <row r="85" spans="1:24" x14ac:dyDescent="0.25">
      <c r="A85" s="130">
        <v>2104008410</v>
      </c>
      <c r="B85" s="129">
        <v>6.6E-3</v>
      </c>
      <c r="C85" s="129">
        <v>0</v>
      </c>
      <c r="D85" s="129">
        <v>2.5999999999999999E-3</v>
      </c>
      <c r="E85" s="129">
        <v>2E-3</v>
      </c>
      <c r="F85" s="129">
        <v>2E-3</v>
      </c>
      <c r="G85" s="129">
        <v>2.0000000000000001E-4</v>
      </c>
      <c r="H85" s="129">
        <v>1.5E-3</v>
      </c>
      <c r="I85" s="129">
        <v>4.3999999999999997E-2</v>
      </c>
      <c r="J85" s="129">
        <v>2.9999999999999997E-4</v>
      </c>
      <c r="K85" s="129">
        <v>1.77E-2</v>
      </c>
      <c r="L85" s="129">
        <v>1.01E-2</v>
      </c>
      <c r="M85" s="129">
        <v>1.01E-2</v>
      </c>
      <c r="N85" s="129">
        <v>3.0000000000000001E-3</v>
      </c>
      <c r="O85" s="129">
        <v>1.0200000000000001E-2</v>
      </c>
      <c r="P85" s="129">
        <v>5.0500000000000003E-2</v>
      </c>
      <c r="Q85" s="129">
        <v>4.0000000000000002E-4</v>
      </c>
      <c r="R85" s="129">
        <v>2.0400000000000001E-2</v>
      </c>
      <c r="S85" s="129">
        <v>1.2E-2</v>
      </c>
      <c r="T85" s="129">
        <v>1.2E-2</v>
      </c>
      <c r="U85" s="129">
        <v>3.2000000000000002E-3</v>
      </c>
      <c r="V85" s="129">
        <v>1.17E-2</v>
      </c>
      <c r="W85" s="130" t="s">
        <v>190</v>
      </c>
      <c r="X85" s="130" t="s">
        <v>168</v>
      </c>
    </row>
    <row r="86" spans="1:24" x14ac:dyDescent="0.25">
      <c r="A86" s="130">
        <v>2104008420</v>
      </c>
      <c r="B86" s="129">
        <v>2.2100000000000002E-2</v>
      </c>
      <c r="C86" s="129">
        <v>2.0000000000000001E-4</v>
      </c>
      <c r="D86" s="129">
        <v>8.8999999999999999E-3</v>
      </c>
      <c r="E86" s="129">
        <v>6.6E-3</v>
      </c>
      <c r="F86" s="129">
        <v>6.6E-3</v>
      </c>
      <c r="G86" s="129">
        <v>6.9999999999999999E-4</v>
      </c>
      <c r="H86" s="129">
        <v>5.1000000000000004E-3</v>
      </c>
      <c r="I86" s="129">
        <v>0.1484</v>
      </c>
      <c r="J86" s="129">
        <v>1.1000000000000001E-3</v>
      </c>
      <c r="K86" s="129">
        <v>5.9799999999999999E-2</v>
      </c>
      <c r="L86" s="129">
        <v>3.4000000000000002E-2</v>
      </c>
      <c r="M86" s="129">
        <v>3.4000000000000002E-2</v>
      </c>
      <c r="N86" s="129">
        <v>1.2500000000000001E-2</v>
      </c>
      <c r="O86" s="129">
        <v>3.4200000000000001E-2</v>
      </c>
      <c r="P86" s="129">
        <v>0.17050000000000001</v>
      </c>
      <c r="Q86" s="129">
        <v>1.1999999999999999E-3</v>
      </c>
      <c r="R86" s="129">
        <v>6.8699999999999997E-2</v>
      </c>
      <c r="S86" s="129">
        <v>4.0599999999999997E-2</v>
      </c>
      <c r="T86" s="129">
        <v>4.0599999999999997E-2</v>
      </c>
      <c r="U86" s="129">
        <v>1.32E-2</v>
      </c>
      <c r="V86" s="129">
        <v>3.9300000000000002E-2</v>
      </c>
      <c r="W86" s="130" t="s">
        <v>191</v>
      </c>
      <c r="X86" s="130" t="s">
        <v>168</v>
      </c>
    </row>
    <row r="87" spans="1:24" x14ac:dyDescent="0.25">
      <c r="A87" s="130">
        <v>2104008610</v>
      </c>
      <c r="B87" s="129">
        <v>0.1263</v>
      </c>
      <c r="C87" s="129">
        <v>5.0000000000000001E-4</v>
      </c>
      <c r="D87" s="129">
        <v>3.3999999999999998E-3</v>
      </c>
      <c r="E87" s="129">
        <v>2.06E-2</v>
      </c>
      <c r="F87" s="129">
        <v>2.06E-2</v>
      </c>
      <c r="G87" s="129">
        <v>8.0000000000000004E-4</v>
      </c>
      <c r="H87" s="129">
        <v>9.4700000000000006E-2</v>
      </c>
      <c r="I87" s="129">
        <v>1.3481000000000001</v>
      </c>
      <c r="J87" s="129">
        <v>5.4000000000000003E-3</v>
      </c>
      <c r="K87" s="129">
        <v>3.5900000000000001E-2</v>
      </c>
      <c r="L87" s="129">
        <v>0.1696</v>
      </c>
      <c r="M87" s="129">
        <v>0.1696</v>
      </c>
      <c r="N87" s="129">
        <v>1.46E-2</v>
      </c>
      <c r="O87" s="129">
        <v>1.0104</v>
      </c>
      <c r="P87" s="129">
        <v>1.4743999999999999</v>
      </c>
      <c r="Q87" s="129">
        <v>5.8999999999999999E-3</v>
      </c>
      <c r="R87" s="129">
        <v>3.9300000000000002E-2</v>
      </c>
      <c r="S87" s="129">
        <v>0.19020000000000001</v>
      </c>
      <c r="T87" s="129">
        <v>0.19020000000000001</v>
      </c>
      <c r="U87" s="129">
        <v>1.54E-2</v>
      </c>
      <c r="V87" s="129">
        <v>1.1051</v>
      </c>
      <c r="W87" s="130" t="s">
        <v>192</v>
      </c>
      <c r="X87" s="130" t="s">
        <v>168</v>
      </c>
    </row>
    <row r="89" spans="1:24" x14ac:dyDescent="0.25">
      <c r="B89" s="135">
        <f>SUMIFS(B70:B87,$X70:$X87,$X89)/B69</f>
        <v>0.9408879860708067</v>
      </c>
      <c r="C89" s="135">
        <f t="shared" ref="C89:V89" si="8">SUMIFS(C70:C87,$X70:$X87,$X89)/C69</f>
        <v>0.82539682539682546</v>
      </c>
      <c r="D89" s="135">
        <f t="shared" si="8"/>
        <v>0.30412662521198419</v>
      </c>
      <c r="E89" s="135">
        <f t="shared" si="8"/>
        <v>0.94511994742030891</v>
      </c>
      <c r="F89" s="135">
        <f t="shared" si="8"/>
        <v>0.94511994742030891</v>
      </c>
      <c r="G89" s="135">
        <f t="shared" si="8"/>
        <v>3.6148537627341437E-2</v>
      </c>
      <c r="H89" s="135">
        <f t="shared" si="8"/>
        <v>0.97642849626433759</v>
      </c>
      <c r="I89" s="135">
        <f t="shared" si="8"/>
        <v>0.94001652629659649</v>
      </c>
      <c r="J89" s="136">
        <f t="shared" si="8"/>
        <v>0.65125094768764225</v>
      </c>
      <c r="K89" s="136">
        <f t="shared" si="8"/>
        <v>0.1620265657770284</v>
      </c>
      <c r="L89" s="135">
        <f t="shared" si="8"/>
        <v>0.92671916010498689</v>
      </c>
      <c r="M89" s="136">
        <f t="shared" si="8"/>
        <v>0.92671916010498689</v>
      </c>
      <c r="N89" s="136">
        <f t="shared" si="8"/>
        <v>4.1381278538812793E-2</v>
      </c>
      <c r="O89" s="136">
        <f t="shared" si="8"/>
        <v>0.97459981632819126</v>
      </c>
      <c r="P89" s="135">
        <f t="shared" si="8"/>
        <v>0.94011244529156746</v>
      </c>
      <c r="Q89" s="136">
        <f t="shared" si="8"/>
        <v>0.6657439446366783</v>
      </c>
      <c r="R89" s="136">
        <f t="shared" si="8"/>
        <v>0.17162462623629532</v>
      </c>
      <c r="S89" s="135">
        <f t="shared" si="8"/>
        <v>0.92920834653510176</v>
      </c>
      <c r="T89" s="136">
        <f t="shared" si="8"/>
        <v>0.92920834653510176</v>
      </c>
      <c r="U89" s="136">
        <f t="shared" si="8"/>
        <v>4.1022434895520231E-2</v>
      </c>
      <c r="V89" s="136">
        <f t="shared" si="8"/>
        <v>0.97476106231746007</v>
      </c>
      <c r="X89" s="130" t="s">
        <v>168</v>
      </c>
    </row>
    <row r="90" spans="1:24" x14ac:dyDescent="0.25">
      <c r="B90" s="135">
        <f>SUMIFS(B70:B87,$X70:$X87,$X90)/B69</f>
        <v>1.3058618688334299E-3</v>
      </c>
      <c r="C90" s="135">
        <f t="shared" ref="C90:V90" si="9">SUMIFS(C70:C87,$X70:$X87,$X90)/C69</f>
        <v>1.5873015873015872E-2</v>
      </c>
      <c r="D90" s="135">
        <f t="shared" si="9"/>
        <v>0.65630299604296216</v>
      </c>
      <c r="E90" s="135">
        <f t="shared" si="9"/>
        <v>1.5116661189615511E-2</v>
      </c>
      <c r="F90" s="135">
        <f t="shared" si="9"/>
        <v>1.5116661189615511E-2</v>
      </c>
      <c r="G90" s="135">
        <f t="shared" si="9"/>
        <v>0.91718698652645403</v>
      </c>
      <c r="H90" s="135">
        <f t="shared" si="9"/>
        <v>7.4713248447858573E-3</v>
      </c>
      <c r="I90" s="135">
        <f t="shared" si="9"/>
        <v>2.4750650771421141E-3</v>
      </c>
      <c r="J90" s="136">
        <f t="shared" si="9"/>
        <v>2.6535253980288099E-2</v>
      </c>
      <c r="K90" s="136">
        <f t="shared" si="9"/>
        <v>0.74803635316856509</v>
      </c>
      <c r="L90" s="135">
        <f t="shared" si="9"/>
        <v>3.1968503937007869E-2</v>
      </c>
      <c r="M90" s="136">
        <f t="shared" si="9"/>
        <v>3.1968503937007869E-2</v>
      </c>
      <c r="N90" s="136">
        <f t="shared" si="9"/>
        <v>0.93148090493980906</v>
      </c>
      <c r="O90" s="136">
        <f t="shared" si="9"/>
        <v>1.1810794787440569E-2</v>
      </c>
      <c r="P90" s="135">
        <f t="shared" si="9"/>
        <v>2.3371921527832436E-3</v>
      </c>
      <c r="Q90" s="136">
        <f t="shared" si="9"/>
        <v>2.5605536332179931E-2</v>
      </c>
      <c r="R90" s="136">
        <f t="shared" si="9"/>
        <v>0.7417771984972783</v>
      </c>
      <c r="S90" s="135">
        <f t="shared" si="9"/>
        <v>2.964739962884172E-2</v>
      </c>
      <c r="T90" s="136">
        <f t="shared" si="9"/>
        <v>2.964739962884172E-2</v>
      </c>
      <c r="U90" s="136">
        <f t="shared" si="9"/>
        <v>0.93043499170413835</v>
      </c>
      <c r="V90" s="136">
        <f t="shared" si="9"/>
        <v>1.1378981858532143E-2</v>
      </c>
      <c r="X90" s="130" t="s">
        <v>167</v>
      </c>
    </row>
    <row r="91" spans="1:24" x14ac:dyDescent="0.25">
      <c r="B91" s="135">
        <f>SUMIFS(B70:B87,$X70:$X87,$X91)/B69</f>
        <v>5.783517121300058E-2</v>
      </c>
      <c r="C91" s="135">
        <f t="shared" ref="C91:V91" si="10">SUMIFS(C70:C87,$X70:$X87,$X91)/C69</f>
        <v>0.15079365079365079</v>
      </c>
      <c r="D91" s="135">
        <f t="shared" si="10"/>
        <v>4.0700960994912376E-2</v>
      </c>
      <c r="E91" s="135">
        <f t="shared" si="10"/>
        <v>4.009201445941505E-2</v>
      </c>
      <c r="F91" s="135">
        <f t="shared" si="10"/>
        <v>4.009201445941505E-2</v>
      </c>
      <c r="G91" s="135">
        <f t="shared" si="10"/>
        <v>4.6664475846204402E-2</v>
      </c>
      <c r="H91" s="135">
        <f t="shared" si="10"/>
        <v>1.5994948963485214E-2</v>
      </c>
      <c r="I91" s="135">
        <f t="shared" si="10"/>
        <v>5.5052740610852267E-2</v>
      </c>
      <c r="J91" s="136">
        <f t="shared" si="10"/>
        <v>0.10386656557998485</v>
      </c>
      <c r="K91" s="136">
        <f t="shared" si="10"/>
        <v>2.1096352346095321E-2</v>
      </c>
      <c r="L91" s="135">
        <f t="shared" si="10"/>
        <v>3.4750656167978997E-2</v>
      </c>
      <c r="M91" s="136">
        <f t="shared" si="10"/>
        <v>3.4750656167978997E-2</v>
      </c>
      <c r="N91" s="136">
        <f t="shared" si="10"/>
        <v>2.254566210045662E-2</v>
      </c>
      <c r="O91" s="136">
        <f t="shared" si="10"/>
        <v>1.2624530648779976E-2</v>
      </c>
      <c r="P91" s="135">
        <f t="shared" si="10"/>
        <v>5.5377424024145278E-2</v>
      </c>
      <c r="Q91" s="136">
        <f t="shared" si="10"/>
        <v>0.10795847750865052</v>
      </c>
      <c r="R91" s="136">
        <f t="shared" si="10"/>
        <v>2.2425822280150269E-2</v>
      </c>
      <c r="S91" s="135">
        <f t="shared" si="10"/>
        <v>3.5486353143529624E-2</v>
      </c>
      <c r="T91" s="136">
        <f t="shared" si="10"/>
        <v>3.5486353143529624E-2</v>
      </c>
      <c r="U91" s="136">
        <f t="shared" si="10"/>
        <v>2.4286435664991463E-2</v>
      </c>
      <c r="V91" s="136">
        <f t="shared" si="10"/>
        <v>1.2970155034702231E-2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2.4595474277556433E-3</v>
      </c>
      <c r="J92" s="136">
        <f t="shared" si="11"/>
        <v>0.21910538286580744</v>
      </c>
      <c r="K92" s="136">
        <f t="shared" si="11"/>
        <v>6.8840728708311053E-2</v>
      </c>
      <c r="L92" s="135">
        <f t="shared" si="11"/>
        <v>6.5616797900262458E-3</v>
      </c>
      <c r="M92" s="136">
        <f t="shared" si="11"/>
        <v>6.5616797900262458E-3</v>
      </c>
      <c r="N92" s="136">
        <f t="shared" si="11"/>
        <v>4.5921544209215435E-3</v>
      </c>
      <c r="O92" s="136">
        <f t="shared" si="11"/>
        <v>9.764830336072911E-4</v>
      </c>
      <c r="P92" s="135">
        <f t="shared" si="11"/>
        <v>2.1695165810608733E-3</v>
      </c>
      <c r="Q92" s="136">
        <f t="shared" si="11"/>
        <v>0.2</v>
      </c>
      <c r="R92" s="136">
        <f t="shared" si="11"/>
        <v>6.417235298627616E-2</v>
      </c>
      <c r="S92" s="135">
        <f t="shared" si="11"/>
        <v>5.6579006925270448E-3</v>
      </c>
      <c r="T92" s="136">
        <f t="shared" si="11"/>
        <v>5.6579006925270448E-3</v>
      </c>
      <c r="U92" s="136">
        <f t="shared" si="11"/>
        <v>4.2561377353499885E-3</v>
      </c>
      <c r="V92" s="136">
        <f t="shared" si="11"/>
        <v>8.793325447255749E-4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09738-C62C-4FF5-9065-762E953B92DB}">
  <sheetPr>
    <tabColor rgb="FFFFFFCC"/>
  </sheetPr>
  <dimension ref="A1:AA69"/>
  <sheetViews>
    <sheetView tabSelected="1" zoomScale="80" zoomScaleNormal="80" workbookViewId="0">
      <selection sqref="A1:I1"/>
    </sheetView>
  </sheetViews>
  <sheetFormatPr defaultColWidth="8.85546875" defaultRowHeight="15" x14ac:dyDescent="0.25"/>
  <cols>
    <col min="1" max="1" width="28.85546875" style="129" customWidth="1"/>
    <col min="2" max="2" width="8.85546875" style="129"/>
    <col min="3" max="3" width="8.85546875" style="129" customWidth="1"/>
    <col min="4" max="10" width="8.85546875" style="129"/>
    <col min="11" max="11" width="18.7109375" style="129" customWidth="1"/>
    <col min="12" max="16384" width="8.85546875" style="129"/>
  </cols>
  <sheetData>
    <row r="1" spans="1:27" ht="15.75" x14ac:dyDescent="0.25">
      <c r="A1" s="217" t="s">
        <v>233</v>
      </c>
      <c r="B1" s="217"/>
      <c r="C1" s="217"/>
      <c r="D1" s="217"/>
      <c r="E1" s="217"/>
      <c r="F1" s="217"/>
      <c r="G1" s="217"/>
      <c r="H1" s="217"/>
      <c r="I1" s="217"/>
      <c r="K1" s="222" t="s">
        <v>234</v>
      </c>
      <c r="L1" s="222"/>
      <c r="M1" s="222"/>
      <c r="N1" s="222"/>
      <c r="O1" s="222"/>
      <c r="P1" s="222"/>
      <c r="Q1" s="222"/>
      <c r="R1" s="222"/>
    </row>
    <row r="2" spans="1:27" x14ac:dyDescent="0.25">
      <c r="A2" s="216" t="s">
        <v>282</v>
      </c>
      <c r="B2" s="216"/>
      <c r="C2" s="216"/>
      <c r="D2" s="216"/>
      <c r="E2" s="216"/>
      <c r="F2" s="216"/>
      <c r="G2" s="216"/>
      <c r="H2" s="216"/>
      <c r="I2" s="216"/>
    </row>
    <row r="3" spans="1:27" ht="15.75" thickBot="1" x14ac:dyDescent="0.3">
      <c r="K3" s="216" t="s">
        <v>258</v>
      </c>
      <c r="L3" s="216"/>
      <c r="M3" s="216"/>
      <c r="N3" s="216"/>
      <c r="O3" s="216"/>
      <c r="P3" s="216"/>
      <c r="Q3" s="216"/>
      <c r="R3" s="216"/>
      <c r="T3" s="223" t="s">
        <v>235</v>
      </c>
      <c r="U3" s="223"/>
      <c r="V3" s="223"/>
      <c r="W3" s="223"/>
      <c r="X3" s="223"/>
      <c r="Y3" s="223"/>
      <c r="Z3" s="223"/>
      <c r="AA3" s="223"/>
    </row>
    <row r="4" spans="1:27" x14ac:dyDescent="0.25">
      <c r="A4" s="74"/>
      <c r="B4" s="218" t="s">
        <v>47</v>
      </c>
      <c r="C4" s="219"/>
      <c r="D4" s="219"/>
      <c r="E4" s="219"/>
      <c r="F4" s="219"/>
      <c r="G4" s="219"/>
      <c r="H4" s="219"/>
      <c r="I4" s="220"/>
      <c r="L4" s="173" t="s">
        <v>236</v>
      </c>
      <c r="M4" s="173" t="s">
        <v>237</v>
      </c>
      <c r="N4" s="173" t="s">
        <v>237</v>
      </c>
      <c r="O4" s="173" t="s">
        <v>259</v>
      </c>
      <c r="P4" s="173" t="s">
        <v>237</v>
      </c>
      <c r="Q4" s="173" t="s">
        <v>236</v>
      </c>
      <c r="R4" s="173" t="s">
        <v>259</v>
      </c>
    </row>
    <row r="5" spans="1:27" ht="15.75" thickBot="1" x14ac:dyDescent="0.3">
      <c r="A5" s="75" t="s">
        <v>2</v>
      </c>
      <c r="B5" s="179">
        <v>2019</v>
      </c>
      <c r="C5" s="187">
        <v>2020</v>
      </c>
      <c r="D5" s="69">
        <v>2021</v>
      </c>
      <c r="E5" s="69">
        <v>2022</v>
      </c>
      <c r="F5" s="187">
        <v>2023</v>
      </c>
      <c r="G5" s="183">
        <v>2024</v>
      </c>
      <c r="H5" s="69">
        <v>2025</v>
      </c>
      <c r="I5" s="200">
        <v>2026</v>
      </c>
      <c r="K5" s="29" t="s">
        <v>2</v>
      </c>
      <c r="L5" s="174">
        <v>2019</v>
      </c>
      <c r="M5" s="174">
        <v>2020</v>
      </c>
      <c r="N5" s="174">
        <v>2023</v>
      </c>
      <c r="O5" s="174">
        <v>2024</v>
      </c>
      <c r="P5" s="174">
        <v>2026</v>
      </c>
      <c r="Q5" s="174">
        <v>2019</v>
      </c>
      <c r="R5" s="174">
        <v>2024</v>
      </c>
    </row>
    <row r="6" spans="1:27" x14ac:dyDescent="0.25">
      <c r="A6" s="76" t="s">
        <v>8</v>
      </c>
      <c r="B6" s="180">
        <f ca="1">IF(B5&lt;2021,OFFSET(Points!$D$4,MATCH(B5,Points!$A$5:$A$26,0),0)-OFFSET(Points!$D$36,MATCH(B5,Points!$A$37:$A$190,0)+3,0),OFFSET(Points!$D$4,MATCH(B5&amp;"CTL",Points!$A$5:$A$26,0),0)-OFFSET(Points!$D$36,MATCH(B5&amp;"CTL",Points!$A$37:$A$190,0)+3,0))</f>
        <v>0.56834850627927591</v>
      </c>
      <c r="C6" s="188">
        <f ca="1">IF(C5&lt;2021,OFFSET(Points!$D$4,MATCH(C5,Points!$A$5:$A$26,0),0)-OFFSET(Points!$D$36,MATCH(C5,Points!$A$37:$A$190,0)+3,0),OFFSET(Points!$D$4,MATCH(C5&amp;"CTL",Points!$A$5:$A$26,0),0)-OFFSET(Points!$D$36,MATCH(C5&amp;"CTL",Points!$A$37:$A$190,0)+3,0))</f>
        <v>0.582632516840624</v>
      </c>
      <c r="D6" s="67">
        <f ca="1">IF(D5&lt;2021,OFFSET(Points!$D$4,MATCH(D5,Points!$A$5:$A$26,0),0)-OFFSET(Points!$D$36,MATCH(D5,Points!$A$37:$A$190,0)+3,0),OFFSET(Points!$D$4,MATCH(D5&amp;"CTL",Points!$A$5:$A$26,0),0)-OFFSET(Points!$D$36,MATCH(D5&amp;"CTL",Points!$A$37:$A$190,0)+3,0))</f>
        <v>0.59965093772475464</v>
      </c>
      <c r="E6" s="67">
        <f ca="1">IF(E5&lt;2021,OFFSET(Points!$D$4,MATCH(E5,Points!$A$5:$A$26,0),0)-OFFSET(Points!$D$36,MATCH(E5,Points!$A$37:$A$190,0)+3,0),OFFSET(Points!$D$4,MATCH(E5&amp;"CTL",Points!$A$5:$A$26,0),0)-OFFSET(Points!$D$36,MATCH(E5&amp;"CTL",Points!$A$37:$A$190,0)+3,0))</f>
        <v>0.60712339127595405</v>
      </c>
      <c r="F6" s="188">
        <f ca="1">IF(F5&lt;2021,OFFSET(Points!$D$4,MATCH(F5,Points!$A$5:$A$26,0),0)-OFFSET(Points!$D$36,MATCH(F5,Points!$A$37:$A$190,0)+3,0),OFFSET(Points!$D$4,MATCH(F5&amp;"CTL",Points!$A$5:$A$26,0),0)-OFFSET(Points!$D$36,MATCH(F5&amp;"CTL",Points!$A$37:$A$190,0)+3,0))</f>
        <v>0.61122693459358435</v>
      </c>
      <c r="G6" s="184">
        <f ca="1">IF(G5&lt;2021,OFFSET(Points!$D$4,MATCH(G5,Points!$A$5:$A$26,0),0)-OFFSET(Points!$D$36,MATCH(G5,Points!$A$37:$A$190,0)+3,0),OFFSET(Points!$D$4,MATCH(G5&amp;"CTL",Points!$A$5:$A$26,0),0)-OFFSET(Points!$D$36,MATCH(G5&amp;"CTL",Points!$A$37:$A$190,0)+3,0))</f>
        <v>0.61547654088309223</v>
      </c>
      <c r="H6" s="67">
        <f ca="1">IF(H5&lt;2021,OFFSET(Points!$D$4,MATCH(H5,Points!$A$5:$A$26,0),0)-OFFSET(Points!$D$36,MATCH(H5,Points!$A$37:$A$190,0)+3,0),OFFSET(Points!$D$4,MATCH(H5&amp;"CTL",Points!$A$5:$A$26,0),0)-OFFSET(Points!$D$36,MATCH(H5&amp;"CTL",Points!$A$37:$A$190,0)+3,0))</f>
        <v>0.619828391252919</v>
      </c>
      <c r="I6" s="201">
        <f ca="1">IF(I5&lt;2021,OFFSET(Points!$D$4,MATCH(I5,Points!$A$5:$A$26,0),0)-OFFSET(Points!$D$36,MATCH(I5,Points!$A$37:$A$190,0)+3,0),OFFSET(Points!$D$4,MATCH(I5&amp;"CTL",Points!$A$5:$A$26,0),0)-OFFSET(Points!$D$36,MATCH(I5&amp;"CTL",Points!$A$37:$A$190,0)+3,0))</f>
        <v>0.62400862474831886</v>
      </c>
      <c r="K6" s="129" t="s">
        <v>8</v>
      </c>
      <c r="L6" s="1">
        <f ca="1">B6</f>
        <v>0.56834850627927591</v>
      </c>
      <c r="M6" s="1">
        <f ca="1">C6</f>
        <v>0.582632516840624</v>
      </c>
      <c r="N6" s="1">
        <f t="shared" ref="N6:O11" ca="1" si="0">F6</f>
        <v>0.61122693459358435</v>
      </c>
      <c r="O6" s="1">
        <f t="shared" ca="1" si="0"/>
        <v>0.61547654088309223</v>
      </c>
      <c r="P6" s="1">
        <f t="shared" ref="P6:P11" ca="1" si="1">I6</f>
        <v>0.62400862474831886</v>
      </c>
      <c r="Q6" s="1">
        <f ca="1">L6</f>
        <v>0.56834850627927591</v>
      </c>
      <c r="R6" s="1">
        <f t="shared" ref="R6:R11" ca="1" si="2">G6</f>
        <v>0.61547654088309223</v>
      </c>
    </row>
    <row r="7" spans="1:27" x14ac:dyDescent="0.25">
      <c r="A7" s="77" t="s">
        <v>48</v>
      </c>
      <c r="B7" s="181">
        <f ca="1">OFFSET(SpaceHeat!$D$42,0,MATCH(B$5,SpaceHeat!$E$28:$O$28,0))</f>
        <v>1.9094304713600976</v>
      </c>
      <c r="C7" s="189">
        <f ca="1">OFFSET(SpaceHeat!$D$42,0,MATCH(C$5,SpaceHeat!$E$28:$O$28,0))</f>
        <v>1.5561143898482794</v>
      </c>
      <c r="D7" s="65">
        <f ca="1">OFFSET(SpaceHeat!$D$42,0,MATCH(D$5,SpaceHeat!$E$28:$O$28,0))</f>
        <v>1.3770485764985674</v>
      </c>
      <c r="E7" s="65">
        <f ca="1">OFFSET(SpaceHeat!$D$42,0,MATCH(E$5,SpaceHeat!$E$28:$O$28,0))</f>
        <v>1.0858479751772214</v>
      </c>
      <c r="F7" s="189">
        <f ca="1">OFFSET(SpaceHeat!$D$42,0,MATCH(F$5,SpaceHeat!$E$28:$O$28,0))</f>
        <v>0.88906556807822823</v>
      </c>
      <c r="G7" s="185">
        <f ca="1">OFFSET(SpaceHeat!$D$42,0,MATCH(G$5,SpaceHeat!$E$28:$O$28,0))</f>
        <v>0.73951260659173412</v>
      </c>
      <c r="H7" s="65">
        <f ca="1">OFFSET(SpaceHeat!$D$42,0,MATCH(H$5,SpaceHeat!$E$28:$O$28,0))</f>
        <v>0.62689383957674361</v>
      </c>
      <c r="I7" s="202">
        <f ca="1">OFFSET(SpaceHeat!$D$42,0,MATCH(I$5,SpaceHeat!$E$28:$O$28,0))</f>
        <v>0.50673872347064641</v>
      </c>
      <c r="K7" s="129" t="s">
        <v>48</v>
      </c>
      <c r="L7" s="1">
        <f t="shared" ref="L7:M11" ca="1" si="3">B7</f>
        <v>1.9094304713600976</v>
      </c>
      <c r="M7" s="1">
        <f t="shared" ca="1" si="3"/>
        <v>1.5561143898482794</v>
      </c>
      <c r="N7" s="1">
        <f t="shared" ca="1" si="0"/>
        <v>0.88906556807822823</v>
      </c>
      <c r="O7" s="1">
        <f t="shared" ca="1" si="0"/>
        <v>0.73951260659173412</v>
      </c>
      <c r="P7" s="1">
        <f t="shared" ca="1" si="1"/>
        <v>0.50673872347064641</v>
      </c>
      <c r="Q7" s="1">
        <f t="shared" ref="Q7:Q12" ca="1" si="4">L7</f>
        <v>1.9094304713600976</v>
      </c>
      <c r="R7" s="1">
        <f t="shared" ca="1" si="2"/>
        <v>0.73951260659173412</v>
      </c>
    </row>
    <row r="8" spans="1:27" x14ac:dyDescent="0.25">
      <c r="A8" s="77" t="s">
        <v>49</v>
      </c>
      <c r="B8" s="181" cm="1">
        <f t="array" aca="1" ref="B8" ca="1">INDIRECT("'"&amp;B$5&amp;"NRARSummary'!B5")</f>
        <v>0.22413097102002566</v>
      </c>
      <c r="C8" s="190" cm="1">
        <f t="array" aca="1" ref="C8" ca="1">INDIRECT("'"&amp;C$5&amp;"NRARSummary'!B5")</f>
        <v>0.22658341351903982</v>
      </c>
      <c r="D8" s="73" cm="1">
        <f t="array" aca="1" ref="D8" ca="1">INDIRECT("'"&amp;D$5&amp;"NRARSummary'!B5")</f>
        <v>0.2296271341784937</v>
      </c>
      <c r="E8" s="73" cm="1">
        <f t="array" aca="1" ref="E8" ca="1">INDIRECT("'"&amp;E$5&amp;"NRARSummary'!B5")</f>
        <v>0.23322985791979625</v>
      </c>
      <c r="F8" s="190" cm="1">
        <f t="array" aca="1" ref="F8" ca="1">INDIRECT("'"&amp;F$5&amp;"NRARSummary'!B5")</f>
        <v>0.23670179076234138</v>
      </c>
      <c r="G8" s="181" cm="1">
        <f t="array" aca="1" ref="G8" ca="1">INDIRECT("'"&amp;G$5&amp;"NRARSummary'!B5")</f>
        <v>0.23979661599305896</v>
      </c>
      <c r="H8" s="170">
        <f ca="1">AVERAGE(G8,I8)</f>
        <v>0.24269174789109432</v>
      </c>
      <c r="I8" s="203" cm="1">
        <f t="array" aca="1" ref="I8" ca="1">INDIRECT("'"&amp;I$5&amp;"NRARSummary'!B5")</f>
        <v>0.24558687978912971</v>
      </c>
      <c r="K8" s="129" t="s">
        <v>49</v>
      </c>
      <c r="L8" s="1">
        <f t="shared" ca="1" si="3"/>
        <v>0.22413097102002566</v>
      </c>
      <c r="M8" s="1">
        <f t="shared" ca="1" si="3"/>
        <v>0.22658341351903982</v>
      </c>
      <c r="N8" s="1">
        <f t="shared" ca="1" si="0"/>
        <v>0.23670179076234138</v>
      </c>
      <c r="O8" s="1">
        <f t="shared" ca="1" si="0"/>
        <v>0.23979661599305896</v>
      </c>
      <c r="P8" s="1">
        <f t="shared" ca="1" si="1"/>
        <v>0.24558687978912971</v>
      </c>
      <c r="Q8" s="1">
        <f t="shared" ca="1" si="4"/>
        <v>0.22413097102002566</v>
      </c>
      <c r="R8" s="1">
        <f t="shared" ca="1" si="2"/>
        <v>0.23979661599305896</v>
      </c>
    </row>
    <row r="9" spans="1:27" x14ac:dyDescent="0.25">
      <c r="A9" s="77" t="s">
        <v>51</v>
      </c>
      <c r="B9" s="181">
        <f ca="1">OFFSET(OnRoad!$C$6,MATCH(B5,OnRoad!$A$7:$A$17,0),0)</f>
        <v>0.21554490802050713</v>
      </c>
      <c r="C9" s="190">
        <f ca="1">OFFSET(OnRoad!$C$6,MATCH(C5,OnRoad!$A$7:$A$17,0),0)</f>
        <v>0.20311369212954972</v>
      </c>
      <c r="D9" s="73">
        <f ca="1">OFFSET(OnRoad!$C$6,MATCH(D5,OnRoad!$A$7:$A$17,0),0)</f>
        <v>0.19054574007651448</v>
      </c>
      <c r="E9" s="73">
        <f ca="1">OFFSET(OnRoad!$C$6,MATCH(E5,OnRoad!$A$7:$A$17,0),0)</f>
        <v>0.18068519137235634</v>
      </c>
      <c r="F9" s="190">
        <f ca="1">OFFSET(OnRoad!$C$6,MATCH(F5,OnRoad!$A$7:$A$17,0),0)</f>
        <v>0.17258761095396644</v>
      </c>
      <c r="G9" s="181">
        <f ca="1">OFFSET(OnRoad!$C$6,MATCH(G5,OnRoad!$A$7:$A$17,0),0)</f>
        <v>0.16280045236631813</v>
      </c>
      <c r="H9" s="171">
        <f ca="1">OFFSET(OnRoad!$C$6,MATCH(H5,OnRoad!$A$7:$A$17,0),0)</f>
        <v>0.15888478173070195</v>
      </c>
      <c r="I9" s="203">
        <f ca="1">OFFSET(OnRoad!$C$6,MATCH(I5,OnRoad!$A$7:$A$17,0),0)</f>
        <v>0.14561866773161886</v>
      </c>
      <c r="K9" s="129" t="s">
        <v>51</v>
      </c>
      <c r="L9" s="1">
        <f t="shared" ca="1" si="3"/>
        <v>0.21554490802050713</v>
      </c>
      <c r="M9" s="1">
        <f t="shared" ca="1" si="3"/>
        <v>0.20311369212954972</v>
      </c>
      <c r="N9" s="1">
        <f t="shared" ca="1" si="0"/>
        <v>0.17258761095396644</v>
      </c>
      <c r="O9" s="1">
        <f t="shared" ca="1" si="0"/>
        <v>0.16280045236631813</v>
      </c>
      <c r="P9" s="1">
        <f t="shared" ca="1" si="1"/>
        <v>0.14561866773161886</v>
      </c>
      <c r="Q9" s="1">
        <f t="shared" ca="1" si="4"/>
        <v>0.21554490802050713</v>
      </c>
      <c r="R9" s="1">
        <f t="shared" ca="1" si="2"/>
        <v>0.16280045236631813</v>
      </c>
    </row>
    <row r="10" spans="1:27" ht="15.75" thickBot="1" x14ac:dyDescent="0.3">
      <c r="A10" s="81" t="s">
        <v>50</v>
      </c>
      <c r="B10" s="182" cm="1">
        <f t="array" aca="1" ref="B10" ca="1">INDIRECT("'"&amp;B$5&amp;"NRARSummary'!B9")</f>
        <v>0.24763507181116445</v>
      </c>
      <c r="C10" s="191" cm="1">
        <f t="array" aca="1" ref="C10" ca="1">INDIRECT("'"&amp;C$5&amp;"NRARSummary'!B9")</f>
        <v>0.2467877620331039</v>
      </c>
      <c r="D10" s="118" cm="1">
        <f t="array" aca="1" ref="D10" ca="1">INDIRECT("'"&amp;D$5&amp;"NRARSummary'!B9")</f>
        <v>0.24380242524276349</v>
      </c>
      <c r="E10" s="118" cm="1">
        <f t="array" aca="1" ref="E10" ca="1">INDIRECT("'"&amp;E$5&amp;"NRARSummary'!B9")</f>
        <v>0.24067478831748998</v>
      </c>
      <c r="F10" s="191" cm="1">
        <f t="array" aca="1" ref="F10" ca="1">INDIRECT("'"&amp;F$5&amp;"NRARSummary'!B9")</f>
        <v>0.23766401211875365</v>
      </c>
      <c r="G10" s="186" cm="1">
        <f t="array" aca="1" ref="G10" ca="1">INDIRECT("'"&amp;G$5&amp;"NRARSummary'!B9")</f>
        <v>0.23581445443578641</v>
      </c>
      <c r="H10" s="172">
        <f ca="1">AVERAGE(G10,I10)</f>
        <v>0.23585966809088865</v>
      </c>
      <c r="I10" s="204" cm="1">
        <f t="array" aca="1" ref="I10" ca="1">INDIRECT("'"&amp;I$5&amp;"NRARSummary'!B9")</f>
        <v>0.23590488174599089</v>
      </c>
      <c r="K10" s="29" t="s">
        <v>50</v>
      </c>
      <c r="L10" s="176">
        <f t="shared" ca="1" si="3"/>
        <v>0.24763507181116445</v>
      </c>
      <c r="M10" s="176">
        <f t="shared" ca="1" si="3"/>
        <v>0.2467877620331039</v>
      </c>
      <c r="N10" s="176">
        <f t="shared" ca="1" si="0"/>
        <v>0.23766401211875365</v>
      </c>
      <c r="O10" s="176">
        <f t="shared" ca="1" si="0"/>
        <v>0.23581445443578641</v>
      </c>
      <c r="P10" s="176">
        <f t="shared" ca="1" si="1"/>
        <v>0.23590488174599089</v>
      </c>
      <c r="Q10" s="176">
        <f t="shared" ca="1" si="4"/>
        <v>0.24763507181116445</v>
      </c>
      <c r="R10" s="176">
        <f t="shared" ca="1" si="2"/>
        <v>0.23581445443578641</v>
      </c>
    </row>
    <row r="11" spans="1:27" ht="15.75" thickBot="1" x14ac:dyDescent="0.3">
      <c r="A11" s="78" t="s">
        <v>17</v>
      </c>
      <c r="B11" s="206">
        <f ca="1">SUM(B6:B10)</f>
        <v>3.1650899284910712</v>
      </c>
      <c r="C11" s="199">
        <f t="shared" ref="C11:I11" ca="1" si="5">SUM(C6:C10)</f>
        <v>2.8152317743705968</v>
      </c>
      <c r="D11" s="79">
        <f t="shared" ca="1" si="5"/>
        <v>2.6406748137210938</v>
      </c>
      <c r="E11" s="79">
        <f t="shared" ca="1" si="5"/>
        <v>2.3475612040628175</v>
      </c>
      <c r="F11" s="199">
        <f t="shared" ca="1" si="5"/>
        <v>2.1472459165068738</v>
      </c>
      <c r="G11" s="197">
        <f t="shared" ca="1" si="5"/>
        <v>1.9934006702699896</v>
      </c>
      <c r="H11" s="79">
        <f t="shared" ca="1" si="5"/>
        <v>1.8841584285423476</v>
      </c>
      <c r="I11" s="205">
        <f t="shared" ca="1" si="5"/>
        <v>1.7578577774857047</v>
      </c>
      <c r="K11" s="2" t="s">
        <v>17</v>
      </c>
      <c r="L11" s="177">
        <f t="shared" ca="1" si="3"/>
        <v>3.1650899284910712</v>
      </c>
      <c r="M11" s="177">
        <f t="shared" ca="1" si="3"/>
        <v>2.8152317743705968</v>
      </c>
      <c r="N11" s="177">
        <f t="shared" ca="1" si="0"/>
        <v>2.1472459165068738</v>
      </c>
      <c r="O11" s="177">
        <f t="shared" ca="1" si="0"/>
        <v>1.9934006702699896</v>
      </c>
      <c r="P11" s="177">
        <f t="shared" ca="1" si="1"/>
        <v>1.7578577774857047</v>
      </c>
      <c r="Q11" s="177">
        <f t="shared" ca="1" si="4"/>
        <v>3.1650899284910712</v>
      </c>
      <c r="R11" s="177">
        <f t="shared" ca="1" si="2"/>
        <v>1.9934006702699896</v>
      </c>
    </row>
    <row r="12" spans="1:27" x14ac:dyDescent="0.25">
      <c r="K12" s="2" t="s">
        <v>238</v>
      </c>
      <c r="L12" s="177">
        <f ca="1">B14</f>
        <v>3.1650899284910712</v>
      </c>
      <c r="M12" s="177">
        <f ca="1">C14</f>
        <v>2.9307520768468547</v>
      </c>
      <c r="N12" s="177">
        <f t="shared" ref="N12:O14" ca="1" si="6">F14</f>
        <v>2.2277385219142052</v>
      </c>
      <c r="O12" s="177">
        <f t="shared" ca="1" si="6"/>
        <v>1.9934006702699889</v>
      </c>
      <c r="P12" s="177">
        <f ca="1">I14</f>
        <v>1.9934006702699889</v>
      </c>
      <c r="Q12" s="177">
        <f t="shared" ca="1" si="4"/>
        <v>3.1650899284910712</v>
      </c>
      <c r="R12" s="177">
        <f ca="1">G14</f>
        <v>1.9934006702699889</v>
      </c>
    </row>
    <row r="13" spans="1:27" x14ac:dyDescent="0.25">
      <c r="A13" s="120" t="s">
        <v>245</v>
      </c>
      <c r="B13" s="6">
        <f ca="1">-(G11-B11)/(G5-B5)</f>
        <v>0.23433785164421633</v>
      </c>
      <c r="C13" s="129" t="s">
        <v>246</v>
      </c>
      <c r="K13" s="207" t="s">
        <v>239</v>
      </c>
      <c r="M13" s="178">
        <f ca="1">C15</f>
        <v>0.23433785164421633</v>
      </c>
      <c r="N13" s="178">
        <f t="shared" ca="1" si="6"/>
        <v>0.93735140657686533</v>
      </c>
      <c r="O13" s="178">
        <f t="shared" ca="1" si="6"/>
        <v>1.1716892582210816</v>
      </c>
      <c r="P13" s="178">
        <f ca="1">I15</f>
        <v>1.1716892582210816</v>
      </c>
      <c r="Q13" s="120"/>
      <c r="R13" s="178">
        <f ca="1">G15</f>
        <v>1.1716892582210816</v>
      </c>
    </row>
    <row r="14" spans="1:27" x14ac:dyDescent="0.25">
      <c r="A14" s="120" t="s">
        <v>253</v>
      </c>
      <c r="B14" s="6">
        <f ca="1">B11</f>
        <v>3.1650899284910712</v>
      </c>
      <c r="C14" s="6">
        <f ca="1">B14-$B13</f>
        <v>2.9307520768468547</v>
      </c>
      <c r="D14" s="6">
        <f t="shared" ref="D14:G14" ca="1" si="7">C14-$B13</f>
        <v>2.6964142252026382</v>
      </c>
      <c r="E14" s="6">
        <f t="shared" ca="1" si="7"/>
        <v>2.4620763735584217</v>
      </c>
      <c r="F14" s="6">
        <f t="shared" ca="1" si="7"/>
        <v>2.2277385219142052</v>
      </c>
      <c r="G14" s="6">
        <f t="shared" ca="1" si="7"/>
        <v>1.9934006702699889</v>
      </c>
      <c r="H14" s="6">
        <f ca="1">$G14</f>
        <v>1.9934006702699889</v>
      </c>
      <c r="I14" s="6">
        <f ca="1">$G14</f>
        <v>1.9934006702699889</v>
      </c>
      <c r="K14" s="2" t="s">
        <v>240</v>
      </c>
      <c r="M14" s="177">
        <f ca="1">C16</f>
        <v>0.34985815412047438</v>
      </c>
      <c r="N14" s="177">
        <f t="shared" ca="1" si="6"/>
        <v>1.0178440119841974</v>
      </c>
      <c r="O14" s="177">
        <f t="shared" ca="1" si="6"/>
        <v>1.1716892582210816</v>
      </c>
      <c r="P14" s="177">
        <f ca="1">I16</f>
        <v>1.4072321510053665</v>
      </c>
      <c r="Q14" s="120"/>
      <c r="R14" s="177">
        <f ca="1">G16</f>
        <v>1.1716892582210816</v>
      </c>
    </row>
    <row r="15" spans="1:27" x14ac:dyDescent="0.25">
      <c r="A15" s="120" t="s">
        <v>143</v>
      </c>
      <c r="B15" s="121"/>
      <c r="C15" s="6">
        <f ca="1">$B13</f>
        <v>0.23433785164421633</v>
      </c>
      <c r="D15" s="6">
        <f ca="1">C15+$B13</f>
        <v>0.46867570328843267</v>
      </c>
      <c r="E15" s="6">
        <f t="shared" ref="E15" ca="1" si="8">D15+$B13</f>
        <v>0.70301355493264905</v>
      </c>
      <c r="F15" s="6">
        <f t="shared" ref="F15" ca="1" si="9">E15+$B13</f>
        <v>0.93735140657686533</v>
      </c>
      <c r="G15" s="6">
        <f t="shared" ref="G15" ca="1" si="10">F15+$B13</f>
        <v>1.1716892582210816</v>
      </c>
      <c r="H15" s="6">
        <f ca="1">$G15</f>
        <v>1.1716892582210816</v>
      </c>
      <c r="I15" s="6">
        <f ca="1">$G15</f>
        <v>1.1716892582210816</v>
      </c>
      <c r="K15" s="2" t="s">
        <v>241</v>
      </c>
      <c r="M15" s="120" t="str">
        <f ca="1">IF(ROUND(M14,2)&gt;=ROUND(M13,2),"Yes","No")</f>
        <v>Yes</v>
      </c>
      <c r="N15" s="120" t="str">
        <f t="shared" ref="N15" ca="1" si="11">IF(ROUND(N14,2)&gt;=ROUND(N13,2),"Yes","No")</f>
        <v>Yes</v>
      </c>
      <c r="O15" s="120" t="str">
        <f t="shared" ref="O15" ca="1" si="12">IF(ROUND(O14,2)&gt;=ROUND(O13,2),"Yes","No")</f>
        <v>Yes</v>
      </c>
      <c r="P15" s="120" t="str">
        <f t="shared" ref="P15" ca="1" si="13">IF(ROUND(P14,2)&gt;=ROUND(P13,2),"Yes","No")</f>
        <v>Yes</v>
      </c>
      <c r="Q15" s="120"/>
      <c r="R15" s="120" t="str">
        <f ca="1">IF(ROUND(R14,2)&gt;=ROUND(R13,2),"Yes","No")</f>
        <v>Yes</v>
      </c>
    </row>
    <row r="16" spans="1:27" x14ac:dyDescent="0.25">
      <c r="A16" s="120" t="s">
        <v>144</v>
      </c>
      <c r="B16" s="121"/>
      <c r="C16" s="122">
        <f ca="1">$B11-C11</f>
        <v>0.34985815412047438</v>
      </c>
      <c r="D16" s="122">
        <f t="shared" ref="D16:I16" ca="1" si="14">$B11-D11</f>
        <v>0.52441511476997738</v>
      </c>
      <c r="E16" s="122">
        <f t="shared" ca="1" si="14"/>
        <v>0.81752872442825364</v>
      </c>
      <c r="F16" s="122">
        <f t="shared" ca="1" si="14"/>
        <v>1.0178440119841974</v>
      </c>
      <c r="G16" s="122">
        <f t="shared" ca="1" si="14"/>
        <v>1.1716892582210816</v>
      </c>
      <c r="H16" s="122">
        <f t="shared" ca="1" si="14"/>
        <v>1.2809314999487236</v>
      </c>
      <c r="I16" s="122">
        <f t="shared" ca="1" si="14"/>
        <v>1.4072321510053665</v>
      </c>
      <c r="K16" s="2"/>
      <c r="M16" s="134"/>
      <c r="N16" s="134"/>
      <c r="O16" s="134"/>
      <c r="P16" s="134"/>
      <c r="Q16" s="134"/>
      <c r="R16" s="134"/>
    </row>
    <row r="17" spans="1:27" x14ac:dyDescent="0.25">
      <c r="A17" s="120" t="s">
        <v>145</v>
      </c>
      <c r="B17" s="121"/>
      <c r="C17" s="123">
        <f ca="1">C16-C15</f>
        <v>0.11552030247625805</v>
      </c>
      <c r="D17" s="123">
        <f t="shared" ref="D17:I17" ca="1" si="15">D16-D15</f>
        <v>5.5739411481544709E-2</v>
      </c>
      <c r="E17" s="123">
        <f t="shared" ca="1" si="15"/>
        <v>0.11451516949560459</v>
      </c>
      <c r="F17" s="123">
        <f t="shared" ca="1" si="15"/>
        <v>8.0492605407332052E-2</v>
      </c>
      <c r="G17" s="123">
        <f t="shared" ca="1" si="15"/>
        <v>0</v>
      </c>
      <c r="H17" s="123">
        <f t="shared" ca="1" si="15"/>
        <v>0.10924224172764196</v>
      </c>
      <c r="I17" s="123">
        <f t="shared" ca="1" si="15"/>
        <v>0.23554289278428486</v>
      </c>
    </row>
    <row r="19" spans="1:27" ht="15.75" thickBot="1" x14ac:dyDescent="0.3">
      <c r="K19" s="216" t="s">
        <v>256</v>
      </c>
      <c r="L19" s="216"/>
      <c r="M19" s="216"/>
      <c r="N19" s="216"/>
      <c r="O19" s="216"/>
      <c r="P19" s="216"/>
      <c r="Q19" s="216"/>
      <c r="R19" s="216"/>
    </row>
    <row r="20" spans="1:27" x14ac:dyDescent="0.25">
      <c r="A20" s="74"/>
      <c r="B20" s="221" t="s">
        <v>97</v>
      </c>
      <c r="C20" s="219"/>
      <c r="D20" s="219"/>
      <c r="E20" s="219"/>
      <c r="F20" s="219"/>
      <c r="G20" s="219"/>
      <c r="H20" s="219"/>
      <c r="I20" s="220"/>
      <c r="L20" s="173" t="s">
        <v>236</v>
      </c>
      <c r="M20" s="173" t="s">
        <v>237</v>
      </c>
      <c r="N20" s="173" t="s">
        <v>237</v>
      </c>
      <c r="O20" s="173" t="s">
        <v>259</v>
      </c>
      <c r="P20" s="173" t="s">
        <v>237</v>
      </c>
      <c r="Q20" s="173" t="s">
        <v>236</v>
      </c>
      <c r="R20" s="173" t="s">
        <v>259</v>
      </c>
      <c r="T20" s="223" t="s">
        <v>242</v>
      </c>
      <c r="U20" s="223"/>
      <c r="V20" s="223"/>
      <c r="W20" s="223"/>
      <c r="X20" s="223"/>
      <c r="Y20" s="223"/>
      <c r="Z20" s="223"/>
      <c r="AA20" s="223"/>
    </row>
    <row r="21" spans="1:27" ht="15.75" thickBot="1" x14ac:dyDescent="0.3">
      <c r="A21" s="75" t="s">
        <v>2</v>
      </c>
      <c r="B21" s="192">
        <v>2019</v>
      </c>
      <c r="C21" s="187">
        <v>2020</v>
      </c>
      <c r="D21" s="69">
        <v>2021</v>
      </c>
      <c r="E21" s="69">
        <v>2022</v>
      </c>
      <c r="F21" s="187">
        <v>2023</v>
      </c>
      <c r="G21" s="183">
        <v>2024</v>
      </c>
      <c r="H21" s="69">
        <v>2025</v>
      </c>
      <c r="I21" s="200">
        <v>2026</v>
      </c>
      <c r="K21" s="29" t="s">
        <v>2</v>
      </c>
      <c r="L21" s="174">
        <v>2019</v>
      </c>
      <c r="M21" s="174">
        <v>2020</v>
      </c>
      <c r="N21" s="174">
        <v>2023</v>
      </c>
      <c r="O21" s="174">
        <v>2024</v>
      </c>
      <c r="P21" s="174">
        <v>2026</v>
      </c>
      <c r="Q21" s="174">
        <v>2019</v>
      </c>
      <c r="R21" s="174">
        <v>2024</v>
      </c>
    </row>
    <row r="22" spans="1:27" x14ac:dyDescent="0.25">
      <c r="A22" s="76" t="s">
        <v>8</v>
      </c>
      <c r="B22" s="180">
        <f ca="1">IF(B21&lt;2021,OFFSET(Points!$F$4,MATCH(B21,Points!$A$5:$A$26,0),0)-OFFSET(Points!$F$36,MATCH(B21,Points!$A$37:$A$190,0)+3,0),OFFSET(Points!$F$4,MATCH(B21&amp;"CTL",Points!$A$5:$A$26,0),0)-OFFSET(Points!$F$36,MATCH(B21&amp;"CTL",Points!$A$37:$A$190,0)+3,0))</f>
        <v>5.6844999367542286</v>
      </c>
      <c r="C22" s="188">
        <f ca="1">IF(C21&lt;2021,OFFSET(Points!$F$4,MATCH(C21,Points!$A$5:$A$26,0),0)-OFFSET(Points!$F$36,MATCH(C21,Points!$A$37:$A$190,0)+3,0),OFFSET(Points!$F$4,MATCH(C21&amp;"CTL",Points!$A$5:$A$26,0),0)-OFFSET(Points!$F$36,MATCH(C21&amp;"CTL",Points!$A$37:$A$190,0)+3,0))</f>
        <v>5.827365548672776</v>
      </c>
      <c r="D22" s="67">
        <f ca="1">IF(D21&lt;2021,OFFSET(Points!$F$4,MATCH(D21,Points!$A$5:$A$26,0),0)-OFFSET(Points!$F$36,MATCH(D21,Points!$A$37:$A$190,0)+3,0),OFFSET(Points!$F$4,MATCH(D21&amp;"CTL",Points!$A$5:$A$26,0),0)-OFFSET(Points!$F$36,MATCH(D21&amp;"CTL",Points!$A$37:$A$190,0)+3,0))</f>
        <v>4.7652120974280905</v>
      </c>
      <c r="E22" s="67">
        <f ca="1">IF(E21&lt;2021,OFFSET(Points!$F$4,MATCH(E21,Points!$A$5:$A$26,0),0)-OFFSET(Points!$F$36,MATCH(E21,Points!$A$37:$A$190,0)+3,0),OFFSET(Points!$F$4,MATCH(E21&amp;"CTL",Points!$A$5:$A$26,0),0)-OFFSET(Points!$F$36,MATCH(E21&amp;"CTL",Points!$A$37:$A$190,0)+3,0))</f>
        <v>4.8245930202608829</v>
      </c>
      <c r="F22" s="188">
        <f ca="1">IF(F21&lt;2021,OFFSET(Points!$F$4,MATCH(F21,Points!$A$5:$A$26,0),0)-OFFSET(Points!$F$36,MATCH(F21,Points!$A$37:$A$190,0)+3,0),OFFSET(Points!$F$4,MATCH(F21&amp;"CTL",Points!$A$5:$A$26,0),0)-OFFSET(Points!$F$36,MATCH(F21&amp;"CTL",Points!$A$37:$A$190,0)+3,0))</f>
        <v>4.727708081200543</v>
      </c>
      <c r="G22" s="184">
        <f ca="1">IF(G21&lt;2021,OFFSET(Points!$F$4,MATCH(G21,Points!$A$5:$A$26,0),0)-OFFSET(Points!$F$36,MATCH(G21,Points!$A$37:$A$190,0)+3,0),OFFSET(Points!$F$4,MATCH(G21&amp;"CTL",Points!$A$5:$A$26,0),0)-OFFSET(Points!$F$36,MATCH(G21&amp;"CTL",Points!$A$37:$A$190,0)+3,0))</f>
        <v>2.8141240384872148</v>
      </c>
      <c r="H22" s="67">
        <f ca="1">IF(H21&lt;2021,OFFSET(Points!$F$4,MATCH(H21,Points!$A$5:$A$26,0),0)-OFFSET(Points!$F$36,MATCH(H21,Points!$A$37:$A$190,0)+3,0),OFFSET(Points!$F$4,MATCH(H21&amp;"CTL",Points!$A$5:$A$26,0),0)-OFFSET(Points!$F$36,MATCH(H21&amp;"CTL",Points!$A$37:$A$190,0)+3,0))</f>
        <v>2.8340218671194117</v>
      </c>
      <c r="I22" s="201">
        <f ca="1">IF(I21&lt;2021,OFFSET(Points!$F$4,MATCH(I21,Points!$A$5:$A$26,0),0)-OFFSET(Points!$F$36,MATCH(I21,Points!$A$37:$A$190,0)+3,0),OFFSET(Points!$F$4,MATCH(I21&amp;"CTL",Points!$A$5:$A$26,0),0)-OFFSET(Points!$F$36,MATCH(I21&amp;"CTL",Points!$A$37:$A$190,0)+3,0))</f>
        <v>2.8531350173119696</v>
      </c>
      <c r="K22" s="129" t="s">
        <v>8</v>
      </c>
      <c r="L22" s="1">
        <f ca="1">B22</f>
        <v>5.6844999367542286</v>
      </c>
      <c r="M22" s="1">
        <f ca="1">C22</f>
        <v>5.827365548672776</v>
      </c>
      <c r="N22" s="1">
        <f t="shared" ref="N22:O27" ca="1" si="16">F22</f>
        <v>4.727708081200543</v>
      </c>
      <c r="O22" s="1">
        <f t="shared" ca="1" si="16"/>
        <v>2.8141240384872148</v>
      </c>
      <c r="P22" s="1">
        <f t="shared" ref="P22:P27" ca="1" si="17">I22</f>
        <v>2.8531350173119696</v>
      </c>
      <c r="Q22" s="1">
        <f ca="1">L22</f>
        <v>5.6844999367542286</v>
      </c>
      <c r="R22" s="1">
        <f t="shared" ref="R22:R27" ca="1" si="18">G22</f>
        <v>2.8141240384872148</v>
      </c>
    </row>
    <row r="23" spans="1:27" x14ac:dyDescent="0.25">
      <c r="A23" s="77" t="s">
        <v>48</v>
      </c>
      <c r="B23" s="193">
        <f ca="1">OFFSET(SpaceHeat!$D$59,0,MATCH(B$5,SpaceHeat!$E$28:$O$28,0))</f>
        <v>3.8812668552980054</v>
      </c>
      <c r="C23" s="189">
        <f ca="1">OFFSET(SpaceHeat!$D$59,0,MATCH(C$5,SpaceHeat!$E$28:$O$28,0))</f>
        <v>3.9767728100251256</v>
      </c>
      <c r="D23" s="65">
        <f ca="1">OFFSET(SpaceHeat!$D$59,0,MATCH(D$5,SpaceHeat!$E$28:$O$28,0))</f>
        <v>4.1094801337356985</v>
      </c>
      <c r="E23" s="65">
        <f ca="1">OFFSET(SpaceHeat!$D$59,0,MATCH(E$5,SpaceHeat!$E$28:$O$28,0))</f>
        <v>4.1719041807461679</v>
      </c>
      <c r="F23" s="189">
        <f ca="1">OFFSET(SpaceHeat!$D$59,0,MATCH(F$5,SpaceHeat!$E$28:$O$28,0))</f>
        <v>2.2781940123463409</v>
      </c>
      <c r="G23" s="185">
        <f ca="1">OFFSET(SpaceHeat!$D$59,0,MATCH(G$5,SpaceHeat!$E$28:$O$28,0))</f>
        <v>2.2692728502185142</v>
      </c>
      <c r="H23" s="65">
        <f ca="1">OFFSET(SpaceHeat!$D$59,0,MATCH(H$5,SpaceHeat!$E$28:$O$28,0))</f>
        <v>2.2697842745983352</v>
      </c>
      <c r="I23" s="202">
        <f ca="1">OFFSET(SpaceHeat!$D$59,0,MATCH(I$5,SpaceHeat!$E$28:$O$28,0))</f>
        <v>2.2855415163930388</v>
      </c>
      <c r="K23" s="129" t="s">
        <v>48</v>
      </c>
      <c r="L23" s="1">
        <f t="shared" ref="L23:L27" ca="1" si="19">B23</f>
        <v>3.8812668552980054</v>
      </c>
      <c r="M23" s="1">
        <f t="shared" ref="M23:M27" ca="1" si="20">C23</f>
        <v>3.9767728100251256</v>
      </c>
      <c r="N23" s="1">
        <f t="shared" ca="1" si="16"/>
        <v>2.2781940123463409</v>
      </c>
      <c r="O23" s="1">
        <f t="shared" ca="1" si="16"/>
        <v>2.2692728502185142</v>
      </c>
      <c r="P23" s="1">
        <f t="shared" ca="1" si="17"/>
        <v>2.2855415163930388</v>
      </c>
      <c r="Q23" s="1">
        <f t="shared" ref="Q23:Q27" ca="1" si="21">L23</f>
        <v>3.8812668552980054</v>
      </c>
      <c r="R23" s="1">
        <f t="shared" ca="1" si="18"/>
        <v>2.2692728502185142</v>
      </c>
    </row>
    <row r="24" spans="1:27" x14ac:dyDescent="0.25">
      <c r="A24" s="77" t="s">
        <v>49</v>
      </c>
      <c r="B24" s="181" cm="1">
        <f t="array" aca="1" ref="B24" ca="1">INDIRECT("'"&amp;B$21&amp;"NRARSummary'!D5")</f>
        <v>2.8155322517431434E-2</v>
      </c>
      <c r="C24" s="190" cm="1">
        <f t="array" aca="1" ref="C24" ca="1">INDIRECT("'"&amp;C$21&amp;"NRARSummary'!D5")</f>
        <v>2.8463398234057986E-2</v>
      </c>
      <c r="D24" s="73" cm="1">
        <f t="array" aca="1" ref="D24" ca="1">INDIRECT("'"&amp;D$21&amp;"NRARSummary'!D5")</f>
        <v>2.8845750286654218E-2</v>
      </c>
      <c r="E24" s="73" cm="1">
        <f t="array" aca="1" ref="E24" ca="1">INDIRECT("'"&amp;E$21&amp;"NRARSummary'!D5")</f>
        <v>2.9298324281296476E-2</v>
      </c>
      <c r="F24" s="190" cm="1">
        <f t="array" aca="1" ref="F24" ca="1">INDIRECT("'"&amp;F$21&amp;"NRARSummary'!D5")</f>
        <v>2.9734468329108525E-2</v>
      </c>
      <c r="G24" s="181" cm="1">
        <f t="array" aca="1" ref="G24" ca="1">INDIRECT("'"&amp;G$21&amp;"NRARSummary'!D5")</f>
        <v>3.0123240135652627E-2</v>
      </c>
      <c r="H24" s="170">
        <f ca="1">AVERAGE(G24,I24)</f>
        <v>3.0486926474710185E-2</v>
      </c>
      <c r="I24" s="203" cm="1">
        <f t="array" aca="1" ref="I24" ca="1">INDIRECT("'"&amp;I$21&amp;"NRARSummary'!D5")</f>
        <v>3.085061281376774E-2</v>
      </c>
      <c r="K24" s="129" t="s">
        <v>49</v>
      </c>
      <c r="L24" s="1">
        <f t="shared" ca="1" si="19"/>
        <v>2.8155322517431434E-2</v>
      </c>
      <c r="M24" s="1">
        <f t="shared" ca="1" si="20"/>
        <v>2.8463398234057986E-2</v>
      </c>
      <c r="N24" s="1">
        <f t="shared" ca="1" si="16"/>
        <v>2.9734468329108525E-2</v>
      </c>
      <c r="O24" s="1">
        <f t="shared" ca="1" si="16"/>
        <v>3.0123240135652627E-2</v>
      </c>
      <c r="P24" s="1">
        <f t="shared" ca="1" si="17"/>
        <v>3.085061281376774E-2</v>
      </c>
      <c r="Q24" s="1">
        <f t="shared" ca="1" si="21"/>
        <v>2.8155322517431434E-2</v>
      </c>
      <c r="R24" s="1">
        <f t="shared" ca="1" si="18"/>
        <v>3.0123240135652627E-2</v>
      </c>
    </row>
    <row r="25" spans="1:27" x14ac:dyDescent="0.25">
      <c r="A25" s="77" t="s">
        <v>51</v>
      </c>
      <c r="B25" s="181">
        <f ca="1">OFFSET(OnRoad!$E$6,MATCH(B21,OnRoad!$A$7:$A$17,0),0)</f>
        <v>6.8616235596738713E-3</v>
      </c>
      <c r="C25" s="190">
        <f ca="1">OFFSET(OnRoad!$E$6,MATCH(C21,OnRoad!$A$7:$A$17,0),0)</f>
        <v>6.880424023629146E-3</v>
      </c>
      <c r="D25" s="73">
        <f ca="1">OFFSET(OnRoad!$E$6,MATCH(D21,OnRoad!$A$7:$A$17,0),0)</f>
        <v>6.8826212376879763E-3</v>
      </c>
      <c r="E25" s="73">
        <f ca="1">OFFSET(OnRoad!$E$6,MATCH(E21,OnRoad!$A$7:$A$17,0),0)</f>
        <v>6.8769364654461393E-3</v>
      </c>
      <c r="F25" s="190">
        <f ca="1">OFFSET(OnRoad!$E$6,MATCH(F21,OnRoad!$A$7:$A$17,0),0)</f>
        <v>6.8634541707886625E-3</v>
      </c>
      <c r="G25" s="181">
        <f ca="1">OFFSET(OnRoad!$E$6,MATCH(G21,OnRoad!$A$7:$A$17,0),0)</f>
        <v>6.8440027384484908E-3</v>
      </c>
      <c r="H25" s="171">
        <f ca="1">OFFSET(OnRoad!$E$6,MATCH(H21,OnRoad!$A$7:$A$17,0),0)</f>
        <v>7.0525778741141274E-3</v>
      </c>
      <c r="I25" s="203">
        <f ca="1">OFFSET(OnRoad!$E$6,MATCH(I21,OnRoad!$A$7:$A$17,0),0)</f>
        <v>6.7162490917116796E-3</v>
      </c>
      <c r="K25" s="129" t="s">
        <v>51</v>
      </c>
      <c r="L25" s="1">
        <f t="shared" ca="1" si="19"/>
        <v>6.8616235596738713E-3</v>
      </c>
      <c r="M25" s="1">
        <f t="shared" ca="1" si="20"/>
        <v>6.880424023629146E-3</v>
      </c>
      <c r="N25" s="1">
        <f t="shared" ca="1" si="16"/>
        <v>6.8634541707886625E-3</v>
      </c>
      <c r="O25" s="1">
        <f t="shared" ca="1" si="16"/>
        <v>6.8440027384484908E-3</v>
      </c>
      <c r="P25" s="1">
        <f t="shared" ca="1" si="17"/>
        <v>6.7162490917116796E-3</v>
      </c>
      <c r="Q25" s="1">
        <f t="shared" ca="1" si="21"/>
        <v>6.8616235596738713E-3</v>
      </c>
      <c r="R25" s="1">
        <f t="shared" ca="1" si="18"/>
        <v>6.8440027384484908E-3</v>
      </c>
    </row>
    <row r="26" spans="1:27" ht="15.75" thickBot="1" x14ac:dyDescent="0.3">
      <c r="A26" s="81" t="s">
        <v>50</v>
      </c>
      <c r="B26" s="194" cm="1">
        <f t="array" aca="1" ref="B26" ca="1">INDIRECT("'"&amp;B$21&amp;"NRARSummary'!D9")</f>
        <v>5.4086762159334674</v>
      </c>
      <c r="C26" s="198" cm="1">
        <f t="array" aca="1" ref="C26" ca="1">INDIRECT("'"&amp;C$21&amp;"NRARSummary'!D9")</f>
        <v>5.4432895925045406</v>
      </c>
      <c r="D26" s="83" cm="1">
        <f t="array" aca="1" ref="D26" ca="1">INDIRECT("'"&amp;D$21&amp;"NRARSummary'!D9")</f>
        <v>5.4783191222722634</v>
      </c>
      <c r="E26" s="83" cm="1">
        <f t="array" aca="1" ref="E26" ca="1">INDIRECT("'"&amp;E$21&amp;"NRARSummary'!D9")</f>
        <v>5.5137666145396897</v>
      </c>
      <c r="F26" s="198" cm="1">
        <f t="array" aca="1" ref="F26" ca="1">INDIRECT("'"&amp;F$21&amp;"NRARSummary'!D9")</f>
        <v>5.5496418877032472</v>
      </c>
      <c r="G26" s="196" cm="1">
        <f t="array" aca="1" ref="G26" ca="1">INDIRECT("'"&amp;G$21&amp;"NRARSummary'!D9")</f>
        <v>5.5859451031974858</v>
      </c>
      <c r="H26" s="172">
        <f ca="1">AVERAGE(G26,I26)</f>
        <v>5.6229049426803748</v>
      </c>
      <c r="I26" s="204" cm="1">
        <f t="array" aca="1" ref="I26" ca="1">INDIRECT("'"&amp;I$21&amp;"NRARSummary'!D9")</f>
        <v>5.6598647821632628</v>
      </c>
      <c r="K26" s="29" t="s">
        <v>50</v>
      </c>
      <c r="L26" s="176">
        <f t="shared" ca="1" si="19"/>
        <v>5.4086762159334674</v>
      </c>
      <c r="M26" s="176">
        <f t="shared" ca="1" si="20"/>
        <v>5.4432895925045406</v>
      </c>
      <c r="N26" s="176">
        <f t="shared" ca="1" si="16"/>
        <v>5.5496418877032472</v>
      </c>
      <c r="O26" s="176">
        <f t="shared" ca="1" si="16"/>
        <v>5.5859451031974858</v>
      </c>
      <c r="P26" s="176">
        <f t="shared" ca="1" si="17"/>
        <v>5.6598647821632628</v>
      </c>
      <c r="Q26" s="176">
        <f t="shared" ca="1" si="21"/>
        <v>5.4086762159334674</v>
      </c>
      <c r="R26" s="176">
        <f t="shared" ca="1" si="18"/>
        <v>5.5859451031974858</v>
      </c>
    </row>
    <row r="27" spans="1:27" ht="15.75" thickBot="1" x14ac:dyDescent="0.3">
      <c r="A27" s="78" t="s">
        <v>17</v>
      </c>
      <c r="B27" s="195">
        <f ca="1">SUM(B22:B26)</f>
        <v>15.009459954062805</v>
      </c>
      <c r="C27" s="199">
        <f t="shared" ref="C27:I27" ca="1" si="22">SUM(C22:C26)</f>
        <v>15.28277177346013</v>
      </c>
      <c r="D27" s="79">
        <f t="shared" ca="1" si="22"/>
        <v>14.388739724960395</v>
      </c>
      <c r="E27" s="79">
        <f t="shared" ca="1" si="22"/>
        <v>14.546439076293481</v>
      </c>
      <c r="F27" s="199">
        <f t="shared" ca="1" si="22"/>
        <v>12.592141903750029</v>
      </c>
      <c r="G27" s="197">
        <f t="shared" ca="1" si="22"/>
        <v>10.706309234777315</v>
      </c>
      <c r="H27" s="79">
        <f t="shared" ca="1" si="22"/>
        <v>10.764250588746947</v>
      </c>
      <c r="I27" s="205">
        <f t="shared" ca="1" si="22"/>
        <v>10.836108177773751</v>
      </c>
      <c r="K27" s="2" t="s">
        <v>17</v>
      </c>
      <c r="L27" s="177">
        <f t="shared" ca="1" si="19"/>
        <v>15.009459954062805</v>
      </c>
      <c r="M27" s="177">
        <f t="shared" ca="1" si="20"/>
        <v>15.28277177346013</v>
      </c>
      <c r="N27" s="177">
        <f t="shared" ca="1" si="16"/>
        <v>12.592141903750029</v>
      </c>
      <c r="O27" s="177">
        <f t="shared" ca="1" si="16"/>
        <v>10.706309234777315</v>
      </c>
      <c r="P27" s="177">
        <f t="shared" ca="1" si="17"/>
        <v>10.836108177773751</v>
      </c>
      <c r="Q27" s="177">
        <f t="shared" ca="1" si="21"/>
        <v>15.009459954062805</v>
      </c>
      <c r="R27" s="177">
        <f t="shared" ca="1" si="18"/>
        <v>10.706309234777315</v>
      </c>
    </row>
    <row r="28" spans="1:27" x14ac:dyDescent="0.25">
      <c r="K28" s="2" t="s">
        <v>238</v>
      </c>
      <c r="L28" s="177">
        <f ca="1">B30</f>
        <v>15.009459954062805</v>
      </c>
      <c r="M28" s="177">
        <f ca="1">C30</f>
        <v>14.148829810205708</v>
      </c>
      <c r="N28" s="177">
        <f ca="1">F30</f>
        <v>11.566939378634416</v>
      </c>
      <c r="O28" s="177">
        <f t="shared" ref="O28" ca="1" si="23">G30</f>
        <v>10.706309234777319</v>
      </c>
      <c r="P28" s="177">
        <f ca="1">I30</f>
        <v>10.706309234777319</v>
      </c>
      <c r="Q28" s="177">
        <f t="shared" ref="Q28" ca="1" si="24">L28</f>
        <v>15.009459954062805</v>
      </c>
      <c r="R28" s="177">
        <f ca="1">G30</f>
        <v>10.706309234777319</v>
      </c>
    </row>
    <row r="29" spans="1:27" x14ac:dyDescent="0.25">
      <c r="A29" s="120" t="s">
        <v>247</v>
      </c>
      <c r="B29" s="6">
        <f ca="1">-(G27-B27)/(G21-B21)</f>
        <v>0.86063014385709802</v>
      </c>
      <c r="C29" s="129" t="s">
        <v>246</v>
      </c>
      <c r="K29" s="207" t="s">
        <v>239</v>
      </c>
      <c r="M29" s="178">
        <f ca="1">C31</f>
        <v>0.86063014385709802</v>
      </c>
      <c r="N29" s="178">
        <f ca="1">F31</f>
        <v>3.4425205754283921</v>
      </c>
      <c r="O29" s="178">
        <f t="shared" ref="O29" ca="1" si="25">G31</f>
        <v>4.3031507192854903</v>
      </c>
      <c r="P29" s="178">
        <f ca="1">I31</f>
        <v>4.3031507192854903</v>
      </c>
      <c r="Q29" s="120"/>
      <c r="R29" s="178">
        <f ca="1">G31</f>
        <v>4.3031507192854903</v>
      </c>
    </row>
    <row r="30" spans="1:27" x14ac:dyDescent="0.25">
      <c r="A30" s="120" t="s">
        <v>254</v>
      </c>
      <c r="B30" s="6">
        <f ca="1">B27</f>
        <v>15.009459954062805</v>
      </c>
      <c r="C30" s="6">
        <f ca="1">B30-$B29</f>
        <v>14.148829810205708</v>
      </c>
      <c r="D30" s="6">
        <f t="shared" ref="D30" ca="1" si="26">C30-$B29</f>
        <v>13.288199666348611</v>
      </c>
      <c r="E30" s="6">
        <f t="shared" ref="E30" ca="1" si="27">D30-$B29</f>
        <v>12.427569522491513</v>
      </c>
      <c r="F30" s="6">
        <f t="shared" ref="F30" ca="1" si="28">E30-$B29</f>
        <v>11.566939378634416</v>
      </c>
      <c r="G30" s="6">
        <f t="shared" ref="G30" ca="1" si="29">F30-$B29</f>
        <v>10.706309234777319</v>
      </c>
      <c r="H30" s="6">
        <f ca="1">$G30</f>
        <v>10.706309234777319</v>
      </c>
      <c r="I30" s="6">
        <f ca="1">$G30</f>
        <v>10.706309234777319</v>
      </c>
      <c r="K30" s="2" t="s">
        <v>240</v>
      </c>
      <c r="M30" s="177">
        <f ca="1">C32</f>
        <v>-0.27331181939732474</v>
      </c>
      <c r="N30" s="177">
        <f ca="1">F32</f>
        <v>2.417318050312776</v>
      </c>
      <c r="O30" s="177">
        <f t="shared" ref="O30" ca="1" si="30">G32</f>
        <v>4.3031507192854903</v>
      </c>
      <c r="P30" s="177">
        <f ca="1">I32</f>
        <v>4.1733517762890546</v>
      </c>
      <c r="Q30" s="120"/>
      <c r="R30" s="177">
        <f ca="1">G32</f>
        <v>4.3031507192854903</v>
      </c>
    </row>
    <row r="31" spans="1:27" x14ac:dyDescent="0.25">
      <c r="A31" s="120" t="s">
        <v>146</v>
      </c>
      <c r="B31" s="121"/>
      <c r="C31" s="6">
        <f ca="1">$B29</f>
        <v>0.86063014385709802</v>
      </c>
      <c r="D31" s="6">
        <f ca="1">C31+$B29</f>
        <v>1.721260287714196</v>
      </c>
      <c r="E31" s="6">
        <f ca="1">D31+$B29</f>
        <v>2.5818904315712938</v>
      </c>
      <c r="F31" s="6">
        <f ca="1">E31+$B29</f>
        <v>3.4425205754283921</v>
      </c>
      <c r="G31" s="6">
        <f ca="1">F31+$B29</f>
        <v>4.3031507192854903</v>
      </c>
      <c r="H31" s="6">
        <f ca="1">$G31</f>
        <v>4.3031507192854903</v>
      </c>
      <c r="I31" s="6">
        <f ca="1">$G31</f>
        <v>4.3031507192854903</v>
      </c>
      <c r="K31" s="2" t="s">
        <v>241</v>
      </c>
      <c r="M31" s="120" t="str">
        <f ca="1">IF(ROUND(M30,2)&gt;=ROUND(M29,2),"Yes","No")</f>
        <v>No</v>
      </c>
      <c r="N31" s="120" t="str">
        <f t="shared" ref="N31:P31" ca="1" si="31">IF(ROUND(N30,2)&gt;=ROUND(N29,2),"Yes","No")</f>
        <v>No</v>
      </c>
      <c r="O31" s="120" t="str">
        <f t="shared" ca="1" si="31"/>
        <v>Yes</v>
      </c>
      <c r="P31" s="120" t="str">
        <f t="shared" ca="1" si="31"/>
        <v>No</v>
      </c>
      <c r="Q31" s="120"/>
      <c r="R31" s="120" t="str">
        <f ca="1">IF(ROUND(R30,2)&gt;=ROUND(R29,2),"Yes","No")</f>
        <v>Yes</v>
      </c>
    </row>
    <row r="32" spans="1:27" x14ac:dyDescent="0.25">
      <c r="A32" s="120" t="s">
        <v>248</v>
      </c>
      <c r="B32" s="121"/>
      <c r="C32" s="122">
        <f t="shared" ref="C32:I32" ca="1" si="32">$B27-C27</f>
        <v>-0.27331181939732474</v>
      </c>
      <c r="D32" s="122">
        <f t="shared" ca="1" si="32"/>
        <v>0.62072022910241031</v>
      </c>
      <c r="E32" s="122">
        <f t="shared" ca="1" si="32"/>
        <v>0.4630208777693241</v>
      </c>
      <c r="F32" s="122">
        <f t="shared" ca="1" si="32"/>
        <v>2.417318050312776</v>
      </c>
      <c r="G32" s="122">
        <f t="shared" ca="1" si="32"/>
        <v>4.3031507192854903</v>
      </c>
      <c r="H32" s="122">
        <f t="shared" ca="1" si="32"/>
        <v>4.2452093653158585</v>
      </c>
      <c r="I32" s="122">
        <f t="shared" ca="1" si="32"/>
        <v>4.1733517762890546</v>
      </c>
    </row>
    <row r="33" spans="1:27" x14ac:dyDescent="0.25">
      <c r="A33" s="120" t="s">
        <v>147</v>
      </c>
      <c r="B33" s="121"/>
      <c r="C33" s="123">
        <f ca="1">C32-C31</f>
        <v>-1.1339419632544228</v>
      </c>
      <c r="D33" s="123">
        <f t="shared" ref="D33:I33" ca="1" si="33">D32-D31</f>
        <v>-1.1005400586117857</v>
      </c>
      <c r="E33" s="123">
        <f t="shared" ca="1" si="33"/>
        <v>-2.1188695538019697</v>
      </c>
      <c r="F33" s="123">
        <f t="shared" ca="1" si="33"/>
        <v>-1.025202525115616</v>
      </c>
      <c r="G33" s="123">
        <f t="shared" ca="1" si="33"/>
        <v>0</v>
      </c>
      <c r="H33" s="123">
        <f t="shared" ca="1" si="33"/>
        <v>-5.7941353969631848E-2</v>
      </c>
      <c r="I33" s="123">
        <f t="shared" ca="1" si="33"/>
        <v>-0.12979894299643568</v>
      </c>
    </row>
    <row r="35" spans="1:27" ht="15.75" thickBot="1" x14ac:dyDescent="0.3">
      <c r="K35" s="216" t="s">
        <v>257</v>
      </c>
      <c r="L35" s="216"/>
      <c r="M35" s="216"/>
      <c r="N35" s="216"/>
      <c r="O35" s="216"/>
      <c r="P35" s="216"/>
      <c r="Q35" s="216"/>
      <c r="R35" s="216"/>
    </row>
    <row r="36" spans="1:27" x14ac:dyDescent="0.25">
      <c r="A36" s="74"/>
      <c r="B36" s="221" t="s">
        <v>244</v>
      </c>
      <c r="C36" s="219"/>
      <c r="D36" s="219"/>
      <c r="E36" s="219"/>
      <c r="F36" s="219"/>
      <c r="G36" s="219"/>
      <c r="H36" s="219"/>
      <c r="I36" s="220"/>
      <c r="L36" s="173" t="s">
        <v>236</v>
      </c>
      <c r="M36" s="173" t="s">
        <v>237</v>
      </c>
      <c r="N36" s="173" t="s">
        <v>237</v>
      </c>
      <c r="O36" s="173" t="s">
        <v>259</v>
      </c>
      <c r="P36" s="173" t="s">
        <v>237</v>
      </c>
      <c r="Q36" s="173" t="s">
        <v>236</v>
      </c>
      <c r="R36" s="173" t="s">
        <v>259</v>
      </c>
    </row>
    <row r="37" spans="1:27" ht="15.75" thickBot="1" x14ac:dyDescent="0.3">
      <c r="A37" s="75" t="s">
        <v>2</v>
      </c>
      <c r="B37" s="192">
        <v>2019</v>
      </c>
      <c r="C37" s="187">
        <v>2020</v>
      </c>
      <c r="D37" s="69">
        <v>2021</v>
      </c>
      <c r="E37" s="69">
        <v>2022</v>
      </c>
      <c r="F37" s="187">
        <v>2023</v>
      </c>
      <c r="G37" s="183">
        <v>2024</v>
      </c>
      <c r="H37" s="69">
        <v>2025</v>
      </c>
      <c r="I37" s="200">
        <v>2026</v>
      </c>
      <c r="K37" s="29" t="s">
        <v>2</v>
      </c>
      <c r="L37" s="174">
        <v>2019</v>
      </c>
      <c r="M37" s="174">
        <v>2020</v>
      </c>
      <c r="N37" s="174">
        <v>2023</v>
      </c>
      <c r="O37" s="174">
        <v>2024</v>
      </c>
      <c r="P37" s="174">
        <v>2026</v>
      </c>
      <c r="Q37" s="174">
        <v>2019</v>
      </c>
      <c r="R37" s="174">
        <v>2024</v>
      </c>
      <c r="T37" s="223" t="s">
        <v>243</v>
      </c>
      <c r="U37" s="223"/>
      <c r="V37" s="223"/>
      <c r="W37" s="223"/>
      <c r="X37" s="223"/>
      <c r="Y37" s="223"/>
      <c r="Z37" s="223"/>
      <c r="AA37" s="223"/>
    </row>
    <row r="38" spans="1:27" x14ac:dyDescent="0.25">
      <c r="A38" s="76" t="s">
        <v>8</v>
      </c>
      <c r="B38" s="180">
        <f ca="1">IF(B37&lt;2021,OFFSET(Points!$J$4,MATCH(B37,Points!$A$5:$A$26,0),0)-OFFSET(Points!$J$36,MATCH(B37,Points!$A$37:$A$190,0)+3,0),OFFSET(Points!$J$4,MATCH(B37&amp;"CTL",Points!$A$5:$A$26,0),0)-OFFSET(Points!$J$36,MATCH(B37&amp;"CTL",Points!$A$37:$A$190,0)+3,0))</f>
        <v>7.3143216183863574E-2</v>
      </c>
      <c r="C38" s="188">
        <f ca="1">IF(C37&lt;2021,OFFSET(Points!$J$4,MATCH(C37,Points!$A$5:$A$26,0),0)-OFFSET(Points!$J$36,MATCH(C37,Points!$A$37:$A$190,0)+3,0),OFFSET(Points!$J$4,MATCH(C37&amp;"CTL",Points!$A$5:$A$26,0),0)-OFFSET(Points!$J$36,MATCH(C37&amp;"CTL",Points!$A$37:$A$190,0)+3,0))</f>
        <v>7.4981486999953162E-2</v>
      </c>
      <c r="D38" s="67">
        <f ca="1">IF(D37&lt;2021,OFFSET(Points!$J$4,MATCH(D37,Points!$A$5:$A$26,0),0)-OFFSET(Points!$J$36,MATCH(D37,Points!$A$37:$A$190,0)+3,0),OFFSET(Points!$J$4,MATCH(D37&amp;"CTL",Points!$A$5:$A$26,0),0)-OFFSET(Points!$J$36,MATCH(D37&amp;"CTL",Points!$A$37:$A$190,0)+3,0))</f>
        <v>7.7171660852938057E-2</v>
      </c>
      <c r="E38" s="67">
        <f ca="1">IF(E37&lt;2021,OFFSET(Points!$J$4,MATCH(E37,Points!$A$5:$A$26,0),0)-OFFSET(Points!$J$36,MATCH(E37,Points!$A$37:$A$190,0)+3,0),OFFSET(Points!$J$4,MATCH(E37&amp;"CTL",Points!$A$5:$A$26,0),0)-OFFSET(Points!$J$36,MATCH(E37&amp;"CTL",Points!$A$37:$A$190,0)+3,0))</f>
        <v>7.8133323071595706E-2</v>
      </c>
      <c r="F38" s="188">
        <f ca="1">IF(F37&lt;2021,OFFSET(Points!$J$4,MATCH(F37,Points!$A$5:$A$26,0),0)-OFFSET(Points!$J$36,MATCH(F37,Points!$A$37:$A$190,0)+3,0),OFFSET(Points!$J$4,MATCH(F37&amp;"CTL",Points!$A$5:$A$26,0),0)-OFFSET(Points!$J$36,MATCH(F37&amp;"CTL",Points!$A$37:$A$190,0)+3,0))</f>
        <v>7.866142572812633E-2</v>
      </c>
      <c r="G38" s="184">
        <f ca="1">IF(G37&lt;2021,OFFSET(Points!$J$4,MATCH(G37,Points!$A$5:$A$26,0),0)-OFFSET(Points!$J$36,MATCH(G37,Points!$A$37:$A$190,0)+3,0),OFFSET(Points!$J$4,MATCH(G37&amp;"CTL",Points!$A$5:$A$26,0),0)-OFFSET(Points!$J$36,MATCH(G37&amp;"CTL",Points!$A$37:$A$190,0)+3,0))</f>
        <v>7.9208325857352713E-2</v>
      </c>
      <c r="H38" s="67">
        <f ca="1">IF(H37&lt;2021,OFFSET(Points!$J$4,MATCH(H37,Points!$A$5:$A$26,0),0)-OFFSET(Points!$J$36,MATCH(H37,Points!$A$37:$A$190,0)+3,0),OFFSET(Points!$J$4,MATCH(H37&amp;"CTL",Points!$A$5:$A$26,0),0)-OFFSET(Points!$J$36,MATCH(H37&amp;"CTL",Points!$A$37:$A$190,0)+3,0))</f>
        <v>7.9768384217466834E-2</v>
      </c>
      <c r="I38" s="201">
        <f ca="1">IF(I37&lt;2021,OFFSET(Points!$J$4,MATCH(I37,Points!$A$5:$A$26,0),0)-OFFSET(Points!$J$36,MATCH(I37,Points!$A$37:$A$190,0)+3,0),OFFSET(Points!$J$4,MATCH(I37&amp;"CTL",Points!$A$5:$A$26,0),0)-OFFSET(Points!$J$36,MATCH(I37&amp;"CTL",Points!$A$37:$A$190,0)+3,0))</f>
        <v>8.030635646314882E-2</v>
      </c>
      <c r="K38" s="129" t="s">
        <v>8</v>
      </c>
      <c r="L38" s="5">
        <f ca="1">B38</f>
        <v>7.3143216183863574E-2</v>
      </c>
      <c r="M38" s="5">
        <f ca="1">C38</f>
        <v>7.4981486999953162E-2</v>
      </c>
      <c r="N38" s="5">
        <f t="shared" ref="N38:O43" ca="1" si="34">F38</f>
        <v>7.866142572812633E-2</v>
      </c>
      <c r="O38" s="5">
        <f t="shared" ca="1" si="34"/>
        <v>7.9208325857352713E-2</v>
      </c>
      <c r="P38" s="5">
        <f t="shared" ref="P38:P43" ca="1" si="35">I38</f>
        <v>8.030635646314882E-2</v>
      </c>
      <c r="Q38" s="5">
        <f ca="1">L38</f>
        <v>7.3143216183863574E-2</v>
      </c>
      <c r="R38" s="5">
        <f t="shared" ref="R38:R43" ca="1" si="36">G38</f>
        <v>7.9208325857352713E-2</v>
      </c>
    </row>
    <row r="39" spans="1:27" x14ac:dyDescent="0.25">
      <c r="A39" s="77" t="s">
        <v>48</v>
      </c>
      <c r="B39" s="181" cm="1">
        <f t="array" aca="1" ref="B39" ca="1">INDIRECT("'TabSpHt"&amp;B$21&amp;"'!J69")</f>
        <v>0.13189999999999999</v>
      </c>
      <c r="C39" s="189" cm="1">
        <f t="array" aca="1" ref="C39" ca="1">INDIRECT("'TabSpHt"&amp;C$21&amp;"'!J69")</f>
        <v>0.13370000000000001</v>
      </c>
      <c r="D39" s="65" cm="1">
        <f t="array" aca="1" ref="D39" ca="1">INDIRECT("'TabSpHt"&amp;D$21&amp;"'!J69")</f>
        <v>0.13730000000000001</v>
      </c>
      <c r="E39" s="65" cm="1">
        <f t="array" aca="1" ref="E39" ca="1">INDIRECT("'TabSpHt"&amp;E$21&amp;"'!J69")</f>
        <v>0.13930000000000001</v>
      </c>
      <c r="F39" s="189" cm="1">
        <f t="array" aca="1" ref="F39" ca="1">INDIRECT("'TabSpHt"&amp;F$21&amp;"'!J69")</f>
        <v>0.1406</v>
      </c>
      <c r="G39" s="185" cm="1">
        <f t="array" aca="1" ref="G39" ca="1">INDIRECT("'TabSpHt"&amp;G$21&amp;"'!J69")</f>
        <v>0.14219999999999999</v>
      </c>
      <c r="H39" s="65" cm="1">
        <f t="array" aca="1" ref="H39" ca="1">INDIRECT("'TabSpHt"&amp;H$21&amp;"'!J69")</f>
        <v>0.1431</v>
      </c>
      <c r="I39" s="202" cm="1">
        <f t="array" aca="1" ref="I39" ca="1">INDIRECT("'TabSpHt"&amp;I$21&amp;"'!J69")</f>
        <v>0.1439</v>
      </c>
      <c r="K39" s="129" t="s">
        <v>48</v>
      </c>
      <c r="L39" s="5">
        <f t="shared" ref="L39:L43" ca="1" si="37">B39</f>
        <v>0.13189999999999999</v>
      </c>
      <c r="M39" s="5">
        <f t="shared" ref="M39:M43" ca="1" si="38">C39</f>
        <v>0.13370000000000001</v>
      </c>
      <c r="N39" s="5">
        <f t="shared" ca="1" si="34"/>
        <v>0.1406</v>
      </c>
      <c r="O39" s="5">
        <f t="shared" ca="1" si="34"/>
        <v>0.14219999999999999</v>
      </c>
      <c r="P39" s="5">
        <f t="shared" ca="1" si="35"/>
        <v>0.1439</v>
      </c>
      <c r="Q39" s="5">
        <f t="shared" ref="Q39:Q44" ca="1" si="39">L39</f>
        <v>0.13189999999999999</v>
      </c>
      <c r="R39" s="5">
        <f t="shared" ca="1" si="36"/>
        <v>0.14219999999999999</v>
      </c>
    </row>
    <row r="40" spans="1:27" x14ac:dyDescent="0.25">
      <c r="A40" s="77" t="s">
        <v>49</v>
      </c>
      <c r="B40" s="181" cm="1">
        <f t="array" aca="1" ref="B40" ca="1">INDIRECT("'"&amp;B$21&amp;"NRARSummary'!F5")</f>
        <v>4.6266302756557347E-2</v>
      </c>
      <c r="C40" s="190" cm="1">
        <f t="array" aca="1" ref="C40" ca="1">INDIRECT("'"&amp;C$21&amp;"NRARSummary'!F5")</f>
        <v>4.6772548933228297E-2</v>
      </c>
      <c r="D40" s="73" cm="1">
        <f t="array" aca="1" ref="D40" ca="1">INDIRECT("'"&amp;D$21&amp;"NRARSummary'!F5")</f>
        <v>4.7400849881088378E-2</v>
      </c>
      <c r="E40" s="73" cm="1">
        <f t="array" aca="1" ref="E40" ca="1">INDIRECT("'"&amp;E$21&amp;"NRARSummary'!F5")</f>
        <v>4.8144543207382186E-2</v>
      </c>
      <c r="F40" s="190" cm="1">
        <f t="array" aca="1" ref="F40" ca="1">INDIRECT("'"&amp;F$21&amp;"NRARSummary'!F5")</f>
        <v>4.8861237983265131E-2</v>
      </c>
      <c r="G40" s="181" cm="1">
        <f t="array" aca="1" ref="G40" ca="1">INDIRECT("'"&amp;G$21&amp;"NRARSummary'!F5")</f>
        <v>4.9500088207539678E-2</v>
      </c>
      <c r="H40" s="170">
        <f ca="1">AVERAGE(G40,I40)</f>
        <v>5.0097716675863685E-2</v>
      </c>
      <c r="I40" s="203" cm="1">
        <f t="array" aca="1" ref="I40" ca="1">INDIRECT("'"&amp;I$21&amp;"NRARSummary'!F5")</f>
        <v>5.0695345144187685E-2</v>
      </c>
      <c r="K40" s="129" t="s">
        <v>49</v>
      </c>
      <c r="L40" s="5">
        <f t="shared" ca="1" si="37"/>
        <v>4.6266302756557347E-2</v>
      </c>
      <c r="M40" s="5">
        <f t="shared" ca="1" si="38"/>
        <v>4.6772548933228297E-2</v>
      </c>
      <c r="N40" s="5">
        <f t="shared" ca="1" si="34"/>
        <v>4.8861237983265131E-2</v>
      </c>
      <c r="O40" s="5">
        <f t="shared" ca="1" si="34"/>
        <v>4.9500088207539678E-2</v>
      </c>
      <c r="P40" s="5">
        <f t="shared" ca="1" si="35"/>
        <v>5.0695345144187685E-2</v>
      </c>
      <c r="Q40" s="5">
        <f t="shared" ca="1" si="39"/>
        <v>4.6266302756557347E-2</v>
      </c>
      <c r="R40" s="5">
        <f t="shared" ca="1" si="36"/>
        <v>4.9500088207539678E-2</v>
      </c>
    </row>
    <row r="41" spans="1:27" x14ac:dyDescent="0.25">
      <c r="A41" s="77" t="s">
        <v>51</v>
      </c>
      <c r="B41" s="181">
        <f ca="1">OFFSET(OnRoad!$G$6,MATCH(B37,OnRoad!$A$7:$A$17,0),0)</f>
        <v>3.9598171685311323E-2</v>
      </c>
      <c r="C41" s="190">
        <f ca="1">OFFSET(OnRoad!$G$6,MATCH(C37,OnRoad!$A$7:$A$17,0),0)</f>
        <v>4.010742608850091E-2</v>
      </c>
      <c r="D41" s="73">
        <f ca="1">OFFSET(OnRoad!$G$6,MATCH(D37,OnRoad!$A$7:$A$17,0),0)</f>
        <v>4.1002556673144376E-2</v>
      </c>
      <c r="E41" s="73">
        <f ca="1">OFFSET(OnRoad!$G$6,MATCH(E37,OnRoad!$A$7:$A$17,0),0)</f>
        <v>4.1651201013059955E-2</v>
      </c>
      <c r="F41" s="190">
        <f ca="1">OFFSET(OnRoad!$G$6,MATCH(F37,OnRoad!$A$7:$A$17,0),0)</f>
        <v>4.2265270018920061E-2</v>
      </c>
      <c r="G41" s="181">
        <f ca="1">OFFSET(OnRoad!$G$6,MATCH(G37,OnRoad!$A$7:$A$17,0),0)</f>
        <v>4.2878566709918041E-2</v>
      </c>
      <c r="H41" s="171">
        <f ca="1">OFFSET(OnRoad!$G$6,MATCH(H37,OnRoad!$A$7:$A$17,0),0)</f>
        <v>4.4091972142176146E-2</v>
      </c>
      <c r="I41" s="203">
        <f ca="1">OFFSET(OnRoad!$G$6,MATCH(I37,OnRoad!$A$7:$A$17,0),0)</f>
        <v>4.3909567020139796E-2</v>
      </c>
      <c r="K41" s="129" t="s">
        <v>51</v>
      </c>
      <c r="L41" s="5">
        <f t="shared" ca="1" si="37"/>
        <v>3.9598171685311323E-2</v>
      </c>
      <c r="M41" s="5">
        <f t="shared" ca="1" si="38"/>
        <v>4.010742608850091E-2</v>
      </c>
      <c r="N41" s="5">
        <f t="shared" ca="1" si="34"/>
        <v>4.2265270018920061E-2</v>
      </c>
      <c r="O41" s="5">
        <f t="shared" ca="1" si="34"/>
        <v>4.2878566709918041E-2</v>
      </c>
      <c r="P41" s="5">
        <f t="shared" ca="1" si="35"/>
        <v>4.3909567020139796E-2</v>
      </c>
      <c r="Q41" s="5">
        <f t="shared" ca="1" si="39"/>
        <v>3.9598171685311323E-2</v>
      </c>
      <c r="R41" s="5">
        <f t="shared" ca="1" si="36"/>
        <v>4.2878566709918041E-2</v>
      </c>
    </row>
    <row r="42" spans="1:27" ht="15.75" thickBot="1" x14ac:dyDescent="0.3">
      <c r="A42" s="81" t="s">
        <v>50</v>
      </c>
      <c r="B42" s="194" cm="1">
        <f t="array" aca="1" ref="B42" ca="1">INDIRECT("'"&amp;B$21&amp;"NRARSummary'!F9")</f>
        <v>2.1537311701706132E-3</v>
      </c>
      <c r="C42" s="198" cm="1">
        <f t="array" aca="1" ref="C42" ca="1">INDIRECT("'"&amp;C$21&amp;"NRARSummary'!F9")</f>
        <v>2.2135186441713836E-3</v>
      </c>
      <c r="D42" s="83" cm="1">
        <f t="array" aca="1" ref="D42" ca="1">INDIRECT("'"&amp;D$21&amp;"NRARSummary'!F9")</f>
        <v>2.2297585667924542E-3</v>
      </c>
      <c r="E42" s="83" cm="1">
        <f t="array" aca="1" ref="E42" ca="1">INDIRECT("'"&amp;E$21&amp;"NRARSummary'!F9")</f>
        <v>2.237753986123539E-3</v>
      </c>
      <c r="F42" s="198" cm="1">
        <f t="array" aca="1" ref="F42" ca="1">INDIRECT("'"&amp;F$21&amp;"NRARSummary'!F9")</f>
        <v>2.2388951569620908E-3</v>
      </c>
      <c r="G42" s="196" cm="1">
        <f t="array" aca="1" ref="G42" ca="1">INDIRECT("'"&amp;G$21&amp;"NRARSummary'!F9")</f>
        <v>2.2416453323973557E-3</v>
      </c>
      <c r="H42" s="172">
        <f ca="1">AVERAGE(G42,I42)</f>
        <v>2.2512593459298436E-3</v>
      </c>
      <c r="I42" s="204" cm="1">
        <f t="array" aca="1" ref="I42" ca="1">INDIRECT("'"&amp;I$21&amp;"NRARSummary'!F9")</f>
        <v>2.2608733594623315E-3</v>
      </c>
      <c r="K42" s="29" t="s">
        <v>50</v>
      </c>
      <c r="L42" s="31">
        <f t="shared" ca="1" si="37"/>
        <v>2.1537311701706132E-3</v>
      </c>
      <c r="M42" s="31">
        <f t="shared" ca="1" si="38"/>
        <v>2.2135186441713836E-3</v>
      </c>
      <c r="N42" s="31">
        <f t="shared" ca="1" si="34"/>
        <v>2.2388951569620908E-3</v>
      </c>
      <c r="O42" s="31">
        <f t="shared" ca="1" si="34"/>
        <v>2.2416453323973557E-3</v>
      </c>
      <c r="P42" s="31">
        <f t="shared" ca="1" si="35"/>
        <v>2.2608733594623315E-3</v>
      </c>
      <c r="Q42" s="31">
        <f t="shared" ca="1" si="39"/>
        <v>2.1537311701706132E-3</v>
      </c>
      <c r="R42" s="31">
        <f t="shared" ca="1" si="36"/>
        <v>2.2416453323973557E-3</v>
      </c>
    </row>
    <row r="43" spans="1:27" ht="15.75" thickBot="1" x14ac:dyDescent="0.3">
      <c r="A43" s="78" t="s">
        <v>17</v>
      </c>
      <c r="B43" s="195">
        <f ca="1">SUM(B38:B42)</f>
        <v>0.29306142179590283</v>
      </c>
      <c r="C43" s="199">
        <f t="shared" ref="C43:I43" ca="1" si="40">SUM(C38:C42)</f>
        <v>0.29777498066585384</v>
      </c>
      <c r="D43" s="79">
        <f t="shared" ca="1" si="40"/>
        <v>0.30510482597396332</v>
      </c>
      <c r="E43" s="79">
        <f t="shared" ca="1" si="40"/>
        <v>0.30946682127816139</v>
      </c>
      <c r="F43" s="199">
        <f t="shared" ca="1" si="40"/>
        <v>0.31262682888727361</v>
      </c>
      <c r="G43" s="197">
        <f t="shared" ca="1" si="40"/>
        <v>0.31602862610720778</v>
      </c>
      <c r="H43" s="79">
        <f t="shared" ca="1" si="40"/>
        <v>0.31930933238143649</v>
      </c>
      <c r="I43" s="205">
        <f t="shared" ca="1" si="40"/>
        <v>0.32107214198693868</v>
      </c>
      <c r="K43" s="2" t="s">
        <v>17</v>
      </c>
      <c r="L43" s="6">
        <f t="shared" ca="1" si="37"/>
        <v>0.29306142179590283</v>
      </c>
      <c r="M43" s="6">
        <f t="shared" ca="1" si="38"/>
        <v>0.29777498066585384</v>
      </c>
      <c r="N43" s="6">
        <f t="shared" ca="1" si="34"/>
        <v>0.31262682888727361</v>
      </c>
      <c r="O43" s="6">
        <f t="shared" ca="1" si="34"/>
        <v>0.31602862610720778</v>
      </c>
      <c r="P43" s="6">
        <f t="shared" ca="1" si="35"/>
        <v>0.32107214198693868</v>
      </c>
      <c r="Q43" s="6">
        <f t="shared" ca="1" si="39"/>
        <v>0.29306142179590283</v>
      </c>
      <c r="R43" s="6">
        <f t="shared" ca="1" si="36"/>
        <v>0.31602862610720778</v>
      </c>
    </row>
    <row r="44" spans="1:27" x14ac:dyDescent="0.25">
      <c r="K44" s="2" t="s">
        <v>238</v>
      </c>
      <c r="L44" s="6">
        <f ca="1">B46</f>
        <v>0.29306142179590283</v>
      </c>
      <c r="M44" s="6">
        <f ca="1">C46</f>
        <v>0.29765486265816382</v>
      </c>
      <c r="N44" s="6">
        <f ca="1">F46</f>
        <v>0.31143518524494679</v>
      </c>
      <c r="O44" s="6">
        <f t="shared" ref="O44:O46" ca="1" si="41">G46</f>
        <v>0.31602862610720778</v>
      </c>
      <c r="P44" s="6">
        <f ca="1">I46</f>
        <v>0.31602862610720778</v>
      </c>
      <c r="Q44" s="6">
        <f t="shared" ca="1" si="39"/>
        <v>0.29306142179590283</v>
      </c>
      <c r="R44" s="6">
        <f ca="1">G46</f>
        <v>0.31602862610720778</v>
      </c>
    </row>
    <row r="45" spans="1:27" x14ac:dyDescent="0.25">
      <c r="A45" s="120" t="s">
        <v>249</v>
      </c>
      <c r="B45" s="6">
        <f ca="1">-(G43-B43)/(G37-B37)</f>
        <v>-4.593440862260989E-3</v>
      </c>
      <c r="C45" s="129" t="s">
        <v>246</v>
      </c>
      <c r="K45" s="207" t="s">
        <v>239</v>
      </c>
      <c r="L45" s="5"/>
      <c r="M45" s="15">
        <f ca="1">C47</f>
        <v>-4.593440862260989E-3</v>
      </c>
      <c r="N45" s="15">
        <f ca="1">F47</f>
        <v>-1.8373763449043956E-2</v>
      </c>
      <c r="O45" s="15">
        <f t="shared" ca="1" si="41"/>
        <v>-2.2967204311304945E-2</v>
      </c>
      <c r="P45" s="15">
        <f ca="1">I47</f>
        <v>-2.2967204311304945E-2</v>
      </c>
      <c r="Q45" s="208"/>
      <c r="R45" s="15">
        <f ca="1">G47</f>
        <v>-2.2967204311304945E-2</v>
      </c>
    </row>
    <row r="46" spans="1:27" x14ac:dyDescent="0.25">
      <c r="A46" s="120" t="s">
        <v>255</v>
      </c>
      <c r="B46" s="6">
        <f ca="1">B43</f>
        <v>0.29306142179590283</v>
      </c>
      <c r="C46" s="6">
        <f ca="1">B46-$B45</f>
        <v>0.29765486265816382</v>
      </c>
      <c r="D46" s="6">
        <f t="shared" ref="D46" ca="1" si="42">C46-$B45</f>
        <v>0.30224830352042481</v>
      </c>
      <c r="E46" s="6">
        <f t="shared" ref="E46" ca="1" si="43">D46-$B45</f>
        <v>0.3068417443826858</v>
      </c>
      <c r="F46" s="6">
        <f t="shared" ref="F46" ca="1" si="44">E46-$B45</f>
        <v>0.31143518524494679</v>
      </c>
      <c r="G46" s="6">
        <f t="shared" ref="G46" ca="1" si="45">F46-$B45</f>
        <v>0.31602862610720778</v>
      </c>
      <c r="H46" s="6">
        <f ca="1">$G46</f>
        <v>0.31602862610720778</v>
      </c>
      <c r="I46" s="6">
        <f ca="1">$G46</f>
        <v>0.31602862610720778</v>
      </c>
      <c r="K46" s="2" t="s">
        <v>240</v>
      </c>
      <c r="L46" s="5"/>
      <c r="M46" s="6">
        <f ca="1">C48</f>
        <v>-4.7135588699510067E-3</v>
      </c>
      <c r="N46" s="6">
        <f ca="1">F48</f>
        <v>-1.9565407091370779E-2</v>
      </c>
      <c r="O46" s="6">
        <f t="shared" ca="1" si="41"/>
        <v>-2.2967204311304945E-2</v>
      </c>
      <c r="P46" s="6">
        <f ca="1">I48</f>
        <v>-2.8010720191035843E-2</v>
      </c>
      <c r="Q46" s="208"/>
      <c r="R46" s="6">
        <f ca="1">G48</f>
        <v>-2.2967204311304945E-2</v>
      </c>
    </row>
    <row r="47" spans="1:27" x14ac:dyDescent="0.25">
      <c r="A47" s="120" t="s">
        <v>250</v>
      </c>
      <c r="B47" s="121"/>
      <c r="C47" s="6">
        <f ca="1">$B45</f>
        <v>-4.593440862260989E-3</v>
      </c>
      <c r="D47" s="6">
        <f ca="1">C47+$B45</f>
        <v>-9.186881724521978E-3</v>
      </c>
      <c r="E47" s="6">
        <f ca="1">D47+$B45</f>
        <v>-1.3780322586782967E-2</v>
      </c>
      <c r="F47" s="6">
        <f ca="1">E47+$B45</f>
        <v>-1.8373763449043956E-2</v>
      </c>
      <c r="G47" s="6">
        <f ca="1">F47+$B45</f>
        <v>-2.2967204311304945E-2</v>
      </c>
      <c r="H47" s="6">
        <f ca="1">$G47</f>
        <v>-2.2967204311304945E-2</v>
      </c>
      <c r="I47" s="6">
        <f ca="1">$G47</f>
        <v>-2.2967204311304945E-2</v>
      </c>
      <c r="K47" s="2" t="s">
        <v>241</v>
      </c>
      <c r="M47" s="120" t="str">
        <f t="shared" ref="M47" ca="1" si="46">IF(ROUND(M46,3)&gt;=ROUND(M45,3),"Yes","No")</f>
        <v>Yes</v>
      </c>
      <c r="N47" s="120" t="str">
        <f t="shared" ref="N47" ca="1" si="47">IF(ROUND(N46,3)&gt;=ROUND(N45,3),"Yes","No")</f>
        <v>No</v>
      </c>
      <c r="O47" s="120" t="str">
        <f t="shared" ref="O47" ca="1" si="48">IF(ROUND(O46,3)&gt;=ROUND(O45,3),"Yes","No")</f>
        <v>Yes</v>
      </c>
      <c r="P47" s="120" t="str">
        <f t="shared" ref="P47" ca="1" si="49">IF(ROUND(P46,3)&gt;=ROUND(P45,3),"Yes","No")</f>
        <v>No</v>
      </c>
      <c r="Q47" s="120"/>
      <c r="R47" s="120" t="str">
        <f t="shared" ref="R47" ca="1" si="50">IF(ROUND(R46,3)&gt;=ROUND(R45,3),"Yes","No")</f>
        <v>Yes</v>
      </c>
    </row>
    <row r="48" spans="1:27" x14ac:dyDescent="0.25">
      <c r="A48" s="120" t="s">
        <v>251</v>
      </c>
      <c r="B48" s="121"/>
      <c r="C48" s="122">
        <f ca="1">$B43-C43</f>
        <v>-4.7135588699510067E-3</v>
      </c>
      <c r="D48" s="122">
        <f t="shared" ref="D48:I48" ca="1" si="51">$B43-D43</f>
        <v>-1.2043404178060491E-2</v>
      </c>
      <c r="E48" s="122">
        <f t="shared" ca="1" si="51"/>
        <v>-1.6405399482258554E-2</v>
      </c>
      <c r="F48" s="122">
        <f t="shared" ca="1" si="51"/>
        <v>-1.9565407091370779E-2</v>
      </c>
      <c r="G48" s="122">
        <f t="shared" ca="1" si="51"/>
        <v>-2.2967204311304945E-2</v>
      </c>
      <c r="H48" s="122">
        <f t="shared" ca="1" si="51"/>
        <v>-2.6247910585533663E-2</v>
      </c>
      <c r="I48" s="122">
        <f t="shared" ca="1" si="51"/>
        <v>-2.8010720191035843E-2</v>
      </c>
      <c r="M48" s="5"/>
    </row>
    <row r="49" spans="1:17" x14ac:dyDescent="0.25">
      <c r="A49" s="120" t="s">
        <v>252</v>
      </c>
      <c r="B49" s="121"/>
      <c r="C49" s="123">
        <f ca="1">C48-C47</f>
        <v>-1.2011800769001768E-4</v>
      </c>
      <c r="D49" s="123">
        <f t="shared" ref="D49:I49" ca="1" si="52">D48-D47</f>
        <v>-2.8565224535385125E-3</v>
      </c>
      <c r="E49" s="123">
        <f t="shared" ca="1" si="52"/>
        <v>-2.6250768954755865E-3</v>
      </c>
      <c r="F49" s="123">
        <f t="shared" ca="1" si="52"/>
        <v>-1.1916436423268228E-3</v>
      </c>
      <c r="G49" s="123">
        <f t="shared" ca="1" si="52"/>
        <v>0</v>
      </c>
      <c r="H49" s="123">
        <f t="shared" ca="1" si="52"/>
        <v>-3.2807062742287174E-3</v>
      </c>
      <c r="I49" s="123">
        <f t="shared" ca="1" si="52"/>
        <v>-5.0435158797308977E-3</v>
      </c>
    </row>
    <row r="53" spans="1:17" x14ac:dyDescent="0.25">
      <c r="A53" s="120" t="s">
        <v>281</v>
      </c>
      <c r="C53" s="212">
        <f ca="1">C9/C11</f>
        <v>7.2148124349356621E-2</v>
      </c>
      <c r="D53" s="2"/>
      <c r="E53" s="2"/>
      <c r="F53" s="212">
        <f ca="1">F9/F11</f>
        <v>8.037626693207589E-2</v>
      </c>
      <c r="G53" s="212">
        <f ca="1">G9/G11</f>
        <v>8.1669708851993192E-2</v>
      </c>
      <c r="H53" s="2"/>
      <c r="I53" s="212">
        <f ca="1">I9/I11</f>
        <v>8.2838708339590381E-2</v>
      </c>
      <c r="O53" s="211"/>
      <c r="P53" s="211"/>
      <c r="Q53" s="211"/>
    </row>
    <row r="56" spans="1:17" x14ac:dyDescent="0.25">
      <c r="K56" s="211" t="s">
        <v>278</v>
      </c>
      <c r="L56" s="211"/>
      <c r="M56" s="211"/>
      <c r="N56" s="211"/>
    </row>
    <row r="58" spans="1:17" x14ac:dyDescent="0.25">
      <c r="K58" s="57" t="s">
        <v>266</v>
      </c>
      <c r="L58" s="6">
        <f ca="1">B13</f>
        <v>0.23433785164421633</v>
      </c>
      <c r="M58" s="129" t="s">
        <v>279</v>
      </c>
    </row>
    <row r="59" spans="1:17" x14ac:dyDescent="0.25">
      <c r="K59" s="57"/>
    </row>
    <row r="60" spans="1:17" x14ac:dyDescent="0.25">
      <c r="K60" s="57" t="s">
        <v>267</v>
      </c>
      <c r="L60" s="5">
        <v>5.8155377686627263E-2</v>
      </c>
    </row>
    <row r="61" spans="1:17" x14ac:dyDescent="0.25">
      <c r="K61" s="57" t="s">
        <v>268</v>
      </c>
      <c r="L61" s="5">
        <v>1.8549241506374436E-2</v>
      </c>
    </row>
    <row r="62" spans="1:17" x14ac:dyDescent="0.25">
      <c r="K62" s="57" t="s">
        <v>269</v>
      </c>
      <c r="L62" s="5">
        <f ca="1">(P14-P13)/2</f>
        <v>0.11777144639214243</v>
      </c>
    </row>
    <row r="63" spans="1:17" x14ac:dyDescent="0.25">
      <c r="K63" s="57" t="s">
        <v>280</v>
      </c>
      <c r="L63" s="6">
        <f ca="1">SUM(L60:L62)</f>
        <v>0.19447606558514413</v>
      </c>
    </row>
    <row r="64" spans="1:17" x14ac:dyDescent="0.25">
      <c r="K64" s="57"/>
      <c r="L64" s="5"/>
    </row>
    <row r="65" spans="11:14" x14ac:dyDescent="0.25">
      <c r="L65" s="57" t="s">
        <v>276</v>
      </c>
      <c r="M65" s="57" t="s">
        <v>275</v>
      </c>
    </row>
    <row r="66" spans="11:14" x14ac:dyDescent="0.25">
      <c r="K66" s="57" t="s">
        <v>273</v>
      </c>
      <c r="L66" s="5">
        <f>M66*0.5</f>
        <v>0.33126753444500878</v>
      </c>
      <c r="M66" s="5">
        <f>SUM(M67:M68)</f>
        <v>0.66253506889001756</v>
      </c>
    </row>
    <row r="67" spans="11:14" x14ac:dyDescent="0.25">
      <c r="L67" s="57" t="s">
        <v>271</v>
      </c>
      <c r="M67" s="5">
        <v>0.53891117400047706</v>
      </c>
      <c r="N67" s="129" t="s">
        <v>277</v>
      </c>
    </row>
    <row r="68" spans="11:14" x14ac:dyDescent="0.25">
      <c r="L68" s="57" t="s">
        <v>272</v>
      </c>
      <c r="M68" s="5">
        <v>0.12362389488954047</v>
      </c>
      <c r="N68" s="129" t="s">
        <v>274</v>
      </c>
    </row>
    <row r="69" spans="11:14" x14ac:dyDescent="0.25">
      <c r="K69" s="57" t="s">
        <v>270</v>
      </c>
      <c r="L69" s="6">
        <f ca="1">SUM(L63:L66)</f>
        <v>0.52574360003015297</v>
      </c>
      <c r="M69" s="129" t="s">
        <v>279</v>
      </c>
    </row>
  </sheetData>
  <mergeCells count="12">
    <mergeCell ref="K1:R1"/>
    <mergeCell ref="T3:AA3"/>
    <mergeCell ref="T20:AA20"/>
    <mergeCell ref="T37:AA37"/>
    <mergeCell ref="K19:R19"/>
    <mergeCell ref="K3:R3"/>
    <mergeCell ref="K35:R35"/>
    <mergeCell ref="A1:I1"/>
    <mergeCell ref="A2:I2"/>
    <mergeCell ref="B4:I4"/>
    <mergeCell ref="B20:I20"/>
    <mergeCell ref="B36:I36"/>
  </mergeCells>
  <conditionalFormatting sqref="C33">
    <cfRule type="cellIs" dxfId="97" priority="148" operator="lessThan">
      <formula>0</formula>
    </cfRule>
    <cfRule type="cellIs" dxfId="96" priority="149" operator="greaterThan">
      <formula>0</formula>
    </cfRule>
    <cfRule type="cellIs" dxfId="95" priority="150" operator="greaterThan">
      <formula>"="</formula>
    </cfRule>
  </conditionalFormatting>
  <conditionalFormatting sqref="D33:I33">
    <cfRule type="cellIs" dxfId="94" priority="145" operator="lessThan">
      <formula>0</formula>
    </cfRule>
    <cfRule type="cellIs" dxfId="93" priority="146" operator="greaterThan">
      <formula>0</formula>
    </cfRule>
    <cfRule type="cellIs" dxfId="92" priority="147" operator="greaterThan">
      <formula>"="</formula>
    </cfRule>
  </conditionalFormatting>
  <conditionalFormatting sqref="C17">
    <cfRule type="cellIs" dxfId="91" priority="142" operator="lessThan">
      <formula>0</formula>
    </cfRule>
    <cfRule type="cellIs" dxfId="90" priority="143" operator="greaterThan">
      <formula>0</formula>
    </cfRule>
    <cfRule type="cellIs" dxfId="89" priority="144" operator="greaterThan">
      <formula>"="</formula>
    </cfRule>
  </conditionalFormatting>
  <conditionalFormatting sqref="D17:I17">
    <cfRule type="cellIs" dxfId="88" priority="139" operator="lessThan">
      <formula>0</formula>
    </cfRule>
    <cfRule type="cellIs" dxfId="87" priority="140" operator="greaterThan">
      <formula>0</formula>
    </cfRule>
    <cfRule type="cellIs" dxfId="86" priority="141" operator="greaterThan">
      <formula>"="</formula>
    </cfRule>
  </conditionalFormatting>
  <conditionalFormatting sqref="C49">
    <cfRule type="cellIs" dxfId="85" priority="136" operator="lessThan">
      <formula>0</formula>
    </cfRule>
    <cfRule type="cellIs" dxfId="84" priority="137" operator="greaterThan">
      <formula>0</formula>
    </cfRule>
    <cfRule type="cellIs" dxfId="83" priority="138" operator="greaterThan">
      <formula>"="</formula>
    </cfRule>
  </conditionalFormatting>
  <conditionalFormatting sqref="D49:I49">
    <cfRule type="cellIs" dxfId="82" priority="133" operator="lessThan">
      <formula>0</formula>
    </cfRule>
    <cfRule type="cellIs" dxfId="81" priority="134" operator="greaterThan">
      <formula>0</formula>
    </cfRule>
    <cfRule type="cellIs" dxfId="80" priority="135" operator="greaterThan">
      <formula>"="</formula>
    </cfRule>
  </conditionalFormatting>
  <conditionalFormatting sqref="P14 M30:N30">
    <cfRule type="cellIs" dxfId="79" priority="103" operator="lessThan">
      <formula>M13</formula>
    </cfRule>
    <cfRule type="cellIs" dxfId="78" priority="104" operator="greaterThanOrEqual">
      <formula>M13</formula>
    </cfRule>
  </conditionalFormatting>
  <conditionalFormatting sqref="M14">
    <cfRule type="cellIs" dxfId="77" priority="127" operator="lessThan">
      <formula>M13</formula>
    </cfRule>
    <cfRule type="cellIs" dxfId="76" priority="128" operator="greaterThanOrEqual">
      <formula>M13</formula>
    </cfRule>
  </conditionalFormatting>
  <conditionalFormatting sqref="P30">
    <cfRule type="cellIs" dxfId="75" priority="97" operator="lessThan">
      <formula>P29</formula>
    </cfRule>
    <cfRule type="cellIs" dxfId="74" priority="98" operator="greaterThanOrEqual">
      <formula>P29</formula>
    </cfRule>
  </conditionalFormatting>
  <conditionalFormatting sqref="R30">
    <cfRule type="cellIs" dxfId="73" priority="75" operator="lessThan">
      <formula>R29</formula>
    </cfRule>
    <cfRule type="cellIs" dxfId="72" priority="76" operator="greaterThanOrEqual">
      <formula>R29</formula>
    </cfRule>
  </conditionalFormatting>
  <conditionalFormatting sqref="N14">
    <cfRule type="cellIs" dxfId="71" priority="109" operator="lessThan">
      <formula>N13</formula>
    </cfRule>
    <cfRule type="cellIs" dxfId="70" priority="110" operator="greaterThanOrEqual">
      <formula>N13</formula>
    </cfRule>
  </conditionalFormatting>
  <conditionalFormatting sqref="R14">
    <cfRule type="cellIs" dxfId="69" priority="83" operator="lessThan">
      <formula>R13</formula>
    </cfRule>
    <cfRule type="cellIs" dxfId="68" priority="84" operator="greaterThanOrEqual">
      <formula>R13</formula>
    </cfRule>
  </conditionalFormatting>
  <conditionalFormatting sqref="Q13:Q14">
    <cfRule type="cellIs" dxfId="67" priority="79" operator="equal">
      <formula>"No"</formula>
    </cfRule>
    <cfRule type="cellIs" dxfId="66" priority="80" operator="equal">
      <formula>"Yes"</formula>
    </cfRule>
  </conditionalFormatting>
  <conditionalFormatting sqref="Q31">
    <cfRule type="cellIs" dxfId="65" priority="77" operator="equal">
      <formula>"No"</formula>
    </cfRule>
    <cfRule type="cellIs" dxfId="64" priority="78" operator="equal">
      <formula>"Yes"</formula>
    </cfRule>
  </conditionalFormatting>
  <conditionalFormatting sqref="Q29:Q30">
    <cfRule type="cellIs" dxfId="63" priority="71" operator="equal">
      <formula>"No"</formula>
    </cfRule>
    <cfRule type="cellIs" dxfId="62" priority="72" operator="equal">
      <formula>"Yes"</formula>
    </cfRule>
  </conditionalFormatting>
  <conditionalFormatting sqref="M46:N46">
    <cfRule type="cellIs" dxfId="61" priority="49" operator="lessThan">
      <formula>M45</formula>
    </cfRule>
    <cfRule type="cellIs" dxfId="60" priority="50" operator="greaterThanOrEqual">
      <formula>M45</formula>
    </cfRule>
  </conditionalFormatting>
  <conditionalFormatting sqref="O14">
    <cfRule type="cellIs" dxfId="59" priority="61" operator="lessThan">
      <formula>O13</formula>
    </cfRule>
    <cfRule type="cellIs" dxfId="58" priority="62" operator="greaterThanOrEqual">
      <formula>O13</formula>
    </cfRule>
  </conditionalFormatting>
  <conditionalFormatting sqref="O30">
    <cfRule type="cellIs" dxfId="57" priority="57" operator="lessThan">
      <formula>O29</formula>
    </cfRule>
    <cfRule type="cellIs" dxfId="56" priority="58" operator="greaterThanOrEqual">
      <formula>O29</formula>
    </cfRule>
  </conditionalFormatting>
  <conditionalFormatting sqref="O46">
    <cfRule type="cellIs" dxfId="55" priority="35" operator="lessThan">
      <formula>O45</formula>
    </cfRule>
    <cfRule type="cellIs" dxfId="54" priority="36" operator="greaterThanOrEqual">
      <formula>O45</formula>
    </cfRule>
  </conditionalFormatting>
  <conditionalFormatting sqref="P46">
    <cfRule type="cellIs" dxfId="53" priority="45" operator="lessThan">
      <formula>P45</formula>
    </cfRule>
    <cfRule type="cellIs" dxfId="52" priority="46" operator="greaterThanOrEqual">
      <formula>P45</formula>
    </cfRule>
  </conditionalFormatting>
  <conditionalFormatting sqref="Q47">
    <cfRule type="cellIs" dxfId="51" priority="43" operator="equal">
      <formula>"No"</formula>
    </cfRule>
    <cfRule type="cellIs" dxfId="50" priority="44" operator="equal">
      <formula>"Yes"</formula>
    </cfRule>
  </conditionalFormatting>
  <conditionalFormatting sqref="R46">
    <cfRule type="cellIs" dxfId="49" priority="41" operator="lessThan">
      <formula>R45</formula>
    </cfRule>
    <cfRule type="cellIs" dxfId="48" priority="42" operator="greaterThanOrEqual">
      <formula>R45</formula>
    </cfRule>
  </conditionalFormatting>
  <conditionalFormatting sqref="Q45:Q46">
    <cfRule type="cellIs" dxfId="47" priority="37" operator="equal">
      <formula>"No"</formula>
    </cfRule>
    <cfRule type="cellIs" dxfId="46" priority="38" operator="equal">
      <formula>"Yes"</formula>
    </cfRule>
  </conditionalFormatting>
  <conditionalFormatting sqref="M31:P31">
    <cfRule type="cellIs" dxfId="45" priority="17" operator="equal">
      <formula>"No"</formula>
    </cfRule>
    <cfRule type="cellIs" dxfId="44" priority="18" operator="equal">
      <formula>"Yes"</formula>
    </cfRule>
  </conditionalFormatting>
  <conditionalFormatting sqref="M47">
    <cfRule type="cellIs" dxfId="43" priority="13" operator="equal">
      <formula>"No"</formula>
    </cfRule>
    <cfRule type="cellIs" dxfId="42" priority="14" operator="equal">
      <formula>"Yes"</formula>
    </cfRule>
  </conditionalFormatting>
  <conditionalFormatting sqref="N47:P47">
    <cfRule type="cellIs" dxfId="41" priority="11" operator="equal">
      <formula>"No"</formula>
    </cfRule>
    <cfRule type="cellIs" dxfId="40" priority="12" operator="equal">
      <formula>"Yes"</formula>
    </cfRule>
  </conditionalFormatting>
  <conditionalFormatting sqref="R47">
    <cfRule type="cellIs" dxfId="39" priority="9" operator="equal">
      <formula>"No"</formula>
    </cfRule>
    <cfRule type="cellIs" dxfId="38" priority="10" operator="equal">
      <formula>"Yes"</formula>
    </cfRule>
  </conditionalFormatting>
  <conditionalFormatting sqref="R31">
    <cfRule type="cellIs" dxfId="37" priority="7" operator="equal">
      <formula>"No"</formula>
    </cfRule>
    <cfRule type="cellIs" dxfId="36" priority="8" operator="equal">
      <formula>"Yes"</formula>
    </cfRule>
  </conditionalFormatting>
  <conditionalFormatting sqref="Q15">
    <cfRule type="cellIs" dxfId="35" priority="5" operator="equal">
      <formula>"No"</formula>
    </cfRule>
    <cfRule type="cellIs" dxfId="34" priority="6" operator="equal">
      <formula>"Yes"</formula>
    </cfRule>
  </conditionalFormatting>
  <conditionalFormatting sqref="M15:P15">
    <cfRule type="cellIs" dxfId="33" priority="3" operator="equal">
      <formula>"No"</formula>
    </cfRule>
    <cfRule type="cellIs" dxfId="32" priority="4" operator="equal">
      <formula>"Yes"</formula>
    </cfRule>
  </conditionalFormatting>
  <conditionalFormatting sqref="R15">
    <cfRule type="cellIs" dxfId="31" priority="1" operator="equal">
      <formula>"No"</formula>
    </cfRule>
    <cfRule type="cellIs" dxfId="30" priority="2" operator="equal">
      <formula>"Yes"</formula>
    </cfRule>
  </conditionalFormatting>
  <pageMargins left="0.7" right="0.7" top="0.75" bottom="0.75" header="0.3" footer="0.3"/>
  <pageSetup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FFCD2-E164-4023-AF63-907D89F74DA1}">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169</v>
      </c>
    </row>
    <row r="3" spans="1:24" x14ac:dyDescent="0.25">
      <c r="A3" s="132" t="s">
        <v>199</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3.5024999999999999</v>
      </c>
      <c r="C7" s="129">
        <v>1.2800000000000001E-2</v>
      </c>
      <c r="D7" s="129">
        <v>0.18090000000000001</v>
      </c>
      <c r="E7" s="129">
        <v>0.30919999999999997</v>
      </c>
      <c r="F7" s="129">
        <v>0.30919999999999997</v>
      </c>
      <c r="G7" s="129">
        <v>0.31230000000000002</v>
      </c>
      <c r="H7" s="129">
        <v>0.96560000000000001</v>
      </c>
      <c r="I7" s="129">
        <v>26.197700000000001</v>
      </c>
      <c r="J7" s="129">
        <v>0.13370000000000001</v>
      </c>
      <c r="K7" s="129">
        <v>2.5024000000000002</v>
      </c>
      <c r="L7" s="129">
        <v>2.4851999999999999</v>
      </c>
      <c r="M7" s="129">
        <v>2.4851999999999999</v>
      </c>
      <c r="N7" s="129">
        <v>3.8954</v>
      </c>
      <c r="O7" s="129">
        <v>8.7414000000000005</v>
      </c>
      <c r="P7" s="129">
        <v>29.700199999999999</v>
      </c>
      <c r="Q7" s="129">
        <v>0.14649999999999999</v>
      </c>
      <c r="R7" s="129">
        <v>2.6831999999999998</v>
      </c>
      <c r="S7" s="129">
        <v>2.7944</v>
      </c>
      <c r="T7" s="129">
        <v>2.7944</v>
      </c>
      <c r="U7" s="129">
        <v>4.2077</v>
      </c>
      <c r="V7" s="129">
        <v>9.7070000000000007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1.09E-2</v>
      </c>
      <c r="E10" s="129">
        <v>2.9999999999999997E-4</v>
      </c>
      <c r="F10" s="129">
        <v>2.9999999999999997E-4</v>
      </c>
      <c r="G10" s="129">
        <v>7.7000000000000002E-3</v>
      </c>
      <c r="H10" s="129">
        <v>4.0000000000000002E-4</v>
      </c>
      <c r="I10" s="129">
        <v>1.54E-2</v>
      </c>
      <c r="J10" s="129">
        <v>8.0000000000000004E-4</v>
      </c>
      <c r="K10" s="129">
        <v>0.61909999999999998</v>
      </c>
      <c r="L10" s="129">
        <v>1.5699999999999999E-2</v>
      </c>
      <c r="M10" s="129">
        <v>1.5699999999999999E-2</v>
      </c>
      <c r="N10" s="129">
        <v>0.43759999999999999</v>
      </c>
      <c r="O10" s="129">
        <v>2.4500000000000001E-2</v>
      </c>
      <c r="P10" s="129">
        <v>1.5699999999999999E-2</v>
      </c>
      <c r="Q10" s="129">
        <v>8.9999999999999998E-4</v>
      </c>
      <c r="R10" s="129">
        <v>0.63</v>
      </c>
      <c r="S10" s="129">
        <v>1.6E-2</v>
      </c>
      <c r="T10" s="129">
        <v>1.6E-2</v>
      </c>
      <c r="U10" s="129">
        <v>0.44529999999999997</v>
      </c>
      <c r="V10" s="129">
        <v>2.5000000000000001E-2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0.20380000000000001</v>
      </c>
      <c r="C13" s="129">
        <v>2E-3</v>
      </c>
      <c r="D13" s="129">
        <v>7.4000000000000003E-3</v>
      </c>
      <c r="E13" s="129">
        <v>1.2500000000000001E-2</v>
      </c>
      <c r="F13" s="129">
        <v>1.2500000000000001E-2</v>
      </c>
      <c r="G13" s="129">
        <v>1.4500000000000001E-2</v>
      </c>
      <c r="H13" s="129">
        <v>1.5599999999999999E-2</v>
      </c>
      <c r="I13" s="129">
        <v>1.4481999999999999</v>
      </c>
      <c r="J13" s="129">
        <v>1.4E-2</v>
      </c>
      <c r="K13" s="129">
        <v>5.2299999999999999E-2</v>
      </c>
      <c r="L13" s="129">
        <v>8.8599999999999998E-2</v>
      </c>
      <c r="M13" s="129">
        <v>8.8599999999999998E-2</v>
      </c>
      <c r="N13" s="129">
        <v>0.1031</v>
      </c>
      <c r="O13" s="129">
        <v>0.1109</v>
      </c>
      <c r="P13" s="129">
        <v>1.6519999999999999</v>
      </c>
      <c r="Q13" s="129">
        <v>1.6E-2</v>
      </c>
      <c r="R13" s="129">
        <v>5.9700000000000003E-2</v>
      </c>
      <c r="S13" s="129">
        <v>0.1011</v>
      </c>
      <c r="T13" s="129">
        <v>0.1011</v>
      </c>
      <c r="U13" s="129">
        <v>0.1177</v>
      </c>
      <c r="V13" s="129">
        <v>0.1265</v>
      </c>
      <c r="W13" s="130" t="s">
        <v>180</v>
      </c>
      <c r="X13" s="130" t="s">
        <v>166</v>
      </c>
    </row>
    <row r="14" spans="1:24" x14ac:dyDescent="0.25">
      <c r="A14" s="130">
        <v>2104004000</v>
      </c>
      <c r="B14" s="129">
        <v>4.3E-3</v>
      </c>
      <c r="C14" s="129">
        <v>2.0000000000000001E-4</v>
      </c>
      <c r="D14" s="129">
        <v>0.1081</v>
      </c>
      <c r="E14" s="129">
        <v>4.4000000000000003E-3</v>
      </c>
      <c r="F14" s="129">
        <v>4.4000000000000003E-3</v>
      </c>
      <c r="G14" s="129">
        <v>0.27879999999999999</v>
      </c>
      <c r="H14" s="129">
        <v>6.8999999999999999E-3</v>
      </c>
      <c r="I14" s="129">
        <v>5.04E-2</v>
      </c>
      <c r="J14" s="129">
        <v>2.8E-3</v>
      </c>
      <c r="K14" s="129">
        <v>1.2629999999999999</v>
      </c>
      <c r="L14" s="129">
        <v>5.1400000000000001E-2</v>
      </c>
      <c r="M14" s="129">
        <v>5.1400000000000001E-2</v>
      </c>
      <c r="N14" s="129">
        <v>3.2545999999999999</v>
      </c>
      <c r="O14" s="129">
        <v>8.0299999999999996E-2</v>
      </c>
      <c r="P14" s="129">
        <v>5.4800000000000001E-2</v>
      </c>
      <c r="Q14" s="129">
        <v>3.0000000000000001E-3</v>
      </c>
      <c r="R14" s="129">
        <v>1.3711</v>
      </c>
      <c r="S14" s="129">
        <v>5.5800000000000002E-2</v>
      </c>
      <c r="T14" s="129">
        <v>5.5800000000000002E-2</v>
      </c>
      <c r="U14" s="129">
        <v>3.5333999999999999</v>
      </c>
      <c r="V14" s="129">
        <v>8.72E-2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0.38319999999999999</v>
      </c>
      <c r="C16" s="129">
        <v>2.7000000000000001E-3</v>
      </c>
      <c r="D16" s="129">
        <v>3.8999999999999998E-3</v>
      </c>
      <c r="E16" s="129">
        <v>5.2499999999999998E-2</v>
      </c>
      <c r="F16" s="129">
        <v>5.2499999999999998E-2</v>
      </c>
      <c r="G16" s="129">
        <v>5.9999999999999995E-4</v>
      </c>
      <c r="H16" s="129">
        <v>0.34739999999999999</v>
      </c>
      <c r="I16" s="129">
        <v>4.5663999999999998</v>
      </c>
      <c r="J16" s="129">
        <v>3.2500000000000001E-2</v>
      </c>
      <c r="K16" s="129">
        <v>4.7E-2</v>
      </c>
      <c r="L16" s="129">
        <v>0.62549999999999994</v>
      </c>
      <c r="M16" s="129">
        <v>0.62549999999999994</v>
      </c>
      <c r="N16" s="129">
        <v>7.1999999999999998E-3</v>
      </c>
      <c r="O16" s="129">
        <v>4.1398000000000001</v>
      </c>
      <c r="P16" s="129">
        <v>4.9496000000000002</v>
      </c>
      <c r="Q16" s="129">
        <v>3.5299999999999998E-2</v>
      </c>
      <c r="R16" s="129">
        <v>5.0900000000000001E-2</v>
      </c>
      <c r="S16" s="129">
        <v>0.67800000000000005</v>
      </c>
      <c r="T16" s="129">
        <v>0.67800000000000005</v>
      </c>
      <c r="U16" s="129">
        <v>7.7999999999999996E-3</v>
      </c>
      <c r="V16" s="129">
        <v>4.4870999999999999</v>
      </c>
      <c r="W16" s="130" t="s">
        <v>183</v>
      </c>
      <c r="X16" s="130" t="s">
        <v>168</v>
      </c>
    </row>
    <row r="17" spans="1:24" x14ac:dyDescent="0.25">
      <c r="A17" s="130">
        <v>2104008210</v>
      </c>
      <c r="B17" s="129">
        <v>5.4800000000000001E-2</v>
      </c>
      <c r="C17" s="129">
        <v>4.0000000000000002E-4</v>
      </c>
      <c r="D17" s="129">
        <v>6.9999999999999999E-4</v>
      </c>
      <c r="E17" s="129">
        <v>7.3000000000000001E-3</v>
      </c>
      <c r="F17" s="129">
        <v>7.3000000000000001E-3</v>
      </c>
      <c r="G17" s="129">
        <v>1E-4</v>
      </c>
      <c r="H17" s="129">
        <v>1.26E-2</v>
      </c>
      <c r="I17" s="129">
        <v>0.36820000000000003</v>
      </c>
      <c r="J17" s="129">
        <v>2.7000000000000001E-3</v>
      </c>
      <c r="K17" s="129">
        <v>4.4999999999999997E-3</v>
      </c>
      <c r="L17" s="129">
        <v>4.8800000000000003E-2</v>
      </c>
      <c r="M17" s="129">
        <v>4.8800000000000003E-2</v>
      </c>
      <c r="N17" s="129">
        <v>5.9999999999999995E-4</v>
      </c>
      <c r="O17" s="129">
        <v>8.4599999999999995E-2</v>
      </c>
      <c r="P17" s="129">
        <v>0.42299999999999999</v>
      </c>
      <c r="Q17" s="129">
        <v>3.0999999999999999E-3</v>
      </c>
      <c r="R17" s="129">
        <v>5.1000000000000004E-3</v>
      </c>
      <c r="S17" s="129">
        <v>5.6099999999999997E-2</v>
      </c>
      <c r="T17" s="129">
        <v>5.6099999999999997E-2</v>
      </c>
      <c r="U17" s="129">
        <v>6.9999999999999999E-4</v>
      </c>
      <c r="V17" s="129">
        <v>9.7100000000000006E-2</v>
      </c>
      <c r="W17" s="130" t="s">
        <v>184</v>
      </c>
      <c r="X17" s="130" t="s">
        <v>168</v>
      </c>
    </row>
    <row r="18" spans="1:24" x14ac:dyDescent="0.25">
      <c r="A18" s="130">
        <v>2104008220</v>
      </c>
      <c r="B18" s="129">
        <v>7.0400000000000004E-2</v>
      </c>
      <c r="C18" s="129">
        <v>5.0000000000000001E-4</v>
      </c>
      <c r="D18" s="129">
        <v>1E-3</v>
      </c>
      <c r="E18" s="129">
        <v>6.0000000000000001E-3</v>
      </c>
      <c r="F18" s="129">
        <v>6.0000000000000001E-3</v>
      </c>
      <c r="G18" s="129">
        <v>2.0000000000000001E-4</v>
      </c>
      <c r="H18" s="129">
        <v>6.0000000000000001E-3</v>
      </c>
      <c r="I18" s="129">
        <v>0.47289999999999999</v>
      </c>
      <c r="J18" s="129">
        <v>3.0000000000000001E-3</v>
      </c>
      <c r="K18" s="129">
        <v>6.7000000000000002E-3</v>
      </c>
      <c r="L18" s="129">
        <v>4.0300000000000002E-2</v>
      </c>
      <c r="M18" s="129">
        <v>4.0300000000000002E-2</v>
      </c>
      <c r="N18" s="129">
        <v>1.2999999999999999E-3</v>
      </c>
      <c r="O18" s="129">
        <v>4.0300000000000002E-2</v>
      </c>
      <c r="P18" s="129">
        <v>0.54339999999999999</v>
      </c>
      <c r="Q18" s="129">
        <v>3.5000000000000001E-3</v>
      </c>
      <c r="R18" s="129">
        <v>7.7000000000000002E-3</v>
      </c>
      <c r="S18" s="129">
        <v>4.6300000000000001E-2</v>
      </c>
      <c r="T18" s="129">
        <v>4.6300000000000001E-2</v>
      </c>
      <c r="U18" s="129">
        <v>1.5E-3</v>
      </c>
      <c r="V18" s="129">
        <v>4.6300000000000001E-2</v>
      </c>
      <c r="W18" s="130" t="s">
        <v>185</v>
      </c>
      <c r="X18" s="130" t="s">
        <v>168</v>
      </c>
    </row>
    <row r="19" spans="1:24" x14ac:dyDescent="0.25">
      <c r="A19" s="130">
        <v>2104008230</v>
      </c>
      <c r="B19" s="129">
        <v>3.2199999999999999E-2</v>
      </c>
      <c r="C19" s="129">
        <v>2.9999999999999997E-4</v>
      </c>
      <c r="D19" s="129">
        <v>5.9999999999999995E-4</v>
      </c>
      <c r="E19" s="129">
        <v>3.8999999999999998E-3</v>
      </c>
      <c r="F19" s="129">
        <v>3.8999999999999998E-3</v>
      </c>
      <c r="G19" s="129">
        <v>1E-4</v>
      </c>
      <c r="H19" s="129">
        <v>4.4999999999999997E-3</v>
      </c>
      <c r="I19" s="129">
        <v>0.21640000000000001</v>
      </c>
      <c r="J19" s="129">
        <v>1.8E-3</v>
      </c>
      <c r="K19" s="129">
        <v>4.0000000000000001E-3</v>
      </c>
      <c r="L19" s="129">
        <v>2.63E-2</v>
      </c>
      <c r="M19" s="129">
        <v>2.63E-2</v>
      </c>
      <c r="N19" s="129">
        <v>8.0000000000000004E-4</v>
      </c>
      <c r="O19" s="129">
        <v>3.0300000000000001E-2</v>
      </c>
      <c r="P19" s="129">
        <v>0.24859999999999999</v>
      </c>
      <c r="Q19" s="129">
        <v>2.0999999999999999E-3</v>
      </c>
      <c r="R19" s="129">
        <v>4.5999999999999999E-3</v>
      </c>
      <c r="S19" s="129">
        <v>3.0200000000000001E-2</v>
      </c>
      <c r="T19" s="129">
        <v>3.0200000000000001E-2</v>
      </c>
      <c r="U19" s="129">
        <v>8.9999999999999998E-4</v>
      </c>
      <c r="V19" s="129">
        <v>3.49E-2</v>
      </c>
      <c r="W19" s="130" t="s">
        <v>186</v>
      </c>
      <c r="X19" s="130" t="s">
        <v>168</v>
      </c>
    </row>
    <row r="20" spans="1:24" x14ac:dyDescent="0.25">
      <c r="A20" s="130">
        <v>2104008310</v>
      </c>
      <c r="B20" s="129">
        <v>0.58430000000000004</v>
      </c>
      <c r="C20" s="129">
        <v>1.9E-3</v>
      </c>
      <c r="D20" s="129">
        <v>7.0000000000000001E-3</v>
      </c>
      <c r="E20" s="129">
        <v>5.8599999999999999E-2</v>
      </c>
      <c r="F20" s="129">
        <v>5.8599999999999999E-2</v>
      </c>
      <c r="G20" s="129">
        <v>1.9E-3</v>
      </c>
      <c r="H20" s="129">
        <v>0.25559999999999999</v>
      </c>
      <c r="I20" s="129">
        <v>3.923</v>
      </c>
      <c r="J20" s="129">
        <v>1.29E-2</v>
      </c>
      <c r="K20" s="129">
        <v>4.7E-2</v>
      </c>
      <c r="L20" s="129">
        <v>0.3931</v>
      </c>
      <c r="M20" s="129">
        <v>0.3931</v>
      </c>
      <c r="N20" s="129">
        <v>1.2999999999999999E-2</v>
      </c>
      <c r="O20" s="129">
        <v>1.7159</v>
      </c>
      <c r="P20" s="129">
        <v>4.5073999999999996</v>
      </c>
      <c r="Q20" s="129">
        <v>1.4800000000000001E-2</v>
      </c>
      <c r="R20" s="129">
        <v>5.3999999999999999E-2</v>
      </c>
      <c r="S20" s="129">
        <v>0.45169999999999999</v>
      </c>
      <c r="T20" s="129">
        <v>0.45169999999999999</v>
      </c>
      <c r="U20" s="129">
        <v>1.49E-2</v>
      </c>
      <c r="V20" s="129">
        <v>1.9715</v>
      </c>
      <c r="W20" s="130" t="s">
        <v>187</v>
      </c>
      <c r="X20" s="130" t="s">
        <v>168</v>
      </c>
    </row>
    <row r="21" spans="1:24" x14ac:dyDescent="0.25">
      <c r="A21" s="130">
        <v>2104008320</v>
      </c>
      <c r="B21" s="129">
        <v>1.2553000000000001</v>
      </c>
      <c r="C21" s="129">
        <v>2.5000000000000001E-3</v>
      </c>
      <c r="D21" s="129">
        <v>1.6299999999999999E-2</v>
      </c>
      <c r="E21" s="129">
        <v>8.0500000000000002E-2</v>
      </c>
      <c r="F21" s="129">
        <v>8.0500000000000002E-2</v>
      </c>
      <c r="G21" s="129">
        <v>4.1000000000000003E-3</v>
      </c>
      <c r="H21" s="129">
        <v>0.12180000000000001</v>
      </c>
      <c r="I21" s="129">
        <v>8.4280000000000008</v>
      </c>
      <c r="J21" s="129">
        <v>1.7000000000000001E-2</v>
      </c>
      <c r="K21" s="129">
        <v>0.10970000000000001</v>
      </c>
      <c r="L21" s="129">
        <v>0.54020000000000001</v>
      </c>
      <c r="M21" s="129">
        <v>0.54020000000000001</v>
      </c>
      <c r="N21" s="129">
        <v>2.7300000000000001E-2</v>
      </c>
      <c r="O21" s="129">
        <v>0.81799999999999995</v>
      </c>
      <c r="P21" s="129">
        <v>9.6832999999999991</v>
      </c>
      <c r="Q21" s="129">
        <v>1.9599999999999999E-2</v>
      </c>
      <c r="R21" s="129">
        <v>0.126</v>
      </c>
      <c r="S21" s="129">
        <v>0.62070000000000003</v>
      </c>
      <c r="T21" s="129">
        <v>0.62070000000000003</v>
      </c>
      <c r="U21" s="129">
        <v>3.1300000000000001E-2</v>
      </c>
      <c r="V21" s="129">
        <v>0.93979999999999997</v>
      </c>
      <c r="W21" s="130" t="s">
        <v>188</v>
      </c>
      <c r="X21" s="130" t="s">
        <v>168</v>
      </c>
    </row>
    <row r="22" spans="1:24" x14ac:dyDescent="0.25">
      <c r="A22" s="130">
        <v>2104008330</v>
      </c>
      <c r="B22" s="129">
        <v>0.75580000000000003</v>
      </c>
      <c r="C22" s="129">
        <v>1.5E-3</v>
      </c>
      <c r="D22" s="129">
        <v>9.7999999999999997E-3</v>
      </c>
      <c r="E22" s="129">
        <v>5.3800000000000001E-2</v>
      </c>
      <c r="F22" s="129">
        <v>5.3800000000000001E-2</v>
      </c>
      <c r="G22" s="129">
        <v>2.3999999999999998E-3</v>
      </c>
      <c r="H22" s="129">
        <v>9.1700000000000004E-2</v>
      </c>
      <c r="I22" s="129">
        <v>5.0743</v>
      </c>
      <c r="J22" s="129">
        <v>1.0200000000000001E-2</v>
      </c>
      <c r="K22" s="129">
        <v>6.6000000000000003E-2</v>
      </c>
      <c r="L22" s="129">
        <v>0.3609</v>
      </c>
      <c r="M22" s="129">
        <v>0.3609</v>
      </c>
      <c r="N22" s="129">
        <v>1.6400000000000001E-2</v>
      </c>
      <c r="O22" s="129">
        <v>0.61560000000000004</v>
      </c>
      <c r="P22" s="129">
        <v>5.8300999999999998</v>
      </c>
      <c r="Q22" s="129">
        <v>1.18E-2</v>
      </c>
      <c r="R22" s="129">
        <v>7.5899999999999995E-2</v>
      </c>
      <c r="S22" s="129">
        <v>0.41460000000000002</v>
      </c>
      <c r="T22" s="129">
        <v>0.41460000000000002</v>
      </c>
      <c r="U22" s="129">
        <v>1.89E-2</v>
      </c>
      <c r="V22" s="129">
        <v>0.70730000000000004</v>
      </c>
      <c r="W22" s="130" t="s">
        <v>189</v>
      </c>
      <c r="X22" s="130" t="s">
        <v>168</v>
      </c>
    </row>
    <row r="23" spans="1:24" x14ac:dyDescent="0.25">
      <c r="A23" s="130">
        <v>2104008410</v>
      </c>
      <c r="B23" s="129">
        <v>6.7000000000000002E-3</v>
      </c>
      <c r="C23" s="129">
        <v>0</v>
      </c>
      <c r="D23" s="129">
        <v>2.7000000000000001E-3</v>
      </c>
      <c r="E23" s="129">
        <v>2E-3</v>
      </c>
      <c r="F23" s="129">
        <v>2E-3</v>
      </c>
      <c r="G23" s="129">
        <v>2.0000000000000001E-4</v>
      </c>
      <c r="H23" s="129">
        <v>1.5E-3</v>
      </c>
      <c r="I23" s="129">
        <v>4.4699999999999997E-2</v>
      </c>
      <c r="J23" s="129">
        <v>2.9999999999999997E-4</v>
      </c>
      <c r="K23" s="129">
        <v>1.7999999999999999E-2</v>
      </c>
      <c r="L23" s="129">
        <v>1.3299999999999999E-2</v>
      </c>
      <c r="M23" s="129">
        <v>1.3299999999999999E-2</v>
      </c>
      <c r="N23" s="129">
        <v>1.4E-3</v>
      </c>
      <c r="O23" s="129">
        <v>1.03E-2</v>
      </c>
      <c r="P23" s="129">
        <v>5.1299999999999998E-2</v>
      </c>
      <c r="Q23" s="129">
        <v>4.0000000000000002E-4</v>
      </c>
      <c r="R23" s="129">
        <v>2.07E-2</v>
      </c>
      <c r="S23" s="129">
        <v>1.5299999999999999E-2</v>
      </c>
      <c r="T23" s="129">
        <v>1.5299999999999999E-2</v>
      </c>
      <c r="U23" s="129">
        <v>1.6999999999999999E-3</v>
      </c>
      <c r="V23" s="129">
        <v>1.1900000000000001E-2</v>
      </c>
      <c r="W23" s="130" t="s">
        <v>190</v>
      </c>
      <c r="X23" s="130" t="s">
        <v>168</v>
      </c>
    </row>
    <row r="24" spans="1:24" x14ac:dyDescent="0.25">
      <c r="A24" s="130">
        <v>2104008420</v>
      </c>
      <c r="B24" s="129">
        <v>2.24E-2</v>
      </c>
      <c r="C24" s="129">
        <v>2.0000000000000001E-4</v>
      </c>
      <c r="D24" s="129">
        <v>9.1000000000000004E-3</v>
      </c>
      <c r="E24" s="129">
        <v>6.7000000000000002E-3</v>
      </c>
      <c r="F24" s="129">
        <v>6.7000000000000002E-3</v>
      </c>
      <c r="G24" s="129">
        <v>6.9999999999999999E-4</v>
      </c>
      <c r="H24" s="129">
        <v>5.1999999999999998E-3</v>
      </c>
      <c r="I24" s="129">
        <v>0.1507</v>
      </c>
      <c r="J24" s="129">
        <v>1.1000000000000001E-3</v>
      </c>
      <c r="K24" s="129">
        <v>6.08E-2</v>
      </c>
      <c r="L24" s="129">
        <v>4.4900000000000002E-2</v>
      </c>
      <c r="M24" s="129">
        <v>4.4900000000000002E-2</v>
      </c>
      <c r="N24" s="129">
        <v>4.8999999999999998E-3</v>
      </c>
      <c r="O24" s="129">
        <v>3.4799999999999998E-2</v>
      </c>
      <c r="P24" s="129">
        <v>0.17319999999999999</v>
      </c>
      <c r="Q24" s="129">
        <v>1.2999999999999999E-3</v>
      </c>
      <c r="R24" s="129">
        <v>6.9800000000000001E-2</v>
      </c>
      <c r="S24" s="129">
        <v>5.16E-2</v>
      </c>
      <c r="T24" s="129">
        <v>5.16E-2</v>
      </c>
      <c r="U24" s="129">
        <v>5.5999999999999999E-3</v>
      </c>
      <c r="V24" s="129">
        <v>0.04</v>
      </c>
      <c r="W24" s="130" t="s">
        <v>191</v>
      </c>
      <c r="X24" s="130" t="s">
        <v>168</v>
      </c>
    </row>
    <row r="25" spans="1:24" x14ac:dyDescent="0.25">
      <c r="A25" s="130">
        <v>2104008610</v>
      </c>
      <c r="B25" s="129">
        <v>0.1283</v>
      </c>
      <c r="C25" s="129">
        <v>5.0000000000000001E-4</v>
      </c>
      <c r="D25" s="129">
        <v>3.3999999999999998E-3</v>
      </c>
      <c r="E25" s="129">
        <v>2.0899999999999998E-2</v>
      </c>
      <c r="F25" s="129">
        <v>2.0899999999999998E-2</v>
      </c>
      <c r="G25" s="129">
        <v>8.0000000000000004E-4</v>
      </c>
      <c r="H25" s="129">
        <v>9.6199999999999994E-2</v>
      </c>
      <c r="I25" s="129">
        <v>1.3694999999999999</v>
      </c>
      <c r="J25" s="129">
        <v>5.4999999999999997E-3</v>
      </c>
      <c r="K25" s="129">
        <v>3.6499999999999998E-2</v>
      </c>
      <c r="L25" s="129">
        <v>0.22320000000000001</v>
      </c>
      <c r="M25" s="129">
        <v>0.22320000000000001</v>
      </c>
      <c r="N25" s="129">
        <v>8.9999999999999993E-3</v>
      </c>
      <c r="O25" s="129">
        <v>1.0265</v>
      </c>
      <c r="P25" s="129">
        <v>1.4978</v>
      </c>
      <c r="Q25" s="129">
        <v>6.0000000000000001E-3</v>
      </c>
      <c r="R25" s="129">
        <v>3.9899999999999998E-2</v>
      </c>
      <c r="S25" s="129">
        <v>0.24410000000000001</v>
      </c>
      <c r="T25" s="129">
        <v>0.24410000000000001</v>
      </c>
      <c r="U25" s="129">
        <v>9.9000000000000008E-3</v>
      </c>
      <c r="V25" s="129">
        <v>1.1227</v>
      </c>
      <c r="W25" s="130" t="s">
        <v>192</v>
      </c>
      <c r="X25" s="130" t="s">
        <v>168</v>
      </c>
    </row>
    <row r="26" spans="1:24" x14ac:dyDescent="0.25">
      <c r="X26" s="130"/>
    </row>
    <row r="27" spans="1:24" x14ac:dyDescent="0.25">
      <c r="B27" s="134">
        <f>SUMIFS(B8:B25,$X8:$X25,$X27)/B7</f>
        <v>0.94038543897216287</v>
      </c>
      <c r="C27" s="134">
        <f t="shared" ref="C27:V27" si="0">SUMIFS(C8:C25,$X8:$X25,$X27)/C7</f>
        <v>0.8203125</v>
      </c>
      <c r="D27" s="134">
        <f t="shared" si="0"/>
        <v>0.30127142067440577</v>
      </c>
      <c r="E27" s="134">
        <f t="shared" si="0"/>
        <v>0.94501940491591196</v>
      </c>
      <c r="F27" s="134">
        <f t="shared" si="0"/>
        <v>0.94501940491591196</v>
      </c>
      <c r="G27" s="134">
        <f t="shared" si="0"/>
        <v>3.5542747358309319E-2</v>
      </c>
      <c r="H27" s="134">
        <f t="shared" si="0"/>
        <v>0.97628417564208769</v>
      </c>
      <c r="I27" s="134">
        <f t="shared" si="0"/>
        <v>0.9396244708504945</v>
      </c>
      <c r="J27" s="134">
        <f t="shared" si="0"/>
        <v>0.6507105459985042</v>
      </c>
      <c r="K27" s="134">
        <f t="shared" si="0"/>
        <v>0.15992647058823528</v>
      </c>
      <c r="L27" s="134">
        <f t="shared" si="0"/>
        <v>0.93223885401577355</v>
      </c>
      <c r="M27" s="134">
        <f t="shared" si="0"/>
        <v>0.93223885401577355</v>
      </c>
      <c r="N27" s="134">
        <f t="shared" si="0"/>
        <v>2.1024798480258768E-2</v>
      </c>
      <c r="O27" s="134">
        <f t="shared" si="0"/>
        <v>0.97432905484247367</v>
      </c>
      <c r="P27" s="134">
        <f t="shared" si="0"/>
        <v>0.93971757765940989</v>
      </c>
      <c r="Q27" s="134">
        <f t="shared" si="0"/>
        <v>0.668259385665529</v>
      </c>
      <c r="R27" s="134">
        <f t="shared" si="0"/>
        <v>0.16942456768038164</v>
      </c>
      <c r="S27" s="134">
        <f t="shared" si="0"/>
        <v>0.93361723446893785</v>
      </c>
      <c r="T27" s="134">
        <f t="shared" si="0"/>
        <v>0.93361723446893785</v>
      </c>
      <c r="U27" s="134">
        <f t="shared" si="0"/>
        <v>2.2149868098961425E-2</v>
      </c>
      <c r="V27" s="134">
        <f t="shared" si="0"/>
        <v>0.97452353971360861</v>
      </c>
      <c r="X27" s="130" t="s">
        <v>168</v>
      </c>
    </row>
    <row r="28" spans="1:24" x14ac:dyDescent="0.25">
      <c r="B28" s="134">
        <f>SUMIFS(B8:B25,$X8:$X25,$X28)/B7</f>
        <v>1.3133476088508208E-3</v>
      </c>
      <c r="C28" s="134">
        <f t="shared" ref="C28:V28" si="1">SUMIFS(C8:C25,$X8:$X25,$X28)/C7</f>
        <v>1.5625E-2</v>
      </c>
      <c r="D28" s="134">
        <f t="shared" si="1"/>
        <v>0.6578220011055832</v>
      </c>
      <c r="E28" s="134">
        <f t="shared" si="1"/>
        <v>1.5200517464424322E-2</v>
      </c>
      <c r="F28" s="134">
        <f t="shared" si="1"/>
        <v>1.5200517464424322E-2</v>
      </c>
      <c r="G28" s="134">
        <f t="shared" si="1"/>
        <v>0.91738712776176734</v>
      </c>
      <c r="H28" s="134">
        <f t="shared" si="1"/>
        <v>7.5600662800331397E-3</v>
      </c>
      <c r="I28" s="134">
        <f t="shared" si="1"/>
        <v>2.511670871870431E-3</v>
      </c>
      <c r="J28" s="134">
        <f t="shared" si="1"/>
        <v>2.6925953627524306E-2</v>
      </c>
      <c r="K28" s="134">
        <f t="shared" si="1"/>
        <v>0.75211796675191811</v>
      </c>
      <c r="L28" s="134">
        <f t="shared" si="1"/>
        <v>2.6999839047159181E-2</v>
      </c>
      <c r="M28" s="134">
        <f t="shared" si="1"/>
        <v>2.6999839047159181E-2</v>
      </c>
      <c r="N28" s="134">
        <f t="shared" si="1"/>
        <v>0.94783590902089643</v>
      </c>
      <c r="O28" s="134">
        <f t="shared" si="1"/>
        <v>1.1988926258951656E-2</v>
      </c>
      <c r="P28" s="134">
        <f t="shared" si="1"/>
        <v>2.3737213890815552E-3</v>
      </c>
      <c r="Q28" s="134">
        <f t="shared" si="1"/>
        <v>2.6621160409556314E-2</v>
      </c>
      <c r="R28" s="134">
        <f t="shared" si="1"/>
        <v>0.7457886106141921</v>
      </c>
      <c r="S28" s="134">
        <f t="shared" si="1"/>
        <v>2.5694245634125396E-2</v>
      </c>
      <c r="T28" s="134">
        <f t="shared" si="1"/>
        <v>2.5694245634125396E-2</v>
      </c>
      <c r="U28" s="134">
        <f t="shared" si="1"/>
        <v>0.94557596786843168</v>
      </c>
      <c r="V28" s="134">
        <f t="shared" si="1"/>
        <v>1.1558669001751311E-2</v>
      </c>
      <c r="X28" s="130" t="s">
        <v>167</v>
      </c>
    </row>
    <row r="29" spans="1:24" x14ac:dyDescent="0.25">
      <c r="B29" s="134">
        <f>SUMIFS(B8:B25,$X8:$X25,$X29)/B7</f>
        <v>5.8272662384011423E-2</v>
      </c>
      <c r="C29" s="134">
        <f t="shared" ref="C29:V29" si="2">SUMIFS(C8:C25,$X8:$X25,$X29)/C7</f>
        <v>0.15625</v>
      </c>
      <c r="D29" s="134">
        <f t="shared" si="2"/>
        <v>4.0906578220011057E-2</v>
      </c>
      <c r="E29" s="134">
        <f t="shared" si="2"/>
        <v>4.0426908150064687E-2</v>
      </c>
      <c r="F29" s="134">
        <f t="shared" si="2"/>
        <v>4.0426908150064687E-2</v>
      </c>
      <c r="G29" s="134">
        <f t="shared" si="2"/>
        <v>4.642971501761127E-2</v>
      </c>
      <c r="H29" s="134">
        <f t="shared" si="2"/>
        <v>1.6155758077879039E-2</v>
      </c>
      <c r="I29" s="134">
        <f t="shared" si="2"/>
        <v>5.5443798501395157E-2</v>
      </c>
      <c r="J29" s="134">
        <f t="shared" si="2"/>
        <v>0.10471204188481674</v>
      </c>
      <c r="K29" s="134">
        <f t="shared" si="2"/>
        <v>2.0979859335038362E-2</v>
      </c>
      <c r="L29" s="134">
        <f t="shared" si="2"/>
        <v>3.5771768871720587E-2</v>
      </c>
      <c r="M29" s="134">
        <f t="shared" si="2"/>
        <v>3.5771768871720587E-2</v>
      </c>
      <c r="N29" s="134">
        <f t="shared" si="2"/>
        <v>2.6544128972634386E-2</v>
      </c>
      <c r="O29" s="134">
        <f t="shared" si="2"/>
        <v>1.2721074427437251E-2</v>
      </c>
      <c r="P29" s="134">
        <f t="shared" si="2"/>
        <v>5.5774035191682211E-2</v>
      </c>
      <c r="Q29" s="134">
        <f t="shared" si="2"/>
        <v>0.10921501706484643</v>
      </c>
      <c r="R29" s="134">
        <f t="shared" si="2"/>
        <v>2.2324090638044129E-2</v>
      </c>
      <c r="S29" s="134">
        <f t="shared" si="2"/>
        <v>3.6286859433152012E-2</v>
      </c>
      <c r="T29" s="134">
        <f t="shared" si="2"/>
        <v>3.6286859433152012E-2</v>
      </c>
      <c r="U29" s="134">
        <f t="shared" si="2"/>
        <v>2.8043824417140005E-2</v>
      </c>
      <c r="V29" s="134">
        <f t="shared" si="2"/>
        <v>1.3062738230143194E-2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2.4200597762398988E-3</v>
      </c>
      <c r="J30" s="134">
        <f t="shared" si="3"/>
        <v>0.21615557217651454</v>
      </c>
      <c r="K30" s="134">
        <f t="shared" si="3"/>
        <v>6.6895780051150891E-2</v>
      </c>
      <c r="L30" s="134">
        <f t="shared" si="3"/>
        <v>5.0297762755512638E-3</v>
      </c>
      <c r="M30" s="134">
        <f t="shared" si="3"/>
        <v>5.0297762755512638E-3</v>
      </c>
      <c r="N30" s="134">
        <f t="shared" si="3"/>
        <v>4.5438209169790002E-3</v>
      </c>
      <c r="O30" s="134">
        <f t="shared" si="3"/>
        <v>9.6094447113734629E-4</v>
      </c>
      <c r="P30" s="134">
        <f t="shared" si="3"/>
        <v>2.1346657598265333E-3</v>
      </c>
      <c r="Q30" s="134">
        <f t="shared" si="3"/>
        <v>0.19726962457337885</v>
      </c>
      <c r="R30" s="134">
        <f t="shared" si="3"/>
        <v>6.238819320214669E-2</v>
      </c>
      <c r="S30" s="134">
        <f t="shared" si="3"/>
        <v>4.4732321786430003E-3</v>
      </c>
      <c r="T30" s="134">
        <f t="shared" si="3"/>
        <v>4.4732321786430003E-3</v>
      </c>
      <c r="U30" s="134">
        <f t="shared" si="3"/>
        <v>4.2065736625709997E-3</v>
      </c>
      <c r="V30" s="134">
        <f t="shared" si="3"/>
        <v>8.653548985268362E-4</v>
      </c>
      <c r="X30" s="130" t="s">
        <v>165</v>
      </c>
    </row>
    <row r="33" spans="1:24" x14ac:dyDescent="0.25">
      <c r="A33" s="129" t="s">
        <v>171</v>
      </c>
    </row>
    <row r="34" spans="1:24" x14ac:dyDescent="0.25">
      <c r="A34" s="132" t="s">
        <v>200</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3.5024999999999999</v>
      </c>
      <c r="C38" s="129">
        <v>1.2800000000000001E-2</v>
      </c>
      <c r="D38" s="129">
        <v>0.18090000000000001</v>
      </c>
      <c r="E38" s="129">
        <v>0.30919999999999997</v>
      </c>
      <c r="F38" s="129">
        <v>0.30919999999999997</v>
      </c>
      <c r="G38" s="129">
        <v>0.31230000000000002</v>
      </c>
      <c r="H38" s="129">
        <v>0.96560000000000001</v>
      </c>
      <c r="I38" s="129">
        <v>26.197700000000001</v>
      </c>
      <c r="J38" s="129">
        <v>0.13370000000000001</v>
      </c>
      <c r="K38" s="129">
        <v>2.5024000000000002</v>
      </c>
      <c r="L38" s="129">
        <v>1.8292999999999999</v>
      </c>
      <c r="M38" s="129">
        <v>1.8292999999999999</v>
      </c>
      <c r="N38" s="129">
        <v>3.8913000000000002</v>
      </c>
      <c r="O38" s="129">
        <v>8.7414000000000005</v>
      </c>
      <c r="P38" s="129">
        <v>29.700199999999999</v>
      </c>
      <c r="Q38" s="129">
        <v>0.14649999999999999</v>
      </c>
      <c r="R38" s="129">
        <v>2.6831999999999998</v>
      </c>
      <c r="S38" s="129">
        <v>2.1385000000000001</v>
      </c>
      <c r="T38" s="129">
        <v>2.1385000000000001</v>
      </c>
      <c r="U38" s="129">
        <v>4.2035999999999998</v>
      </c>
      <c r="V38" s="129">
        <v>9.7070000000000007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1.09E-2</v>
      </c>
      <c r="E41" s="129">
        <v>2.9999999999999997E-4</v>
      </c>
      <c r="F41" s="129">
        <v>2.9999999999999997E-4</v>
      </c>
      <c r="G41" s="129">
        <v>7.7000000000000002E-3</v>
      </c>
      <c r="H41" s="129">
        <v>4.0000000000000002E-4</v>
      </c>
      <c r="I41" s="129">
        <v>1.54E-2</v>
      </c>
      <c r="J41" s="129">
        <v>8.0000000000000004E-4</v>
      </c>
      <c r="K41" s="129">
        <v>0.61909999999999998</v>
      </c>
      <c r="L41" s="129">
        <v>1.5699999999999999E-2</v>
      </c>
      <c r="M41" s="129">
        <v>1.5699999999999999E-2</v>
      </c>
      <c r="N41" s="129">
        <v>0.43759999999999999</v>
      </c>
      <c r="O41" s="129">
        <v>2.4500000000000001E-2</v>
      </c>
      <c r="P41" s="129">
        <v>1.5699999999999999E-2</v>
      </c>
      <c r="Q41" s="129">
        <v>8.9999999999999998E-4</v>
      </c>
      <c r="R41" s="129">
        <v>0.63</v>
      </c>
      <c r="S41" s="129">
        <v>1.6E-2</v>
      </c>
      <c r="T41" s="129">
        <v>1.6E-2</v>
      </c>
      <c r="U41" s="129">
        <v>0.44529999999999997</v>
      </c>
      <c r="V41" s="129">
        <v>2.5000000000000001E-2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0.20380000000000001</v>
      </c>
      <c r="C44" s="129">
        <v>2E-3</v>
      </c>
      <c r="D44" s="129">
        <v>7.4000000000000003E-3</v>
      </c>
      <c r="E44" s="129">
        <v>1.2500000000000001E-2</v>
      </c>
      <c r="F44" s="129">
        <v>1.2500000000000001E-2</v>
      </c>
      <c r="G44" s="129">
        <v>1.4500000000000001E-2</v>
      </c>
      <c r="H44" s="129">
        <v>1.5599999999999999E-2</v>
      </c>
      <c r="I44" s="129">
        <v>1.4481999999999999</v>
      </c>
      <c r="J44" s="129">
        <v>1.4E-2</v>
      </c>
      <c r="K44" s="129">
        <v>5.2299999999999999E-2</v>
      </c>
      <c r="L44" s="129">
        <v>7.7700000000000005E-2</v>
      </c>
      <c r="M44" s="129">
        <v>7.7700000000000005E-2</v>
      </c>
      <c r="N44" s="129">
        <v>0.1032</v>
      </c>
      <c r="O44" s="129">
        <v>0.1109</v>
      </c>
      <c r="P44" s="129">
        <v>1.6519999999999999</v>
      </c>
      <c r="Q44" s="129">
        <v>1.6E-2</v>
      </c>
      <c r="R44" s="129">
        <v>5.9700000000000003E-2</v>
      </c>
      <c r="S44" s="129">
        <v>9.0200000000000002E-2</v>
      </c>
      <c r="T44" s="129">
        <v>9.0200000000000002E-2</v>
      </c>
      <c r="U44" s="129">
        <v>0.1177</v>
      </c>
      <c r="V44" s="129">
        <v>0.1265</v>
      </c>
      <c r="W44" s="130" t="s">
        <v>180</v>
      </c>
      <c r="X44" s="130" t="s">
        <v>166</v>
      </c>
    </row>
    <row r="45" spans="1:24" x14ac:dyDescent="0.25">
      <c r="A45" s="130">
        <v>2104004000</v>
      </c>
      <c r="B45" s="129">
        <v>4.3E-3</v>
      </c>
      <c r="C45" s="129">
        <v>2.0000000000000001E-4</v>
      </c>
      <c r="D45" s="129">
        <v>0.1081</v>
      </c>
      <c r="E45" s="129">
        <v>4.4000000000000003E-3</v>
      </c>
      <c r="F45" s="129">
        <v>4.4000000000000003E-3</v>
      </c>
      <c r="G45" s="129">
        <v>0.27879999999999999</v>
      </c>
      <c r="H45" s="129">
        <v>6.8999999999999999E-3</v>
      </c>
      <c r="I45" s="129">
        <v>5.04E-2</v>
      </c>
      <c r="J45" s="129">
        <v>2.8E-3</v>
      </c>
      <c r="K45" s="129">
        <v>1.2629999999999999</v>
      </c>
      <c r="L45" s="129">
        <v>4.5199999999999997E-2</v>
      </c>
      <c r="M45" s="129">
        <v>4.5199999999999997E-2</v>
      </c>
      <c r="N45" s="129">
        <v>3.2631000000000001</v>
      </c>
      <c r="O45" s="129">
        <v>8.0299999999999996E-2</v>
      </c>
      <c r="P45" s="129">
        <v>5.4800000000000001E-2</v>
      </c>
      <c r="Q45" s="129">
        <v>3.0000000000000001E-3</v>
      </c>
      <c r="R45" s="129">
        <v>1.3711</v>
      </c>
      <c r="S45" s="129">
        <v>4.9599999999999998E-2</v>
      </c>
      <c r="T45" s="129">
        <v>4.9599999999999998E-2</v>
      </c>
      <c r="U45" s="129">
        <v>3.5419</v>
      </c>
      <c r="V45" s="129">
        <v>8.72E-2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0.38319999999999999</v>
      </c>
      <c r="C47" s="129">
        <v>2.7000000000000001E-3</v>
      </c>
      <c r="D47" s="129">
        <v>3.8999999999999998E-3</v>
      </c>
      <c r="E47" s="129">
        <v>5.2499999999999998E-2</v>
      </c>
      <c r="F47" s="129">
        <v>5.2499999999999998E-2</v>
      </c>
      <c r="G47" s="129">
        <v>5.9999999999999995E-4</v>
      </c>
      <c r="H47" s="129">
        <v>0.34739999999999999</v>
      </c>
      <c r="I47" s="129">
        <v>4.5663999999999998</v>
      </c>
      <c r="J47" s="129">
        <v>3.2500000000000001E-2</v>
      </c>
      <c r="K47" s="129">
        <v>4.7E-2</v>
      </c>
      <c r="L47" s="129">
        <v>0.44979999999999998</v>
      </c>
      <c r="M47" s="129">
        <v>0.44979999999999998</v>
      </c>
      <c r="N47" s="129">
        <v>5.8999999999999999E-3</v>
      </c>
      <c r="O47" s="129">
        <v>4.1398000000000001</v>
      </c>
      <c r="P47" s="129">
        <v>4.9496000000000002</v>
      </c>
      <c r="Q47" s="129">
        <v>3.5299999999999998E-2</v>
      </c>
      <c r="R47" s="129">
        <v>5.0900000000000001E-2</v>
      </c>
      <c r="S47" s="129">
        <v>0.50229999999999997</v>
      </c>
      <c r="T47" s="129">
        <v>0.50229999999999997</v>
      </c>
      <c r="U47" s="129">
        <v>6.4999999999999997E-3</v>
      </c>
      <c r="V47" s="129">
        <v>4.4870999999999999</v>
      </c>
      <c r="W47" s="130" t="s">
        <v>183</v>
      </c>
      <c r="X47" s="130" t="s">
        <v>168</v>
      </c>
    </row>
    <row r="48" spans="1:24" x14ac:dyDescent="0.25">
      <c r="A48" s="130">
        <v>2104008210</v>
      </c>
      <c r="B48" s="129">
        <v>5.4800000000000001E-2</v>
      </c>
      <c r="C48" s="129">
        <v>4.0000000000000002E-4</v>
      </c>
      <c r="D48" s="129">
        <v>6.9999999999999999E-4</v>
      </c>
      <c r="E48" s="129">
        <v>7.3000000000000001E-3</v>
      </c>
      <c r="F48" s="129">
        <v>7.3000000000000001E-3</v>
      </c>
      <c r="G48" s="129">
        <v>1E-4</v>
      </c>
      <c r="H48" s="129">
        <v>1.26E-2</v>
      </c>
      <c r="I48" s="129">
        <v>0.36820000000000003</v>
      </c>
      <c r="J48" s="129">
        <v>2.7000000000000001E-3</v>
      </c>
      <c r="K48" s="129">
        <v>4.4999999999999997E-3</v>
      </c>
      <c r="L48" s="129">
        <v>3.39E-2</v>
      </c>
      <c r="M48" s="129">
        <v>3.39E-2</v>
      </c>
      <c r="N48" s="129">
        <v>5.0000000000000001E-4</v>
      </c>
      <c r="O48" s="129">
        <v>8.4599999999999995E-2</v>
      </c>
      <c r="P48" s="129">
        <v>0.42299999999999999</v>
      </c>
      <c r="Q48" s="129">
        <v>3.0999999999999999E-3</v>
      </c>
      <c r="R48" s="129">
        <v>5.1000000000000004E-3</v>
      </c>
      <c r="S48" s="129">
        <v>4.1200000000000001E-2</v>
      </c>
      <c r="T48" s="129">
        <v>4.1200000000000001E-2</v>
      </c>
      <c r="U48" s="129">
        <v>5.9999999999999995E-4</v>
      </c>
      <c r="V48" s="129">
        <v>9.7100000000000006E-2</v>
      </c>
      <c r="W48" s="130" t="s">
        <v>184</v>
      </c>
      <c r="X48" s="130" t="s">
        <v>168</v>
      </c>
    </row>
    <row r="49" spans="1:24" x14ac:dyDescent="0.25">
      <c r="A49" s="130">
        <v>2104008220</v>
      </c>
      <c r="B49" s="129">
        <v>7.0400000000000004E-2</v>
      </c>
      <c r="C49" s="129">
        <v>5.0000000000000001E-4</v>
      </c>
      <c r="D49" s="129">
        <v>1E-3</v>
      </c>
      <c r="E49" s="129">
        <v>6.0000000000000001E-3</v>
      </c>
      <c r="F49" s="129">
        <v>6.0000000000000001E-3</v>
      </c>
      <c r="G49" s="129">
        <v>2.0000000000000001E-4</v>
      </c>
      <c r="H49" s="129">
        <v>6.0000000000000001E-3</v>
      </c>
      <c r="I49" s="129">
        <v>0.47289999999999999</v>
      </c>
      <c r="J49" s="129">
        <v>3.0000000000000001E-3</v>
      </c>
      <c r="K49" s="129">
        <v>6.7000000000000002E-3</v>
      </c>
      <c r="L49" s="129">
        <v>5.7000000000000002E-3</v>
      </c>
      <c r="M49" s="129">
        <v>5.7000000000000002E-3</v>
      </c>
      <c r="N49" s="129">
        <v>2.0000000000000001E-4</v>
      </c>
      <c r="O49" s="129">
        <v>4.0300000000000002E-2</v>
      </c>
      <c r="P49" s="129">
        <v>0.54339999999999999</v>
      </c>
      <c r="Q49" s="129">
        <v>3.5000000000000001E-3</v>
      </c>
      <c r="R49" s="129">
        <v>7.7000000000000002E-3</v>
      </c>
      <c r="S49" s="129">
        <v>1.17E-2</v>
      </c>
      <c r="T49" s="129">
        <v>1.17E-2</v>
      </c>
      <c r="U49" s="129">
        <v>4.0000000000000002E-4</v>
      </c>
      <c r="V49" s="129">
        <v>4.6300000000000001E-2</v>
      </c>
      <c r="W49" s="130" t="s">
        <v>185</v>
      </c>
      <c r="X49" s="130" t="s">
        <v>168</v>
      </c>
    </row>
    <row r="50" spans="1:24" x14ac:dyDescent="0.25">
      <c r="A50" s="130">
        <v>2104008230</v>
      </c>
      <c r="B50" s="129">
        <v>3.2199999999999999E-2</v>
      </c>
      <c r="C50" s="129">
        <v>2.9999999999999997E-4</v>
      </c>
      <c r="D50" s="129">
        <v>5.9999999999999995E-4</v>
      </c>
      <c r="E50" s="129">
        <v>3.8999999999999998E-3</v>
      </c>
      <c r="F50" s="129">
        <v>3.8999999999999998E-3</v>
      </c>
      <c r="G50" s="129">
        <v>1E-4</v>
      </c>
      <c r="H50" s="129">
        <v>4.4999999999999997E-3</v>
      </c>
      <c r="I50" s="129">
        <v>0.21640000000000001</v>
      </c>
      <c r="J50" s="129">
        <v>1.8E-3</v>
      </c>
      <c r="K50" s="129">
        <v>4.0000000000000001E-3</v>
      </c>
      <c r="L50" s="129">
        <v>3.7000000000000002E-3</v>
      </c>
      <c r="M50" s="129">
        <v>3.7000000000000002E-3</v>
      </c>
      <c r="N50" s="129">
        <v>1E-4</v>
      </c>
      <c r="O50" s="129">
        <v>3.0300000000000001E-2</v>
      </c>
      <c r="P50" s="129">
        <v>0.24859999999999999</v>
      </c>
      <c r="Q50" s="129">
        <v>2.0999999999999999E-3</v>
      </c>
      <c r="R50" s="129">
        <v>4.5999999999999999E-3</v>
      </c>
      <c r="S50" s="129">
        <v>7.6E-3</v>
      </c>
      <c r="T50" s="129">
        <v>7.6E-3</v>
      </c>
      <c r="U50" s="129">
        <v>2.0000000000000001E-4</v>
      </c>
      <c r="V50" s="129">
        <v>3.49E-2</v>
      </c>
      <c r="W50" s="130" t="s">
        <v>186</v>
      </c>
      <c r="X50" s="130" t="s">
        <v>168</v>
      </c>
    </row>
    <row r="51" spans="1:24" x14ac:dyDescent="0.25">
      <c r="A51" s="130">
        <v>2104008310</v>
      </c>
      <c r="B51" s="129">
        <v>0.58430000000000004</v>
      </c>
      <c r="C51" s="129">
        <v>1.9E-3</v>
      </c>
      <c r="D51" s="129">
        <v>7.0000000000000001E-3</v>
      </c>
      <c r="E51" s="129">
        <v>5.8599999999999999E-2</v>
      </c>
      <c r="F51" s="129">
        <v>5.8599999999999999E-2</v>
      </c>
      <c r="G51" s="129">
        <v>1.9E-3</v>
      </c>
      <c r="H51" s="129">
        <v>0.25559999999999999</v>
      </c>
      <c r="I51" s="129">
        <v>3.923</v>
      </c>
      <c r="J51" s="129">
        <v>1.29E-2</v>
      </c>
      <c r="K51" s="129">
        <v>4.7E-2</v>
      </c>
      <c r="L51" s="129">
        <v>0.31069999999999998</v>
      </c>
      <c r="M51" s="129">
        <v>0.31069999999999998</v>
      </c>
      <c r="N51" s="129">
        <v>1.17E-2</v>
      </c>
      <c r="O51" s="129">
        <v>1.7159</v>
      </c>
      <c r="P51" s="129">
        <v>4.5073999999999996</v>
      </c>
      <c r="Q51" s="129">
        <v>1.4800000000000001E-2</v>
      </c>
      <c r="R51" s="129">
        <v>5.3999999999999999E-2</v>
      </c>
      <c r="S51" s="129">
        <v>0.36919999999999997</v>
      </c>
      <c r="T51" s="129">
        <v>0.36919999999999997</v>
      </c>
      <c r="U51" s="129">
        <v>1.3599999999999999E-2</v>
      </c>
      <c r="V51" s="129">
        <v>1.9715</v>
      </c>
      <c r="W51" s="130" t="s">
        <v>187</v>
      </c>
      <c r="X51" s="130" t="s">
        <v>168</v>
      </c>
    </row>
    <row r="52" spans="1:24" x14ac:dyDescent="0.25">
      <c r="A52" s="130">
        <v>2104008320</v>
      </c>
      <c r="B52" s="129">
        <v>1.2553000000000001</v>
      </c>
      <c r="C52" s="129">
        <v>2.5000000000000001E-3</v>
      </c>
      <c r="D52" s="129">
        <v>1.6299999999999999E-2</v>
      </c>
      <c r="E52" s="129">
        <v>8.0500000000000002E-2</v>
      </c>
      <c r="F52" s="129">
        <v>8.0500000000000002E-2</v>
      </c>
      <c r="G52" s="129">
        <v>4.1000000000000003E-3</v>
      </c>
      <c r="H52" s="129">
        <v>0.12180000000000001</v>
      </c>
      <c r="I52" s="129">
        <v>8.4280000000000008</v>
      </c>
      <c r="J52" s="129">
        <v>1.7000000000000001E-2</v>
      </c>
      <c r="K52" s="129">
        <v>0.10970000000000001</v>
      </c>
      <c r="L52" s="129">
        <v>0.40050000000000002</v>
      </c>
      <c r="M52" s="129">
        <v>0.40050000000000002</v>
      </c>
      <c r="N52" s="129">
        <v>2.3699999999999999E-2</v>
      </c>
      <c r="O52" s="129">
        <v>0.81799999999999995</v>
      </c>
      <c r="P52" s="129">
        <v>9.6832999999999991</v>
      </c>
      <c r="Q52" s="129">
        <v>1.9599999999999999E-2</v>
      </c>
      <c r="R52" s="129">
        <v>0.126</v>
      </c>
      <c r="S52" s="129">
        <v>0.48089999999999999</v>
      </c>
      <c r="T52" s="129">
        <v>0.48089999999999999</v>
      </c>
      <c r="U52" s="129">
        <v>2.7799999999999998E-2</v>
      </c>
      <c r="V52" s="129">
        <v>0.93979999999999997</v>
      </c>
      <c r="W52" s="130" t="s">
        <v>188</v>
      </c>
      <c r="X52" s="130" t="s">
        <v>168</v>
      </c>
    </row>
    <row r="53" spans="1:24" x14ac:dyDescent="0.25">
      <c r="A53" s="130">
        <v>2104008330</v>
      </c>
      <c r="B53" s="129">
        <v>0.75580000000000003</v>
      </c>
      <c r="C53" s="129">
        <v>1.5E-3</v>
      </c>
      <c r="D53" s="129">
        <v>9.7999999999999997E-3</v>
      </c>
      <c r="E53" s="129">
        <v>5.3800000000000001E-2</v>
      </c>
      <c r="F53" s="129">
        <v>5.3800000000000001E-2</v>
      </c>
      <c r="G53" s="129">
        <v>2.3999999999999998E-3</v>
      </c>
      <c r="H53" s="129">
        <v>9.1700000000000004E-2</v>
      </c>
      <c r="I53" s="129">
        <v>5.0743</v>
      </c>
      <c r="J53" s="129">
        <v>1.0200000000000001E-2</v>
      </c>
      <c r="K53" s="129">
        <v>6.6000000000000003E-2</v>
      </c>
      <c r="L53" s="129">
        <v>0.26750000000000002</v>
      </c>
      <c r="M53" s="129">
        <v>0.26750000000000002</v>
      </c>
      <c r="N53" s="129">
        <v>1.4E-2</v>
      </c>
      <c r="O53" s="129">
        <v>0.61560000000000004</v>
      </c>
      <c r="P53" s="129">
        <v>5.8300999999999998</v>
      </c>
      <c r="Q53" s="129">
        <v>1.18E-2</v>
      </c>
      <c r="R53" s="129">
        <v>7.5899999999999995E-2</v>
      </c>
      <c r="S53" s="129">
        <v>0.32129999999999997</v>
      </c>
      <c r="T53" s="129">
        <v>0.32129999999999997</v>
      </c>
      <c r="U53" s="129">
        <v>1.6500000000000001E-2</v>
      </c>
      <c r="V53" s="129">
        <v>0.70730000000000004</v>
      </c>
      <c r="W53" s="130" t="s">
        <v>189</v>
      </c>
      <c r="X53" s="130" t="s">
        <v>168</v>
      </c>
    </row>
    <row r="54" spans="1:24" x14ac:dyDescent="0.25">
      <c r="A54" s="130">
        <v>2104008410</v>
      </c>
      <c r="B54" s="129">
        <v>6.7000000000000002E-3</v>
      </c>
      <c r="C54" s="129">
        <v>0</v>
      </c>
      <c r="D54" s="129">
        <v>2.7000000000000001E-3</v>
      </c>
      <c r="E54" s="129">
        <v>2E-3</v>
      </c>
      <c r="F54" s="129">
        <v>2E-3</v>
      </c>
      <c r="G54" s="129">
        <v>2.0000000000000001E-4</v>
      </c>
      <c r="H54" s="129">
        <v>1.5E-3</v>
      </c>
      <c r="I54" s="129">
        <v>4.4699999999999997E-2</v>
      </c>
      <c r="J54" s="129">
        <v>2.9999999999999997E-4</v>
      </c>
      <c r="K54" s="129">
        <v>1.7999999999999999E-2</v>
      </c>
      <c r="L54" s="129">
        <v>1.01E-2</v>
      </c>
      <c r="M54" s="129">
        <v>1.01E-2</v>
      </c>
      <c r="N54" s="129">
        <v>1.1999999999999999E-3</v>
      </c>
      <c r="O54" s="129">
        <v>1.03E-2</v>
      </c>
      <c r="P54" s="129">
        <v>5.1299999999999998E-2</v>
      </c>
      <c r="Q54" s="129">
        <v>4.0000000000000002E-4</v>
      </c>
      <c r="R54" s="129">
        <v>2.07E-2</v>
      </c>
      <c r="S54" s="129">
        <v>1.21E-2</v>
      </c>
      <c r="T54" s="129">
        <v>1.21E-2</v>
      </c>
      <c r="U54" s="129">
        <v>1.5E-3</v>
      </c>
      <c r="V54" s="129">
        <v>1.1900000000000001E-2</v>
      </c>
      <c r="W54" s="130" t="s">
        <v>190</v>
      </c>
      <c r="X54" s="130" t="s">
        <v>168</v>
      </c>
    </row>
    <row r="55" spans="1:24" x14ac:dyDescent="0.25">
      <c r="A55" s="130">
        <v>2104008420</v>
      </c>
      <c r="B55" s="129">
        <v>2.24E-2</v>
      </c>
      <c r="C55" s="129">
        <v>2.0000000000000001E-4</v>
      </c>
      <c r="D55" s="129">
        <v>9.1000000000000004E-3</v>
      </c>
      <c r="E55" s="129">
        <v>6.7000000000000002E-3</v>
      </c>
      <c r="F55" s="129">
        <v>6.7000000000000002E-3</v>
      </c>
      <c r="G55" s="129">
        <v>6.9999999999999999E-4</v>
      </c>
      <c r="H55" s="129">
        <v>5.1999999999999998E-3</v>
      </c>
      <c r="I55" s="129">
        <v>0.1507</v>
      </c>
      <c r="J55" s="129">
        <v>1.1000000000000001E-3</v>
      </c>
      <c r="K55" s="129">
        <v>6.08E-2</v>
      </c>
      <c r="L55" s="129">
        <v>3.3500000000000002E-2</v>
      </c>
      <c r="M55" s="129">
        <v>3.3500000000000002E-2</v>
      </c>
      <c r="N55" s="129">
        <v>4.1000000000000003E-3</v>
      </c>
      <c r="O55" s="129">
        <v>3.4799999999999998E-2</v>
      </c>
      <c r="P55" s="129">
        <v>0.17319999999999999</v>
      </c>
      <c r="Q55" s="129">
        <v>1.2999999999999999E-3</v>
      </c>
      <c r="R55" s="129">
        <v>6.9800000000000001E-2</v>
      </c>
      <c r="S55" s="129">
        <v>4.02E-2</v>
      </c>
      <c r="T55" s="129">
        <v>4.02E-2</v>
      </c>
      <c r="U55" s="129">
        <v>4.8999999999999998E-3</v>
      </c>
      <c r="V55" s="129">
        <v>0.04</v>
      </c>
      <c r="W55" s="130" t="s">
        <v>191</v>
      </c>
      <c r="X55" s="130" t="s">
        <v>168</v>
      </c>
    </row>
    <row r="56" spans="1:24" x14ac:dyDescent="0.25">
      <c r="A56" s="130">
        <v>2104008610</v>
      </c>
      <c r="B56" s="129">
        <v>0.1283</v>
      </c>
      <c r="C56" s="129">
        <v>5.0000000000000001E-4</v>
      </c>
      <c r="D56" s="129">
        <v>3.3999999999999998E-3</v>
      </c>
      <c r="E56" s="129">
        <v>2.0899999999999998E-2</v>
      </c>
      <c r="F56" s="129">
        <v>2.0899999999999998E-2</v>
      </c>
      <c r="G56" s="129">
        <v>8.0000000000000004E-4</v>
      </c>
      <c r="H56" s="129">
        <v>9.6199999999999994E-2</v>
      </c>
      <c r="I56" s="129">
        <v>1.3694999999999999</v>
      </c>
      <c r="J56" s="129">
        <v>5.4999999999999997E-3</v>
      </c>
      <c r="K56" s="129">
        <v>3.6499999999999998E-2</v>
      </c>
      <c r="L56" s="129">
        <v>0.16239999999999999</v>
      </c>
      <c r="M56" s="129">
        <v>0.16239999999999999</v>
      </c>
      <c r="N56" s="129">
        <v>7.7999999999999996E-3</v>
      </c>
      <c r="O56" s="129">
        <v>1.0265</v>
      </c>
      <c r="P56" s="129">
        <v>1.4978</v>
      </c>
      <c r="Q56" s="129">
        <v>6.0000000000000001E-3</v>
      </c>
      <c r="R56" s="129">
        <v>3.9899999999999998E-2</v>
      </c>
      <c r="S56" s="129">
        <v>0.18329999999999999</v>
      </c>
      <c r="T56" s="129">
        <v>0.18329999999999999</v>
      </c>
      <c r="U56" s="129">
        <v>8.6999999999999994E-3</v>
      </c>
      <c r="V56" s="129">
        <v>1.1227</v>
      </c>
      <c r="W56" s="130" t="s">
        <v>192</v>
      </c>
      <c r="X56" s="130" t="s">
        <v>168</v>
      </c>
    </row>
    <row r="58" spans="1:24" x14ac:dyDescent="0.25">
      <c r="B58" s="134">
        <f>SUMIFS(B39:B56,$X39:$X56,$X58)/B38</f>
        <v>0.94038543897216287</v>
      </c>
      <c r="C58" s="134">
        <f t="shared" ref="C58:V58" si="4">SUMIFS(C39:C56,$X39:$X56,$X58)/C38</f>
        <v>0.8203125</v>
      </c>
      <c r="D58" s="134">
        <f t="shared" si="4"/>
        <v>0.30127142067440577</v>
      </c>
      <c r="E58" s="134">
        <f t="shared" si="4"/>
        <v>0.94501940491591196</v>
      </c>
      <c r="F58" s="134">
        <f t="shared" si="4"/>
        <v>0.94501940491591196</v>
      </c>
      <c r="G58" s="134">
        <f t="shared" si="4"/>
        <v>3.5542747358309319E-2</v>
      </c>
      <c r="H58" s="134">
        <f t="shared" si="4"/>
        <v>0.97628417564208769</v>
      </c>
      <c r="I58" s="134">
        <f t="shared" si="4"/>
        <v>0.9396244708504945</v>
      </c>
      <c r="J58" s="134">
        <f t="shared" si="4"/>
        <v>0.6507105459985042</v>
      </c>
      <c r="K58" s="134">
        <f t="shared" si="4"/>
        <v>0.15992647058823528</v>
      </c>
      <c r="L58" s="134">
        <f t="shared" si="4"/>
        <v>0.91734543267916702</v>
      </c>
      <c r="M58" s="134">
        <f t="shared" si="4"/>
        <v>0.91734543267916702</v>
      </c>
      <c r="N58" s="134">
        <f t="shared" si="4"/>
        <v>1.7783260093028035E-2</v>
      </c>
      <c r="O58" s="134">
        <f t="shared" si="4"/>
        <v>0.97432905484247367</v>
      </c>
      <c r="P58" s="134">
        <f t="shared" si="4"/>
        <v>0.93971757765940989</v>
      </c>
      <c r="Q58" s="134">
        <f t="shared" si="4"/>
        <v>0.668259385665529</v>
      </c>
      <c r="R58" s="134">
        <f t="shared" si="4"/>
        <v>0.16942456768038164</v>
      </c>
      <c r="S58" s="134">
        <f t="shared" si="4"/>
        <v>0.92125321487023615</v>
      </c>
      <c r="T58" s="134">
        <f t="shared" si="4"/>
        <v>0.92125321487023615</v>
      </c>
      <c r="U58" s="134">
        <f t="shared" si="4"/>
        <v>1.919783043105909E-2</v>
      </c>
      <c r="V58" s="134">
        <f t="shared" si="4"/>
        <v>0.97452353971360861</v>
      </c>
      <c r="X58" s="130" t="s">
        <v>168</v>
      </c>
    </row>
    <row r="59" spans="1:24" x14ac:dyDescent="0.25">
      <c r="B59" s="134">
        <f>SUMIFS(B39:B56,$X39:$X56,$X59)/B38</f>
        <v>1.3133476088508208E-3</v>
      </c>
      <c r="C59" s="134">
        <f t="shared" ref="C59:V59" si="5">SUMIFS(C39:C56,$X39:$X56,$X59)/C38</f>
        <v>1.5625E-2</v>
      </c>
      <c r="D59" s="134">
        <f t="shared" si="5"/>
        <v>0.6578220011055832</v>
      </c>
      <c r="E59" s="134">
        <f t="shared" si="5"/>
        <v>1.5200517464424322E-2</v>
      </c>
      <c r="F59" s="134">
        <f t="shared" si="5"/>
        <v>1.5200517464424322E-2</v>
      </c>
      <c r="G59" s="134">
        <f t="shared" si="5"/>
        <v>0.91738712776176734</v>
      </c>
      <c r="H59" s="134">
        <f t="shared" si="5"/>
        <v>7.5600662800331397E-3</v>
      </c>
      <c r="I59" s="134">
        <f t="shared" si="5"/>
        <v>2.511670871870431E-3</v>
      </c>
      <c r="J59" s="134">
        <f t="shared" si="5"/>
        <v>2.6925953627524306E-2</v>
      </c>
      <c r="K59" s="134">
        <f t="shared" si="5"/>
        <v>0.75211796675191811</v>
      </c>
      <c r="L59" s="134">
        <f t="shared" si="5"/>
        <v>3.3291422948668888E-2</v>
      </c>
      <c r="M59" s="134">
        <f t="shared" si="5"/>
        <v>3.3291422948668888E-2</v>
      </c>
      <c r="N59" s="134">
        <f t="shared" si="5"/>
        <v>0.95101893968596618</v>
      </c>
      <c r="O59" s="134">
        <f t="shared" si="5"/>
        <v>1.1988926258951656E-2</v>
      </c>
      <c r="P59" s="134">
        <f t="shared" si="5"/>
        <v>2.3737213890815552E-3</v>
      </c>
      <c r="Q59" s="134">
        <f t="shared" si="5"/>
        <v>2.6621160409556314E-2</v>
      </c>
      <c r="R59" s="134">
        <f t="shared" si="5"/>
        <v>0.7457886106141921</v>
      </c>
      <c r="S59" s="134">
        <f t="shared" si="5"/>
        <v>3.0675707271451948E-2</v>
      </c>
      <c r="T59" s="134">
        <f t="shared" si="5"/>
        <v>3.0675707271451948E-2</v>
      </c>
      <c r="U59" s="134">
        <f t="shared" si="5"/>
        <v>0.948520315919688</v>
      </c>
      <c r="V59" s="134">
        <f t="shared" si="5"/>
        <v>1.1558669001751311E-2</v>
      </c>
      <c r="X59" s="130" t="s">
        <v>167</v>
      </c>
    </row>
    <row r="60" spans="1:24" x14ac:dyDescent="0.25">
      <c r="B60" s="134">
        <f>SUMIFS(B39:B56,$X39:$X56,$X60)/B38</f>
        <v>5.8272662384011423E-2</v>
      </c>
      <c r="C60" s="134">
        <f t="shared" ref="C60:V60" si="6">SUMIFS(C39:C56,$X39:$X56,$X60)/C38</f>
        <v>0.15625</v>
      </c>
      <c r="D60" s="134">
        <f t="shared" si="6"/>
        <v>4.0906578220011057E-2</v>
      </c>
      <c r="E60" s="134">
        <f t="shared" si="6"/>
        <v>4.0426908150064687E-2</v>
      </c>
      <c r="F60" s="134">
        <f t="shared" si="6"/>
        <v>4.0426908150064687E-2</v>
      </c>
      <c r="G60" s="134">
        <f t="shared" si="6"/>
        <v>4.642971501761127E-2</v>
      </c>
      <c r="H60" s="134">
        <f t="shared" si="6"/>
        <v>1.6155758077879039E-2</v>
      </c>
      <c r="I60" s="134">
        <f t="shared" si="6"/>
        <v>5.5443798501395157E-2</v>
      </c>
      <c r="J60" s="134">
        <f t="shared" si="6"/>
        <v>0.10471204188481674</v>
      </c>
      <c r="K60" s="134">
        <f t="shared" si="6"/>
        <v>2.0979859335038362E-2</v>
      </c>
      <c r="L60" s="134">
        <f t="shared" si="6"/>
        <v>4.2639260919477395E-2</v>
      </c>
      <c r="M60" s="134">
        <f t="shared" si="6"/>
        <v>4.2639260919477395E-2</v>
      </c>
      <c r="N60" s="134">
        <f t="shared" si="6"/>
        <v>2.6597795081335283E-2</v>
      </c>
      <c r="O60" s="134">
        <f t="shared" si="6"/>
        <v>1.2721074427437251E-2</v>
      </c>
      <c r="P60" s="134">
        <f t="shared" si="6"/>
        <v>5.5774035191682211E-2</v>
      </c>
      <c r="Q60" s="134">
        <f t="shared" si="6"/>
        <v>0.10921501706484643</v>
      </c>
      <c r="R60" s="134">
        <f t="shared" si="6"/>
        <v>2.2324090638044129E-2</v>
      </c>
      <c r="S60" s="134">
        <f t="shared" si="6"/>
        <v>4.231938274491466E-2</v>
      </c>
      <c r="T60" s="134">
        <f t="shared" si="6"/>
        <v>4.231938274491466E-2</v>
      </c>
      <c r="U60" s="134">
        <f t="shared" si="6"/>
        <v>2.8071177086306975E-2</v>
      </c>
      <c r="V60" s="134">
        <f t="shared" si="6"/>
        <v>1.3062738230143194E-2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2.4200597762398988E-3</v>
      </c>
      <c r="J61" s="134">
        <f t="shared" si="7"/>
        <v>0.21615557217651454</v>
      </c>
      <c r="K61" s="134">
        <f t="shared" si="7"/>
        <v>6.6895780051150891E-2</v>
      </c>
      <c r="L61" s="134">
        <f t="shared" si="7"/>
        <v>6.8332148909418904E-3</v>
      </c>
      <c r="M61" s="134">
        <f t="shared" si="7"/>
        <v>6.8332148909418904E-3</v>
      </c>
      <c r="N61" s="134">
        <f t="shared" si="7"/>
        <v>4.5486084341993666E-3</v>
      </c>
      <c r="O61" s="134">
        <f t="shared" si="7"/>
        <v>9.6094447113734629E-4</v>
      </c>
      <c r="P61" s="134">
        <f t="shared" si="7"/>
        <v>2.1346657598265333E-3</v>
      </c>
      <c r="Q61" s="134">
        <f t="shared" si="7"/>
        <v>0.19726962457337885</v>
      </c>
      <c r="R61" s="134">
        <f t="shared" si="7"/>
        <v>6.238819320214669E-2</v>
      </c>
      <c r="S61" s="134">
        <f t="shared" si="7"/>
        <v>5.8452186111760569E-3</v>
      </c>
      <c r="T61" s="134">
        <f t="shared" si="7"/>
        <v>5.8452186111760569E-3</v>
      </c>
      <c r="U61" s="134">
        <f t="shared" si="7"/>
        <v>4.2106765629460457E-3</v>
      </c>
      <c r="V61" s="134">
        <f t="shared" si="7"/>
        <v>8.653548985268362E-4</v>
      </c>
      <c r="X61" s="130" t="s">
        <v>165</v>
      </c>
    </row>
    <row r="64" spans="1:24" x14ac:dyDescent="0.25">
      <c r="A64" s="129" t="s">
        <v>170</v>
      </c>
    </row>
    <row r="65" spans="1:24" x14ac:dyDescent="0.25">
      <c r="A65" s="132" t="s">
        <v>201</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3.5024999999999999</v>
      </c>
      <c r="C69" s="129">
        <v>1.2800000000000001E-2</v>
      </c>
      <c r="D69" s="129">
        <v>0.18090000000000001</v>
      </c>
      <c r="E69" s="129">
        <v>0.30919999999999997</v>
      </c>
      <c r="F69" s="129">
        <v>0.30919999999999997</v>
      </c>
      <c r="G69" s="129">
        <v>0.31230000000000002</v>
      </c>
      <c r="H69" s="129">
        <v>0.96560000000000001</v>
      </c>
      <c r="I69" s="129">
        <v>26.197700000000001</v>
      </c>
      <c r="J69" s="133">
        <v>0.13370000000000001</v>
      </c>
      <c r="K69" s="133">
        <v>2.5024000000000002</v>
      </c>
      <c r="L69" s="129">
        <v>1.5506</v>
      </c>
      <c r="M69" s="166">
        <v>1.5506</v>
      </c>
      <c r="N69" s="133">
        <v>3.9443999999999999</v>
      </c>
      <c r="O69" s="133">
        <v>8.7414000000000005</v>
      </c>
      <c r="P69" s="129">
        <v>29.700199999999999</v>
      </c>
      <c r="Q69" s="133">
        <v>0.14649999999999999</v>
      </c>
      <c r="R69" s="133">
        <v>2.6831999999999998</v>
      </c>
      <c r="S69" s="129">
        <v>1.8597999999999999</v>
      </c>
      <c r="T69" s="166">
        <v>1.8597999999999999</v>
      </c>
      <c r="U69" s="133">
        <v>4.2567000000000004</v>
      </c>
      <c r="V69" s="133">
        <v>9.7070000000000007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1.09E-2</v>
      </c>
      <c r="E72" s="129">
        <v>2.9999999999999997E-4</v>
      </c>
      <c r="F72" s="129">
        <v>2.9999999999999997E-4</v>
      </c>
      <c r="G72" s="129">
        <v>7.7000000000000002E-3</v>
      </c>
      <c r="H72" s="129">
        <v>4.0000000000000002E-4</v>
      </c>
      <c r="I72" s="129">
        <v>1.54E-2</v>
      </c>
      <c r="J72" s="129">
        <v>8.0000000000000004E-4</v>
      </c>
      <c r="K72" s="129">
        <v>0.61909999999999998</v>
      </c>
      <c r="L72" s="129">
        <v>1.5699999999999999E-2</v>
      </c>
      <c r="M72" s="129">
        <v>1.5699999999999999E-2</v>
      </c>
      <c r="N72" s="129">
        <v>0.43759999999999999</v>
      </c>
      <c r="O72" s="129">
        <v>2.4500000000000001E-2</v>
      </c>
      <c r="P72" s="129">
        <v>1.5699999999999999E-2</v>
      </c>
      <c r="Q72" s="129">
        <v>8.9999999999999998E-4</v>
      </c>
      <c r="R72" s="129">
        <v>0.63</v>
      </c>
      <c r="S72" s="129">
        <v>1.6E-2</v>
      </c>
      <c r="T72" s="129">
        <v>1.6E-2</v>
      </c>
      <c r="U72" s="129">
        <v>0.44529999999999997</v>
      </c>
      <c r="V72" s="129">
        <v>2.5000000000000001E-2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0.20380000000000001</v>
      </c>
      <c r="C75" s="129">
        <v>2E-3</v>
      </c>
      <c r="D75" s="129">
        <v>7.4000000000000003E-3</v>
      </c>
      <c r="E75" s="129">
        <v>1.2500000000000001E-2</v>
      </c>
      <c r="F75" s="129">
        <v>1.2500000000000001E-2</v>
      </c>
      <c r="G75" s="129">
        <v>1.4500000000000001E-2</v>
      </c>
      <c r="H75" s="129">
        <v>1.5599999999999999E-2</v>
      </c>
      <c r="I75" s="129">
        <v>1.4481999999999999</v>
      </c>
      <c r="J75" s="129">
        <v>1.4E-2</v>
      </c>
      <c r="K75" s="129">
        <v>5.2299999999999999E-2</v>
      </c>
      <c r="L75" s="129">
        <v>6.4399999999999999E-2</v>
      </c>
      <c r="M75" s="129">
        <v>6.4399999999999999E-2</v>
      </c>
      <c r="N75" s="129">
        <v>8.8599999999999998E-2</v>
      </c>
      <c r="O75" s="129">
        <v>0.1109</v>
      </c>
      <c r="P75" s="129">
        <v>1.6519999999999999</v>
      </c>
      <c r="Q75" s="129">
        <v>1.6E-2</v>
      </c>
      <c r="R75" s="129">
        <v>5.9700000000000003E-2</v>
      </c>
      <c r="S75" s="129">
        <v>7.6799999999999993E-2</v>
      </c>
      <c r="T75" s="129">
        <v>7.6799999999999993E-2</v>
      </c>
      <c r="U75" s="129">
        <v>0.1031</v>
      </c>
      <c r="V75" s="129">
        <v>0.1265</v>
      </c>
      <c r="W75" s="130" t="s">
        <v>180</v>
      </c>
      <c r="X75" s="130" t="s">
        <v>166</v>
      </c>
    </row>
    <row r="76" spans="1:24" x14ac:dyDescent="0.25">
      <c r="A76" s="130">
        <v>2104004000</v>
      </c>
      <c r="B76" s="129">
        <v>4.3E-3</v>
      </c>
      <c r="C76" s="129">
        <v>2.0000000000000001E-4</v>
      </c>
      <c r="D76" s="129">
        <v>0.1081</v>
      </c>
      <c r="E76" s="129">
        <v>4.4000000000000003E-3</v>
      </c>
      <c r="F76" s="129">
        <v>4.4000000000000003E-3</v>
      </c>
      <c r="G76" s="129">
        <v>0.27879999999999999</v>
      </c>
      <c r="H76" s="129">
        <v>6.8999999999999999E-3</v>
      </c>
      <c r="I76" s="129">
        <v>5.04E-2</v>
      </c>
      <c r="J76" s="129">
        <v>2.8E-3</v>
      </c>
      <c r="K76" s="129">
        <v>1.2629999999999999</v>
      </c>
      <c r="L76" s="129">
        <v>4.5199999999999997E-2</v>
      </c>
      <c r="M76" s="129">
        <v>4.5199999999999997E-2</v>
      </c>
      <c r="N76" s="129">
        <v>3.2631000000000001</v>
      </c>
      <c r="O76" s="129">
        <v>8.0299999999999996E-2</v>
      </c>
      <c r="P76" s="129">
        <v>5.4800000000000001E-2</v>
      </c>
      <c r="Q76" s="129">
        <v>3.0000000000000001E-3</v>
      </c>
      <c r="R76" s="129">
        <v>1.3711</v>
      </c>
      <c r="S76" s="129">
        <v>4.9599999999999998E-2</v>
      </c>
      <c r="T76" s="129">
        <v>4.9599999999999998E-2</v>
      </c>
      <c r="U76" s="129">
        <v>3.5419</v>
      </c>
      <c r="V76" s="129">
        <v>8.72E-2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0.38319999999999999</v>
      </c>
      <c r="C78" s="129">
        <v>2.7000000000000001E-3</v>
      </c>
      <c r="D78" s="129">
        <v>3.8999999999999998E-3</v>
      </c>
      <c r="E78" s="129">
        <v>5.2499999999999998E-2</v>
      </c>
      <c r="F78" s="129">
        <v>5.2499999999999998E-2</v>
      </c>
      <c r="G78" s="129">
        <v>5.9999999999999995E-4</v>
      </c>
      <c r="H78" s="129">
        <v>0.34739999999999999</v>
      </c>
      <c r="I78" s="129">
        <v>4.5663999999999998</v>
      </c>
      <c r="J78" s="129">
        <v>3.2500000000000001E-2</v>
      </c>
      <c r="K78" s="129">
        <v>4.7E-2</v>
      </c>
      <c r="L78" s="129">
        <v>0.3871</v>
      </c>
      <c r="M78" s="129">
        <v>0.3871</v>
      </c>
      <c r="N78" s="129">
        <v>5.7999999999999996E-3</v>
      </c>
      <c r="O78" s="129">
        <v>4.1398000000000001</v>
      </c>
      <c r="P78" s="129">
        <v>4.9496000000000002</v>
      </c>
      <c r="Q78" s="129">
        <v>3.5299999999999998E-2</v>
      </c>
      <c r="R78" s="129">
        <v>5.0900000000000001E-2</v>
      </c>
      <c r="S78" s="129">
        <v>0.43959999999999999</v>
      </c>
      <c r="T78" s="129">
        <v>0.43959999999999999</v>
      </c>
      <c r="U78" s="129">
        <v>6.4000000000000003E-3</v>
      </c>
      <c r="V78" s="129">
        <v>4.4870999999999999</v>
      </c>
      <c r="W78" s="130" t="s">
        <v>183</v>
      </c>
      <c r="X78" s="130" t="s">
        <v>168</v>
      </c>
    </row>
    <row r="79" spans="1:24" x14ac:dyDescent="0.25">
      <c r="A79" s="130">
        <v>2104008210</v>
      </c>
      <c r="B79" s="129">
        <v>5.4800000000000001E-2</v>
      </c>
      <c r="C79" s="129">
        <v>4.0000000000000002E-4</v>
      </c>
      <c r="D79" s="129">
        <v>6.9999999999999999E-4</v>
      </c>
      <c r="E79" s="129">
        <v>7.3000000000000001E-3</v>
      </c>
      <c r="F79" s="129">
        <v>7.3000000000000001E-3</v>
      </c>
      <c r="G79" s="129">
        <v>1E-4</v>
      </c>
      <c r="H79" s="129">
        <v>1.26E-2</v>
      </c>
      <c r="I79" s="129">
        <v>0.36820000000000003</v>
      </c>
      <c r="J79" s="129">
        <v>2.7000000000000001E-3</v>
      </c>
      <c r="K79" s="129">
        <v>4.4999999999999997E-3</v>
      </c>
      <c r="L79" s="129">
        <v>2.8299999999999999E-2</v>
      </c>
      <c r="M79" s="129">
        <v>2.8299999999999999E-2</v>
      </c>
      <c r="N79" s="129">
        <v>8.0000000000000004E-4</v>
      </c>
      <c r="O79" s="129">
        <v>8.4599999999999995E-2</v>
      </c>
      <c r="P79" s="129">
        <v>0.42299999999999999</v>
      </c>
      <c r="Q79" s="129">
        <v>3.0999999999999999E-3</v>
      </c>
      <c r="R79" s="129">
        <v>5.1000000000000004E-3</v>
      </c>
      <c r="S79" s="129">
        <v>3.5499999999999997E-2</v>
      </c>
      <c r="T79" s="129">
        <v>3.5499999999999997E-2</v>
      </c>
      <c r="U79" s="129">
        <v>8.9999999999999998E-4</v>
      </c>
      <c r="V79" s="129">
        <v>9.7100000000000006E-2</v>
      </c>
      <c r="W79" s="130" t="s">
        <v>184</v>
      </c>
      <c r="X79" s="130" t="s">
        <v>168</v>
      </c>
    </row>
    <row r="80" spans="1:24" x14ac:dyDescent="0.25">
      <c r="A80" s="130">
        <v>2104008220</v>
      </c>
      <c r="B80" s="129">
        <v>7.0400000000000004E-2</v>
      </c>
      <c r="C80" s="129">
        <v>5.0000000000000001E-4</v>
      </c>
      <c r="D80" s="129">
        <v>1E-3</v>
      </c>
      <c r="E80" s="129">
        <v>6.0000000000000001E-3</v>
      </c>
      <c r="F80" s="129">
        <v>6.0000000000000001E-3</v>
      </c>
      <c r="G80" s="129">
        <v>2.0000000000000001E-4</v>
      </c>
      <c r="H80" s="129">
        <v>6.0000000000000001E-3</v>
      </c>
      <c r="I80" s="129">
        <v>0.47289999999999999</v>
      </c>
      <c r="J80" s="129">
        <v>3.0000000000000001E-3</v>
      </c>
      <c r="K80" s="129">
        <v>6.7000000000000002E-3</v>
      </c>
      <c r="L80" s="129">
        <v>4.7000000000000002E-3</v>
      </c>
      <c r="M80" s="129">
        <v>4.7000000000000002E-3</v>
      </c>
      <c r="N80" s="129">
        <v>5.0000000000000001E-4</v>
      </c>
      <c r="O80" s="129">
        <v>4.0300000000000002E-2</v>
      </c>
      <c r="P80" s="129">
        <v>0.54339999999999999</v>
      </c>
      <c r="Q80" s="129">
        <v>3.5000000000000001E-3</v>
      </c>
      <c r="R80" s="129">
        <v>7.7000000000000002E-3</v>
      </c>
      <c r="S80" s="129">
        <v>1.0699999999999999E-2</v>
      </c>
      <c r="T80" s="129">
        <v>1.0699999999999999E-2</v>
      </c>
      <c r="U80" s="129">
        <v>6.9999999999999999E-4</v>
      </c>
      <c r="V80" s="129">
        <v>4.6300000000000001E-2</v>
      </c>
      <c r="W80" s="130" t="s">
        <v>185</v>
      </c>
      <c r="X80" s="130" t="s">
        <v>168</v>
      </c>
    </row>
    <row r="81" spans="1:24" x14ac:dyDescent="0.25">
      <c r="A81" s="130">
        <v>2104008230</v>
      </c>
      <c r="B81" s="129">
        <v>3.2199999999999999E-2</v>
      </c>
      <c r="C81" s="129">
        <v>2.9999999999999997E-4</v>
      </c>
      <c r="D81" s="129">
        <v>5.9999999999999995E-4</v>
      </c>
      <c r="E81" s="129">
        <v>3.8999999999999998E-3</v>
      </c>
      <c r="F81" s="129">
        <v>3.8999999999999998E-3</v>
      </c>
      <c r="G81" s="129">
        <v>1E-4</v>
      </c>
      <c r="H81" s="129">
        <v>4.4999999999999997E-3</v>
      </c>
      <c r="I81" s="129">
        <v>0.21640000000000001</v>
      </c>
      <c r="J81" s="129">
        <v>1.8E-3</v>
      </c>
      <c r="K81" s="129">
        <v>4.0000000000000001E-3</v>
      </c>
      <c r="L81" s="129">
        <v>3.0999999999999999E-3</v>
      </c>
      <c r="M81" s="129">
        <v>3.0999999999999999E-3</v>
      </c>
      <c r="N81" s="129">
        <v>2.0000000000000001E-4</v>
      </c>
      <c r="O81" s="129">
        <v>3.0300000000000001E-2</v>
      </c>
      <c r="P81" s="129">
        <v>0.24859999999999999</v>
      </c>
      <c r="Q81" s="129">
        <v>2.0999999999999999E-3</v>
      </c>
      <c r="R81" s="129">
        <v>4.5999999999999999E-3</v>
      </c>
      <c r="S81" s="129">
        <v>7.0000000000000001E-3</v>
      </c>
      <c r="T81" s="129">
        <v>7.0000000000000001E-3</v>
      </c>
      <c r="U81" s="129">
        <v>2.9999999999999997E-4</v>
      </c>
      <c r="V81" s="129">
        <v>3.49E-2</v>
      </c>
      <c r="W81" s="130" t="s">
        <v>186</v>
      </c>
      <c r="X81" s="130" t="s">
        <v>168</v>
      </c>
    </row>
    <row r="82" spans="1:24" x14ac:dyDescent="0.25">
      <c r="A82" s="130">
        <v>2104008310</v>
      </c>
      <c r="B82" s="129">
        <v>0.58430000000000004</v>
      </c>
      <c r="C82" s="129">
        <v>1.9E-3</v>
      </c>
      <c r="D82" s="129">
        <v>7.0000000000000001E-3</v>
      </c>
      <c r="E82" s="129">
        <v>5.8599999999999999E-2</v>
      </c>
      <c r="F82" s="129">
        <v>5.8599999999999999E-2</v>
      </c>
      <c r="G82" s="129">
        <v>1.9E-3</v>
      </c>
      <c r="H82" s="129">
        <v>0.25559999999999999</v>
      </c>
      <c r="I82" s="129">
        <v>3.923</v>
      </c>
      <c r="J82" s="129">
        <v>1.29E-2</v>
      </c>
      <c r="K82" s="129">
        <v>4.7E-2</v>
      </c>
      <c r="L82" s="129">
        <v>0.25929999999999997</v>
      </c>
      <c r="M82" s="129">
        <v>0.25929999999999997</v>
      </c>
      <c r="N82" s="129">
        <v>2.18E-2</v>
      </c>
      <c r="O82" s="129">
        <v>1.7159</v>
      </c>
      <c r="P82" s="129">
        <v>4.5073999999999996</v>
      </c>
      <c r="Q82" s="129">
        <v>1.4800000000000001E-2</v>
      </c>
      <c r="R82" s="129">
        <v>5.3999999999999999E-2</v>
      </c>
      <c r="S82" s="129">
        <v>0.31780000000000003</v>
      </c>
      <c r="T82" s="129">
        <v>0.31780000000000003</v>
      </c>
      <c r="U82" s="129">
        <v>2.3699999999999999E-2</v>
      </c>
      <c r="V82" s="129">
        <v>1.9715</v>
      </c>
      <c r="W82" s="130" t="s">
        <v>187</v>
      </c>
      <c r="X82" s="130" t="s">
        <v>168</v>
      </c>
    </row>
    <row r="83" spans="1:24" x14ac:dyDescent="0.25">
      <c r="A83" s="130">
        <v>2104008320</v>
      </c>
      <c r="B83" s="129">
        <v>1.2553000000000001</v>
      </c>
      <c r="C83" s="129">
        <v>2.5000000000000001E-3</v>
      </c>
      <c r="D83" s="129">
        <v>1.6299999999999999E-2</v>
      </c>
      <c r="E83" s="129">
        <v>8.0500000000000002E-2</v>
      </c>
      <c r="F83" s="129">
        <v>8.0500000000000002E-2</v>
      </c>
      <c r="G83" s="129">
        <v>4.1000000000000003E-3</v>
      </c>
      <c r="H83" s="129">
        <v>0.12180000000000001</v>
      </c>
      <c r="I83" s="129">
        <v>8.4280000000000008</v>
      </c>
      <c r="J83" s="129">
        <v>1.7000000000000001E-2</v>
      </c>
      <c r="K83" s="129">
        <v>0.10970000000000001</v>
      </c>
      <c r="L83" s="129">
        <v>0.33400000000000002</v>
      </c>
      <c r="M83" s="129">
        <v>0.33400000000000002</v>
      </c>
      <c r="N83" s="129">
        <v>5.0700000000000002E-2</v>
      </c>
      <c r="O83" s="129">
        <v>0.81799999999999995</v>
      </c>
      <c r="P83" s="129">
        <v>9.6832999999999991</v>
      </c>
      <c r="Q83" s="129">
        <v>1.9599999999999999E-2</v>
      </c>
      <c r="R83" s="129">
        <v>0.126</v>
      </c>
      <c r="S83" s="129">
        <v>0.41449999999999998</v>
      </c>
      <c r="T83" s="129">
        <v>0.41449999999999998</v>
      </c>
      <c r="U83" s="129">
        <v>5.4800000000000001E-2</v>
      </c>
      <c r="V83" s="129">
        <v>0.93979999999999997</v>
      </c>
      <c r="W83" s="130" t="s">
        <v>188</v>
      </c>
      <c r="X83" s="130" t="s">
        <v>168</v>
      </c>
    </row>
    <row r="84" spans="1:24" x14ac:dyDescent="0.25">
      <c r="A84" s="130">
        <v>2104008330</v>
      </c>
      <c r="B84" s="129">
        <v>0.75580000000000003</v>
      </c>
      <c r="C84" s="129">
        <v>1.5E-3</v>
      </c>
      <c r="D84" s="129">
        <v>9.7999999999999997E-3</v>
      </c>
      <c r="E84" s="129">
        <v>5.3800000000000001E-2</v>
      </c>
      <c r="F84" s="129">
        <v>5.3800000000000001E-2</v>
      </c>
      <c r="G84" s="129">
        <v>2.3999999999999998E-3</v>
      </c>
      <c r="H84" s="129">
        <v>9.1700000000000004E-2</v>
      </c>
      <c r="I84" s="129">
        <v>5.0743</v>
      </c>
      <c r="J84" s="129">
        <v>1.0200000000000001E-2</v>
      </c>
      <c r="K84" s="129">
        <v>6.6000000000000003E-2</v>
      </c>
      <c r="L84" s="129">
        <v>0.22309999999999999</v>
      </c>
      <c r="M84" s="129">
        <v>0.22309999999999999</v>
      </c>
      <c r="N84" s="129">
        <v>3.1099999999999999E-2</v>
      </c>
      <c r="O84" s="129">
        <v>0.61560000000000004</v>
      </c>
      <c r="P84" s="129">
        <v>5.8300999999999998</v>
      </c>
      <c r="Q84" s="129">
        <v>1.18E-2</v>
      </c>
      <c r="R84" s="129">
        <v>7.5899999999999995E-2</v>
      </c>
      <c r="S84" s="129">
        <v>0.27689999999999998</v>
      </c>
      <c r="T84" s="129">
        <v>0.27689999999999998</v>
      </c>
      <c r="U84" s="129">
        <v>3.3599999999999998E-2</v>
      </c>
      <c r="V84" s="129">
        <v>0.70730000000000004</v>
      </c>
      <c r="W84" s="130" t="s">
        <v>189</v>
      </c>
      <c r="X84" s="130" t="s">
        <v>168</v>
      </c>
    </row>
    <row r="85" spans="1:24" x14ac:dyDescent="0.25">
      <c r="A85" s="130">
        <v>2104008410</v>
      </c>
      <c r="B85" s="129">
        <v>6.7000000000000002E-3</v>
      </c>
      <c r="C85" s="129">
        <v>0</v>
      </c>
      <c r="D85" s="129">
        <v>2.7000000000000001E-3</v>
      </c>
      <c r="E85" s="129">
        <v>2E-3</v>
      </c>
      <c r="F85" s="129">
        <v>2E-3</v>
      </c>
      <c r="G85" s="129">
        <v>2.0000000000000001E-4</v>
      </c>
      <c r="H85" s="129">
        <v>1.5E-3</v>
      </c>
      <c r="I85" s="129">
        <v>4.4699999999999997E-2</v>
      </c>
      <c r="J85" s="129">
        <v>2.9999999999999997E-4</v>
      </c>
      <c r="K85" s="129">
        <v>1.7999999999999999E-2</v>
      </c>
      <c r="L85" s="129">
        <v>8.5000000000000006E-3</v>
      </c>
      <c r="M85" s="129">
        <v>8.5000000000000006E-3</v>
      </c>
      <c r="N85" s="129">
        <v>2.5999999999999999E-3</v>
      </c>
      <c r="O85" s="129">
        <v>1.03E-2</v>
      </c>
      <c r="P85" s="129">
        <v>5.1299999999999998E-2</v>
      </c>
      <c r="Q85" s="129">
        <v>4.0000000000000002E-4</v>
      </c>
      <c r="R85" s="129">
        <v>2.07E-2</v>
      </c>
      <c r="S85" s="129">
        <v>1.04E-2</v>
      </c>
      <c r="T85" s="129">
        <v>1.04E-2</v>
      </c>
      <c r="U85" s="129">
        <v>2.8E-3</v>
      </c>
      <c r="V85" s="129">
        <v>1.1900000000000001E-2</v>
      </c>
      <c r="W85" s="130" t="s">
        <v>190</v>
      </c>
      <c r="X85" s="130" t="s">
        <v>168</v>
      </c>
    </row>
    <row r="86" spans="1:24" x14ac:dyDescent="0.25">
      <c r="A86" s="130">
        <v>2104008420</v>
      </c>
      <c r="B86" s="129">
        <v>2.24E-2</v>
      </c>
      <c r="C86" s="129">
        <v>2.0000000000000001E-4</v>
      </c>
      <c r="D86" s="129">
        <v>9.1000000000000004E-3</v>
      </c>
      <c r="E86" s="129">
        <v>6.7000000000000002E-3</v>
      </c>
      <c r="F86" s="129">
        <v>6.7000000000000002E-3</v>
      </c>
      <c r="G86" s="129">
        <v>6.9999999999999999E-4</v>
      </c>
      <c r="H86" s="129">
        <v>5.1999999999999998E-3</v>
      </c>
      <c r="I86" s="129">
        <v>0.1507</v>
      </c>
      <c r="J86" s="129">
        <v>1.1000000000000001E-3</v>
      </c>
      <c r="K86" s="129">
        <v>6.08E-2</v>
      </c>
      <c r="L86" s="129">
        <v>2.81E-2</v>
      </c>
      <c r="M86" s="129">
        <v>2.81E-2</v>
      </c>
      <c r="N86" s="129">
        <v>1.0800000000000001E-2</v>
      </c>
      <c r="O86" s="129">
        <v>3.4799999999999998E-2</v>
      </c>
      <c r="P86" s="129">
        <v>0.17319999999999999</v>
      </c>
      <c r="Q86" s="129">
        <v>1.2999999999999999E-3</v>
      </c>
      <c r="R86" s="129">
        <v>6.9800000000000001E-2</v>
      </c>
      <c r="S86" s="129">
        <v>3.4799999999999998E-2</v>
      </c>
      <c r="T86" s="129">
        <v>3.4799999999999998E-2</v>
      </c>
      <c r="U86" s="129">
        <v>1.15E-2</v>
      </c>
      <c r="V86" s="129">
        <v>0.04</v>
      </c>
      <c r="W86" s="130" t="s">
        <v>191</v>
      </c>
      <c r="X86" s="130" t="s">
        <v>168</v>
      </c>
    </row>
    <row r="87" spans="1:24" x14ac:dyDescent="0.25">
      <c r="A87" s="130">
        <v>2104008610</v>
      </c>
      <c r="B87" s="129">
        <v>0.1283</v>
      </c>
      <c r="C87" s="129">
        <v>5.0000000000000001E-4</v>
      </c>
      <c r="D87" s="129">
        <v>3.3999999999999998E-3</v>
      </c>
      <c r="E87" s="129">
        <v>2.0899999999999998E-2</v>
      </c>
      <c r="F87" s="129">
        <v>2.0899999999999998E-2</v>
      </c>
      <c r="G87" s="129">
        <v>8.0000000000000004E-4</v>
      </c>
      <c r="H87" s="129">
        <v>9.6199999999999994E-2</v>
      </c>
      <c r="I87" s="129">
        <v>1.3694999999999999</v>
      </c>
      <c r="J87" s="129">
        <v>5.4999999999999997E-3</v>
      </c>
      <c r="K87" s="129">
        <v>3.6499999999999998E-2</v>
      </c>
      <c r="L87" s="129">
        <v>0.1363</v>
      </c>
      <c r="M87" s="129">
        <v>0.1363</v>
      </c>
      <c r="N87" s="129">
        <v>1.2800000000000001E-2</v>
      </c>
      <c r="O87" s="129">
        <v>1.0265</v>
      </c>
      <c r="P87" s="129">
        <v>1.4978</v>
      </c>
      <c r="Q87" s="129">
        <v>6.0000000000000001E-3</v>
      </c>
      <c r="R87" s="129">
        <v>3.9899999999999998E-2</v>
      </c>
      <c r="S87" s="129">
        <v>0.15720000000000001</v>
      </c>
      <c r="T87" s="129">
        <v>0.15720000000000001</v>
      </c>
      <c r="U87" s="129">
        <v>1.3599999999999999E-2</v>
      </c>
      <c r="V87" s="129">
        <v>1.1227</v>
      </c>
      <c r="W87" s="130" t="s">
        <v>192</v>
      </c>
      <c r="X87" s="130" t="s">
        <v>168</v>
      </c>
    </row>
    <row r="89" spans="1:24" x14ac:dyDescent="0.25">
      <c r="B89" s="135">
        <f>SUMIFS(B70:B87,$X70:$X87,$X89)/B69</f>
        <v>0.94038543897216287</v>
      </c>
      <c r="C89" s="135">
        <f t="shared" ref="C89:V89" si="8">SUMIFS(C70:C87,$X70:$X87,$X89)/C69</f>
        <v>0.8203125</v>
      </c>
      <c r="D89" s="135">
        <f t="shared" si="8"/>
        <v>0.30127142067440577</v>
      </c>
      <c r="E89" s="135">
        <f t="shared" si="8"/>
        <v>0.94501940491591196</v>
      </c>
      <c r="F89" s="135">
        <f t="shared" si="8"/>
        <v>0.94501940491591196</v>
      </c>
      <c r="G89" s="135">
        <f t="shared" si="8"/>
        <v>3.5542747358309319E-2</v>
      </c>
      <c r="H89" s="135">
        <f t="shared" si="8"/>
        <v>0.97628417564208769</v>
      </c>
      <c r="I89" s="135">
        <f t="shared" si="8"/>
        <v>0.9396244708504945</v>
      </c>
      <c r="J89" s="136">
        <f t="shared" si="8"/>
        <v>0.6507105459985042</v>
      </c>
      <c r="K89" s="136">
        <f t="shared" si="8"/>
        <v>0.15992647058823528</v>
      </c>
      <c r="L89" s="135">
        <f t="shared" si="8"/>
        <v>0.91113117502902108</v>
      </c>
      <c r="M89" s="136">
        <f t="shared" si="8"/>
        <v>0.91113117502902108</v>
      </c>
      <c r="N89" s="136">
        <f t="shared" si="8"/>
        <v>3.4758138119866146E-2</v>
      </c>
      <c r="O89" s="136">
        <f t="shared" si="8"/>
        <v>0.97432905484247367</v>
      </c>
      <c r="P89" s="135">
        <f t="shared" si="8"/>
        <v>0.93971757765940989</v>
      </c>
      <c r="Q89" s="136">
        <f t="shared" si="8"/>
        <v>0.668259385665529</v>
      </c>
      <c r="R89" s="136">
        <f t="shared" si="8"/>
        <v>0.16942456768038164</v>
      </c>
      <c r="S89" s="135">
        <f t="shared" si="8"/>
        <v>0.91660393590708678</v>
      </c>
      <c r="T89" s="136">
        <f t="shared" si="8"/>
        <v>0.91660393590708678</v>
      </c>
      <c r="U89" s="136">
        <f t="shared" si="8"/>
        <v>3.4839194681325909E-2</v>
      </c>
      <c r="V89" s="136">
        <f t="shared" si="8"/>
        <v>0.97452353971360861</v>
      </c>
      <c r="X89" s="130" t="s">
        <v>168</v>
      </c>
    </row>
    <row r="90" spans="1:24" x14ac:dyDescent="0.25">
      <c r="B90" s="135">
        <f>SUMIFS(B70:B87,$X70:$X87,$X90)/B69</f>
        <v>1.3133476088508208E-3</v>
      </c>
      <c r="C90" s="135">
        <f t="shared" ref="C90:V90" si="9">SUMIFS(C70:C87,$X70:$X87,$X90)/C69</f>
        <v>1.5625E-2</v>
      </c>
      <c r="D90" s="135">
        <f t="shared" si="9"/>
        <v>0.6578220011055832</v>
      </c>
      <c r="E90" s="135">
        <f t="shared" si="9"/>
        <v>1.5200517464424322E-2</v>
      </c>
      <c r="F90" s="135">
        <f t="shared" si="9"/>
        <v>1.5200517464424322E-2</v>
      </c>
      <c r="G90" s="135">
        <f t="shared" si="9"/>
        <v>0.91738712776176734</v>
      </c>
      <c r="H90" s="135">
        <f t="shared" si="9"/>
        <v>7.5600662800331397E-3</v>
      </c>
      <c r="I90" s="135">
        <f t="shared" si="9"/>
        <v>2.511670871870431E-3</v>
      </c>
      <c r="J90" s="136">
        <f t="shared" si="9"/>
        <v>2.6925953627524306E-2</v>
      </c>
      <c r="K90" s="136">
        <f t="shared" si="9"/>
        <v>0.75211796675191811</v>
      </c>
      <c r="L90" s="135">
        <f t="shared" si="9"/>
        <v>3.927511930865471E-2</v>
      </c>
      <c r="M90" s="136">
        <f t="shared" si="9"/>
        <v>3.927511930865471E-2</v>
      </c>
      <c r="N90" s="136">
        <f t="shared" si="9"/>
        <v>0.93821620525301708</v>
      </c>
      <c r="O90" s="136">
        <f t="shared" si="9"/>
        <v>1.1988926258951656E-2</v>
      </c>
      <c r="P90" s="135">
        <f t="shared" si="9"/>
        <v>2.3737213890815552E-3</v>
      </c>
      <c r="Q90" s="136">
        <f t="shared" si="9"/>
        <v>2.6621160409556314E-2</v>
      </c>
      <c r="R90" s="136">
        <f t="shared" si="9"/>
        <v>0.7457886106141921</v>
      </c>
      <c r="S90" s="135">
        <f t="shared" si="9"/>
        <v>3.5272609958060003E-2</v>
      </c>
      <c r="T90" s="136">
        <f t="shared" si="9"/>
        <v>3.5272609958060003E-2</v>
      </c>
      <c r="U90" s="136">
        <f t="shared" si="9"/>
        <v>0.93668804472948519</v>
      </c>
      <c r="V90" s="136">
        <f t="shared" si="9"/>
        <v>1.1558669001751311E-2</v>
      </c>
      <c r="X90" s="130" t="s">
        <v>167</v>
      </c>
    </row>
    <row r="91" spans="1:24" x14ac:dyDescent="0.25">
      <c r="B91" s="135">
        <f>SUMIFS(B70:B87,$X70:$X87,$X91)/B69</f>
        <v>5.8272662384011423E-2</v>
      </c>
      <c r="C91" s="135">
        <f t="shared" ref="C91:V91" si="10">SUMIFS(C70:C87,$X70:$X87,$X91)/C69</f>
        <v>0.15625</v>
      </c>
      <c r="D91" s="135">
        <f t="shared" si="10"/>
        <v>4.0906578220011057E-2</v>
      </c>
      <c r="E91" s="135">
        <f t="shared" si="10"/>
        <v>4.0426908150064687E-2</v>
      </c>
      <c r="F91" s="135">
        <f t="shared" si="10"/>
        <v>4.0426908150064687E-2</v>
      </c>
      <c r="G91" s="135">
        <f t="shared" si="10"/>
        <v>4.642971501761127E-2</v>
      </c>
      <c r="H91" s="135">
        <f t="shared" si="10"/>
        <v>1.6155758077879039E-2</v>
      </c>
      <c r="I91" s="135">
        <f t="shared" si="10"/>
        <v>5.5443798501395157E-2</v>
      </c>
      <c r="J91" s="136">
        <f t="shared" si="10"/>
        <v>0.10471204188481674</v>
      </c>
      <c r="K91" s="136">
        <f t="shared" si="10"/>
        <v>2.0979859335038362E-2</v>
      </c>
      <c r="L91" s="135">
        <f t="shared" si="10"/>
        <v>4.1725783567651227E-2</v>
      </c>
      <c r="M91" s="136">
        <f t="shared" si="10"/>
        <v>4.1725783567651227E-2</v>
      </c>
      <c r="N91" s="136">
        <f t="shared" si="10"/>
        <v>2.253828212148869E-2</v>
      </c>
      <c r="O91" s="136">
        <f t="shared" si="10"/>
        <v>1.2721074427437251E-2</v>
      </c>
      <c r="P91" s="135">
        <f t="shared" si="10"/>
        <v>5.5774035191682211E-2</v>
      </c>
      <c r="Q91" s="136">
        <f t="shared" si="10"/>
        <v>0.10921501706484643</v>
      </c>
      <c r="R91" s="136">
        <f t="shared" si="10"/>
        <v>2.2324090638044129E-2</v>
      </c>
      <c r="S91" s="135">
        <f t="shared" si="10"/>
        <v>4.1456070545219909E-2</v>
      </c>
      <c r="T91" s="136">
        <f t="shared" si="10"/>
        <v>4.1456070545219909E-2</v>
      </c>
      <c r="U91" s="136">
        <f t="shared" si="10"/>
        <v>2.4291117532360743E-2</v>
      </c>
      <c r="V91" s="136">
        <f t="shared" si="10"/>
        <v>1.3062738230143194E-2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2.4200597762398988E-3</v>
      </c>
      <c r="J92" s="136">
        <f t="shared" si="11"/>
        <v>0.21615557217651454</v>
      </c>
      <c r="K92" s="136">
        <f t="shared" si="11"/>
        <v>6.6895780051150891E-2</v>
      </c>
      <c r="L92" s="135">
        <f t="shared" si="11"/>
        <v>8.0613955888043324E-3</v>
      </c>
      <c r="M92" s="136">
        <f t="shared" si="11"/>
        <v>8.0613955888043324E-3</v>
      </c>
      <c r="N92" s="136">
        <f t="shared" si="11"/>
        <v>4.4873745056282317E-3</v>
      </c>
      <c r="O92" s="136">
        <f t="shared" si="11"/>
        <v>9.6094447113734629E-4</v>
      </c>
      <c r="P92" s="135">
        <f t="shared" si="11"/>
        <v>2.1346657598265333E-3</v>
      </c>
      <c r="Q92" s="136">
        <f t="shared" si="11"/>
        <v>0.19726962457337885</v>
      </c>
      <c r="R92" s="136">
        <f t="shared" si="11"/>
        <v>6.238819320214669E-2</v>
      </c>
      <c r="S92" s="135">
        <f t="shared" si="11"/>
        <v>6.7211528121303363E-3</v>
      </c>
      <c r="T92" s="136">
        <f t="shared" si="11"/>
        <v>6.7211528121303363E-3</v>
      </c>
      <c r="U92" s="136">
        <f t="shared" si="11"/>
        <v>4.1581506801043047E-3</v>
      </c>
      <c r="V92" s="136">
        <f t="shared" si="11"/>
        <v>8.653548985268362E-4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81FE3-BBFF-4EDC-8AC1-4723E88407F8}">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202</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3.6225999999999998</v>
      </c>
      <c r="C7" s="129">
        <v>1.32E-2</v>
      </c>
      <c r="D7" s="129">
        <v>0.18609999999999999</v>
      </c>
      <c r="E7" s="129">
        <v>0.31979999999999997</v>
      </c>
      <c r="F7" s="129">
        <v>0.31979999999999997</v>
      </c>
      <c r="G7" s="129">
        <v>0.32069999999999999</v>
      </c>
      <c r="H7" s="129">
        <v>0.99890000000000001</v>
      </c>
      <c r="I7" s="129">
        <v>27.095199999999998</v>
      </c>
      <c r="J7" s="129">
        <v>0.13730000000000001</v>
      </c>
      <c r="K7" s="129">
        <v>2.5905999999999998</v>
      </c>
      <c r="L7" s="129">
        <v>2.5703999999999998</v>
      </c>
      <c r="M7" s="129">
        <v>2.5703999999999998</v>
      </c>
      <c r="N7" s="129">
        <v>4.0186000000000002</v>
      </c>
      <c r="O7" s="129">
        <v>9.0434999999999999</v>
      </c>
      <c r="P7" s="129">
        <v>30.7178</v>
      </c>
      <c r="Q7" s="129">
        <v>0.15049999999999999</v>
      </c>
      <c r="R7" s="129">
        <v>2.7766000000000002</v>
      </c>
      <c r="S7" s="129">
        <v>2.8902999999999999</v>
      </c>
      <c r="T7" s="129">
        <v>2.8902999999999999</v>
      </c>
      <c r="U7" s="129">
        <v>4.3394000000000004</v>
      </c>
      <c r="V7" s="129">
        <v>10.042400000000001</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1.11E-2</v>
      </c>
      <c r="E10" s="129">
        <v>2.9999999999999997E-4</v>
      </c>
      <c r="F10" s="129">
        <v>2.9999999999999997E-4</v>
      </c>
      <c r="G10" s="129">
        <v>7.7999999999999996E-3</v>
      </c>
      <c r="H10" s="129">
        <v>4.0000000000000002E-4</v>
      </c>
      <c r="I10" s="129">
        <v>1.6299999999999999E-2</v>
      </c>
      <c r="J10" s="129">
        <v>8.9999999999999998E-4</v>
      </c>
      <c r="K10" s="129">
        <v>0.65669999999999995</v>
      </c>
      <c r="L10" s="129">
        <v>1.67E-2</v>
      </c>
      <c r="M10" s="129">
        <v>1.67E-2</v>
      </c>
      <c r="N10" s="129">
        <v>0.4642</v>
      </c>
      <c r="O10" s="129">
        <v>2.5999999999999999E-2</v>
      </c>
      <c r="P10" s="129">
        <v>1.66E-2</v>
      </c>
      <c r="Q10" s="129">
        <v>8.9999999999999998E-4</v>
      </c>
      <c r="R10" s="129">
        <v>0.66779999999999995</v>
      </c>
      <c r="S10" s="129">
        <v>1.6899999999999998E-2</v>
      </c>
      <c r="T10" s="129">
        <v>1.6899999999999998E-2</v>
      </c>
      <c r="U10" s="129">
        <v>0.47199999999999998</v>
      </c>
      <c r="V10" s="129">
        <v>2.6499999999999999E-2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0.2097</v>
      </c>
      <c r="C13" s="129">
        <v>2E-3</v>
      </c>
      <c r="D13" s="129">
        <v>7.6E-3</v>
      </c>
      <c r="E13" s="129">
        <v>1.2800000000000001E-2</v>
      </c>
      <c r="F13" s="129">
        <v>1.2800000000000001E-2</v>
      </c>
      <c r="G13" s="129">
        <v>1.49E-2</v>
      </c>
      <c r="H13" s="129">
        <v>1.61E-2</v>
      </c>
      <c r="I13" s="129">
        <v>1.4904999999999999</v>
      </c>
      <c r="J13" s="129">
        <v>1.4500000000000001E-2</v>
      </c>
      <c r="K13" s="129">
        <v>5.3900000000000003E-2</v>
      </c>
      <c r="L13" s="129">
        <v>9.1200000000000003E-2</v>
      </c>
      <c r="M13" s="129">
        <v>9.1200000000000003E-2</v>
      </c>
      <c r="N13" s="129">
        <v>0.1062</v>
      </c>
      <c r="O13" s="129">
        <v>0.11409999999999999</v>
      </c>
      <c r="P13" s="129">
        <v>1.7001999999999999</v>
      </c>
      <c r="Q13" s="129">
        <v>1.6500000000000001E-2</v>
      </c>
      <c r="R13" s="129">
        <v>6.1499999999999999E-2</v>
      </c>
      <c r="S13" s="129">
        <v>0.104</v>
      </c>
      <c r="T13" s="129">
        <v>0.104</v>
      </c>
      <c r="U13" s="129">
        <v>0.1211</v>
      </c>
      <c r="V13" s="129">
        <v>0.13020000000000001</v>
      </c>
      <c r="W13" s="130" t="s">
        <v>180</v>
      </c>
      <c r="X13" s="130" t="s">
        <v>166</v>
      </c>
    </row>
    <row r="14" spans="1:24" x14ac:dyDescent="0.25">
      <c r="A14" s="130">
        <v>2104004000</v>
      </c>
      <c r="B14" s="129">
        <v>4.4000000000000003E-3</v>
      </c>
      <c r="C14" s="129">
        <v>2.0000000000000001E-4</v>
      </c>
      <c r="D14" s="129">
        <v>0.111</v>
      </c>
      <c r="E14" s="129">
        <v>4.4999999999999997E-3</v>
      </c>
      <c r="F14" s="129">
        <v>4.4999999999999997E-3</v>
      </c>
      <c r="G14" s="129">
        <v>0.2863</v>
      </c>
      <c r="H14" s="129">
        <v>7.1000000000000004E-3</v>
      </c>
      <c r="I14" s="129">
        <v>5.1799999999999999E-2</v>
      </c>
      <c r="J14" s="129">
        <v>2.8E-3</v>
      </c>
      <c r="K14" s="129">
        <v>1.2983</v>
      </c>
      <c r="L14" s="129">
        <v>5.28E-2</v>
      </c>
      <c r="M14" s="129">
        <v>5.28E-2</v>
      </c>
      <c r="N14" s="129">
        <v>3.3454999999999999</v>
      </c>
      <c r="O14" s="129">
        <v>8.2500000000000004E-2</v>
      </c>
      <c r="P14" s="129">
        <v>5.6300000000000003E-2</v>
      </c>
      <c r="Q14" s="129">
        <v>3.0999999999999999E-3</v>
      </c>
      <c r="R14" s="129">
        <v>1.4093</v>
      </c>
      <c r="S14" s="129">
        <v>5.7299999999999997E-2</v>
      </c>
      <c r="T14" s="129">
        <v>5.7299999999999997E-2</v>
      </c>
      <c r="U14" s="129">
        <v>3.6318000000000001</v>
      </c>
      <c r="V14" s="129">
        <v>8.9599999999999999E-2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0.39639999999999997</v>
      </c>
      <c r="C16" s="129">
        <v>2.8E-3</v>
      </c>
      <c r="D16" s="129">
        <v>4.1000000000000003E-3</v>
      </c>
      <c r="E16" s="129">
        <v>5.4300000000000001E-2</v>
      </c>
      <c r="F16" s="129">
        <v>5.4300000000000001E-2</v>
      </c>
      <c r="G16" s="129">
        <v>5.9999999999999995E-4</v>
      </c>
      <c r="H16" s="129">
        <v>0.3594</v>
      </c>
      <c r="I16" s="129">
        <v>4.7247000000000003</v>
      </c>
      <c r="J16" s="129">
        <v>3.3700000000000001E-2</v>
      </c>
      <c r="K16" s="129">
        <v>4.8599999999999997E-2</v>
      </c>
      <c r="L16" s="129">
        <v>0.6472</v>
      </c>
      <c r="M16" s="129">
        <v>0.6472</v>
      </c>
      <c r="N16" s="129">
        <v>7.4999999999999997E-3</v>
      </c>
      <c r="O16" s="129">
        <v>4.2831999999999999</v>
      </c>
      <c r="P16" s="129">
        <v>5.1211000000000002</v>
      </c>
      <c r="Q16" s="129">
        <v>3.6499999999999998E-2</v>
      </c>
      <c r="R16" s="129">
        <v>5.2699999999999997E-2</v>
      </c>
      <c r="S16" s="129">
        <v>0.70150000000000001</v>
      </c>
      <c r="T16" s="129">
        <v>0.70150000000000001</v>
      </c>
      <c r="U16" s="129">
        <v>8.0999999999999996E-3</v>
      </c>
      <c r="V16" s="129">
        <v>4.6425999999999998</v>
      </c>
      <c r="W16" s="130" t="s">
        <v>183</v>
      </c>
      <c r="X16" s="130" t="s">
        <v>168</v>
      </c>
    </row>
    <row r="17" spans="1:24" x14ac:dyDescent="0.25">
      <c r="A17" s="130">
        <v>2104008210</v>
      </c>
      <c r="B17" s="129">
        <v>5.67E-2</v>
      </c>
      <c r="C17" s="129">
        <v>4.0000000000000002E-4</v>
      </c>
      <c r="D17" s="129">
        <v>6.9999999999999999E-4</v>
      </c>
      <c r="E17" s="129">
        <v>7.4999999999999997E-3</v>
      </c>
      <c r="F17" s="129">
        <v>7.4999999999999997E-3</v>
      </c>
      <c r="G17" s="129">
        <v>1E-4</v>
      </c>
      <c r="H17" s="129">
        <v>1.2999999999999999E-2</v>
      </c>
      <c r="I17" s="129">
        <v>0.38100000000000001</v>
      </c>
      <c r="J17" s="129">
        <v>2.8E-3</v>
      </c>
      <c r="K17" s="129">
        <v>4.5999999999999999E-3</v>
      </c>
      <c r="L17" s="129">
        <v>5.0500000000000003E-2</v>
      </c>
      <c r="M17" s="129">
        <v>5.0500000000000003E-2</v>
      </c>
      <c r="N17" s="129">
        <v>6.9999999999999999E-4</v>
      </c>
      <c r="O17" s="129">
        <v>8.7499999999999994E-2</v>
      </c>
      <c r="P17" s="129">
        <v>0.43769999999999998</v>
      </c>
      <c r="Q17" s="129">
        <v>3.2000000000000002E-3</v>
      </c>
      <c r="R17" s="129">
        <v>5.3E-3</v>
      </c>
      <c r="S17" s="129">
        <v>5.8000000000000003E-2</v>
      </c>
      <c r="T17" s="129">
        <v>5.8000000000000003E-2</v>
      </c>
      <c r="U17" s="129">
        <v>8.0000000000000004E-4</v>
      </c>
      <c r="V17" s="129">
        <v>0.10050000000000001</v>
      </c>
      <c r="W17" s="130" t="s">
        <v>184</v>
      </c>
      <c r="X17" s="130" t="s">
        <v>168</v>
      </c>
    </row>
    <row r="18" spans="1:24" x14ac:dyDescent="0.25">
      <c r="A18" s="130">
        <v>2104008220</v>
      </c>
      <c r="B18" s="129">
        <v>7.2900000000000006E-2</v>
      </c>
      <c r="C18" s="129">
        <v>5.0000000000000001E-4</v>
      </c>
      <c r="D18" s="129">
        <v>1E-3</v>
      </c>
      <c r="E18" s="129">
        <v>6.1999999999999998E-3</v>
      </c>
      <c r="F18" s="129">
        <v>6.1999999999999998E-3</v>
      </c>
      <c r="G18" s="129">
        <v>2.0000000000000001E-4</v>
      </c>
      <c r="H18" s="129">
        <v>6.1999999999999998E-3</v>
      </c>
      <c r="I18" s="129">
        <v>0.48930000000000001</v>
      </c>
      <c r="J18" s="129">
        <v>3.0999999999999999E-3</v>
      </c>
      <c r="K18" s="129">
        <v>7.0000000000000001E-3</v>
      </c>
      <c r="L18" s="129">
        <v>4.1700000000000001E-2</v>
      </c>
      <c r="M18" s="129">
        <v>4.1700000000000001E-2</v>
      </c>
      <c r="N18" s="129">
        <v>1.4E-3</v>
      </c>
      <c r="O18" s="129">
        <v>4.1700000000000001E-2</v>
      </c>
      <c r="P18" s="129">
        <v>0.56220000000000003</v>
      </c>
      <c r="Q18" s="129">
        <v>3.5999999999999999E-3</v>
      </c>
      <c r="R18" s="129">
        <v>8.0000000000000002E-3</v>
      </c>
      <c r="S18" s="129">
        <v>4.7899999999999998E-2</v>
      </c>
      <c r="T18" s="129">
        <v>4.7899999999999998E-2</v>
      </c>
      <c r="U18" s="129">
        <v>1.6000000000000001E-3</v>
      </c>
      <c r="V18" s="129">
        <v>4.7899999999999998E-2</v>
      </c>
      <c r="W18" s="130" t="s">
        <v>185</v>
      </c>
      <c r="X18" s="130" t="s">
        <v>168</v>
      </c>
    </row>
    <row r="19" spans="1:24" x14ac:dyDescent="0.25">
      <c r="A19" s="130">
        <v>2104008230</v>
      </c>
      <c r="B19" s="129">
        <v>3.3300000000000003E-2</v>
      </c>
      <c r="C19" s="129">
        <v>2.9999999999999997E-4</v>
      </c>
      <c r="D19" s="129">
        <v>5.9999999999999995E-4</v>
      </c>
      <c r="E19" s="129">
        <v>4.1000000000000003E-3</v>
      </c>
      <c r="F19" s="129">
        <v>4.1000000000000003E-3</v>
      </c>
      <c r="G19" s="129">
        <v>1E-4</v>
      </c>
      <c r="H19" s="129">
        <v>4.7000000000000002E-3</v>
      </c>
      <c r="I19" s="129">
        <v>0.22389999999999999</v>
      </c>
      <c r="J19" s="129">
        <v>1.9E-3</v>
      </c>
      <c r="K19" s="129">
        <v>4.1999999999999997E-3</v>
      </c>
      <c r="L19" s="129">
        <v>2.7199999999999998E-2</v>
      </c>
      <c r="M19" s="129">
        <v>2.7199999999999998E-2</v>
      </c>
      <c r="N19" s="129">
        <v>8.0000000000000004E-4</v>
      </c>
      <c r="O19" s="129">
        <v>3.1399999999999997E-2</v>
      </c>
      <c r="P19" s="129">
        <v>0.25719999999999998</v>
      </c>
      <c r="Q19" s="129">
        <v>2.2000000000000001E-3</v>
      </c>
      <c r="R19" s="129">
        <v>4.7999999999999996E-3</v>
      </c>
      <c r="S19" s="129">
        <v>3.1300000000000001E-2</v>
      </c>
      <c r="T19" s="129">
        <v>3.1300000000000001E-2</v>
      </c>
      <c r="U19" s="129">
        <v>1E-3</v>
      </c>
      <c r="V19" s="129">
        <v>3.61E-2</v>
      </c>
      <c r="W19" s="130" t="s">
        <v>186</v>
      </c>
      <c r="X19" s="130" t="s">
        <v>168</v>
      </c>
    </row>
    <row r="20" spans="1:24" x14ac:dyDescent="0.25">
      <c r="A20" s="130">
        <v>2104008310</v>
      </c>
      <c r="B20" s="129">
        <v>0.60460000000000003</v>
      </c>
      <c r="C20" s="129">
        <v>2E-3</v>
      </c>
      <c r="D20" s="129">
        <v>7.1999999999999998E-3</v>
      </c>
      <c r="E20" s="129">
        <v>6.0600000000000001E-2</v>
      </c>
      <c r="F20" s="129">
        <v>6.0600000000000001E-2</v>
      </c>
      <c r="G20" s="129">
        <v>2E-3</v>
      </c>
      <c r="H20" s="129">
        <v>0.26440000000000002</v>
      </c>
      <c r="I20" s="129">
        <v>4.0590000000000002</v>
      </c>
      <c r="J20" s="129">
        <v>1.3299999999999999E-2</v>
      </c>
      <c r="K20" s="129">
        <v>4.8599999999999997E-2</v>
      </c>
      <c r="L20" s="129">
        <v>0.40670000000000001</v>
      </c>
      <c r="M20" s="129">
        <v>0.40670000000000001</v>
      </c>
      <c r="N20" s="129">
        <v>1.34E-2</v>
      </c>
      <c r="O20" s="129">
        <v>1.7754000000000001</v>
      </c>
      <c r="P20" s="129">
        <v>4.6635</v>
      </c>
      <c r="Q20" s="129">
        <v>1.5299999999999999E-2</v>
      </c>
      <c r="R20" s="129">
        <v>5.5899999999999998E-2</v>
      </c>
      <c r="S20" s="129">
        <v>0.46729999999999999</v>
      </c>
      <c r="T20" s="129">
        <v>0.46729999999999999</v>
      </c>
      <c r="U20" s="129">
        <v>1.54E-2</v>
      </c>
      <c r="V20" s="129">
        <v>2.0398000000000001</v>
      </c>
      <c r="W20" s="130" t="s">
        <v>187</v>
      </c>
      <c r="X20" s="130" t="s">
        <v>168</v>
      </c>
    </row>
    <row r="21" spans="1:24" x14ac:dyDescent="0.25">
      <c r="A21" s="130">
        <v>2104008320</v>
      </c>
      <c r="B21" s="129">
        <v>1.2988</v>
      </c>
      <c r="C21" s="129">
        <v>2.5999999999999999E-3</v>
      </c>
      <c r="D21" s="129">
        <v>1.6899999999999998E-2</v>
      </c>
      <c r="E21" s="129">
        <v>8.3299999999999999E-2</v>
      </c>
      <c r="F21" s="129">
        <v>8.3299999999999999E-2</v>
      </c>
      <c r="G21" s="129">
        <v>4.1999999999999997E-3</v>
      </c>
      <c r="H21" s="129">
        <v>0.12609999999999999</v>
      </c>
      <c r="I21" s="129">
        <v>8.7200000000000006</v>
      </c>
      <c r="J21" s="129">
        <v>1.7600000000000001E-2</v>
      </c>
      <c r="K21" s="129">
        <v>0.1135</v>
      </c>
      <c r="L21" s="129">
        <v>0.55889999999999995</v>
      </c>
      <c r="M21" s="129">
        <v>0.55889999999999995</v>
      </c>
      <c r="N21" s="129">
        <v>2.8199999999999999E-2</v>
      </c>
      <c r="O21" s="129">
        <v>0.84630000000000005</v>
      </c>
      <c r="P21" s="129">
        <v>10.018800000000001</v>
      </c>
      <c r="Q21" s="129">
        <v>2.0199999999999999E-2</v>
      </c>
      <c r="R21" s="129">
        <v>0.13039999999999999</v>
      </c>
      <c r="S21" s="129">
        <v>0.64219999999999999</v>
      </c>
      <c r="T21" s="129">
        <v>0.64219999999999999</v>
      </c>
      <c r="U21" s="129">
        <v>3.2399999999999998E-2</v>
      </c>
      <c r="V21" s="129">
        <v>0.97240000000000004</v>
      </c>
      <c r="W21" s="130" t="s">
        <v>188</v>
      </c>
      <c r="X21" s="130" t="s">
        <v>168</v>
      </c>
    </row>
    <row r="22" spans="1:24" x14ac:dyDescent="0.25">
      <c r="A22" s="130">
        <v>2104008330</v>
      </c>
      <c r="B22" s="129">
        <v>0.78200000000000003</v>
      </c>
      <c r="C22" s="129">
        <v>1.6000000000000001E-3</v>
      </c>
      <c r="D22" s="129">
        <v>1.0200000000000001E-2</v>
      </c>
      <c r="E22" s="129">
        <v>5.5599999999999997E-2</v>
      </c>
      <c r="F22" s="129">
        <v>5.5599999999999997E-2</v>
      </c>
      <c r="G22" s="129">
        <v>2.5000000000000001E-3</v>
      </c>
      <c r="H22" s="129">
        <v>9.4899999999999998E-2</v>
      </c>
      <c r="I22" s="129">
        <v>5.2500999999999998</v>
      </c>
      <c r="J22" s="129">
        <v>1.06E-2</v>
      </c>
      <c r="K22" s="129">
        <v>6.83E-2</v>
      </c>
      <c r="L22" s="129">
        <v>0.37340000000000001</v>
      </c>
      <c r="M22" s="129">
        <v>0.37340000000000001</v>
      </c>
      <c r="N22" s="129">
        <v>1.7000000000000001E-2</v>
      </c>
      <c r="O22" s="129">
        <v>0.63690000000000002</v>
      </c>
      <c r="P22" s="129">
        <v>6.0320999999999998</v>
      </c>
      <c r="Q22" s="129">
        <v>1.2200000000000001E-2</v>
      </c>
      <c r="R22" s="129">
        <v>7.85E-2</v>
      </c>
      <c r="S22" s="129">
        <v>0.42899999999999999</v>
      </c>
      <c r="T22" s="129">
        <v>0.42899999999999999</v>
      </c>
      <c r="U22" s="129">
        <v>1.95E-2</v>
      </c>
      <c r="V22" s="129">
        <v>0.73180000000000001</v>
      </c>
      <c r="W22" s="130" t="s">
        <v>189</v>
      </c>
      <c r="X22" s="130" t="s">
        <v>168</v>
      </c>
    </row>
    <row r="23" spans="1:24" x14ac:dyDescent="0.25">
      <c r="A23" s="130">
        <v>2104008410</v>
      </c>
      <c r="B23" s="129">
        <v>6.8999999999999999E-3</v>
      </c>
      <c r="C23" s="129">
        <v>0</v>
      </c>
      <c r="D23" s="129">
        <v>2.8E-3</v>
      </c>
      <c r="E23" s="129">
        <v>2.0999999999999999E-3</v>
      </c>
      <c r="F23" s="129">
        <v>2.0999999999999999E-3</v>
      </c>
      <c r="G23" s="129">
        <v>2.0000000000000001E-4</v>
      </c>
      <c r="H23" s="129">
        <v>1.6000000000000001E-3</v>
      </c>
      <c r="I23" s="129">
        <v>4.6199999999999998E-2</v>
      </c>
      <c r="J23" s="129">
        <v>2.9999999999999997E-4</v>
      </c>
      <c r="K23" s="129">
        <v>1.8599999999999998E-2</v>
      </c>
      <c r="L23" s="129">
        <v>1.38E-2</v>
      </c>
      <c r="M23" s="129">
        <v>1.38E-2</v>
      </c>
      <c r="N23" s="129">
        <v>1.5E-3</v>
      </c>
      <c r="O23" s="129">
        <v>1.0699999999999999E-2</v>
      </c>
      <c r="P23" s="129">
        <v>5.3100000000000001E-2</v>
      </c>
      <c r="Q23" s="129">
        <v>4.0000000000000002E-4</v>
      </c>
      <c r="R23" s="129">
        <v>2.1399999999999999E-2</v>
      </c>
      <c r="S23" s="129">
        <v>1.5800000000000002E-2</v>
      </c>
      <c r="T23" s="129">
        <v>1.5800000000000002E-2</v>
      </c>
      <c r="U23" s="129">
        <v>1.6999999999999999E-3</v>
      </c>
      <c r="V23" s="129">
        <v>1.23E-2</v>
      </c>
      <c r="W23" s="130" t="s">
        <v>190</v>
      </c>
      <c r="X23" s="130" t="s">
        <v>168</v>
      </c>
    </row>
    <row r="24" spans="1:24" x14ac:dyDescent="0.25">
      <c r="A24" s="130">
        <v>2104008420</v>
      </c>
      <c r="B24" s="129">
        <v>2.3199999999999998E-2</v>
      </c>
      <c r="C24" s="129">
        <v>2.0000000000000001E-4</v>
      </c>
      <c r="D24" s="129">
        <v>9.4000000000000004E-3</v>
      </c>
      <c r="E24" s="129">
        <v>6.8999999999999999E-3</v>
      </c>
      <c r="F24" s="129">
        <v>6.8999999999999999E-3</v>
      </c>
      <c r="G24" s="129">
        <v>6.9999999999999999E-4</v>
      </c>
      <c r="H24" s="129">
        <v>5.4000000000000003E-3</v>
      </c>
      <c r="I24" s="129">
        <v>0.15590000000000001</v>
      </c>
      <c r="J24" s="129">
        <v>1.1000000000000001E-3</v>
      </c>
      <c r="K24" s="129">
        <v>6.2899999999999998E-2</v>
      </c>
      <c r="L24" s="129">
        <v>4.65E-2</v>
      </c>
      <c r="M24" s="129">
        <v>4.65E-2</v>
      </c>
      <c r="N24" s="129">
        <v>5.0000000000000001E-3</v>
      </c>
      <c r="O24" s="129">
        <v>3.5999999999999997E-2</v>
      </c>
      <c r="P24" s="129">
        <v>0.1792</v>
      </c>
      <c r="Q24" s="129">
        <v>1.2999999999999999E-3</v>
      </c>
      <c r="R24" s="129">
        <v>7.22E-2</v>
      </c>
      <c r="S24" s="129">
        <v>5.3400000000000003E-2</v>
      </c>
      <c r="T24" s="129">
        <v>5.3400000000000003E-2</v>
      </c>
      <c r="U24" s="129">
        <v>5.7999999999999996E-3</v>
      </c>
      <c r="V24" s="129">
        <v>4.1399999999999999E-2</v>
      </c>
      <c r="W24" s="130" t="s">
        <v>191</v>
      </c>
      <c r="X24" s="130" t="s">
        <v>168</v>
      </c>
    </row>
    <row r="25" spans="1:24" x14ac:dyDescent="0.25">
      <c r="A25" s="130">
        <v>2104008610</v>
      </c>
      <c r="B25" s="129">
        <v>0.1328</v>
      </c>
      <c r="C25" s="129">
        <v>5.0000000000000001E-4</v>
      </c>
      <c r="D25" s="129">
        <v>3.5000000000000001E-3</v>
      </c>
      <c r="E25" s="129">
        <v>2.1600000000000001E-2</v>
      </c>
      <c r="F25" s="129">
        <v>2.1600000000000001E-2</v>
      </c>
      <c r="G25" s="129">
        <v>8.9999999999999998E-4</v>
      </c>
      <c r="H25" s="129">
        <v>9.9500000000000005E-2</v>
      </c>
      <c r="I25" s="129">
        <v>1.4169</v>
      </c>
      <c r="J25" s="129">
        <v>5.7000000000000002E-3</v>
      </c>
      <c r="K25" s="129">
        <v>3.7699999999999997E-2</v>
      </c>
      <c r="L25" s="129">
        <v>0.23089999999999999</v>
      </c>
      <c r="M25" s="129">
        <v>0.23089999999999999</v>
      </c>
      <c r="N25" s="129">
        <v>9.4000000000000004E-3</v>
      </c>
      <c r="O25" s="129">
        <v>1.0621</v>
      </c>
      <c r="P25" s="129">
        <v>1.5497000000000001</v>
      </c>
      <c r="Q25" s="129">
        <v>6.1999999999999998E-3</v>
      </c>
      <c r="R25" s="129">
        <v>4.1300000000000003E-2</v>
      </c>
      <c r="S25" s="129">
        <v>0.2525</v>
      </c>
      <c r="T25" s="129">
        <v>0.2525</v>
      </c>
      <c r="U25" s="129">
        <v>1.0200000000000001E-2</v>
      </c>
      <c r="V25" s="129">
        <v>1.1616</v>
      </c>
      <c r="W25" s="130" t="s">
        <v>192</v>
      </c>
      <c r="X25" s="130" t="s">
        <v>168</v>
      </c>
    </row>
    <row r="26" spans="1:24" x14ac:dyDescent="0.25">
      <c r="X26" s="130"/>
    </row>
    <row r="27" spans="1:24" x14ac:dyDescent="0.25">
      <c r="B27" s="134">
        <f>SUMIFS(B8:B25,$X8:$X25,$X27)/B7</f>
        <v>0.9407331750676311</v>
      </c>
      <c r="C27" s="134">
        <f t="shared" ref="C27:V27" si="0">SUMIFS(C8:C25,$X8:$X25,$X27)/C7</f>
        <v>0.82575757575757591</v>
      </c>
      <c r="D27" s="134">
        <f t="shared" si="0"/>
        <v>0.30306286942504029</v>
      </c>
      <c r="E27" s="134">
        <f t="shared" si="0"/>
        <v>0.94496560350218906</v>
      </c>
      <c r="F27" s="134">
        <f t="shared" si="0"/>
        <v>0.94496560350218906</v>
      </c>
      <c r="G27" s="134">
        <f t="shared" si="0"/>
        <v>3.5859058309946991E-2</v>
      </c>
      <c r="H27" s="134">
        <f t="shared" si="0"/>
        <v>0.97647412153368696</v>
      </c>
      <c r="I27" s="134">
        <f t="shared" si="0"/>
        <v>0.93997829873926009</v>
      </c>
      <c r="J27" s="134">
        <f t="shared" si="0"/>
        <v>0.65622723962126717</v>
      </c>
      <c r="K27" s="134">
        <f t="shared" si="0"/>
        <v>0.15980853856249519</v>
      </c>
      <c r="L27" s="134">
        <f t="shared" si="0"/>
        <v>0.93257858699035179</v>
      </c>
      <c r="M27" s="134">
        <f t="shared" si="0"/>
        <v>0.93257858699035179</v>
      </c>
      <c r="N27" s="134">
        <f t="shared" si="0"/>
        <v>2.1126760563380285E-2</v>
      </c>
      <c r="O27" s="134">
        <f t="shared" si="0"/>
        <v>0.9744125615082655</v>
      </c>
      <c r="P27" s="134">
        <f t="shared" si="0"/>
        <v>0.94006406708813806</v>
      </c>
      <c r="Q27" s="134">
        <f t="shared" si="0"/>
        <v>0.67176079734219263</v>
      </c>
      <c r="R27" s="134">
        <f t="shared" si="0"/>
        <v>0.16945184758337534</v>
      </c>
      <c r="S27" s="134">
        <f t="shared" si="0"/>
        <v>0.93388229595543715</v>
      </c>
      <c r="T27" s="134">
        <f t="shared" si="0"/>
        <v>0.93388229595543715</v>
      </c>
      <c r="U27" s="134">
        <f t="shared" si="0"/>
        <v>2.2238097432824809E-2</v>
      </c>
      <c r="V27" s="134">
        <f t="shared" si="0"/>
        <v>0.97461762128574836</v>
      </c>
      <c r="X27" s="130" t="s">
        <v>168</v>
      </c>
    </row>
    <row r="28" spans="1:24" x14ac:dyDescent="0.25">
      <c r="B28" s="134">
        <f>SUMIFS(B8:B25,$X8:$X25,$X28)/B7</f>
        <v>1.2974106994975984E-3</v>
      </c>
      <c r="C28" s="134">
        <f t="shared" ref="C28:V28" si="1">SUMIFS(C8:C25,$X8:$X25,$X28)/C7</f>
        <v>1.5151515151515152E-2</v>
      </c>
      <c r="D28" s="134">
        <f t="shared" si="1"/>
        <v>0.65609887157442237</v>
      </c>
      <c r="E28" s="134">
        <f t="shared" si="1"/>
        <v>1.50093808630394E-2</v>
      </c>
      <c r="F28" s="134">
        <f t="shared" si="1"/>
        <v>1.50093808630394E-2</v>
      </c>
      <c r="G28" s="134">
        <f t="shared" si="1"/>
        <v>0.91705643903960088</v>
      </c>
      <c r="H28" s="134">
        <f t="shared" si="1"/>
        <v>7.5082590849934938E-3</v>
      </c>
      <c r="I28" s="134">
        <f t="shared" si="1"/>
        <v>2.5133602999793322E-3</v>
      </c>
      <c r="J28" s="134">
        <f t="shared" si="1"/>
        <v>2.6948288419519302E-2</v>
      </c>
      <c r="K28" s="134">
        <f t="shared" si="1"/>
        <v>0.75465143210067176</v>
      </c>
      <c r="L28" s="134">
        <f t="shared" si="1"/>
        <v>2.7038593215063807E-2</v>
      </c>
      <c r="M28" s="134">
        <f t="shared" si="1"/>
        <v>2.7038593215063807E-2</v>
      </c>
      <c r="N28" s="134">
        <f t="shared" si="1"/>
        <v>0.94801672224157663</v>
      </c>
      <c r="O28" s="134">
        <f t="shared" si="1"/>
        <v>1.1997567313540111E-2</v>
      </c>
      <c r="P28" s="134">
        <f t="shared" si="1"/>
        <v>2.373216831934579E-3</v>
      </c>
      <c r="Q28" s="134">
        <f t="shared" si="1"/>
        <v>2.6578073089700997E-2</v>
      </c>
      <c r="R28" s="134">
        <f t="shared" si="1"/>
        <v>0.74807318302960435</v>
      </c>
      <c r="S28" s="134">
        <f t="shared" si="1"/>
        <v>2.5672075563090334E-2</v>
      </c>
      <c r="T28" s="134">
        <f t="shared" si="1"/>
        <v>2.5672075563090334E-2</v>
      </c>
      <c r="U28" s="134">
        <f t="shared" si="1"/>
        <v>0.94570677973913431</v>
      </c>
      <c r="V28" s="134">
        <f t="shared" si="1"/>
        <v>1.1560981438699911E-2</v>
      </c>
      <c r="X28" s="130" t="s">
        <v>167</v>
      </c>
    </row>
    <row r="29" spans="1:24" x14ac:dyDescent="0.25">
      <c r="B29" s="134">
        <f>SUMIFS(B8:B25,$X8:$X25,$X29)/B7</f>
        <v>5.796941423287142E-2</v>
      </c>
      <c r="C29" s="134">
        <f t="shared" ref="C29:V29" si="2">SUMIFS(C8:C25,$X8:$X25,$X29)/C7</f>
        <v>0.15151515151515152</v>
      </c>
      <c r="D29" s="134">
        <f t="shared" si="2"/>
        <v>4.083825900053735E-2</v>
      </c>
      <c r="E29" s="134">
        <f t="shared" si="2"/>
        <v>4.0025015634771739E-2</v>
      </c>
      <c r="F29" s="134">
        <f t="shared" si="2"/>
        <v>4.0025015634771739E-2</v>
      </c>
      <c r="G29" s="134">
        <f t="shared" si="2"/>
        <v>4.6460866853757408E-2</v>
      </c>
      <c r="H29" s="134">
        <f t="shared" si="2"/>
        <v>1.6117729502452698E-2</v>
      </c>
      <c r="I29" s="134">
        <f t="shared" si="2"/>
        <v>5.5168443119076441E-2</v>
      </c>
      <c r="J29" s="134">
        <f t="shared" si="2"/>
        <v>0.1056081573197378</v>
      </c>
      <c r="K29" s="134">
        <f t="shared" si="2"/>
        <v>2.0883193082683552E-2</v>
      </c>
      <c r="L29" s="134">
        <f t="shared" si="2"/>
        <v>3.559757236227825E-2</v>
      </c>
      <c r="M29" s="134">
        <f t="shared" si="2"/>
        <v>3.559757236227825E-2</v>
      </c>
      <c r="N29" s="134">
        <f t="shared" si="2"/>
        <v>2.6501766784452294E-2</v>
      </c>
      <c r="O29" s="134">
        <f t="shared" si="2"/>
        <v>1.2649969591419251E-2</v>
      </c>
      <c r="P29" s="134">
        <f t="shared" si="2"/>
        <v>5.5495510746212291E-2</v>
      </c>
      <c r="Q29" s="134">
        <f t="shared" si="2"/>
        <v>0.10963455149501662</v>
      </c>
      <c r="R29" s="134">
        <f t="shared" si="2"/>
        <v>2.2221421882878338E-2</v>
      </c>
      <c r="S29" s="134">
        <f t="shared" si="2"/>
        <v>3.6086219423589243E-2</v>
      </c>
      <c r="T29" s="134">
        <f t="shared" si="2"/>
        <v>3.6086219423589243E-2</v>
      </c>
      <c r="U29" s="134">
        <f t="shared" si="2"/>
        <v>2.7976217910310179E-2</v>
      </c>
      <c r="V29" s="134">
        <f t="shared" si="2"/>
        <v>1.2994901617143312E-2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2.3398978416841361E-3</v>
      </c>
      <c r="J30" s="134">
        <f t="shared" si="3"/>
        <v>0.21048798252002912</v>
      </c>
      <c r="K30" s="134">
        <f t="shared" si="3"/>
        <v>6.4618235157878484E-2</v>
      </c>
      <c r="L30" s="134">
        <f t="shared" si="3"/>
        <v>4.8630563336445687E-3</v>
      </c>
      <c r="M30" s="134">
        <f t="shared" si="3"/>
        <v>4.8630563336445687E-3</v>
      </c>
      <c r="N30" s="134">
        <f t="shared" si="3"/>
        <v>4.4045189867117892E-3</v>
      </c>
      <c r="O30" s="134">
        <f t="shared" si="3"/>
        <v>9.2884392104826668E-4</v>
      </c>
      <c r="P30" s="134">
        <f t="shared" si="3"/>
        <v>2.0639498922448872E-3</v>
      </c>
      <c r="Q30" s="134">
        <f t="shared" si="3"/>
        <v>0.1920265780730897</v>
      </c>
      <c r="R30" s="134">
        <f t="shared" si="3"/>
        <v>6.0289562774616431E-2</v>
      </c>
      <c r="S30" s="134">
        <f t="shared" si="3"/>
        <v>4.3248105732968892E-3</v>
      </c>
      <c r="T30" s="134">
        <f t="shared" si="3"/>
        <v>4.3248105732968892E-3</v>
      </c>
      <c r="U30" s="134">
        <f t="shared" si="3"/>
        <v>4.0789049177305612E-3</v>
      </c>
      <c r="V30" s="134">
        <f t="shared" si="3"/>
        <v>8.3645343742531659E-4</v>
      </c>
      <c r="X30" s="130" t="s">
        <v>165</v>
      </c>
    </row>
    <row r="33" spans="1:24" x14ac:dyDescent="0.25">
      <c r="A33" s="129" t="s">
        <v>197</v>
      </c>
    </row>
    <row r="34" spans="1:24" x14ac:dyDescent="0.25">
      <c r="A34" s="132" t="s">
        <v>203</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3.6225999999999998</v>
      </c>
      <c r="C38" s="129">
        <v>1.32E-2</v>
      </c>
      <c r="D38" s="129">
        <v>0.18609999999999999</v>
      </c>
      <c r="E38" s="129">
        <v>0.31979999999999997</v>
      </c>
      <c r="F38" s="129">
        <v>0.31979999999999997</v>
      </c>
      <c r="G38" s="129">
        <v>0.32069999999999999</v>
      </c>
      <c r="H38" s="129">
        <v>0.99890000000000001</v>
      </c>
      <c r="I38" s="129">
        <v>27.095199999999998</v>
      </c>
      <c r="J38" s="129">
        <v>0.13730000000000001</v>
      </c>
      <c r="K38" s="129">
        <v>2.5905999999999998</v>
      </c>
      <c r="L38" s="129">
        <v>1.6853</v>
      </c>
      <c r="M38" s="129">
        <v>1.6853</v>
      </c>
      <c r="N38" s="129">
        <v>4.0101000000000004</v>
      </c>
      <c r="O38" s="129">
        <v>9.0434999999999999</v>
      </c>
      <c r="P38" s="129">
        <v>30.7178</v>
      </c>
      <c r="Q38" s="129">
        <v>0.15049999999999999</v>
      </c>
      <c r="R38" s="129">
        <v>2.7766000000000002</v>
      </c>
      <c r="S38" s="129">
        <v>2.0051000000000001</v>
      </c>
      <c r="T38" s="129">
        <v>2.0051000000000001</v>
      </c>
      <c r="U38" s="129">
        <v>4.3308999999999997</v>
      </c>
      <c r="V38" s="129">
        <v>10.042400000000001</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1.11E-2</v>
      </c>
      <c r="E41" s="129">
        <v>2.9999999999999997E-4</v>
      </c>
      <c r="F41" s="129">
        <v>2.9999999999999997E-4</v>
      </c>
      <c r="G41" s="129">
        <v>7.7999999999999996E-3</v>
      </c>
      <c r="H41" s="129">
        <v>4.0000000000000002E-4</v>
      </c>
      <c r="I41" s="129">
        <v>1.6299999999999999E-2</v>
      </c>
      <c r="J41" s="129">
        <v>8.9999999999999998E-4</v>
      </c>
      <c r="K41" s="129">
        <v>0.65669999999999995</v>
      </c>
      <c r="L41" s="129">
        <v>1.67E-2</v>
      </c>
      <c r="M41" s="129">
        <v>1.67E-2</v>
      </c>
      <c r="N41" s="129">
        <v>0.4642</v>
      </c>
      <c r="O41" s="129">
        <v>2.5999999999999999E-2</v>
      </c>
      <c r="P41" s="129">
        <v>1.66E-2</v>
      </c>
      <c r="Q41" s="129">
        <v>8.9999999999999998E-4</v>
      </c>
      <c r="R41" s="129">
        <v>0.66779999999999995</v>
      </c>
      <c r="S41" s="129">
        <v>1.6899999999999998E-2</v>
      </c>
      <c r="T41" s="129">
        <v>1.6899999999999998E-2</v>
      </c>
      <c r="U41" s="129">
        <v>0.47199999999999998</v>
      </c>
      <c r="V41" s="129">
        <v>2.6499999999999999E-2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0.2097</v>
      </c>
      <c r="C44" s="129">
        <v>2E-3</v>
      </c>
      <c r="D44" s="129">
        <v>7.6E-3</v>
      </c>
      <c r="E44" s="129">
        <v>1.2800000000000001E-2</v>
      </c>
      <c r="F44" s="129">
        <v>1.2800000000000001E-2</v>
      </c>
      <c r="G44" s="129">
        <v>1.49E-2</v>
      </c>
      <c r="H44" s="129">
        <v>1.61E-2</v>
      </c>
      <c r="I44" s="129">
        <v>1.4904999999999999</v>
      </c>
      <c r="J44" s="129">
        <v>1.4500000000000001E-2</v>
      </c>
      <c r="K44" s="129">
        <v>5.3900000000000003E-2</v>
      </c>
      <c r="L44" s="129">
        <v>7.4200000000000002E-2</v>
      </c>
      <c r="M44" s="129">
        <v>7.4200000000000002E-2</v>
      </c>
      <c r="N44" s="129">
        <v>0.1061</v>
      </c>
      <c r="O44" s="129">
        <v>0.11409999999999999</v>
      </c>
      <c r="P44" s="129">
        <v>1.7001999999999999</v>
      </c>
      <c r="Q44" s="129">
        <v>1.6500000000000001E-2</v>
      </c>
      <c r="R44" s="129">
        <v>6.1499999999999999E-2</v>
      </c>
      <c r="S44" s="129">
        <v>8.6999999999999994E-2</v>
      </c>
      <c r="T44" s="129">
        <v>8.6999999999999994E-2</v>
      </c>
      <c r="U44" s="129">
        <v>0.121</v>
      </c>
      <c r="V44" s="129">
        <v>0.13020000000000001</v>
      </c>
      <c r="W44" s="130" t="s">
        <v>180</v>
      </c>
      <c r="X44" s="130" t="s">
        <v>166</v>
      </c>
    </row>
    <row r="45" spans="1:24" x14ac:dyDescent="0.25">
      <c r="A45" s="130">
        <v>2104004000</v>
      </c>
      <c r="B45" s="129">
        <v>4.4000000000000003E-3</v>
      </c>
      <c r="C45" s="129">
        <v>2.0000000000000001E-4</v>
      </c>
      <c r="D45" s="129">
        <v>0.111</v>
      </c>
      <c r="E45" s="129">
        <v>4.4999999999999997E-3</v>
      </c>
      <c r="F45" s="129">
        <v>4.4999999999999997E-3</v>
      </c>
      <c r="G45" s="129">
        <v>0.2863</v>
      </c>
      <c r="H45" s="129">
        <v>7.1000000000000004E-3</v>
      </c>
      <c r="I45" s="129">
        <v>5.1799999999999999E-2</v>
      </c>
      <c r="J45" s="129">
        <v>2.8E-3</v>
      </c>
      <c r="K45" s="129">
        <v>1.2983</v>
      </c>
      <c r="L45" s="129">
        <v>4.3099999999999999E-2</v>
      </c>
      <c r="M45" s="129">
        <v>4.3099999999999999E-2</v>
      </c>
      <c r="N45" s="129">
        <v>3.3515000000000001</v>
      </c>
      <c r="O45" s="129">
        <v>8.2500000000000004E-2</v>
      </c>
      <c r="P45" s="129">
        <v>5.6300000000000003E-2</v>
      </c>
      <c r="Q45" s="129">
        <v>3.0999999999999999E-3</v>
      </c>
      <c r="R45" s="129">
        <v>1.4093</v>
      </c>
      <c r="S45" s="129">
        <v>4.7600000000000003E-2</v>
      </c>
      <c r="T45" s="129">
        <v>4.7600000000000003E-2</v>
      </c>
      <c r="U45" s="129">
        <v>3.6377999999999999</v>
      </c>
      <c r="V45" s="129">
        <v>8.9599999999999999E-2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0.39639999999999997</v>
      </c>
      <c r="C47" s="129">
        <v>2.8E-3</v>
      </c>
      <c r="D47" s="129">
        <v>4.1000000000000003E-3</v>
      </c>
      <c r="E47" s="129">
        <v>5.4300000000000001E-2</v>
      </c>
      <c r="F47" s="129">
        <v>5.4300000000000001E-2</v>
      </c>
      <c r="G47" s="129">
        <v>5.9999999999999995E-4</v>
      </c>
      <c r="H47" s="129">
        <v>0.3594</v>
      </c>
      <c r="I47" s="129">
        <v>4.7247000000000003</v>
      </c>
      <c r="J47" s="129">
        <v>3.3700000000000001E-2</v>
      </c>
      <c r="K47" s="129">
        <v>4.8599999999999997E-2</v>
      </c>
      <c r="L47" s="129">
        <v>0.41</v>
      </c>
      <c r="M47" s="129">
        <v>0.41</v>
      </c>
      <c r="N47" s="129">
        <v>5.7999999999999996E-3</v>
      </c>
      <c r="O47" s="129">
        <v>4.2831999999999999</v>
      </c>
      <c r="P47" s="129">
        <v>5.1211000000000002</v>
      </c>
      <c r="Q47" s="129">
        <v>3.6499999999999998E-2</v>
      </c>
      <c r="R47" s="129">
        <v>5.2699999999999997E-2</v>
      </c>
      <c r="S47" s="129">
        <v>0.46429999999999999</v>
      </c>
      <c r="T47" s="129">
        <v>0.46429999999999999</v>
      </c>
      <c r="U47" s="129">
        <v>6.4999999999999997E-3</v>
      </c>
      <c r="V47" s="129">
        <v>4.6425999999999998</v>
      </c>
      <c r="W47" s="130" t="s">
        <v>183</v>
      </c>
      <c r="X47" s="130" t="s">
        <v>168</v>
      </c>
    </row>
    <row r="48" spans="1:24" x14ac:dyDescent="0.25">
      <c r="A48" s="130">
        <v>2104008210</v>
      </c>
      <c r="B48" s="129">
        <v>5.67E-2</v>
      </c>
      <c r="C48" s="129">
        <v>4.0000000000000002E-4</v>
      </c>
      <c r="D48" s="129">
        <v>6.9999999999999999E-4</v>
      </c>
      <c r="E48" s="129">
        <v>7.4999999999999997E-3</v>
      </c>
      <c r="F48" s="129">
        <v>7.4999999999999997E-3</v>
      </c>
      <c r="G48" s="129">
        <v>1E-4</v>
      </c>
      <c r="H48" s="129">
        <v>1.2999999999999999E-2</v>
      </c>
      <c r="I48" s="129">
        <v>0.38100000000000001</v>
      </c>
      <c r="J48" s="129">
        <v>2.8E-3</v>
      </c>
      <c r="K48" s="129">
        <v>4.5999999999999999E-3</v>
      </c>
      <c r="L48" s="129">
        <v>2.9700000000000001E-2</v>
      </c>
      <c r="M48" s="129">
        <v>2.9700000000000001E-2</v>
      </c>
      <c r="N48" s="129">
        <v>5.0000000000000001E-4</v>
      </c>
      <c r="O48" s="129">
        <v>8.7499999999999994E-2</v>
      </c>
      <c r="P48" s="129">
        <v>0.43769999999999998</v>
      </c>
      <c r="Q48" s="129">
        <v>3.2000000000000002E-3</v>
      </c>
      <c r="R48" s="129">
        <v>5.3E-3</v>
      </c>
      <c r="S48" s="129">
        <v>3.7199999999999997E-2</v>
      </c>
      <c r="T48" s="129">
        <v>3.7199999999999997E-2</v>
      </c>
      <c r="U48" s="129">
        <v>5.9999999999999995E-4</v>
      </c>
      <c r="V48" s="129">
        <v>0.10050000000000001</v>
      </c>
      <c r="W48" s="130" t="s">
        <v>184</v>
      </c>
      <c r="X48" s="130" t="s">
        <v>168</v>
      </c>
    </row>
    <row r="49" spans="1:24" x14ac:dyDescent="0.25">
      <c r="A49" s="130">
        <v>2104008220</v>
      </c>
      <c r="B49" s="129">
        <v>7.2900000000000006E-2</v>
      </c>
      <c r="C49" s="129">
        <v>5.0000000000000001E-4</v>
      </c>
      <c r="D49" s="129">
        <v>1E-3</v>
      </c>
      <c r="E49" s="129">
        <v>6.1999999999999998E-3</v>
      </c>
      <c r="F49" s="129">
        <v>6.1999999999999998E-3</v>
      </c>
      <c r="G49" s="129">
        <v>2.0000000000000001E-4</v>
      </c>
      <c r="H49" s="129">
        <v>6.1999999999999998E-3</v>
      </c>
      <c r="I49" s="129">
        <v>0.48930000000000001</v>
      </c>
      <c r="J49" s="129">
        <v>3.0999999999999999E-3</v>
      </c>
      <c r="K49" s="129">
        <v>7.0000000000000001E-3</v>
      </c>
      <c r="L49" s="129">
        <v>5.1999999999999998E-3</v>
      </c>
      <c r="M49" s="129">
        <v>5.1999999999999998E-3</v>
      </c>
      <c r="N49" s="129">
        <v>2.0000000000000001E-4</v>
      </c>
      <c r="O49" s="129">
        <v>4.1700000000000001E-2</v>
      </c>
      <c r="P49" s="129">
        <v>0.56220000000000003</v>
      </c>
      <c r="Q49" s="129">
        <v>3.5999999999999999E-3</v>
      </c>
      <c r="R49" s="129">
        <v>8.0000000000000002E-3</v>
      </c>
      <c r="S49" s="129">
        <v>1.15E-2</v>
      </c>
      <c r="T49" s="129">
        <v>1.15E-2</v>
      </c>
      <c r="U49" s="129">
        <v>4.0000000000000002E-4</v>
      </c>
      <c r="V49" s="129">
        <v>4.7899999999999998E-2</v>
      </c>
      <c r="W49" s="130" t="s">
        <v>185</v>
      </c>
      <c r="X49" s="130" t="s">
        <v>168</v>
      </c>
    </row>
    <row r="50" spans="1:24" x14ac:dyDescent="0.25">
      <c r="A50" s="130">
        <v>2104008230</v>
      </c>
      <c r="B50" s="129">
        <v>3.3300000000000003E-2</v>
      </c>
      <c r="C50" s="129">
        <v>2.9999999999999997E-4</v>
      </c>
      <c r="D50" s="129">
        <v>5.9999999999999995E-4</v>
      </c>
      <c r="E50" s="129">
        <v>4.1000000000000003E-3</v>
      </c>
      <c r="F50" s="129">
        <v>4.1000000000000003E-3</v>
      </c>
      <c r="G50" s="129">
        <v>1E-4</v>
      </c>
      <c r="H50" s="129">
        <v>4.7000000000000002E-3</v>
      </c>
      <c r="I50" s="129">
        <v>0.22389999999999999</v>
      </c>
      <c r="J50" s="129">
        <v>1.9E-3</v>
      </c>
      <c r="K50" s="129">
        <v>4.1999999999999997E-3</v>
      </c>
      <c r="L50" s="129">
        <v>3.3999999999999998E-3</v>
      </c>
      <c r="M50" s="129">
        <v>3.3999999999999998E-3</v>
      </c>
      <c r="N50" s="129">
        <v>1E-4</v>
      </c>
      <c r="O50" s="129">
        <v>3.1399999999999997E-2</v>
      </c>
      <c r="P50" s="129">
        <v>0.25719999999999998</v>
      </c>
      <c r="Q50" s="129">
        <v>2.2000000000000001E-3</v>
      </c>
      <c r="R50" s="129">
        <v>4.7999999999999996E-3</v>
      </c>
      <c r="S50" s="129">
        <v>7.4999999999999997E-3</v>
      </c>
      <c r="T50" s="129">
        <v>7.4999999999999997E-3</v>
      </c>
      <c r="U50" s="129">
        <v>2.0000000000000001E-4</v>
      </c>
      <c r="V50" s="129">
        <v>3.61E-2</v>
      </c>
      <c r="W50" s="130" t="s">
        <v>186</v>
      </c>
      <c r="X50" s="130" t="s">
        <v>168</v>
      </c>
    </row>
    <row r="51" spans="1:24" x14ac:dyDescent="0.25">
      <c r="A51" s="130">
        <v>2104008310</v>
      </c>
      <c r="B51" s="129">
        <v>0.60460000000000003</v>
      </c>
      <c r="C51" s="129">
        <v>2E-3</v>
      </c>
      <c r="D51" s="129">
        <v>7.1999999999999998E-3</v>
      </c>
      <c r="E51" s="129">
        <v>6.0600000000000001E-2</v>
      </c>
      <c r="F51" s="129">
        <v>6.0600000000000001E-2</v>
      </c>
      <c r="G51" s="129">
        <v>2E-3</v>
      </c>
      <c r="H51" s="129">
        <v>0.26440000000000002</v>
      </c>
      <c r="I51" s="129">
        <v>4.0590000000000002</v>
      </c>
      <c r="J51" s="129">
        <v>1.3299999999999999E-2</v>
      </c>
      <c r="K51" s="129">
        <v>4.8599999999999997E-2</v>
      </c>
      <c r="L51" s="129">
        <v>0.27329999999999999</v>
      </c>
      <c r="M51" s="129">
        <v>0.27329999999999999</v>
      </c>
      <c r="N51" s="129">
        <v>1.11E-2</v>
      </c>
      <c r="O51" s="129">
        <v>1.7754000000000001</v>
      </c>
      <c r="P51" s="129">
        <v>4.6635</v>
      </c>
      <c r="Q51" s="129">
        <v>1.5299999999999999E-2</v>
      </c>
      <c r="R51" s="129">
        <v>5.5899999999999998E-2</v>
      </c>
      <c r="S51" s="129">
        <v>0.33389999999999997</v>
      </c>
      <c r="T51" s="129">
        <v>0.33389999999999997</v>
      </c>
      <c r="U51" s="129">
        <v>1.3100000000000001E-2</v>
      </c>
      <c r="V51" s="129">
        <v>2.0398000000000001</v>
      </c>
      <c r="W51" s="130" t="s">
        <v>187</v>
      </c>
      <c r="X51" s="130" t="s">
        <v>168</v>
      </c>
    </row>
    <row r="52" spans="1:24" x14ac:dyDescent="0.25">
      <c r="A52" s="130">
        <v>2104008320</v>
      </c>
      <c r="B52" s="129">
        <v>1.2988</v>
      </c>
      <c r="C52" s="129">
        <v>2.5999999999999999E-3</v>
      </c>
      <c r="D52" s="129">
        <v>1.6899999999999998E-2</v>
      </c>
      <c r="E52" s="129">
        <v>8.3299999999999999E-2</v>
      </c>
      <c r="F52" s="129">
        <v>8.3299999999999999E-2</v>
      </c>
      <c r="G52" s="129">
        <v>4.1999999999999997E-3</v>
      </c>
      <c r="H52" s="129">
        <v>0.12609999999999999</v>
      </c>
      <c r="I52" s="129">
        <v>8.7200000000000006</v>
      </c>
      <c r="J52" s="129">
        <v>1.7600000000000001E-2</v>
      </c>
      <c r="K52" s="129">
        <v>0.1135</v>
      </c>
      <c r="L52" s="129">
        <v>0.37769999999999998</v>
      </c>
      <c r="M52" s="129">
        <v>0.37769999999999998</v>
      </c>
      <c r="N52" s="129">
        <v>2.46E-2</v>
      </c>
      <c r="O52" s="129">
        <v>0.84630000000000005</v>
      </c>
      <c r="P52" s="129">
        <v>10.018800000000001</v>
      </c>
      <c r="Q52" s="129">
        <v>2.0199999999999999E-2</v>
      </c>
      <c r="R52" s="129">
        <v>0.13039999999999999</v>
      </c>
      <c r="S52" s="129">
        <v>0.46089999999999998</v>
      </c>
      <c r="T52" s="129">
        <v>0.46089999999999998</v>
      </c>
      <c r="U52" s="129">
        <v>2.8799999999999999E-2</v>
      </c>
      <c r="V52" s="129">
        <v>0.97240000000000004</v>
      </c>
      <c r="W52" s="130" t="s">
        <v>188</v>
      </c>
      <c r="X52" s="130" t="s">
        <v>168</v>
      </c>
    </row>
    <row r="53" spans="1:24" x14ac:dyDescent="0.25">
      <c r="A53" s="130">
        <v>2104008330</v>
      </c>
      <c r="B53" s="129">
        <v>0.78200000000000003</v>
      </c>
      <c r="C53" s="129">
        <v>1.6000000000000001E-3</v>
      </c>
      <c r="D53" s="129">
        <v>1.0200000000000001E-2</v>
      </c>
      <c r="E53" s="129">
        <v>5.5599999999999997E-2</v>
      </c>
      <c r="F53" s="129">
        <v>5.5599999999999997E-2</v>
      </c>
      <c r="G53" s="129">
        <v>2.5000000000000001E-3</v>
      </c>
      <c r="H53" s="129">
        <v>9.4899999999999998E-2</v>
      </c>
      <c r="I53" s="129">
        <v>5.2500999999999998</v>
      </c>
      <c r="J53" s="129">
        <v>1.06E-2</v>
      </c>
      <c r="K53" s="129">
        <v>6.83E-2</v>
      </c>
      <c r="L53" s="129">
        <v>0.25230000000000002</v>
      </c>
      <c r="M53" s="129">
        <v>0.25230000000000002</v>
      </c>
      <c r="N53" s="129">
        <v>1.46E-2</v>
      </c>
      <c r="O53" s="129">
        <v>0.63690000000000002</v>
      </c>
      <c r="P53" s="129">
        <v>6.0320999999999998</v>
      </c>
      <c r="Q53" s="129">
        <v>1.2200000000000001E-2</v>
      </c>
      <c r="R53" s="129">
        <v>7.85E-2</v>
      </c>
      <c r="S53" s="129">
        <v>0.30790000000000001</v>
      </c>
      <c r="T53" s="129">
        <v>0.30790000000000001</v>
      </c>
      <c r="U53" s="129">
        <v>1.7100000000000001E-2</v>
      </c>
      <c r="V53" s="129">
        <v>0.73180000000000001</v>
      </c>
      <c r="W53" s="130" t="s">
        <v>189</v>
      </c>
      <c r="X53" s="130" t="s">
        <v>168</v>
      </c>
    </row>
    <row r="54" spans="1:24" x14ac:dyDescent="0.25">
      <c r="A54" s="130">
        <v>2104008410</v>
      </c>
      <c r="B54" s="129">
        <v>6.8999999999999999E-3</v>
      </c>
      <c r="C54" s="129">
        <v>0</v>
      </c>
      <c r="D54" s="129">
        <v>2.8E-3</v>
      </c>
      <c r="E54" s="129">
        <v>2.0999999999999999E-3</v>
      </c>
      <c r="F54" s="129">
        <v>2.0999999999999999E-3</v>
      </c>
      <c r="G54" s="129">
        <v>2.0000000000000001E-4</v>
      </c>
      <c r="H54" s="129">
        <v>1.6000000000000001E-3</v>
      </c>
      <c r="I54" s="129">
        <v>4.6199999999999998E-2</v>
      </c>
      <c r="J54" s="129">
        <v>2.9999999999999997E-4</v>
      </c>
      <c r="K54" s="129">
        <v>1.8599999999999998E-2</v>
      </c>
      <c r="L54" s="129">
        <v>9.7000000000000003E-3</v>
      </c>
      <c r="M54" s="129">
        <v>9.7000000000000003E-3</v>
      </c>
      <c r="N54" s="129">
        <v>1.2999999999999999E-3</v>
      </c>
      <c r="O54" s="129">
        <v>1.0699999999999999E-2</v>
      </c>
      <c r="P54" s="129">
        <v>5.3100000000000001E-2</v>
      </c>
      <c r="Q54" s="129">
        <v>4.0000000000000002E-4</v>
      </c>
      <c r="R54" s="129">
        <v>2.1399999999999999E-2</v>
      </c>
      <c r="S54" s="129">
        <v>1.18E-2</v>
      </c>
      <c r="T54" s="129">
        <v>1.18E-2</v>
      </c>
      <c r="U54" s="129">
        <v>1.5E-3</v>
      </c>
      <c r="V54" s="129">
        <v>1.23E-2</v>
      </c>
      <c r="W54" s="130" t="s">
        <v>190</v>
      </c>
      <c r="X54" s="130" t="s">
        <v>168</v>
      </c>
    </row>
    <row r="55" spans="1:24" x14ac:dyDescent="0.25">
      <c r="A55" s="130">
        <v>2104008420</v>
      </c>
      <c r="B55" s="129">
        <v>2.3199999999999998E-2</v>
      </c>
      <c r="C55" s="129">
        <v>2.0000000000000001E-4</v>
      </c>
      <c r="D55" s="129">
        <v>9.4000000000000004E-3</v>
      </c>
      <c r="E55" s="129">
        <v>6.8999999999999999E-3</v>
      </c>
      <c r="F55" s="129">
        <v>6.8999999999999999E-3</v>
      </c>
      <c r="G55" s="129">
        <v>6.9999999999999999E-4</v>
      </c>
      <c r="H55" s="129">
        <v>5.4000000000000003E-3</v>
      </c>
      <c r="I55" s="129">
        <v>0.15590000000000001</v>
      </c>
      <c r="J55" s="129">
        <v>1.1000000000000001E-3</v>
      </c>
      <c r="K55" s="129">
        <v>6.2899999999999998E-2</v>
      </c>
      <c r="L55" s="129">
        <v>3.2199999999999999E-2</v>
      </c>
      <c r="M55" s="129">
        <v>3.2199999999999999E-2</v>
      </c>
      <c r="N55" s="129">
        <v>4.3E-3</v>
      </c>
      <c r="O55" s="129">
        <v>3.5999999999999997E-2</v>
      </c>
      <c r="P55" s="129">
        <v>0.1792</v>
      </c>
      <c r="Q55" s="129">
        <v>1.2999999999999999E-3</v>
      </c>
      <c r="R55" s="129">
        <v>7.22E-2</v>
      </c>
      <c r="S55" s="129">
        <v>3.9100000000000003E-2</v>
      </c>
      <c r="T55" s="129">
        <v>3.9100000000000003E-2</v>
      </c>
      <c r="U55" s="129">
        <v>5.0000000000000001E-3</v>
      </c>
      <c r="V55" s="129">
        <v>4.1399999999999999E-2</v>
      </c>
      <c r="W55" s="130" t="s">
        <v>191</v>
      </c>
      <c r="X55" s="130" t="s">
        <v>168</v>
      </c>
    </row>
    <row r="56" spans="1:24" x14ac:dyDescent="0.25">
      <c r="A56" s="130">
        <v>2104008610</v>
      </c>
      <c r="B56" s="129">
        <v>0.1328</v>
      </c>
      <c r="C56" s="129">
        <v>5.0000000000000001E-4</v>
      </c>
      <c r="D56" s="129">
        <v>3.5000000000000001E-3</v>
      </c>
      <c r="E56" s="129">
        <v>2.1600000000000001E-2</v>
      </c>
      <c r="F56" s="129">
        <v>2.1600000000000001E-2</v>
      </c>
      <c r="G56" s="129">
        <v>8.9999999999999998E-4</v>
      </c>
      <c r="H56" s="129">
        <v>9.9500000000000005E-2</v>
      </c>
      <c r="I56" s="129">
        <v>1.4169</v>
      </c>
      <c r="J56" s="129">
        <v>5.7000000000000002E-3</v>
      </c>
      <c r="K56" s="129">
        <v>3.7699999999999997E-2</v>
      </c>
      <c r="L56" s="129">
        <v>0.14480000000000001</v>
      </c>
      <c r="M56" s="129">
        <v>0.14480000000000001</v>
      </c>
      <c r="N56" s="129">
        <v>7.9000000000000008E-3</v>
      </c>
      <c r="O56" s="129">
        <v>1.0621</v>
      </c>
      <c r="P56" s="129">
        <v>1.5497000000000001</v>
      </c>
      <c r="Q56" s="129">
        <v>6.1999999999999998E-3</v>
      </c>
      <c r="R56" s="129">
        <v>4.1300000000000003E-2</v>
      </c>
      <c r="S56" s="129">
        <v>0.16650000000000001</v>
      </c>
      <c r="T56" s="129">
        <v>0.16650000000000001</v>
      </c>
      <c r="U56" s="129">
        <v>8.6999999999999994E-3</v>
      </c>
      <c r="V56" s="129">
        <v>1.1616</v>
      </c>
      <c r="W56" s="130" t="s">
        <v>192</v>
      </c>
      <c r="X56" s="130" t="s">
        <v>168</v>
      </c>
    </row>
    <row r="58" spans="1:24" x14ac:dyDescent="0.25">
      <c r="B58" s="134">
        <f>SUMIFS(B39:B56,$X39:$X56,$X58)/B38</f>
        <v>0.9407331750676311</v>
      </c>
      <c r="C58" s="134">
        <f t="shared" ref="C58:V58" si="4">SUMIFS(C39:C56,$X39:$X56,$X58)/C38</f>
        <v>0.82575757575757591</v>
      </c>
      <c r="D58" s="134">
        <f t="shared" si="4"/>
        <v>0.30306286942504029</v>
      </c>
      <c r="E58" s="134">
        <f t="shared" si="4"/>
        <v>0.94496560350218906</v>
      </c>
      <c r="F58" s="134">
        <f t="shared" si="4"/>
        <v>0.94496560350218906</v>
      </c>
      <c r="G58" s="134">
        <f t="shared" si="4"/>
        <v>3.5859058309946991E-2</v>
      </c>
      <c r="H58" s="134">
        <f t="shared" si="4"/>
        <v>0.97647412153368696</v>
      </c>
      <c r="I58" s="134">
        <f t="shared" si="4"/>
        <v>0.93997829873926009</v>
      </c>
      <c r="J58" s="134">
        <f t="shared" si="4"/>
        <v>0.65622723962126717</v>
      </c>
      <c r="K58" s="134">
        <f t="shared" si="4"/>
        <v>0.15980853856249519</v>
      </c>
      <c r="L58" s="134">
        <f t="shared" si="4"/>
        <v>0.91295318340948195</v>
      </c>
      <c r="M58" s="134">
        <f t="shared" si="4"/>
        <v>0.91295318340948195</v>
      </c>
      <c r="N58" s="134">
        <f t="shared" si="4"/>
        <v>1.7555671928380839E-2</v>
      </c>
      <c r="O58" s="134">
        <f t="shared" si="4"/>
        <v>0.9744125615082655</v>
      </c>
      <c r="P58" s="134">
        <f t="shared" si="4"/>
        <v>0.94006406708813806</v>
      </c>
      <c r="Q58" s="134">
        <f t="shared" si="4"/>
        <v>0.67176079734219263</v>
      </c>
      <c r="R58" s="134">
        <f t="shared" si="4"/>
        <v>0.16945184758337534</v>
      </c>
      <c r="S58" s="134">
        <f t="shared" si="4"/>
        <v>0.91810882250261827</v>
      </c>
      <c r="T58" s="134">
        <f t="shared" si="4"/>
        <v>0.91810882250261827</v>
      </c>
      <c r="U58" s="134">
        <f t="shared" si="4"/>
        <v>1.891061903992242E-2</v>
      </c>
      <c r="V58" s="134">
        <f t="shared" si="4"/>
        <v>0.97461762128574836</v>
      </c>
      <c r="X58" s="130" t="s">
        <v>168</v>
      </c>
    </row>
    <row r="59" spans="1:24" x14ac:dyDescent="0.25">
      <c r="B59" s="134">
        <f>SUMIFS(B39:B56,$X39:$X56,$X59)/B38</f>
        <v>1.2974106994975984E-3</v>
      </c>
      <c r="C59" s="134">
        <f t="shared" ref="C59:V59" si="5">SUMIFS(C39:C56,$X39:$X56,$X59)/C38</f>
        <v>1.5151515151515152E-2</v>
      </c>
      <c r="D59" s="134">
        <f t="shared" si="5"/>
        <v>0.65609887157442237</v>
      </c>
      <c r="E59" s="134">
        <f t="shared" si="5"/>
        <v>1.50093808630394E-2</v>
      </c>
      <c r="F59" s="134">
        <f t="shared" si="5"/>
        <v>1.50093808630394E-2</v>
      </c>
      <c r="G59" s="134">
        <f t="shared" si="5"/>
        <v>0.91705643903960088</v>
      </c>
      <c r="H59" s="134">
        <f t="shared" si="5"/>
        <v>7.5082590849934938E-3</v>
      </c>
      <c r="I59" s="134">
        <f t="shared" si="5"/>
        <v>2.5133602999793322E-3</v>
      </c>
      <c r="J59" s="134">
        <f t="shared" si="5"/>
        <v>2.6948288419519302E-2</v>
      </c>
      <c r="K59" s="134">
        <f t="shared" si="5"/>
        <v>0.75465143210067176</v>
      </c>
      <c r="L59" s="134">
        <f t="shared" si="5"/>
        <v>3.5483296742419748E-2</v>
      </c>
      <c r="M59" s="134">
        <f t="shared" si="5"/>
        <v>3.5483296742419748E-2</v>
      </c>
      <c r="N59" s="134">
        <f t="shared" si="5"/>
        <v>0.95152240592503923</v>
      </c>
      <c r="O59" s="134">
        <f t="shared" si="5"/>
        <v>1.1997567313540111E-2</v>
      </c>
      <c r="P59" s="134">
        <f t="shared" si="5"/>
        <v>2.373216831934579E-3</v>
      </c>
      <c r="Q59" s="134">
        <f t="shared" si="5"/>
        <v>2.6578073089700997E-2</v>
      </c>
      <c r="R59" s="134">
        <f t="shared" si="5"/>
        <v>0.74807318302960435</v>
      </c>
      <c r="S59" s="134">
        <f t="shared" si="5"/>
        <v>3.2167971672235798E-2</v>
      </c>
      <c r="T59" s="134">
        <f t="shared" si="5"/>
        <v>3.2167971672235798E-2</v>
      </c>
      <c r="U59" s="134">
        <f t="shared" si="5"/>
        <v>0.94894825555889084</v>
      </c>
      <c r="V59" s="134">
        <f t="shared" si="5"/>
        <v>1.1560981438699911E-2</v>
      </c>
      <c r="X59" s="130" t="s">
        <v>167</v>
      </c>
    </row>
    <row r="60" spans="1:24" x14ac:dyDescent="0.25">
      <c r="B60" s="134">
        <f>SUMIFS(B39:B56,$X39:$X56,$X60)/B38</f>
        <v>5.796941423287142E-2</v>
      </c>
      <c r="C60" s="134">
        <f t="shared" ref="C60:V60" si="6">SUMIFS(C39:C56,$X39:$X56,$X60)/C38</f>
        <v>0.15151515151515152</v>
      </c>
      <c r="D60" s="134">
        <f t="shared" si="6"/>
        <v>4.083825900053735E-2</v>
      </c>
      <c r="E60" s="134">
        <f t="shared" si="6"/>
        <v>4.0025015634771739E-2</v>
      </c>
      <c r="F60" s="134">
        <f t="shared" si="6"/>
        <v>4.0025015634771739E-2</v>
      </c>
      <c r="G60" s="134">
        <f t="shared" si="6"/>
        <v>4.6460866853757408E-2</v>
      </c>
      <c r="H60" s="134">
        <f t="shared" si="6"/>
        <v>1.6117729502452698E-2</v>
      </c>
      <c r="I60" s="134">
        <f t="shared" si="6"/>
        <v>5.5168443119076441E-2</v>
      </c>
      <c r="J60" s="134">
        <f t="shared" si="6"/>
        <v>0.1056081573197378</v>
      </c>
      <c r="K60" s="134">
        <f t="shared" si="6"/>
        <v>2.0883193082683552E-2</v>
      </c>
      <c r="L60" s="134">
        <f t="shared" si="6"/>
        <v>4.4205779386459379E-2</v>
      </c>
      <c r="M60" s="134">
        <f t="shared" si="6"/>
        <v>4.4205779386459379E-2</v>
      </c>
      <c r="N60" s="134">
        <f t="shared" si="6"/>
        <v>2.6533004164484671E-2</v>
      </c>
      <c r="O60" s="134">
        <f t="shared" si="6"/>
        <v>1.2649969591419251E-2</v>
      </c>
      <c r="P60" s="134">
        <f t="shared" si="6"/>
        <v>5.5495510746212291E-2</v>
      </c>
      <c r="Q60" s="134">
        <f t="shared" si="6"/>
        <v>0.10963455149501662</v>
      </c>
      <c r="R60" s="134">
        <f t="shared" si="6"/>
        <v>2.2221421882878338E-2</v>
      </c>
      <c r="S60" s="134">
        <f t="shared" si="6"/>
        <v>4.3538975612188911E-2</v>
      </c>
      <c r="T60" s="134">
        <f t="shared" si="6"/>
        <v>4.3538975612188911E-2</v>
      </c>
      <c r="U60" s="134">
        <f t="shared" si="6"/>
        <v>2.8008035281350298E-2</v>
      </c>
      <c r="V60" s="134">
        <f t="shared" si="6"/>
        <v>1.2994901617143312E-2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2.3398978416841361E-3</v>
      </c>
      <c r="J61" s="134">
        <f t="shared" si="7"/>
        <v>0.21048798252002912</v>
      </c>
      <c r="K61" s="134">
        <f t="shared" si="7"/>
        <v>6.4618235157878484E-2</v>
      </c>
      <c r="L61" s="134">
        <f t="shared" si="7"/>
        <v>7.4170770782649963E-3</v>
      </c>
      <c r="M61" s="134">
        <f t="shared" si="7"/>
        <v>7.4170770782649963E-3</v>
      </c>
      <c r="N61" s="134">
        <f t="shared" si="7"/>
        <v>4.4138550160843859E-3</v>
      </c>
      <c r="O61" s="134">
        <f t="shared" si="7"/>
        <v>9.2884392104826668E-4</v>
      </c>
      <c r="P61" s="134">
        <f t="shared" si="7"/>
        <v>2.0639498922448872E-3</v>
      </c>
      <c r="Q61" s="134">
        <f t="shared" si="7"/>
        <v>0.1920265780730897</v>
      </c>
      <c r="R61" s="134">
        <f t="shared" si="7"/>
        <v>6.0289562774616431E-2</v>
      </c>
      <c r="S61" s="134">
        <f t="shared" si="7"/>
        <v>6.234103037254999E-3</v>
      </c>
      <c r="T61" s="134">
        <f t="shared" si="7"/>
        <v>6.234103037254999E-3</v>
      </c>
      <c r="U61" s="134">
        <f t="shared" si="7"/>
        <v>4.0869103419612545E-3</v>
      </c>
      <c r="V61" s="134">
        <f t="shared" si="7"/>
        <v>8.3645343742531659E-4</v>
      </c>
      <c r="X61" s="130" t="s">
        <v>165</v>
      </c>
    </row>
    <row r="64" spans="1:24" x14ac:dyDescent="0.25">
      <c r="A64" s="129" t="s">
        <v>198</v>
      </c>
    </row>
    <row r="65" spans="1:24" x14ac:dyDescent="0.25">
      <c r="A65" s="132" t="s">
        <v>204</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3.6225999999999998</v>
      </c>
      <c r="C69" s="129">
        <v>1.32E-2</v>
      </c>
      <c r="D69" s="129">
        <v>0.18609999999999999</v>
      </c>
      <c r="E69" s="129">
        <v>0.31979999999999997</v>
      </c>
      <c r="F69" s="129">
        <v>0.31979999999999997</v>
      </c>
      <c r="G69" s="129">
        <v>0.32069999999999999</v>
      </c>
      <c r="H69" s="129">
        <v>0.99890000000000001</v>
      </c>
      <c r="I69" s="129">
        <v>27.095199999999998</v>
      </c>
      <c r="J69" s="133">
        <v>0.13730000000000001</v>
      </c>
      <c r="K69" s="133">
        <v>2.5905999999999998</v>
      </c>
      <c r="L69" s="129">
        <v>1.3925000000000001</v>
      </c>
      <c r="M69" s="166">
        <v>1.3925000000000001</v>
      </c>
      <c r="N69" s="133">
        <v>4.0732999999999997</v>
      </c>
      <c r="O69" s="133">
        <v>9.0434999999999999</v>
      </c>
      <c r="P69" s="129">
        <v>30.7178</v>
      </c>
      <c r="Q69" s="133">
        <v>0.15049999999999999</v>
      </c>
      <c r="R69" s="133">
        <v>2.7766000000000002</v>
      </c>
      <c r="S69" s="129">
        <v>1.7122999999999999</v>
      </c>
      <c r="T69" s="166">
        <v>1.7122999999999999</v>
      </c>
      <c r="U69" s="133">
        <v>4.3940000000000001</v>
      </c>
      <c r="V69" s="133">
        <v>10.042400000000001</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1.11E-2</v>
      </c>
      <c r="E72" s="129">
        <v>2.9999999999999997E-4</v>
      </c>
      <c r="F72" s="129">
        <v>2.9999999999999997E-4</v>
      </c>
      <c r="G72" s="129">
        <v>7.7999999999999996E-3</v>
      </c>
      <c r="H72" s="129">
        <v>4.0000000000000002E-4</v>
      </c>
      <c r="I72" s="129">
        <v>1.6299999999999999E-2</v>
      </c>
      <c r="J72" s="129">
        <v>8.9999999999999998E-4</v>
      </c>
      <c r="K72" s="129">
        <v>0.65669999999999995</v>
      </c>
      <c r="L72" s="129">
        <v>1.67E-2</v>
      </c>
      <c r="M72" s="129">
        <v>1.67E-2</v>
      </c>
      <c r="N72" s="129">
        <v>0.4642</v>
      </c>
      <c r="O72" s="129">
        <v>2.5999999999999999E-2</v>
      </c>
      <c r="P72" s="129">
        <v>1.66E-2</v>
      </c>
      <c r="Q72" s="129">
        <v>8.9999999999999998E-4</v>
      </c>
      <c r="R72" s="129">
        <v>0.66779999999999995</v>
      </c>
      <c r="S72" s="129">
        <v>1.6899999999999998E-2</v>
      </c>
      <c r="T72" s="129">
        <v>1.6899999999999998E-2</v>
      </c>
      <c r="U72" s="129">
        <v>0.47199999999999998</v>
      </c>
      <c r="V72" s="129">
        <v>2.6499999999999999E-2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0.2097</v>
      </c>
      <c r="C75" s="129">
        <v>2E-3</v>
      </c>
      <c r="D75" s="129">
        <v>7.6E-3</v>
      </c>
      <c r="E75" s="129">
        <v>1.2800000000000001E-2</v>
      </c>
      <c r="F75" s="129">
        <v>1.2800000000000001E-2</v>
      </c>
      <c r="G75" s="129">
        <v>1.49E-2</v>
      </c>
      <c r="H75" s="129">
        <v>1.61E-2</v>
      </c>
      <c r="I75" s="129">
        <v>1.4904999999999999</v>
      </c>
      <c r="J75" s="129">
        <v>1.4500000000000001E-2</v>
      </c>
      <c r="K75" s="129">
        <v>5.3900000000000003E-2</v>
      </c>
      <c r="L75" s="129">
        <v>5.9299999999999999E-2</v>
      </c>
      <c r="M75" s="129">
        <v>5.9299999999999999E-2</v>
      </c>
      <c r="N75" s="129">
        <v>8.8599999999999998E-2</v>
      </c>
      <c r="O75" s="129">
        <v>0.11409999999999999</v>
      </c>
      <c r="P75" s="129">
        <v>1.7001999999999999</v>
      </c>
      <c r="Q75" s="129">
        <v>1.6500000000000001E-2</v>
      </c>
      <c r="R75" s="129">
        <v>6.1499999999999999E-2</v>
      </c>
      <c r="S75" s="129">
        <v>7.22E-2</v>
      </c>
      <c r="T75" s="129">
        <v>7.22E-2</v>
      </c>
      <c r="U75" s="129">
        <v>0.10349999999999999</v>
      </c>
      <c r="V75" s="129">
        <v>0.13020000000000001</v>
      </c>
      <c r="W75" s="130" t="s">
        <v>180</v>
      </c>
      <c r="X75" s="130" t="s">
        <v>166</v>
      </c>
    </row>
    <row r="76" spans="1:24" x14ac:dyDescent="0.25">
      <c r="A76" s="130">
        <v>2104004000</v>
      </c>
      <c r="B76" s="129">
        <v>4.4000000000000003E-3</v>
      </c>
      <c r="C76" s="129">
        <v>2.0000000000000001E-4</v>
      </c>
      <c r="D76" s="129">
        <v>0.111</v>
      </c>
      <c r="E76" s="129">
        <v>4.4999999999999997E-3</v>
      </c>
      <c r="F76" s="129">
        <v>4.4999999999999997E-3</v>
      </c>
      <c r="G76" s="129">
        <v>0.2863</v>
      </c>
      <c r="H76" s="129">
        <v>7.1000000000000004E-3</v>
      </c>
      <c r="I76" s="129">
        <v>5.1799999999999999E-2</v>
      </c>
      <c r="J76" s="129">
        <v>2.8E-3</v>
      </c>
      <c r="K76" s="129">
        <v>1.2983</v>
      </c>
      <c r="L76" s="129">
        <v>4.3099999999999999E-2</v>
      </c>
      <c r="M76" s="129">
        <v>4.3099999999999999E-2</v>
      </c>
      <c r="N76" s="129">
        <v>3.3515000000000001</v>
      </c>
      <c r="O76" s="129">
        <v>8.2500000000000004E-2</v>
      </c>
      <c r="P76" s="129">
        <v>5.6300000000000003E-2</v>
      </c>
      <c r="Q76" s="129">
        <v>3.0999999999999999E-3</v>
      </c>
      <c r="R76" s="129">
        <v>1.4093</v>
      </c>
      <c r="S76" s="129">
        <v>4.7600000000000003E-2</v>
      </c>
      <c r="T76" s="129">
        <v>4.7600000000000003E-2</v>
      </c>
      <c r="U76" s="129">
        <v>3.6377999999999999</v>
      </c>
      <c r="V76" s="129">
        <v>8.9599999999999999E-2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0.39639999999999997</v>
      </c>
      <c r="C78" s="129">
        <v>2.8E-3</v>
      </c>
      <c r="D78" s="129">
        <v>4.1000000000000003E-3</v>
      </c>
      <c r="E78" s="129">
        <v>5.4300000000000001E-2</v>
      </c>
      <c r="F78" s="129">
        <v>5.4300000000000001E-2</v>
      </c>
      <c r="G78" s="129">
        <v>5.9999999999999995E-4</v>
      </c>
      <c r="H78" s="129">
        <v>0.3594</v>
      </c>
      <c r="I78" s="129">
        <v>4.7247000000000003</v>
      </c>
      <c r="J78" s="129">
        <v>3.3700000000000001E-2</v>
      </c>
      <c r="K78" s="129">
        <v>4.8599999999999997E-2</v>
      </c>
      <c r="L78" s="129">
        <v>0.34939999999999999</v>
      </c>
      <c r="M78" s="129">
        <v>0.34939999999999999</v>
      </c>
      <c r="N78" s="129">
        <v>5.7000000000000002E-3</v>
      </c>
      <c r="O78" s="129">
        <v>4.2831999999999999</v>
      </c>
      <c r="P78" s="129">
        <v>5.1211000000000002</v>
      </c>
      <c r="Q78" s="129">
        <v>3.6499999999999998E-2</v>
      </c>
      <c r="R78" s="129">
        <v>5.2699999999999997E-2</v>
      </c>
      <c r="S78" s="129">
        <v>0.4037</v>
      </c>
      <c r="T78" s="129">
        <v>0.4037</v>
      </c>
      <c r="U78" s="129">
        <v>6.3E-3</v>
      </c>
      <c r="V78" s="129">
        <v>4.6425999999999998</v>
      </c>
      <c r="W78" s="130" t="s">
        <v>183</v>
      </c>
      <c r="X78" s="130" t="s">
        <v>168</v>
      </c>
    </row>
    <row r="79" spans="1:24" x14ac:dyDescent="0.25">
      <c r="A79" s="130">
        <v>2104008210</v>
      </c>
      <c r="B79" s="129">
        <v>5.67E-2</v>
      </c>
      <c r="C79" s="129">
        <v>4.0000000000000002E-4</v>
      </c>
      <c r="D79" s="129">
        <v>6.9999999999999999E-4</v>
      </c>
      <c r="E79" s="129">
        <v>7.4999999999999997E-3</v>
      </c>
      <c r="F79" s="129">
        <v>7.4999999999999997E-3</v>
      </c>
      <c r="G79" s="129">
        <v>1E-4</v>
      </c>
      <c r="H79" s="129">
        <v>1.2999999999999999E-2</v>
      </c>
      <c r="I79" s="129">
        <v>0.38100000000000001</v>
      </c>
      <c r="J79" s="129">
        <v>2.8E-3</v>
      </c>
      <c r="K79" s="129">
        <v>4.5999999999999999E-3</v>
      </c>
      <c r="L79" s="129">
        <v>2.3900000000000001E-2</v>
      </c>
      <c r="M79" s="129">
        <v>2.3900000000000001E-2</v>
      </c>
      <c r="N79" s="129">
        <v>8.0000000000000004E-4</v>
      </c>
      <c r="O79" s="129">
        <v>8.7499999999999994E-2</v>
      </c>
      <c r="P79" s="129">
        <v>0.43769999999999998</v>
      </c>
      <c r="Q79" s="129">
        <v>3.2000000000000002E-3</v>
      </c>
      <c r="R79" s="129">
        <v>5.3E-3</v>
      </c>
      <c r="S79" s="129">
        <v>3.15E-2</v>
      </c>
      <c r="T79" s="129">
        <v>3.15E-2</v>
      </c>
      <c r="U79" s="129">
        <v>8.9999999999999998E-4</v>
      </c>
      <c r="V79" s="129">
        <v>0.10050000000000001</v>
      </c>
      <c r="W79" s="130" t="s">
        <v>184</v>
      </c>
      <c r="X79" s="130" t="s">
        <v>168</v>
      </c>
    </row>
    <row r="80" spans="1:24" x14ac:dyDescent="0.25">
      <c r="A80" s="130">
        <v>2104008220</v>
      </c>
      <c r="B80" s="129">
        <v>7.2900000000000006E-2</v>
      </c>
      <c r="C80" s="129">
        <v>5.0000000000000001E-4</v>
      </c>
      <c r="D80" s="129">
        <v>1E-3</v>
      </c>
      <c r="E80" s="129">
        <v>6.1999999999999998E-3</v>
      </c>
      <c r="F80" s="129">
        <v>6.1999999999999998E-3</v>
      </c>
      <c r="G80" s="129">
        <v>2.0000000000000001E-4</v>
      </c>
      <c r="H80" s="129">
        <v>6.1999999999999998E-3</v>
      </c>
      <c r="I80" s="129">
        <v>0.48930000000000001</v>
      </c>
      <c r="J80" s="129">
        <v>3.0999999999999999E-3</v>
      </c>
      <c r="K80" s="129">
        <v>7.0000000000000001E-3</v>
      </c>
      <c r="L80" s="129">
        <v>4.1999999999999997E-3</v>
      </c>
      <c r="M80" s="129">
        <v>4.1999999999999997E-3</v>
      </c>
      <c r="N80" s="129">
        <v>5.0000000000000001E-4</v>
      </c>
      <c r="O80" s="129">
        <v>4.1700000000000001E-2</v>
      </c>
      <c r="P80" s="129">
        <v>0.56220000000000003</v>
      </c>
      <c r="Q80" s="129">
        <v>3.5999999999999999E-3</v>
      </c>
      <c r="R80" s="129">
        <v>8.0000000000000002E-3</v>
      </c>
      <c r="S80" s="129">
        <v>1.04E-2</v>
      </c>
      <c r="T80" s="129">
        <v>1.04E-2</v>
      </c>
      <c r="U80" s="129">
        <v>8.0000000000000004E-4</v>
      </c>
      <c r="V80" s="129">
        <v>4.7899999999999998E-2</v>
      </c>
      <c r="W80" s="130" t="s">
        <v>185</v>
      </c>
      <c r="X80" s="130" t="s">
        <v>168</v>
      </c>
    </row>
    <row r="81" spans="1:24" x14ac:dyDescent="0.25">
      <c r="A81" s="130">
        <v>2104008230</v>
      </c>
      <c r="B81" s="129">
        <v>3.3300000000000003E-2</v>
      </c>
      <c r="C81" s="129">
        <v>2.9999999999999997E-4</v>
      </c>
      <c r="D81" s="129">
        <v>5.9999999999999995E-4</v>
      </c>
      <c r="E81" s="129">
        <v>4.1000000000000003E-3</v>
      </c>
      <c r="F81" s="129">
        <v>4.1000000000000003E-3</v>
      </c>
      <c r="G81" s="129">
        <v>1E-4</v>
      </c>
      <c r="H81" s="129">
        <v>4.7000000000000002E-3</v>
      </c>
      <c r="I81" s="129">
        <v>0.22389999999999999</v>
      </c>
      <c r="J81" s="129">
        <v>1.9E-3</v>
      </c>
      <c r="K81" s="129">
        <v>4.1999999999999997E-3</v>
      </c>
      <c r="L81" s="129">
        <v>2.8E-3</v>
      </c>
      <c r="M81" s="129">
        <v>2.8E-3</v>
      </c>
      <c r="N81" s="129">
        <v>2.0000000000000001E-4</v>
      </c>
      <c r="O81" s="129">
        <v>3.1399999999999997E-2</v>
      </c>
      <c r="P81" s="129">
        <v>0.25719999999999998</v>
      </c>
      <c r="Q81" s="129">
        <v>2.2000000000000001E-3</v>
      </c>
      <c r="R81" s="129">
        <v>4.7999999999999996E-3</v>
      </c>
      <c r="S81" s="129">
        <v>6.7999999999999996E-3</v>
      </c>
      <c r="T81" s="129">
        <v>6.7999999999999996E-3</v>
      </c>
      <c r="U81" s="129">
        <v>2.9999999999999997E-4</v>
      </c>
      <c r="V81" s="129">
        <v>3.61E-2</v>
      </c>
      <c r="W81" s="130" t="s">
        <v>186</v>
      </c>
      <c r="X81" s="130" t="s">
        <v>168</v>
      </c>
    </row>
    <row r="82" spans="1:24" x14ac:dyDescent="0.25">
      <c r="A82" s="130">
        <v>2104008310</v>
      </c>
      <c r="B82" s="129">
        <v>0.60460000000000003</v>
      </c>
      <c r="C82" s="129">
        <v>2E-3</v>
      </c>
      <c r="D82" s="129">
        <v>7.1999999999999998E-3</v>
      </c>
      <c r="E82" s="129">
        <v>6.0600000000000001E-2</v>
      </c>
      <c r="F82" s="129">
        <v>6.0600000000000001E-2</v>
      </c>
      <c r="G82" s="129">
        <v>2E-3</v>
      </c>
      <c r="H82" s="129">
        <v>0.26440000000000002</v>
      </c>
      <c r="I82" s="129">
        <v>4.0590000000000002</v>
      </c>
      <c r="J82" s="129">
        <v>1.3299999999999999E-2</v>
      </c>
      <c r="K82" s="129">
        <v>4.8599999999999997E-2</v>
      </c>
      <c r="L82" s="129">
        <v>0.22070000000000001</v>
      </c>
      <c r="M82" s="129">
        <v>0.22070000000000001</v>
      </c>
      <c r="N82" s="129">
        <v>2.2200000000000001E-2</v>
      </c>
      <c r="O82" s="129">
        <v>1.7754000000000001</v>
      </c>
      <c r="P82" s="129">
        <v>4.6635</v>
      </c>
      <c r="Q82" s="129">
        <v>1.5299999999999999E-2</v>
      </c>
      <c r="R82" s="129">
        <v>5.5899999999999998E-2</v>
      </c>
      <c r="S82" s="129">
        <v>0.28120000000000001</v>
      </c>
      <c r="T82" s="129">
        <v>0.28120000000000001</v>
      </c>
      <c r="U82" s="129">
        <v>2.4199999999999999E-2</v>
      </c>
      <c r="V82" s="129">
        <v>2.0398000000000001</v>
      </c>
      <c r="W82" s="130" t="s">
        <v>187</v>
      </c>
      <c r="X82" s="130" t="s">
        <v>168</v>
      </c>
    </row>
    <row r="83" spans="1:24" x14ac:dyDescent="0.25">
      <c r="A83" s="130">
        <v>2104008320</v>
      </c>
      <c r="B83" s="129">
        <v>1.2988</v>
      </c>
      <c r="C83" s="129">
        <v>2.5999999999999999E-3</v>
      </c>
      <c r="D83" s="129">
        <v>1.6899999999999998E-2</v>
      </c>
      <c r="E83" s="129">
        <v>8.3299999999999999E-2</v>
      </c>
      <c r="F83" s="129">
        <v>8.3299999999999999E-2</v>
      </c>
      <c r="G83" s="129">
        <v>4.1999999999999997E-3</v>
      </c>
      <c r="H83" s="129">
        <v>0.12609999999999999</v>
      </c>
      <c r="I83" s="129">
        <v>8.7200000000000006</v>
      </c>
      <c r="J83" s="129">
        <v>1.7600000000000001E-2</v>
      </c>
      <c r="K83" s="129">
        <v>0.1135</v>
      </c>
      <c r="L83" s="129">
        <v>0.30459999999999998</v>
      </c>
      <c r="M83" s="129">
        <v>0.30459999999999998</v>
      </c>
      <c r="N83" s="129">
        <v>5.74E-2</v>
      </c>
      <c r="O83" s="129">
        <v>0.84630000000000005</v>
      </c>
      <c r="P83" s="129">
        <v>10.018800000000001</v>
      </c>
      <c r="Q83" s="129">
        <v>2.0199999999999999E-2</v>
      </c>
      <c r="R83" s="129">
        <v>0.13039999999999999</v>
      </c>
      <c r="S83" s="129">
        <v>0.38790000000000002</v>
      </c>
      <c r="T83" s="129">
        <v>0.38790000000000002</v>
      </c>
      <c r="U83" s="129">
        <v>6.1600000000000002E-2</v>
      </c>
      <c r="V83" s="129">
        <v>0.97240000000000004</v>
      </c>
      <c r="W83" s="130" t="s">
        <v>188</v>
      </c>
      <c r="X83" s="130" t="s">
        <v>168</v>
      </c>
    </row>
    <row r="84" spans="1:24" x14ac:dyDescent="0.25">
      <c r="A84" s="130">
        <v>2104008330</v>
      </c>
      <c r="B84" s="129">
        <v>0.78200000000000003</v>
      </c>
      <c r="C84" s="129">
        <v>1.6000000000000001E-3</v>
      </c>
      <c r="D84" s="129">
        <v>1.0200000000000001E-2</v>
      </c>
      <c r="E84" s="129">
        <v>5.5599999999999997E-2</v>
      </c>
      <c r="F84" s="129">
        <v>5.5599999999999997E-2</v>
      </c>
      <c r="G84" s="129">
        <v>2.5000000000000001E-3</v>
      </c>
      <c r="H84" s="129">
        <v>9.4899999999999998E-2</v>
      </c>
      <c r="I84" s="129">
        <v>5.2500999999999998</v>
      </c>
      <c r="J84" s="129">
        <v>1.06E-2</v>
      </c>
      <c r="K84" s="129">
        <v>6.83E-2</v>
      </c>
      <c r="L84" s="129">
        <v>0.20349999999999999</v>
      </c>
      <c r="M84" s="129">
        <v>0.20349999999999999</v>
      </c>
      <c r="N84" s="129">
        <v>3.5299999999999998E-2</v>
      </c>
      <c r="O84" s="129">
        <v>0.63690000000000002</v>
      </c>
      <c r="P84" s="129">
        <v>6.0320999999999998</v>
      </c>
      <c r="Q84" s="129">
        <v>1.2200000000000001E-2</v>
      </c>
      <c r="R84" s="129">
        <v>7.85E-2</v>
      </c>
      <c r="S84" s="129">
        <v>0.2591</v>
      </c>
      <c r="T84" s="129">
        <v>0.2591</v>
      </c>
      <c r="U84" s="129">
        <v>3.78E-2</v>
      </c>
      <c r="V84" s="129">
        <v>0.73180000000000001</v>
      </c>
      <c r="W84" s="130" t="s">
        <v>189</v>
      </c>
      <c r="X84" s="130" t="s">
        <v>168</v>
      </c>
    </row>
    <row r="85" spans="1:24" x14ac:dyDescent="0.25">
      <c r="A85" s="130">
        <v>2104008410</v>
      </c>
      <c r="B85" s="129">
        <v>6.8999999999999999E-3</v>
      </c>
      <c r="C85" s="129">
        <v>0</v>
      </c>
      <c r="D85" s="129">
        <v>2.8E-3</v>
      </c>
      <c r="E85" s="129">
        <v>2.0999999999999999E-3</v>
      </c>
      <c r="F85" s="129">
        <v>2.0999999999999999E-3</v>
      </c>
      <c r="G85" s="129">
        <v>2.0000000000000001E-4</v>
      </c>
      <c r="H85" s="129">
        <v>1.6000000000000001E-3</v>
      </c>
      <c r="I85" s="129">
        <v>4.6199999999999998E-2</v>
      </c>
      <c r="J85" s="129">
        <v>2.9999999999999997E-4</v>
      </c>
      <c r="K85" s="129">
        <v>1.8599999999999998E-2</v>
      </c>
      <c r="L85" s="129">
        <v>7.9000000000000008E-3</v>
      </c>
      <c r="M85" s="129">
        <v>7.9000000000000008E-3</v>
      </c>
      <c r="N85" s="129">
        <v>3.0000000000000001E-3</v>
      </c>
      <c r="O85" s="129">
        <v>1.0699999999999999E-2</v>
      </c>
      <c r="P85" s="129">
        <v>5.3100000000000001E-2</v>
      </c>
      <c r="Q85" s="129">
        <v>4.0000000000000002E-4</v>
      </c>
      <c r="R85" s="129">
        <v>2.1399999999999999E-2</v>
      </c>
      <c r="S85" s="129">
        <v>9.9000000000000008E-3</v>
      </c>
      <c r="T85" s="129">
        <v>9.9000000000000008E-3</v>
      </c>
      <c r="U85" s="129">
        <v>3.2000000000000002E-3</v>
      </c>
      <c r="V85" s="129">
        <v>1.23E-2</v>
      </c>
      <c r="W85" s="130" t="s">
        <v>190</v>
      </c>
      <c r="X85" s="130" t="s">
        <v>168</v>
      </c>
    </row>
    <row r="86" spans="1:24" x14ac:dyDescent="0.25">
      <c r="A86" s="130">
        <v>2104008420</v>
      </c>
      <c r="B86" s="129">
        <v>2.3199999999999998E-2</v>
      </c>
      <c r="C86" s="129">
        <v>2.0000000000000001E-4</v>
      </c>
      <c r="D86" s="129">
        <v>9.4000000000000004E-3</v>
      </c>
      <c r="E86" s="129">
        <v>6.8999999999999999E-3</v>
      </c>
      <c r="F86" s="129">
        <v>6.8999999999999999E-3</v>
      </c>
      <c r="G86" s="129">
        <v>6.9999999999999999E-4</v>
      </c>
      <c r="H86" s="129">
        <v>5.4000000000000003E-3</v>
      </c>
      <c r="I86" s="129">
        <v>0.15590000000000001</v>
      </c>
      <c r="J86" s="129">
        <v>1.1000000000000001E-3</v>
      </c>
      <c r="K86" s="129">
        <v>6.2899999999999998E-2</v>
      </c>
      <c r="L86" s="129">
        <v>2.6100000000000002E-2</v>
      </c>
      <c r="M86" s="129">
        <v>2.6100000000000002E-2</v>
      </c>
      <c r="N86" s="129">
        <v>1.23E-2</v>
      </c>
      <c r="O86" s="129">
        <v>3.5999999999999997E-2</v>
      </c>
      <c r="P86" s="129">
        <v>0.1792</v>
      </c>
      <c r="Q86" s="129">
        <v>1.2999999999999999E-3</v>
      </c>
      <c r="R86" s="129">
        <v>7.22E-2</v>
      </c>
      <c r="S86" s="129">
        <v>3.3000000000000002E-2</v>
      </c>
      <c r="T86" s="129">
        <v>3.3000000000000002E-2</v>
      </c>
      <c r="U86" s="129">
        <v>1.2999999999999999E-2</v>
      </c>
      <c r="V86" s="129">
        <v>4.1399999999999999E-2</v>
      </c>
      <c r="W86" s="130" t="s">
        <v>191</v>
      </c>
      <c r="X86" s="130" t="s">
        <v>168</v>
      </c>
    </row>
    <row r="87" spans="1:24" x14ac:dyDescent="0.25">
      <c r="A87" s="130">
        <v>2104008610</v>
      </c>
      <c r="B87" s="129">
        <v>0.1328</v>
      </c>
      <c r="C87" s="129">
        <v>5.0000000000000001E-4</v>
      </c>
      <c r="D87" s="129">
        <v>3.5000000000000001E-3</v>
      </c>
      <c r="E87" s="129">
        <v>2.1600000000000001E-2</v>
      </c>
      <c r="F87" s="129">
        <v>2.1600000000000001E-2</v>
      </c>
      <c r="G87" s="129">
        <v>8.9999999999999998E-4</v>
      </c>
      <c r="H87" s="129">
        <v>9.9500000000000005E-2</v>
      </c>
      <c r="I87" s="129">
        <v>1.4169</v>
      </c>
      <c r="J87" s="129">
        <v>5.7000000000000002E-3</v>
      </c>
      <c r="K87" s="129">
        <v>3.7699999999999997E-2</v>
      </c>
      <c r="L87" s="129">
        <v>0.1174</v>
      </c>
      <c r="M87" s="129">
        <v>0.1174</v>
      </c>
      <c r="N87" s="129">
        <v>1.38E-2</v>
      </c>
      <c r="O87" s="129">
        <v>1.0621</v>
      </c>
      <c r="P87" s="129">
        <v>1.5497000000000001</v>
      </c>
      <c r="Q87" s="129">
        <v>6.1999999999999998E-3</v>
      </c>
      <c r="R87" s="129">
        <v>4.1300000000000003E-2</v>
      </c>
      <c r="S87" s="129">
        <v>0.13900000000000001</v>
      </c>
      <c r="T87" s="129">
        <v>0.13900000000000001</v>
      </c>
      <c r="U87" s="129">
        <v>1.46E-2</v>
      </c>
      <c r="V87" s="129">
        <v>1.1616</v>
      </c>
      <c r="W87" s="130" t="s">
        <v>192</v>
      </c>
      <c r="X87" s="130" t="s">
        <v>168</v>
      </c>
    </row>
    <row r="89" spans="1:24" x14ac:dyDescent="0.25">
      <c r="B89" s="135">
        <f>SUMIFS(B70:B87,$X70:$X87,$X89)/B69</f>
        <v>0.9407331750676311</v>
      </c>
      <c r="C89" s="135">
        <f t="shared" ref="C89:V89" si="8">SUMIFS(C70:C87,$X70:$X87,$X89)/C69</f>
        <v>0.82575757575757591</v>
      </c>
      <c r="D89" s="135">
        <f t="shared" si="8"/>
        <v>0.30306286942504029</v>
      </c>
      <c r="E89" s="135">
        <f t="shared" si="8"/>
        <v>0.94496560350218906</v>
      </c>
      <c r="F89" s="135">
        <f t="shared" si="8"/>
        <v>0.94496560350218906</v>
      </c>
      <c r="G89" s="135">
        <f t="shared" si="8"/>
        <v>3.5859058309946991E-2</v>
      </c>
      <c r="H89" s="135">
        <f t="shared" si="8"/>
        <v>0.97647412153368696</v>
      </c>
      <c r="I89" s="135">
        <f t="shared" si="8"/>
        <v>0.93997829873926009</v>
      </c>
      <c r="J89" s="136">
        <f t="shared" si="8"/>
        <v>0.65622723962126717</v>
      </c>
      <c r="K89" s="136">
        <f t="shared" si="8"/>
        <v>0.15980853856249519</v>
      </c>
      <c r="L89" s="135">
        <f t="shared" si="8"/>
        <v>0.90542190305206449</v>
      </c>
      <c r="M89" s="136">
        <f t="shared" si="8"/>
        <v>0.90542190305206449</v>
      </c>
      <c r="N89" s="136">
        <f t="shared" si="8"/>
        <v>3.711978003093315E-2</v>
      </c>
      <c r="O89" s="136">
        <f t="shared" si="8"/>
        <v>0.9744125615082655</v>
      </c>
      <c r="P89" s="135">
        <f t="shared" si="8"/>
        <v>0.94006406708813806</v>
      </c>
      <c r="Q89" s="136">
        <f t="shared" si="8"/>
        <v>0.67176079734219263</v>
      </c>
      <c r="R89" s="136">
        <f t="shared" si="8"/>
        <v>0.16945184758337534</v>
      </c>
      <c r="S89" s="135">
        <f t="shared" si="8"/>
        <v>0.91269053320095783</v>
      </c>
      <c r="T89" s="136">
        <f t="shared" si="8"/>
        <v>0.91269053320095783</v>
      </c>
      <c r="U89" s="136">
        <f t="shared" si="8"/>
        <v>3.702776513427402E-2</v>
      </c>
      <c r="V89" s="136">
        <f t="shared" si="8"/>
        <v>0.97461762128574836</v>
      </c>
      <c r="X89" s="130" t="s">
        <v>168</v>
      </c>
    </row>
    <row r="90" spans="1:24" x14ac:dyDescent="0.25">
      <c r="B90" s="135">
        <f>SUMIFS(B70:B87,$X70:$X87,$X90)/B69</f>
        <v>1.2974106994975984E-3</v>
      </c>
      <c r="C90" s="135">
        <f t="shared" ref="C90:V90" si="9">SUMIFS(C70:C87,$X70:$X87,$X90)/C69</f>
        <v>1.5151515151515152E-2</v>
      </c>
      <c r="D90" s="135">
        <f t="shared" si="9"/>
        <v>0.65609887157442237</v>
      </c>
      <c r="E90" s="135">
        <f t="shared" si="9"/>
        <v>1.50093808630394E-2</v>
      </c>
      <c r="F90" s="135">
        <f t="shared" si="9"/>
        <v>1.50093808630394E-2</v>
      </c>
      <c r="G90" s="135">
        <f t="shared" si="9"/>
        <v>0.91705643903960088</v>
      </c>
      <c r="H90" s="135">
        <f t="shared" si="9"/>
        <v>7.5082590849934938E-3</v>
      </c>
      <c r="I90" s="135">
        <f t="shared" si="9"/>
        <v>2.5133602999793322E-3</v>
      </c>
      <c r="J90" s="136">
        <f t="shared" si="9"/>
        <v>2.6948288419519302E-2</v>
      </c>
      <c r="K90" s="136">
        <f t="shared" si="9"/>
        <v>0.75465143210067176</v>
      </c>
      <c r="L90" s="135">
        <f t="shared" si="9"/>
        <v>4.2944344703770197E-2</v>
      </c>
      <c r="M90" s="136">
        <f t="shared" si="9"/>
        <v>4.2944344703770197E-2</v>
      </c>
      <c r="N90" s="136">
        <f t="shared" si="9"/>
        <v>0.93675889328063255</v>
      </c>
      <c r="O90" s="136">
        <f t="shared" si="9"/>
        <v>1.1997567313540111E-2</v>
      </c>
      <c r="P90" s="135">
        <f t="shared" si="9"/>
        <v>2.373216831934579E-3</v>
      </c>
      <c r="Q90" s="136">
        <f t="shared" si="9"/>
        <v>2.6578073089700997E-2</v>
      </c>
      <c r="R90" s="136">
        <f t="shared" si="9"/>
        <v>0.74807318302960435</v>
      </c>
      <c r="S90" s="135">
        <f t="shared" si="9"/>
        <v>3.7668632833031596E-2</v>
      </c>
      <c r="T90" s="136">
        <f t="shared" si="9"/>
        <v>3.7668632833031596E-2</v>
      </c>
      <c r="U90" s="136">
        <f t="shared" si="9"/>
        <v>0.93532089212562586</v>
      </c>
      <c r="V90" s="136">
        <f t="shared" si="9"/>
        <v>1.1560981438699911E-2</v>
      </c>
      <c r="X90" s="130" t="s">
        <v>167</v>
      </c>
    </row>
    <row r="91" spans="1:24" x14ac:dyDescent="0.25">
      <c r="B91" s="135">
        <f>SUMIFS(B70:B87,$X70:$X87,$X91)/B69</f>
        <v>5.796941423287142E-2</v>
      </c>
      <c r="C91" s="135">
        <f t="shared" ref="C91:V91" si="10">SUMIFS(C70:C87,$X70:$X87,$X91)/C69</f>
        <v>0.15151515151515152</v>
      </c>
      <c r="D91" s="135">
        <f t="shared" si="10"/>
        <v>4.083825900053735E-2</v>
      </c>
      <c r="E91" s="135">
        <f t="shared" si="10"/>
        <v>4.0025015634771739E-2</v>
      </c>
      <c r="F91" s="135">
        <f t="shared" si="10"/>
        <v>4.0025015634771739E-2</v>
      </c>
      <c r="G91" s="135">
        <f t="shared" si="10"/>
        <v>4.6460866853757408E-2</v>
      </c>
      <c r="H91" s="135">
        <f t="shared" si="10"/>
        <v>1.6117729502452698E-2</v>
      </c>
      <c r="I91" s="135">
        <f t="shared" si="10"/>
        <v>5.5168443119076441E-2</v>
      </c>
      <c r="J91" s="136">
        <f t="shared" si="10"/>
        <v>0.1056081573197378</v>
      </c>
      <c r="K91" s="136">
        <f t="shared" si="10"/>
        <v>2.0883193082683552E-2</v>
      </c>
      <c r="L91" s="135">
        <f t="shared" si="10"/>
        <v>4.2800718132854576E-2</v>
      </c>
      <c r="M91" s="136">
        <f t="shared" si="10"/>
        <v>4.2800718132854576E-2</v>
      </c>
      <c r="N91" s="136">
        <f t="shared" si="10"/>
        <v>2.1825055851520881E-2</v>
      </c>
      <c r="O91" s="136">
        <f t="shared" si="10"/>
        <v>1.2649969591419251E-2</v>
      </c>
      <c r="P91" s="135">
        <f t="shared" si="10"/>
        <v>5.5495510746212291E-2</v>
      </c>
      <c r="Q91" s="136">
        <f t="shared" si="10"/>
        <v>0.10963455149501662</v>
      </c>
      <c r="R91" s="136">
        <f t="shared" si="10"/>
        <v>2.2221421882878338E-2</v>
      </c>
      <c r="S91" s="135">
        <f t="shared" si="10"/>
        <v>4.2340711323950238E-2</v>
      </c>
      <c r="T91" s="136">
        <f t="shared" si="10"/>
        <v>4.2340711323950238E-2</v>
      </c>
      <c r="U91" s="136">
        <f t="shared" si="10"/>
        <v>2.3623122439690485E-2</v>
      </c>
      <c r="V91" s="136">
        <f t="shared" si="10"/>
        <v>1.2994901617143312E-2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2.3398978416841361E-3</v>
      </c>
      <c r="J92" s="136">
        <f t="shared" si="11"/>
        <v>0.21048798252002912</v>
      </c>
      <c r="K92" s="136">
        <f t="shared" si="11"/>
        <v>6.4618235157878484E-2</v>
      </c>
      <c r="L92" s="135">
        <f t="shared" si="11"/>
        <v>8.9766606822262104E-3</v>
      </c>
      <c r="M92" s="136">
        <f t="shared" si="11"/>
        <v>8.9766606822262104E-3</v>
      </c>
      <c r="N92" s="136">
        <f t="shared" si="11"/>
        <v>4.3453710750497136E-3</v>
      </c>
      <c r="O92" s="136">
        <f t="shared" si="11"/>
        <v>9.2884392104826668E-4</v>
      </c>
      <c r="P92" s="135">
        <f t="shared" si="11"/>
        <v>2.0639498922448872E-3</v>
      </c>
      <c r="Q92" s="136">
        <f t="shared" si="11"/>
        <v>0.1920265780730897</v>
      </c>
      <c r="R92" s="136">
        <f t="shared" si="11"/>
        <v>6.0289562774616431E-2</v>
      </c>
      <c r="S92" s="135">
        <f t="shared" si="11"/>
        <v>7.3001226420603867E-3</v>
      </c>
      <c r="T92" s="136">
        <f t="shared" si="11"/>
        <v>7.3001226420603867E-3</v>
      </c>
      <c r="U92" s="136">
        <f t="shared" si="11"/>
        <v>4.0282203004096484E-3</v>
      </c>
      <c r="V92" s="136">
        <f t="shared" si="11"/>
        <v>8.3645343742531659E-4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FE934-F4B4-4F2E-BEA5-42724FB25205}">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205</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3.6916000000000002</v>
      </c>
      <c r="C7" s="129">
        <v>1.35E-2</v>
      </c>
      <c r="D7" s="129">
        <v>0.1885</v>
      </c>
      <c r="E7" s="129">
        <v>0.32590000000000002</v>
      </c>
      <c r="F7" s="129">
        <v>0.32590000000000002</v>
      </c>
      <c r="G7" s="129">
        <v>0.32419999999999999</v>
      </c>
      <c r="H7" s="129">
        <v>1.0182</v>
      </c>
      <c r="I7" s="129">
        <v>27.6112</v>
      </c>
      <c r="J7" s="129">
        <v>0.13930000000000001</v>
      </c>
      <c r="K7" s="129">
        <v>2.6307</v>
      </c>
      <c r="L7" s="129">
        <v>2.6193</v>
      </c>
      <c r="M7" s="129">
        <v>2.6193</v>
      </c>
      <c r="N7" s="129">
        <v>4.0716000000000001</v>
      </c>
      <c r="O7" s="129">
        <v>9.218</v>
      </c>
      <c r="P7" s="129">
        <v>31.302800000000001</v>
      </c>
      <c r="Q7" s="129">
        <v>0.15279999999999999</v>
      </c>
      <c r="R7" s="129">
        <v>2.8191999999999999</v>
      </c>
      <c r="S7" s="129">
        <v>2.9451999999999998</v>
      </c>
      <c r="T7" s="129">
        <v>2.9451999999999998</v>
      </c>
      <c r="U7" s="129">
        <v>4.3958000000000004</v>
      </c>
      <c r="V7" s="129">
        <v>10.2362</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1.12E-2</v>
      </c>
      <c r="E10" s="129">
        <v>2.9999999999999997E-4</v>
      </c>
      <c r="F10" s="129">
        <v>2.9999999999999997E-4</v>
      </c>
      <c r="G10" s="129">
        <v>7.9000000000000008E-3</v>
      </c>
      <c r="H10" s="129">
        <v>4.0000000000000002E-4</v>
      </c>
      <c r="I10" s="129">
        <v>1.67E-2</v>
      </c>
      <c r="J10" s="129">
        <v>8.9999999999999998E-4</v>
      </c>
      <c r="K10" s="129">
        <v>0.67320000000000002</v>
      </c>
      <c r="L10" s="129">
        <v>1.7100000000000001E-2</v>
      </c>
      <c r="M10" s="129">
        <v>1.7100000000000001E-2</v>
      </c>
      <c r="N10" s="129">
        <v>0.47589999999999999</v>
      </c>
      <c r="O10" s="129">
        <v>2.6700000000000002E-2</v>
      </c>
      <c r="P10" s="129">
        <v>1.7000000000000001E-2</v>
      </c>
      <c r="Q10" s="129">
        <v>8.9999999999999998E-4</v>
      </c>
      <c r="R10" s="129">
        <v>0.68440000000000001</v>
      </c>
      <c r="S10" s="129">
        <v>1.7399999999999999E-2</v>
      </c>
      <c r="T10" s="129">
        <v>1.7399999999999999E-2</v>
      </c>
      <c r="U10" s="129">
        <v>0.48380000000000001</v>
      </c>
      <c r="V10" s="129">
        <v>2.7099999999999999E-2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0.21240000000000001</v>
      </c>
      <c r="C13" s="129">
        <v>2.0999999999999999E-3</v>
      </c>
      <c r="D13" s="129">
        <v>7.7000000000000002E-3</v>
      </c>
      <c r="E13" s="129">
        <v>1.2999999999999999E-2</v>
      </c>
      <c r="F13" s="129">
        <v>1.2999999999999999E-2</v>
      </c>
      <c r="G13" s="129">
        <v>1.5100000000000001E-2</v>
      </c>
      <c r="H13" s="129">
        <v>1.6299999999999999E-2</v>
      </c>
      <c r="I13" s="129">
        <v>1.5099</v>
      </c>
      <c r="J13" s="129">
        <v>1.46E-2</v>
      </c>
      <c r="K13" s="129">
        <v>5.4600000000000003E-2</v>
      </c>
      <c r="L13" s="129">
        <v>9.2399999999999996E-2</v>
      </c>
      <c r="M13" s="129">
        <v>9.2399999999999996E-2</v>
      </c>
      <c r="N13" s="129">
        <v>0.1075</v>
      </c>
      <c r="O13" s="129">
        <v>0.11559999999999999</v>
      </c>
      <c r="P13" s="129">
        <v>1.7223999999999999</v>
      </c>
      <c r="Q13" s="129">
        <v>1.67E-2</v>
      </c>
      <c r="R13" s="129">
        <v>6.2300000000000001E-2</v>
      </c>
      <c r="S13" s="129">
        <v>0.10539999999999999</v>
      </c>
      <c r="T13" s="129">
        <v>0.10539999999999999</v>
      </c>
      <c r="U13" s="129">
        <v>0.1227</v>
      </c>
      <c r="V13" s="129">
        <v>0.13189999999999999</v>
      </c>
      <c r="W13" s="130" t="s">
        <v>180</v>
      </c>
      <c r="X13" s="130" t="s">
        <v>166</v>
      </c>
    </row>
    <row r="14" spans="1:24" x14ac:dyDescent="0.25">
      <c r="A14" s="130">
        <v>2104004000</v>
      </c>
      <c r="B14" s="129">
        <v>4.4999999999999997E-3</v>
      </c>
      <c r="C14" s="129">
        <v>2.0000000000000001E-4</v>
      </c>
      <c r="D14" s="129">
        <v>0.11210000000000001</v>
      </c>
      <c r="E14" s="129">
        <v>4.5999999999999999E-3</v>
      </c>
      <c r="F14" s="129">
        <v>4.5999999999999999E-3</v>
      </c>
      <c r="G14" s="129">
        <v>0.2893</v>
      </c>
      <c r="H14" s="129">
        <v>7.1000000000000004E-3</v>
      </c>
      <c r="I14" s="129">
        <v>5.2400000000000002E-2</v>
      </c>
      <c r="J14" s="129">
        <v>2.8999999999999998E-3</v>
      </c>
      <c r="K14" s="129">
        <v>1.3131999999999999</v>
      </c>
      <c r="L14" s="129">
        <v>5.3400000000000003E-2</v>
      </c>
      <c r="M14" s="129">
        <v>5.3400000000000003E-2</v>
      </c>
      <c r="N14" s="129">
        <v>3.3837999999999999</v>
      </c>
      <c r="O14" s="129">
        <v>8.3500000000000005E-2</v>
      </c>
      <c r="P14" s="129">
        <v>5.6899999999999999E-2</v>
      </c>
      <c r="Q14" s="129">
        <v>3.0999999999999999E-3</v>
      </c>
      <c r="R14" s="129">
        <v>1.4253</v>
      </c>
      <c r="S14" s="129">
        <v>5.8000000000000003E-2</v>
      </c>
      <c r="T14" s="129">
        <v>5.8000000000000003E-2</v>
      </c>
      <c r="U14" s="129">
        <v>3.6730999999999998</v>
      </c>
      <c r="V14" s="129">
        <v>9.06E-2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0.40410000000000001</v>
      </c>
      <c r="C16" s="129">
        <v>2.8999999999999998E-3</v>
      </c>
      <c r="D16" s="129">
        <v>4.1999999999999997E-3</v>
      </c>
      <c r="E16" s="129">
        <v>5.5399999999999998E-2</v>
      </c>
      <c r="F16" s="129">
        <v>5.5399999999999998E-2</v>
      </c>
      <c r="G16" s="129">
        <v>5.9999999999999995E-4</v>
      </c>
      <c r="H16" s="129">
        <v>0.3664</v>
      </c>
      <c r="I16" s="129">
        <v>4.8166000000000002</v>
      </c>
      <c r="J16" s="129">
        <v>3.4299999999999997E-2</v>
      </c>
      <c r="K16" s="129">
        <v>4.9599999999999998E-2</v>
      </c>
      <c r="L16" s="129">
        <v>0.65980000000000005</v>
      </c>
      <c r="M16" s="129">
        <v>0.65980000000000005</v>
      </c>
      <c r="N16" s="129">
        <v>7.6E-3</v>
      </c>
      <c r="O16" s="129">
        <v>4.3666</v>
      </c>
      <c r="P16" s="129">
        <v>5.2207999999999997</v>
      </c>
      <c r="Q16" s="129">
        <v>3.7199999999999997E-2</v>
      </c>
      <c r="R16" s="129">
        <v>5.3699999999999998E-2</v>
      </c>
      <c r="S16" s="129">
        <v>0.71509999999999996</v>
      </c>
      <c r="T16" s="129">
        <v>0.71509999999999996</v>
      </c>
      <c r="U16" s="129">
        <v>8.3000000000000001E-3</v>
      </c>
      <c r="V16" s="129">
        <v>4.7329999999999997</v>
      </c>
      <c r="W16" s="130" t="s">
        <v>183</v>
      </c>
      <c r="X16" s="130" t="s">
        <v>168</v>
      </c>
    </row>
    <row r="17" spans="1:24" x14ac:dyDescent="0.25">
      <c r="A17" s="130">
        <v>2104008210</v>
      </c>
      <c r="B17" s="129">
        <v>5.7799999999999997E-2</v>
      </c>
      <c r="C17" s="129">
        <v>4.0000000000000002E-4</v>
      </c>
      <c r="D17" s="129">
        <v>6.9999999999999999E-4</v>
      </c>
      <c r="E17" s="129">
        <v>7.7000000000000002E-3</v>
      </c>
      <c r="F17" s="129">
        <v>7.7000000000000002E-3</v>
      </c>
      <c r="G17" s="129">
        <v>1E-4</v>
      </c>
      <c r="H17" s="129">
        <v>1.3299999999999999E-2</v>
      </c>
      <c r="I17" s="129">
        <v>0.38840000000000002</v>
      </c>
      <c r="J17" s="129">
        <v>2.8999999999999998E-3</v>
      </c>
      <c r="K17" s="129">
        <v>4.7000000000000002E-3</v>
      </c>
      <c r="L17" s="129">
        <v>5.1499999999999997E-2</v>
      </c>
      <c r="M17" s="129">
        <v>5.1499999999999997E-2</v>
      </c>
      <c r="N17" s="129">
        <v>6.9999999999999999E-4</v>
      </c>
      <c r="O17" s="129">
        <v>8.9200000000000002E-2</v>
      </c>
      <c r="P17" s="129">
        <v>0.44619999999999999</v>
      </c>
      <c r="Q17" s="129">
        <v>3.3E-3</v>
      </c>
      <c r="R17" s="129">
        <v>5.4000000000000003E-3</v>
      </c>
      <c r="S17" s="129">
        <v>5.9200000000000003E-2</v>
      </c>
      <c r="T17" s="129">
        <v>5.9200000000000003E-2</v>
      </c>
      <c r="U17" s="129">
        <v>8.0000000000000004E-4</v>
      </c>
      <c r="V17" s="129">
        <v>0.10249999999999999</v>
      </c>
      <c r="W17" s="130" t="s">
        <v>184</v>
      </c>
      <c r="X17" s="130" t="s">
        <v>168</v>
      </c>
    </row>
    <row r="18" spans="1:24" x14ac:dyDescent="0.25">
      <c r="A18" s="130">
        <v>2104008220</v>
      </c>
      <c r="B18" s="129">
        <v>7.4300000000000005E-2</v>
      </c>
      <c r="C18" s="129">
        <v>5.0000000000000001E-4</v>
      </c>
      <c r="D18" s="129">
        <v>1.1000000000000001E-3</v>
      </c>
      <c r="E18" s="129">
        <v>6.3E-3</v>
      </c>
      <c r="F18" s="129">
        <v>6.3E-3</v>
      </c>
      <c r="G18" s="129">
        <v>2.0000000000000001E-4</v>
      </c>
      <c r="H18" s="129">
        <v>6.3E-3</v>
      </c>
      <c r="I18" s="129">
        <v>0.49880000000000002</v>
      </c>
      <c r="J18" s="129">
        <v>3.2000000000000002E-3</v>
      </c>
      <c r="K18" s="129">
        <v>7.1000000000000004E-3</v>
      </c>
      <c r="L18" s="129">
        <v>4.2500000000000003E-2</v>
      </c>
      <c r="M18" s="129">
        <v>4.2500000000000003E-2</v>
      </c>
      <c r="N18" s="129">
        <v>1.4E-3</v>
      </c>
      <c r="O18" s="129">
        <v>4.2500000000000003E-2</v>
      </c>
      <c r="P18" s="129">
        <v>0.57310000000000005</v>
      </c>
      <c r="Q18" s="129">
        <v>3.7000000000000002E-3</v>
      </c>
      <c r="R18" s="129">
        <v>8.0999999999999996E-3</v>
      </c>
      <c r="S18" s="129">
        <v>4.8800000000000003E-2</v>
      </c>
      <c r="T18" s="129">
        <v>4.8800000000000003E-2</v>
      </c>
      <c r="U18" s="129">
        <v>1.6000000000000001E-3</v>
      </c>
      <c r="V18" s="129">
        <v>4.8800000000000003E-2</v>
      </c>
      <c r="W18" s="130" t="s">
        <v>185</v>
      </c>
      <c r="X18" s="130" t="s">
        <v>168</v>
      </c>
    </row>
    <row r="19" spans="1:24" x14ac:dyDescent="0.25">
      <c r="A19" s="130">
        <v>2104008230</v>
      </c>
      <c r="B19" s="129">
        <v>3.4000000000000002E-2</v>
      </c>
      <c r="C19" s="129">
        <v>2.9999999999999997E-4</v>
      </c>
      <c r="D19" s="129">
        <v>5.9999999999999995E-4</v>
      </c>
      <c r="E19" s="129">
        <v>4.1000000000000003E-3</v>
      </c>
      <c r="F19" s="129">
        <v>4.1000000000000003E-3</v>
      </c>
      <c r="G19" s="129">
        <v>1E-4</v>
      </c>
      <c r="H19" s="129">
        <v>4.7999999999999996E-3</v>
      </c>
      <c r="I19" s="129">
        <v>0.22819999999999999</v>
      </c>
      <c r="J19" s="129">
        <v>1.9E-3</v>
      </c>
      <c r="K19" s="129">
        <v>4.3E-3</v>
      </c>
      <c r="L19" s="129">
        <v>2.7699999999999999E-2</v>
      </c>
      <c r="M19" s="129">
        <v>2.7699999999999999E-2</v>
      </c>
      <c r="N19" s="129">
        <v>8.9999999999999998E-4</v>
      </c>
      <c r="O19" s="129">
        <v>3.2000000000000001E-2</v>
      </c>
      <c r="P19" s="129">
        <v>0.26219999999999999</v>
      </c>
      <c r="Q19" s="129">
        <v>2.2000000000000001E-3</v>
      </c>
      <c r="R19" s="129">
        <v>4.8999999999999998E-3</v>
      </c>
      <c r="S19" s="129">
        <v>3.1899999999999998E-2</v>
      </c>
      <c r="T19" s="129">
        <v>3.1899999999999998E-2</v>
      </c>
      <c r="U19" s="129">
        <v>1E-3</v>
      </c>
      <c r="V19" s="129">
        <v>3.6799999999999999E-2</v>
      </c>
      <c r="W19" s="130" t="s">
        <v>186</v>
      </c>
      <c r="X19" s="130" t="s">
        <v>168</v>
      </c>
    </row>
    <row r="20" spans="1:24" x14ac:dyDescent="0.25">
      <c r="A20" s="130">
        <v>2104008310</v>
      </c>
      <c r="B20" s="129">
        <v>0.61629999999999996</v>
      </c>
      <c r="C20" s="129">
        <v>2E-3</v>
      </c>
      <c r="D20" s="129">
        <v>7.4000000000000003E-3</v>
      </c>
      <c r="E20" s="129">
        <v>6.1800000000000001E-2</v>
      </c>
      <c r="F20" s="129">
        <v>6.1800000000000001E-2</v>
      </c>
      <c r="G20" s="129">
        <v>2E-3</v>
      </c>
      <c r="H20" s="129">
        <v>0.26960000000000001</v>
      </c>
      <c r="I20" s="129">
        <v>4.1379000000000001</v>
      </c>
      <c r="J20" s="129">
        <v>1.3599999999999999E-2</v>
      </c>
      <c r="K20" s="129">
        <v>4.9599999999999998E-2</v>
      </c>
      <c r="L20" s="129">
        <v>0.41460000000000002</v>
      </c>
      <c r="M20" s="129">
        <v>0.41460000000000002</v>
      </c>
      <c r="N20" s="129">
        <v>1.37E-2</v>
      </c>
      <c r="O20" s="129">
        <v>1.8099000000000001</v>
      </c>
      <c r="P20" s="129">
        <v>4.7542</v>
      </c>
      <c r="Q20" s="129">
        <v>1.5599999999999999E-2</v>
      </c>
      <c r="R20" s="129">
        <v>5.7000000000000002E-2</v>
      </c>
      <c r="S20" s="129">
        <v>0.47639999999999999</v>
      </c>
      <c r="T20" s="129">
        <v>0.47639999999999999</v>
      </c>
      <c r="U20" s="129">
        <v>1.5699999999999999E-2</v>
      </c>
      <c r="V20" s="129">
        <v>2.0794999999999999</v>
      </c>
      <c r="W20" s="130" t="s">
        <v>187</v>
      </c>
      <c r="X20" s="130" t="s">
        <v>168</v>
      </c>
    </row>
    <row r="21" spans="1:24" x14ac:dyDescent="0.25">
      <c r="A21" s="130">
        <v>2104008320</v>
      </c>
      <c r="B21" s="129">
        <v>1.3241000000000001</v>
      </c>
      <c r="C21" s="129">
        <v>2.7000000000000001E-3</v>
      </c>
      <c r="D21" s="129">
        <v>1.72E-2</v>
      </c>
      <c r="E21" s="129">
        <v>8.4900000000000003E-2</v>
      </c>
      <c r="F21" s="129">
        <v>8.4900000000000003E-2</v>
      </c>
      <c r="G21" s="129">
        <v>4.3E-3</v>
      </c>
      <c r="H21" s="129">
        <v>0.1285</v>
      </c>
      <c r="I21" s="129">
        <v>8.8896999999999995</v>
      </c>
      <c r="J21" s="129">
        <v>1.7999999999999999E-2</v>
      </c>
      <c r="K21" s="129">
        <v>0.1157</v>
      </c>
      <c r="L21" s="129">
        <v>0.56979999999999997</v>
      </c>
      <c r="M21" s="129">
        <v>0.56979999999999997</v>
      </c>
      <c r="N21" s="129">
        <v>2.8799999999999999E-2</v>
      </c>
      <c r="O21" s="129">
        <v>0.86280000000000001</v>
      </c>
      <c r="P21" s="129">
        <v>10.213699999999999</v>
      </c>
      <c r="Q21" s="129">
        <v>2.06E-2</v>
      </c>
      <c r="R21" s="129">
        <v>0.13289999999999999</v>
      </c>
      <c r="S21" s="129">
        <v>0.65469999999999995</v>
      </c>
      <c r="T21" s="129">
        <v>0.65469999999999995</v>
      </c>
      <c r="U21" s="129">
        <v>3.3000000000000002E-2</v>
      </c>
      <c r="V21" s="129">
        <v>0.99129999999999996</v>
      </c>
      <c r="W21" s="130" t="s">
        <v>188</v>
      </c>
      <c r="X21" s="130" t="s">
        <v>168</v>
      </c>
    </row>
    <row r="22" spans="1:24" x14ac:dyDescent="0.25">
      <c r="A22" s="130">
        <v>2104008330</v>
      </c>
      <c r="B22" s="129">
        <v>0.79720000000000002</v>
      </c>
      <c r="C22" s="129">
        <v>1.6000000000000001E-3</v>
      </c>
      <c r="D22" s="129">
        <v>1.04E-2</v>
      </c>
      <c r="E22" s="129">
        <v>5.67E-2</v>
      </c>
      <c r="F22" s="129">
        <v>5.67E-2</v>
      </c>
      <c r="G22" s="129">
        <v>2.5999999999999999E-3</v>
      </c>
      <c r="H22" s="129">
        <v>9.6699999999999994E-2</v>
      </c>
      <c r="I22" s="129">
        <v>5.3521999999999998</v>
      </c>
      <c r="J22" s="129">
        <v>1.0800000000000001E-2</v>
      </c>
      <c r="K22" s="129">
        <v>6.9599999999999995E-2</v>
      </c>
      <c r="L22" s="129">
        <v>0.38069999999999998</v>
      </c>
      <c r="M22" s="129">
        <v>0.38069999999999998</v>
      </c>
      <c r="N22" s="129">
        <v>1.7299999999999999E-2</v>
      </c>
      <c r="O22" s="129">
        <v>0.64929999999999999</v>
      </c>
      <c r="P22" s="129">
        <v>6.1494</v>
      </c>
      <c r="Q22" s="129">
        <v>1.24E-2</v>
      </c>
      <c r="R22" s="129">
        <v>0.08</v>
      </c>
      <c r="S22" s="129">
        <v>0.43740000000000001</v>
      </c>
      <c r="T22" s="129">
        <v>0.43740000000000001</v>
      </c>
      <c r="U22" s="129">
        <v>1.9900000000000001E-2</v>
      </c>
      <c r="V22" s="129">
        <v>0.746</v>
      </c>
      <c r="W22" s="130" t="s">
        <v>189</v>
      </c>
      <c r="X22" s="130" t="s">
        <v>168</v>
      </c>
    </row>
    <row r="23" spans="1:24" x14ac:dyDescent="0.25">
      <c r="A23" s="130">
        <v>2104008410</v>
      </c>
      <c r="B23" s="129">
        <v>7.0000000000000001E-3</v>
      </c>
      <c r="C23" s="129">
        <v>1E-4</v>
      </c>
      <c r="D23" s="129">
        <v>2.8E-3</v>
      </c>
      <c r="E23" s="129">
        <v>2.0999999999999999E-3</v>
      </c>
      <c r="F23" s="129">
        <v>2.0999999999999999E-3</v>
      </c>
      <c r="G23" s="129">
        <v>2.0000000000000001E-4</v>
      </c>
      <c r="H23" s="129">
        <v>1.6000000000000001E-3</v>
      </c>
      <c r="I23" s="129">
        <v>4.7100000000000003E-2</v>
      </c>
      <c r="J23" s="129">
        <v>2.9999999999999997E-4</v>
      </c>
      <c r="K23" s="129">
        <v>1.9E-2</v>
      </c>
      <c r="L23" s="129">
        <v>1.4E-2</v>
      </c>
      <c r="M23" s="129">
        <v>1.4E-2</v>
      </c>
      <c r="N23" s="129">
        <v>1.5E-3</v>
      </c>
      <c r="O23" s="129">
        <v>1.09E-2</v>
      </c>
      <c r="P23" s="129">
        <v>5.4100000000000002E-2</v>
      </c>
      <c r="Q23" s="129">
        <v>4.0000000000000002E-4</v>
      </c>
      <c r="R23" s="129">
        <v>2.18E-2</v>
      </c>
      <c r="S23" s="129">
        <v>1.61E-2</v>
      </c>
      <c r="T23" s="129">
        <v>1.61E-2</v>
      </c>
      <c r="U23" s="129">
        <v>1.6999999999999999E-3</v>
      </c>
      <c r="V23" s="129">
        <v>1.2500000000000001E-2</v>
      </c>
      <c r="W23" s="130" t="s">
        <v>190</v>
      </c>
      <c r="X23" s="130" t="s">
        <v>168</v>
      </c>
    </row>
    <row r="24" spans="1:24" x14ac:dyDescent="0.25">
      <c r="A24" s="130">
        <v>2104008420</v>
      </c>
      <c r="B24" s="129">
        <v>2.3699999999999999E-2</v>
      </c>
      <c r="C24" s="129">
        <v>2.0000000000000001E-4</v>
      </c>
      <c r="D24" s="129">
        <v>9.4999999999999998E-3</v>
      </c>
      <c r="E24" s="129">
        <v>7.1000000000000004E-3</v>
      </c>
      <c r="F24" s="129">
        <v>7.1000000000000004E-3</v>
      </c>
      <c r="G24" s="129">
        <v>8.0000000000000004E-4</v>
      </c>
      <c r="H24" s="129">
        <v>5.4999999999999997E-3</v>
      </c>
      <c r="I24" s="129">
        <v>0.159</v>
      </c>
      <c r="J24" s="129">
        <v>1.1999999999999999E-3</v>
      </c>
      <c r="K24" s="129">
        <v>6.4100000000000004E-2</v>
      </c>
      <c r="L24" s="129">
        <v>4.7399999999999998E-2</v>
      </c>
      <c r="M24" s="129">
        <v>4.7399999999999998E-2</v>
      </c>
      <c r="N24" s="129">
        <v>5.1000000000000004E-3</v>
      </c>
      <c r="O24" s="129">
        <v>3.6700000000000003E-2</v>
      </c>
      <c r="P24" s="129">
        <v>0.18260000000000001</v>
      </c>
      <c r="Q24" s="129">
        <v>1.2999999999999999E-3</v>
      </c>
      <c r="R24" s="129">
        <v>7.3599999999999999E-2</v>
      </c>
      <c r="S24" s="129">
        <v>5.4399999999999997E-2</v>
      </c>
      <c r="T24" s="129">
        <v>5.4399999999999997E-2</v>
      </c>
      <c r="U24" s="129">
        <v>5.8999999999999999E-3</v>
      </c>
      <c r="V24" s="129">
        <v>4.2200000000000001E-2</v>
      </c>
      <c r="W24" s="130" t="s">
        <v>191</v>
      </c>
      <c r="X24" s="130" t="s">
        <v>168</v>
      </c>
    </row>
    <row r="25" spans="1:24" x14ac:dyDescent="0.25">
      <c r="A25" s="130">
        <v>2104008610</v>
      </c>
      <c r="B25" s="129">
        <v>0.13539999999999999</v>
      </c>
      <c r="C25" s="129">
        <v>5.0000000000000001E-4</v>
      </c>
      <c r="D25" s="129">
        <v>3.5999999999999999E-3</v>
      </c>
      <c r="E25" s="129">
        <v>2.2100000000000002E-2</v>
      </c>
      <c r="F25" s="129">
        <v>2.2100000000000002E-2</v>
      </c>
      <c r="G25" s="129">
        <v>8.9999999999999998E-4</v>
      </c>
      <c r="H25" s="129">
        <v>0.10150000000000001</v>
      </c>
      <c r="I25" s="129">
        <v>1.4444999999999999</v>
      </c>
      <c r="J25" s="129">
        <v>5.7999999999999996E-3</v>
      </c>
      <c r="K25" s="129">
        <v>3.85E-2</v>
      </c>
      <c r="L25" s="129">
        <v>0.2354</v>
      </c>
      <c r="M25" s="129">
        <v>0.2354</v>
      </c>
      <c r="N25" s="129">
        <v>9.4999999999999998E-3</v>
      </c>
      <c r="O25" s="129">
        <v>1.0827</v>
      </c>
      <c r="P25" s="129">
        <v>1.5799000000000001</v>
      </c>
      <c r="Q25" s="129">
        <v>6.4000000000000003E-3</v>
      </c>
      <c r="R25" s="129">
        <v>4.2099999999999999E-2</v>
      </c>
      <c r="S25" s="129">
        <v>0.25740000000000002</v>
      </c>
      <c r="T25" s="129">
        <v>0.25740000000000002</v>
      </c>
      <c r="U25" s="129">
        <v>1.04E-2</v>
      </c>
      <c r="V25" s="129">
        <v>1.1841999999999999</v>
      </c>
      <c r="W25" s="130" t="s">
        <v>192</v>
      </c>
      <c r="X25" s="130" t="s">
        <v>168</v>
      </c>
    </row>
    <row r="26" spans="1:24" x14ac:dyDescent="0.25">
      <c r="X26" s="130"/>
    </row>
    <row r="27" spans="1:24" x14ac:dyDescent="0.25">
      <c r="B27" s="134">
        <f>SUMIFS(B8:B25,$X8:$X25,$X27)/B7</f>
        <v>0.94110954599631602</v>
      </c>
      <c r="C27" s="134">
        <f t="shared" ref="C27:V27" si="0">SUMIFS(C8:C25,$X8:$X25,$X27)/C7</f>
        <v>0.82962962962962972</v>
      </c>
      <c r="D27" s="134">
        <f t="shared" si="0"/>
        <v>0.30503978779840846</v>
      </c>
      <c r="E27" s="134">
        <f t="shared" si="0"/>
        <v>0.94568886161399202</v>
      </c>
      <c r="F27" s="134">
        <f t="shared" si="0"/>
        <v>0.94568886161399202</v>
      </c>
      <c r="G27" s="134">
        <f t="shared" si="0"/>
        <v>3.639728562615669E-2</v>
      </c>
      <c r="H27" s="134">
        <f t="shared" si="0"/>
        <v>0.97662541740326081</v>
      </c>
      <c r="I27" s="134">
        <f t="shared" si="0"/>
        <v>0.94035391435359572</v>
      </c>
      <c r="J27" s="134">
        <f t="shared" si="0"/>
        <v>0.66044508255563528</v>
      </c>
      <c r="K27" s="134">
        <f t="shared" si="0"/>
        <v>0.16048960352757818</v>
      </c>
      <c r="L27" s="134">
        <f t="shared" si="0"/>
        <v>0.93295918756919782</v>
      </c>
      <c r="M27" s="134">
        <f t="shared" si="0"/>
        <v>0.93295918756919782</v>
      </c>
      <c r="N27" s="134">
        <f t="shared" si="0"/>
        <v>2.124471952058159E-2</v>
      </c>
      <c r="O27" s="134">
        <f t="shared" si="0"/>
        <v>0.97456064222173999</v>
      </c>
      <c r="P27" s="134">
        <f t="shared" si="0"/>
        <v>0.94043663825600254</v>
      </c>
      <c r="Q27" s="134">
        <f t="shared" si="0"/>
        <v>0.67473821989528793</v>
      </c>
      <c r="R27" s="134">
        <f t="shared" si="0"/>
        <v>0.17008371169125994</v>
      </c>
      <c r="S27" s="134">
        <f t="shared" si="0"/>
        <v>0.93429987776721435</v>
      </c>
      <c r="T27" s="134">
        <f t="shared" si="0"/>
        <v>0.93429987776721435</v>
      </c>
      <c r="U27" s="134">
        <f t="shared" si="0"/>
        <v>2.2362254879657852E-2</v>
      </c>
      <c r="V27" s="134">
        <f t="shared" si="0"/>
        <v>0.97476602645512966</v>
      </c>
      <c r="X27" s="130" t="s">
        <v>168</v>
      </c>
    </row>
    <row r="28" spans="1:24" x14ac:dyDescent="0.25">
      <c r="B28" s="134">
        <f>SUMIFS(B8:B25,$X8:$X25,$X28)/B7</f>
        <v>1.3002492144327661E-3</v>
      </c>
      <c r="C28" s="134">
        <f t="shared" ref="C28:V28" si="1">SUMIFS(C8:C25,$X8:$X25,$X28)/C7</f>
        <v>1.4814814814814815E-2</v>
      </c>
      <c r="D28" s="134">
        <f t="shared" si="1"/>
        <v>0.65411140583554384</v>
      </c>
      <c r="E28" s="134">
        <f t="shared" si="1"/>
        <v>1.5035286897821416E-2</v>
      </c>
      <c r="F28" s="134">
        <f t="shared" si="1"/>
        <v>1.5035286897821416E-2</v>
      </c>
      <c r="G28" s="134">
        <f t="shared" si="1"/>
        <v>0.91671807526218396</v>
      </c>
      <c r="H28" s="134">
        <f t="shared" si="1"/>
        <v>7.3659398939304663E-3</v>
      </c>
      <c r="I28" s="134">
        <f t="shared" si="1"/>
        <v>2.5026076374804426E-3</v>
      </c>
      <c r="J28" s="134">
        <f t="shared" si="1"/>
        <v>2.7279253409906671E-2</v>
      </c>
      <c r="K28" s="134">
        <f t="shared" si="1"/>
        <v>0.75508419812217276</v>
      </c>
      <c r="L28" s="134">
        <f t="shared" si="1"/>
        <v>2.691558813423434E-2</v>
      </c>
      <c r="M28" s="134">
        <f t="shared" si="1"/>
        <v>2.691558813423434E-2</v>
      </c>
      <c r="N28" s="134">
        <f t="shared" si="1"/>
        <v>0.94795657726692206</v>
      </c>
      <c r="O28" s="134">
        <f t="shared" si="1"/>
        <v>1.1954870904751573E-2</v>
      </c>
      <c r="P28" s="134">
        <f t="shared" si="1"/>
        <v>2.3608111734413533E-3</v>
      </c>
      <c r="Q28" s="134">
        <f t="shared" si="1"/>
        <v>2.6178010471204192E-2</v>
      </c>
      <c r="R28" s="134">
        <f t="shared" si="1"/>
        <v>0.74833286038592517</v>
      </c>
      <c r="S28" s="134">
        <f t="shared" si="1"/>
        <v>2.5600977862284394E-2</v>
      </c>
      <c r="T28" s="134">
        <f t="shared" si="1"/>
        <v>2.5600977862284394E-2</v>
      </c>
      <c r="U28" s="134">
        <f t="shared" si="1"/>
        <v>0.94565266845625373</v>
      </c>
      <c r="V28" s="134">
        <f t="shared" si="1"/>
        <v>1.149840761219984E-2</v>
      </c>
      <c r="X28" s="130" t="s">
        <v>167</v>
      </c>
    </row>
    <row r="29" spans="1:24" x14ac:dyDescent="0.25">
      <c r="B29" s="134">
        <f>SUMIFS(B8:B25,$X8:$X25,$X29)/B7</f>
        <v>5.7617293314551954E-2</v>
      </c>
      <c r="C29" s="134">
        <f t="shared" ref="C29:V29" si="2">SUMIFS(C8:C25,$X8:$X25,$X29)/C7</f>
        <v>0.15555555555555556</v>
      </c>
      <c r="D29" s="134">
        <f t="shared" si="2"/>
        <v>4.0848806366047749E-2</v>
      </c>
      <c r="E29" s="134">
        <f t="shared" si="2"/>
        <v>3.9889536667689469E-2</v>
      </c>
      <c r="F29" s="134">
        <f t="shared" si="2"/>
        <v>3.9889536667689469E-2</v>
      </c>
      <c r="G29" s="134">
        <f t="shared" si="2"/>
        <v>4.6576187538556447E-2</v>
      </c>
      <c r="H29" s="134">
        <f t="shared" si="2"/>
        <v>1.6008642702808877E-2</v>
      </c>
      <c r="I29" s="134">
        <f t="shared" si="2"/>
        <v>5.4840064901199512E-2</v>
      </c>
      <c r="J29" s="134">
        <f t="shared" si="2"/>
        <v>0.10480976310122038</v>
      </c>
      <c r="K29" s="134">
        <f t="shared" si="2"/>
        <v>2.0830957539818298E-2</v>
      </c>
      <c r="L29" s="134">
        <f t="shared" si="2"/>
        <v>3.5391135036078339E-2</v>
      </c>
      <c r="M29" s="134">
        <f t="shared" si="2"/>
        <v>3.5391135036078339E-2</v>
      </c>
      <c r="N29" s="134">
        <f t="shared" si="2"/>
        <v>2.6476078200216129E-2</v>
      </c>
      <c r="O29" s="134">
        <f t="shared" si="2"/>
        <v>1.2573226296376654E-2</v>
      </c>
      <c r="P29" s="134">
        <f t="shared" si="2"/>
        <v>5.5167588841892733E-2</v>
      </c>
      <c r="Q29" s="134">
        <f t="shared" si="2"/>
        <v>0.10929319371727748</v>
      </c>
      <c r="R29" s="134">
        <f t="shared" si="2"/>
        <v>2.2169409761634506E-2</v>
      </c>
      <c r="S29" s="134">
        <f t="shared" si="2"/>
        <v>3.5888903979356242E-2</v>
      </c>
      <c r="T29" s="134">
        <f t="shared" si="2"/>
        <v>3.5888903979356242E-2</v>
      </c>
      <c r="U29" s="134">
        <f t="shared" si="2"/>
        <v>2.7981254834159877E-2</v>
      </c>
      <c r="V29" s="134">
        <f t="shared" si="2"/>
        <v>1.2914948906820888E-2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2.2961696702787273E-3</v>
      </c>
      <c r="J30" s="134">
        <f t="shared" si="3"/>
        <v>0.20746590093323761</v>
      </c>
      <c r="K30" s="134">
        <f t="shared" si="3"/>
        <v>6.363325350667122E-2</v>
      </c>
      <c r="L30" s="134">
        <f t="shared" si="3"/>
        <v>4.7722673996869391E-3</v>
      </c>
      <c r="M30" s="134">
        <f t="shared" si="3"/>
        <v>4.7722673996869391E-3</v>
      </c>
      <c r="N30" s="134">
        <f t="shared" si="3"/>
        <v>4.3471853816681397E-3</v>
      </c>
      <c r="O30" s="134">
        <f t="shared" si="3"/>
        <v>9.1126057713169877E-4</v>
      </c>
      <c r="P30" s="134">
        <f t="shared" si="3"/>
        <v>2.0253779214638944E-3</v>
      </c>
      <c r="Q30" s="134">
        <f t="shared" si="3"/>
        <v>0.18913612565445026</v>
      </c>
      <c r="R30" s="134">
        <f t="shared" si="3"/>
        <v>5.9378547105561862E-2</v>
      </c>
      <c r="S30" s="134">
        <f t="shared" si="3"/>
        <v>4.2441939426864049E-3</v>
      </c>
      <c r="T30" s="134">
        <f t="shared" si="3"/>
        <v>4.2441939426864049E-3</v>
      </c>
      <c r="U30" s="134">
        <f t="shared" si="3"/>
        <v>4.0265708175986157E-3</v>
      </c>
      <c r="V30" s="134">
        <f t="shared" si="3"/>
        <v>8.2061702584943625E-4</v>
      </c>
      <c r="X30" s="130" t="s">
        <v>165</v>
      </c>
    </row>
    <row r="33" spans="1:24" x14ac:dyDescent="0.25">
      <c r="A33" s="129" t="s">
        <v>197</v>
      </c>
    </row>
    <row r="34" spans="1:24" x14ac:dyDescent="0.25">
      <c r="A34" s="132" t="s">
        <v>206</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3.6916000000000002</v>
      </c>
      <c r="C38" s="129">
        <v>1.35E-2</v>
      </c>
      <c r="D38" s="129">
        <v>0.1885</v>
      </c>
      <c r="E38" s="129">
        <v>0.32590000000000002</v>
      </c>
      <c r="F38" s="129">
        <v>0.32590000000000002</v>
      </c>
      <c r="G38" s="129">
        <v>0.32419999999999999</v>
      </c>
      <c r="H38" s="129">
        <v>1.0182</v>
      </c>
      <c r="I38" s="129">
        <v>27.6112</v>
      </c>
      <c r="J38" s="129">
        <v>0.13930000000000001</v>
      </c>
      <c r="K38" s="129">
        <v>2.6307</v>
      </c>
      <c r="L38" s="129">
        <v>1.4221999999999999</v>
      </c>
      <c r="M38" s="129">
        <v>1.4221999999999999</v>
      </c>
      <c r="N38" s="129">
        <v>4.0628000000000002</v>
      </c>
      <c r="O38" s="129">
        <v>9.218</v>
      </c>
      <c r="P38" s="129">
        <v>31.302800000000001</v>
      </c>
      <c r="Q38" s="129">
        <v>0.15279999999999999</v>
      </c>
      <c r="R38" s="129">
        <v>2.8191999999999999</v>
      </c>
      <c r="S38" s="129">
        <v>1.7482</v>
      </c>
      <c r="T38" s="129">
        <v>1.7482</v>
      </c>
      <c r="U38" s="129">
        <v>4.3868999999999998</v>
      </c>
      <c r="V38" s="129">
        <v>10.2362</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1.12E-2</v>
      </c>
      <c r="E41" s="129">
        <v>2.9999999999999997E-4</v>
      </c>
      <c r="F41" s="129">
        <v>2.9999999999999997E-4</v>
      </c>
      <c r="G41" s="129">
        <v>7.9000000000000008E-3</v>
      </c>
      <c r="H41" s="129">
        <v>4.0000000000000002E-4</v>
      </c>
      <c r="I41" s="129">
        <v>1.67E-2</v>
      </c>
      <c r="J41" s="129">
        <v>8.9999999999999998E-4</v>
      </c>
      <c r="K41" s="129">
        <v>0.67320000000000002</v>
      </c>
      <c r="L41" s="129">
        <v>1.7100000000000001E-2</v>
      </c>
      <c r="M41" s="129">
        <v>1.7100000000000001E-2</v>
      </c>
      <c r="N41" s="129">
        <v>0.47589999999999999</v>
      </c>
      <c r="O41" s="129">
        <v>2.6700000000000002E-2</v>
      </c>
      <c r="P41" s="129">
        <v>1.7000000000000001E-2</v>
      </c>
      <c r="Q41" s="129">
        <v>8.9999999999999998E-4</v>
      </c>
      <c r="R41" s="129">
        <v>0.68440000000000001</v>
      </c>
      <c r="S41" s="129">
        <v>1.7399999999999999E-2</v>
      </c>
      <c r="T41" s="129">
        <v>1.7399999999999999E-2</v>
      </c>
      <c r="U41" s="129">
        <v>0.48380000000000001</v>
      </c>
      <c r="V41" s="129">
        <v>2.7099999999999999E-2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0.21240000000000001</v>
      </c>
      <c r="C44" s="129">
        <v>2.0999999999999999E-3</v>
      </c>
      <c r="D44" s="129">
        <v>7.7000000000000002E-3</v>
      </c>
      <c r="E44" s="129">
        <v>1.2999999999999999E-2</v>
      </c>
      <c r="F44" s="129">
        <v>1.2999999999999999E-2</v>
      </c>
      <c r="G44" s="129">
        <v>1.5100000000000001E-2</v>
      </c>
      <c r="H44" s="129">
        <v>1.6299999999999999E-2</v>
      </c>
      <c r="I44" s="129">
        <v>1.5099</v>
      </c>
      <c r="J44" s="129">
        <v>1.46E-2</v>
      </c>
      <c r="K44" s="129">
        <v>5.4600000000000003E-2</v>
      </c>
      <c r="L44" s="129">
        <v>6.8500000000000005E-2</v>
      </c>
      <c r="M44" s="129">
        <v>6.8500000000000005E-2</v>
      </c>
      <c r="N44" s="129">
        <v>0.1074</v>
      </c>
      <c r="O44" s="129">
        <v>0.11559999999999999</v>
      </c>
      <c r="P44" s="129">
        <v>1.7223999999999999</v>
      </c>
      <c r="Q44" s="129">
        <v>1.67E-2</v>
      </c>
      <c r="R44" s="129">
        <v>6.2300000000000001E-2</v>
      </c>
      <c r="S44" s="129">
        <v>8.1500000000000003E-2</v>
      </c>
      <c r="T44" s="129">
        <v>8.1500000000000003E-2</v>
      </c>
      <c r="U44" s="129">
        <v>0.1226</v>
      </c>
      <c r="V44" s="129">
        <v>0.13189999999999999</v>
      </c>
      <c r="W44" s="130" t="s">
        <v>180</v>
      </c>
      <c r="X44" s="130" t="s">
        <v>166</v>
      </c>
    </row>
    <row r="45" spans="1:24" x14ac:dyDescent="0.25">
      <c r="A45" s="130">
        <v>2104004000</v>
      </c>
      <c r="B45" s="129">
        <v>4.4999999999999997E-3</v>
      </c>
      <c r="C45" s="129">
        <v>2.0000000000000001E-4</v>
      </c>
      <c r="D45" s="129">
        <v>0.11210000000000001</v>
      </c>
      <c r="E45" s="129">
        <v>4.5999999999999999E-3</v>
      </c>
      <c r="F45" s="129">
        <v>4.5999999999999999E-3</v>
      </c>
      <c r="G45" s="129">
        <v>0.2893</v>
      </c>
      <c r="H45" s="129">
        <v>7.1000000000000004E-3</v>
      </c>
      <c r="I45" s="129">
        <v>5.2400000000000002E-2</v>
      </c>
      <c r="J45" s="129">
        <v>2.8999999999999998E-3</v>
      </c>
      <c r="K45" s="129">
        <v>1.3131999999999999</v>
      </c>
      <c r="L45" s="129">
        <v>3.9800000000000002E-2</v>
      </c>
      <c r="M45" s="129">
        <v>3.9800000000000002E-2</v>
      </c>
      <c r="N45" s="129">
        <v>3.3953000000000002</v>
      </c>
      <c r="O45" s="129">
        <v>8.3500000000000005E-2</v>
      </c>
      <c r="P45" s="129">
        <v>5.6899999999999999E-2</v>
      </c>
      <c r="Q45" s="129">
        <v>3.0999999999999999E-3</v>
      </c>
      <c r="R45" s="129">
        <v>1.4253</v>
      </c>
      <c r="S45" s="129">
        <v>4.4400000000000002E-2</v>
      </c>
      <c r="T45" s="129">
        <v>4.4400000000000002E-2</v>
      </c>
      <c r="U45" s="129">
        <v>3.6846000000000001</v>
      </c>
      <c r="V45" s="129">
        <v>9.06E-2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0.40410000000000001</v>
      </c>
      <c r="C47" s="129">
        <v>2.8999999999999998E-3</v>
      </c>
      <c r="D47" s="129">
        <v>4.1999999999999997E-3</v>
      </c>
      <c r="E47" s="129">
        <v>5.5399999999999998E-2</v>
      </c>
      <c r="F47" s="129">
        <v>5.5399999999999998E-2</v>
      </c>
      <c r="G47" s="129">
        <v>5.9999999999999995E-4</v>
      </c>
      <c r="H47" s="129">
        <v>0.3664</v>
      </c>
      <c r="I47" s="129">
        <v>4.8166000000000002</v>
      </c>
      <c r="J47" s="129">
        <v>3.4299999999999997E-2</v>
      </c>
      <c r="K47" s="129">
        <v>4.9599999999999998E-2</v>
      </c>
      <c r="L47" s="129">
        <v>0.34050000000000002</v>
      </c>
      <c r="M47" s="129">
        <v>0.34050000000000002</v>
      </c>
      <c r="N47" s="129">
        <v>5.3E-3</v>
      </c>
      <c r="O47" s="129">
        <v>4.3666</v>
      </c>
      <c r="P47" s="129">
        <v>5.2207999999999997</v>
      </c>
      <c r="Q47" s="129">
        <v>3.7199999999999997E-2</v>
      </c>
      <c r="R47" s="129">
        <v>5.3699999999999998E-2</v>
      </c>
      <c r="S47" s="129">
        <v>0.39589999999999997</v>
      </c>
      <c r="T47" s="129">
        <v>0.39589999999999997</v>
      </c>
      <c r="U47" s="129">
        <v>5.8999999999999999E-3</v>
      </c>
      <c r="V47" s="129">
        <v>4.7329999999999997</v>
      </c>
      <c r="W47" s="130" t="s">
        <v>183</v>
      </c>
      <c r="X47" s="130" t="s">
        <v>168</v>
      </c>
    </row>
    <row r="48" spans="1:24" x14ac:dyDescent="0.25">
      <c r="A48" s="130">
        <v>2104008210</v>
      </c>
      <c r="B48" s="129">
        <v>5.7799999999999997E-2</v>
      </c>
      <c r="C48" s="129">
        <v>4.0000000000000002E-4</v>
      </c>
      <c r="D48" s="129">
        <v>6.9999999999999999E-4</v>
      </c>
      <c r="E48" s="129">
        <v>7.7000000000000002E-3</v>
      </c>
      <c r="F48" s="129">
        <v>7.7000000000000002E-3</v>
      </c>
      <c r="G48" s="129">
        <v>1E-4</v>
      </c>
      <c r="H48" s="129">
        <v>1.3299999999999999E-2</v>
      </c>
      <c r="I48" s="129">
        <v>0.38840000000000002</v>
      </c>
      <c r="J48" s="129">
        <v>2.8999999999999998E-3</v>
      </c>
      <c r="K48" s="129">
        <v>4.7000000000000002E-3</v>
      </c>
      <c r="L48" s="129">
        <v>2.35E-2</v>
      </c>
      <c r="M48" s="129">
        <v>2.35E-2</v>
      </c>
      <c r="N48" s="129">
        <v>4.0000000000000002E-4</v>
      </c>
      <c r="O48" s="129">
        <v>8.9200000000000002E-2</v>
      </c>
      <c r="P48" s="129">
        <v>0.44619999999999999</v>
      </c>
      <c r="Q48" s="129">
        <v>3.3E-3</v>
      </c>
      <c r="R48" s="129">
        <v>5.4000000000000003E-3</v>
      </c>
      <c r="S48" s="129">
        <v>3.1199999999999999E-2</v>
      </c>
      <c r="T48" s="129">
        <v>3.1199999999999999E-2</v>
      </c>
      <c r="U48" s="129">
        <v>5.0000000000000001E-4</v>
      </c>
      <c r="V48" s="129">
        <v>0.10249999999999999</v>
      </c>
      <c r="W48" s="130" t="s">
        <v>184</v>
      </c>
      <c r="X48" s="130" t="s">
        <v>168</v>
      </c>
    </row>
    <row r="49" spans="1:24" x14ac:dyDescent="0.25">
      <c r="A49" s="130">
        <v>2104008220</v>
      </c>
      <c r="B49" s="129">
        <v>7.4300000000000005E-2</v>
      </c>
      <c r="C49" s="129">
        <v>5.0000000000000001E-4</v>
      </c>
      <c r="D49" s="129">
        <v>1.1000000000000001E-3</v>
      </c>
      <c r="E49" s="129">
        <v>6.3E-3</v>
      </c>
      <c r="F49" s="129">
        <v>6.3E-3</v>
      </c>
      <c r="G49" s="129">
        <v>2.0000000000000001E-4</v>
      </c>
      <c r="H49" s="129">
        <v>6.3E-3</v>
      </c>
      <c r="I49" s="129">
        <v>0.49880000000000002</v>
      </c>
      <c r="J49" s="129">
        <v>3.2000000000000002E-3</v>
      </c>
      <c r="K49" s="129">
        <v>7.1000000000000004E-3</v>
      </c>
      <c r="L49" s="129">
        <v>1.1000000000000001E-3</v>
      </c>
      <c r="M49" s="129">
        <v>1.1000000000000001E-3</v>
      </c>
      <c r="N49" s="129">
        <v>1E-4</v>
      </c>
      <c r="O49" s="129">
        <v>4.2500000000000003E-2</v>
      </c>
      <c r="P49" s="129">
        <v>0.57310000000000005</v>
      </c>
      <c r="Q49" s="129">
        <v>3.7000000000000002E-3</v>
      </c>
      <c r="R49" s="129">
        <v>8.0999999999999996E-3</v>
      </c>
      <c r="S49" s="129">
        <v>7.4000000000000003E-3</v>
      </c>
      <c r="T49" s="129">
        <v>7.4000000000000003E-3</v>
      </c>
      <c r="U49" s="129">
        <v>2.9999999999999997E-4</v>
      </c>
      <c r="V49" s="129">
        <v>4.8800000000000003E-2</v>
      </c>
      <c r="W49" s="130" t="s">
        <v>185</v>
      </c>
      <c r="X49" s="130" t="s">
        <v>168</v>
      </c>
    </row>
    <row r="50" spans="1:24" x14ac:dyDescent="0.25">
      <c r="A50" s="130">
        <v>2104008230</v>
      </c>
      <c r="B50" s="129">
        <v>3.4000000000000002E-2</v>
      </c>
      <c r="C50" s="129">
        <v>2.9999999999999997E-4</v>
      </c>
      <c r="D50" s="129">
        <v>5.9999999999999995E-4</v>
      </c>
      <c r="E50" s="129">
        <v>4.1000000000000003E-3</v>
      </c>
      <c r="F50" s="129">
        <v>4.1000000000000003E-3</v>
      </c>
      <c r="G50" s="129">
        <v>1E-4</v>
      </c>
      <c r="H50" s="129">
        <v>4.7999999999999996E-3</v>
      </c>
      <c r="I50" s="129">
        <v>0.22819999999999999</v>
      </c>
      <c r="J50" s="129">
        <v>1.9E-3</v>
      </c>
      <c r="K50" s="129">
        <v>4.3E-3</v>
      </c>
      <c r="L50" s="129">
        <v>6.9999999999999999E-4</v>
      </c>
      <c r="M50" s="129">
        <v>6.9999999999999999E-4</v>
      </c>
      <c r="N50" s="129">
        <v>0</v>
      </c>
      <c r="O50" s="129">
        <v>3.2000000000000001E-2</v>
      </c>
      <c r="P50" s="129">
        <v>0.26219999999999999</v>
      </c>
      <c r="Q50" s="129">
        <v>2.2000000000000001E-3</v>
      </c>
      <c r="R50" s="129">
        <v>4.8999999999999998E-3</v>
      </c>
      <c r="S50" s="129">
        <v>4.7999999999999996E-3</v>
      </c>
      <c r="T50" s="129">
        <v>4.7999999999999996E-3</v>
      </c>
      <c r="U50" s="129">
        <v>1E-4</v>
      </c>
      <c r="V50" s="129">
        <v>3.6799999999999999E-2</v>
      </c>
      <c r="W50" s="130" t="s">
        <v>186</v>
      </c>
      <c r="X50" s="130" t="s">
        <v>168</v>
      </c>
    </row>
    <row r="51" spans="1:24" x14ac:dyDescent="0.25">
      <c r="A51" s="130">
        <v>2104008310</v>
      </c>
      <c r="B51" s="129">
        <v>0.61629999999999996</v>
      </c>
      <c r="C51" s="129">
        <v>2E-3</v>
      </c>
      <c r="D51" s="129">
        <v>7.4000000000000003E-3</v>
      </c>
      <c r="E51" s="129">
        <v>6.1800000000000001E-2</v>
      </c>
      <c r="F51" s="129">
        <v>6.1800000000000001E-2</v>
      </c>
      <c r="G51" s="129">
        <v>2E-3</v>
      </c>
      <c r="H51" s="129">
        <v>0.26960000000000001</v>
      </c>
      <c r="I51" s="129">
        <v>4.1379000000000001</v>
      </c>
      <c r="J51" s="129">
        <v>1.3599999999999999E-2</v>
      </c>
      <c r="K51" s="129">
        <v>4.9599999999999998E-2</v>
      </c>
      <c r="L51" s="129">
        <v>0.222</v>
      </c>
      <c r="M51" s="129">
        <v>0.222</v>
      </c>
      <c r="N51" s="129">
        <v>9.9000000000000008E-3</v>
      </c>
      <c r="O51" s="129">
        <v>1.8099000000000001</v>
      </c>
      <c r="P51" s="129">
        <v>4.7542</v>
      </c>
      <c r="Q51" s="129">
        <v>1.5599999999999999E-2</v>
      </c>
      <c r="R51" s="129">
        <v>5.7000000000000002E-2</v>
      </c>
      <c r="S51" s="129">
        <v>0.28370000000000001</v>
      </c>
      <c r="T51" s="129">
        <v>0.28370000000000001</v>
      </c>
      <c r="U51" s="129">
        <v>1.1900000000000001E-2</v>
      </c>
      <c r="V51" s="129">
        <v>2.0794999999999999</v>
      </c>
      <c r="W51" s="130" t="s">
        <v>187</v>
      </c>
      <c r="X51" s="130" t="s">
        <v>168</v>
      </c>
    </row>
    <row r="52" spans="1:24" x14ac:dyDescent="0.25">
      <c r="A52" s="130">
        <v>2104008320</v>
      </c>
      <c r="B52" s="129">
        <v>1.3241000000000001</v>
      </c>
      <c r="C52" s="129">
        <v>2.7000000000000001E-3</v>
      </c>
      <c r="D52" s="129">
        <v>1.72E-2</v>
      </c>
      <c r="E52" s="129">
        <v>8.4900000000000003E-2</v>
      </c>
      <c r="F52" s="129">
        <v>8.4900000000000003E-2</v>
      </c>
      <c r="G52" s="129">
        <v>4.3E-3</v>
      </c>
      <c r="H52" s="129">
        <v>0.1285</v>
      </c>
      <c r="I52" s="129">
        <v>8.8896999999999995</v>
      </c>
      <c r="J52" s="129">
        <v>1.7999999999999999E-2</v>
      </c>
      <c r="K52" s="129">
        <v>0.1157</v>
      </c>
      <c r="L52" s="129">
        <v>0.32479999999999998</v>
      </c>
      <c r="M52" s="129">
        <v>0.32479999999999998</v>
      </c>
      <c r="N52" s="129">
        <v>2.3800000000000002E-2</v>
      </c>
      <c r="O52" s="129">
        <v>0.86280000000000001</v>
      </c>
      <c r="P52" s="129">
        <v>10.213699999999999</v>
      </c>
      <c r="Q52" s="129">
        <v>2.06E-2</v>
      </c>
      <c r="R52" s="129">
        <v>0.13289999999999999</v>
      </c>
      <c r="S52" s="129">
        <v>0.40970000000000001</v>
      </c>
      <c r="T52" s="129">
        <v>0.40970000000000001</v>
      </c>
      <c r="U52" s="129">
        <v>2.81E-2</v>
      </c>
      <c r="V52" s="129">
        <v>0.99129999999999996</v>
      </c>
      <c r="W52" s="130" t="s">
        <v>188</v>
      </c>
      <c r="X52" s="130" t="s">
        <v>168</v>
      </c>
    </row>
    <row r="53" spans="1:24" x14ac:dyDescent="0.25">
      <c r="A53" s="130">
        <v>2104008330</v>
      </c>
      <c r="B53" s="129">
        <v>0.79720000000000002</v>
      </c>
      <c r="C53" s="129">
        <v>1.6000000000000001E-3</v>
      </c>
      <c r="D53" s="129">
        <v>1.04E-2</v>
      </c>
      <c r="E53" s="129">
        <v>5.67E-2</v>
      </c>
      <c r="F53" s="129">
        <v>5.67E-2</v>
      </c>
      <c r="G53" s="129">
        <v>2.5999999999999999E-3</v>
      </c>
      <c r="H53" s="129">
        <v>9.6699999999999994E-2</v>
      </c>
      <c r="I53" s="129">
        <v>5.3521999999999998</v>
      </c>
      <c r="J53" s="129">
        <v>1.0800000000000001E-2</v>
      </c>
      <c r="K53" s="129">
        <v>6.9599999999999995E-2</v>
      </c>
      <c r="L53" s="129">
        <v>0.217</v>
      </c>
      <c r="M53" s="129">
        <v>0.217</v>
      </c>
      <c r="N53" s="129">
        <v>1.41E-2</v>
      </c>
      <c r="O53" s="129">
        <v>0.64929999999999999</v>
      </c>
      <c r="P53" s="129">
        <v>6.1494</v>
      </c>
      <c r="Q53" s="129">
        <v>1.24E-2</v>
      </c>
      <c r="R53" s="129">
        <v>0.08</v>
      </c>
      <c r="S53" s="129">
        <v>0.2737</v>
      </c>
      <c r="T53" s="129">
        <v>0.2737</v>
      </c>
      <c r="U53" s="129">
        <v>1.66E-2</v>
      </c>
      <c r="V53" s="129">
        <v>0.746</v>
      </c>
      <c r="W53" s="130" t="s">
        <v>189</v>
      </c>
      <c r="X53" s="130" t="s">
        <v>168</v>
      </c>
    </row>
    <row r="54" spans="1:24" x14ac:dyDescent="0.25">
      <c r="A54" s="130">
        <v>2104008410</v>
      </c>
      <c r="B54" s="129">
        <v>7.0000000000000001E-3</v>
      </c>
      <c r="C54" s="129">
        <v>1E-4</v>
      </c>
      <c r="D54" s="129">
        <v>2.8E-3</v>
      </c>
      <c r="E54" s="129">
        <v>2.0999999999999999E-3</v>
      </c>
      <c r="F54" s="129">
        <v>2.0999999999999999E-3</v>
      </c>
      <c r="G54" s="129">
        <v>2.0000000000000001E-4</v>
      </c>
      <c r="H54" s="129">
        <v>1.6000000000000001E-3</v>
      </c>
      <c r="I54" s="129">
        <v>4.7100000000000003E-2</v>
      </c>
      <c r="J54" s="129">
        <v>2.9999999999999997E-4</v>
      </c>
      <c r="K54" s="129">
        <v>1.9E-2</v>
      </c>
      <c r="L54" s="129">
        <v>8.6E-3</v>
      </c>
      <c r="M54" s="129">
        <v>8.6E-3</v>
      </c>
      <c r="N54" s="129">
        <v>1.1999999999999999E-3</v>
      </c>
      <c r="O54" s="129">
        <v>1.09E-2</v>
      </c>
      <c r="P54" s="129">
        <v>5.4100000000000002E-2</v>
      </c>
      <c r="Q54" s="129">
        <v>4.0000000000000002E-4</v>
      </c>
      <c r="R54" s="129">
        <v>2.18E-2</v>
      </c>
      <c r="S54" s="129">
        <v>1.0699999999999999E-2</v>
      </c>
      <c r="T54" s="129">
        <v>1.0699999999999999E-2</v>
      </c>
      <c r="U54" s="129">
        <v>1.5E-3</v>
      </c>
      <c r="V54" s="129">
        <v>1.2500000000000001E-2</v>
      </c>
      <c r="W54" s="130" t="s">
        <v>190</v>
      </c>
      <c r="X54" s="130" t="s">
        <v>168</v>
      </c>
    </row>
    <row r="55" spans="1:24" x14ac:dyDescent="0.25">
      <c r="A55" s="130">
        <v>2104008420</v>
      </c>
      <c r="B55" s="129">
        <v>2.3699999999999999E-2</v>
      </c>
      <c r="C55" s="129">
        <v>2.0000000000000001E-4</v>
      </c>
      <c r="D55" s="129">
        <v>9.4999999999999998E-3</v>
      </c>
      <c r="E55" s="129">
        <v>7.1000000000000004E-3</v>
      </c>
      <c r="F55" s="129">
        <v>7.1000000000000004E-3</v>
      </c>
      <c r="G55" s="129">
        <v>8.0000000000000004E-4</v>
      </c>
      <c r="H55" s="129">
        <v>5.4999999999999997E-3</v>
      </c>
      <c r="I55" s="129">
        <v>0.159</v>
      </c>
      <c r="J55" s="129">
        <v>1.1999999999999999E-3</v>
      </c>
      <c r="K55" s="129">
        <v>6.4100000000000004E-2</v>
      </c>
      <c r="L55" s="129">
        <v>2.7900000000000001E-2</v>
      </c>
      <c r="M55" s="129">
        <v>2.7900000000000001E-2</v>
      </c>
      <c r="N55" s="129">
        <v>4.1000000000000003E-3</v>
      </c>
      <c r="O55" s="129">
        <v>3.6700000000000003E-2</v>
      </c>
      <c r="P55" s="129">
        <v>0.18260000000000001</v>
      </c>
      <c r="Q55" s="129">
        <v>1.2999999999999999E-3</v>
      </c>
      <c r="R55" s="129">
        <v>7.3599999999999999E-2</v>
      </c>
      <c r="S55" s="129">
        <v>3.49E-2</v>
      </c>
      <c r="T55" s="129">
        <v>3.49E-2</v>
      </c>
      <c r="U55" s="129">
        <v>4.7999999999999996E-3</v>
      </c>
      <c r="V55" s="129">
        <v>4.2200000000000001E-2</v>
      </c>
      <c r="W55" s="130" t="s">
        <v>191</v>
      </c>
      <c r="X55" s="130" t="s">
        <v>168</v>
      </c>
    </row>
    <row r="56" spans="1:24" x14ac:dyDescent="0.25">
      <c r="A56" s="130">
        <v>2104008610</v>
      </c>
      <c r="B56" s="129">
        <v>0.13539999999999999</v>
      </c>
      <c r="C56" s="129">
        <v>5.0000000000000001E-4</v>
      </c>
      <c r="D56" s="129">
        <v>3.5999999999999999E-3</v>
      </c>
      <c r="E56" s="129">
        <v>2.2100000000000002E-2</v>
      </c>
      <c r="F56" s="129">
        <v>2.2100000000000002E-2</v>
      </c>
      <c r="G56" s="129">
        <v>8.9999999999999998E-4</v>
      </c>
      <c r="H56" s="129">
        <v>0.10150000000000001</v>
      </c>
      <c r="I56" s="129">
        <v>1.4444999999999999</v>
      </c>
      <c r="J56" s="129">
        <v>5.7999999999999996E-3</v>
      </c>
      <c r="K56" s="129">
        <v>3.85E-2</v>
      </c>
      <c r="L56" s="129">
        <v>0.1179</v>
      </c>
      <c r="M56" s="129">
        <v>0.1179</v>
      </c>
      <c r="N56" s="129">
        <v>7.4000000000000003E-3</v>
      </c>
      <c r="O56" s="129">
        <v>1.0827</v>
      </c>
      <c r="P56" s="129">
        <v>1.5799000000000001</v>
      </c>
      <c r="Q56" s="129">
        <v>6.4000000000000003E-3</v>
      </c>
      <c r="R56" s="129">
        <v>4.2099999999999999E-2</v>
      </c>
      <c r="S56" s="129">
        <v>0.14000000000000001</v>
      </c>
      <c r="T56" s="129">
        <v>0.14000000000000001</v>
      </c>
      <c r="U56" s="129">
        <v>8.3000000000000001E-3</v>
      </c>
      <c r="V56" s="129">
        <v>1.1841999999999999</v>
      </c>
      <c r="W56" s="130" t="s">
        <v>192</v>
      </c>
      <c r="X56" s="130" t="s">
        <v>168</v>
      </c>
    </row>
    <row r="58" spans="1:24" x14ac:dyDescent="0.25">
      <c r="B58" s="134">
        <f>SUMIFS(B39:B56,$X39:$X56,$X58)/B38</f>
        <v>0.94110954599631602</v>
      </c>
      <c r="C58" s="134">
        <f t="shared" ref="C58:V58" si="4">SUMIFS(C39:C56,$X39:$X56,$X58)/C38</f>
        <v>0.82962962962962972</v>
      </c>
      <c r="D58" s="134">
        <f t="shared" si="4"/>
        <v>0.30503978779840846</v>
      </c>
      <c r="E58" s="134">
        <f t="shared" si="4"/>
        <v>0.94568886161399202</v>
      </c>
      <c r="F58" s="134">
        <f t="shared" si="4"/>
        <v>0.94568886161399202</v>
      </c>
      <c r="G58" s="134">
        <f t="shared" si="4"/>
        <v>3.639728562615669E-2</v>
      </c>
      <c r="H58" s="134">
        <f t="shared" si="4"/>
        <v>0.97662541740326081</v>
      </c>
      <c r="I58" s="134">
        <f t="shared" si="4"/>
        <v>0.94035391435359572</v>
      </c>
      <c r="J58" s="134">
        <f t="shared" si="4"/>
        <v>0.66044508255563528</v>
      </c>
      <c r="K58" s="134">
        <f t="shared" si="4"/>
        <v>0.16048960352757818</v>
      </c>
      <c r="L58" s="134">
        <f t="shared" si="4"/>
        <v>0.90303754746167919</v>
      </c>
      <c r="M58" s="134">
        <f t="shared" si="4"/>
        <v>0.90303754746167919</v>
      </c>
      <c r="N58" s="134">
        <f t="shared" si="4"/>
        <v>1.6318794919759773E-2</v>
      </c>
      <c r="O58" s="134">
        <f t="shared" si="4"/>
        <v>0.97456064222173999</v>
      </c>
      <c r="P58" s="134">
        <f t="shared" si="4"/>
        <v>0.94043663825600254</v>
      </c>
      <c r="Q58" s="134">
        <f t="shared" si="4"/>
        <v>0.67473821989528793</v>
      </c>
      <c r="R58" s="134">
        <f t="shared" si="4"/>
        <v>0.17008371169125994</v>
      </c>
      <c r="S58" s="134">
        <f t="shared" si="4"/>
        <v>0.91082256034778619</v>
      </c>
      <c r="T58" s="134">
        <f t="shared" si="4"/>
        <v>0.91082256034778619</v>
      </c>
      <c r="U58" s="134">
        <f t="shared" si="4"/>
        <v>1.77802092593859E-2</v>
      </c>
      <c r="V58" s="134">
        <f t="shared" si="4"/>
        <v>0.97476602645512966</v>
      </c>
      <c r="X58" s="130" t="s">
        <v>168</v>
      </c>
    </row>
    <row r="59" spans="1:24" x14ac:dyDescent="0.25">
      <c r="B59" s="134">
        <f>SUMIFS(B39:B56,$X39:$X56,$X59)/B38</f>
        <v>1.3002492144327661E-3</v>
      </c>
      <c r="C59" s="134">
        <f t="shared" ref="C59:V59" si="5">SUMIFS(C39:C56,$X39:$X56,$X59)/C38</f>
        <v>1.4814814814814815E-2</v>
      </c>
      <c r="D59" s="134">
        <f t="shared" si="5"/>
        <v>0.65411140583554384</v>
      </c>
      <c r="E59" s="134">
        <f t="shared" si="5"/>
        <v>1.5035286897821416E-2</v>
      </c>
      <c r="F59" s="134">
        <f t="shared" si="5"/>
        <v>1.5035286897821416E-2</v>
      </c>
      <c r="G59" s="134">
        <f t="shared" si="5"/>
        <v>0.91671807526218396</v>
      </c>
      <c r="H59" s="134">
        <f t="shared" si="5"/>
        <v>7.3659398939304663E-3</v>
      </c>
      <c r="I59" s="134">
        <f t="shared" si="5"/>
        <v>2.5026076374804426E-3</v>
      </c>
      <c r="J59" s="134">
        <f t="shared" si="5"/>
        <v>2.7279253409906671E-2</v>
      </c>
      <c r="K59" s="134">
        <f t="shared" si="5"/>
        <v>0.75508419812217276</v>
      </c>
      <c r="L59" s="134">
        <f t="shared" si="5"/>
        <v>4.0008437631838006E-2</v>
      </c>
      <c r="M59" s="134">
        <f t="shared" si="5"/>
        <v>4.0008437631838006E-2</v>
      </c>
      <c r="N59" s="134">
        <f t="shared" si="5"/>
        <v>0.95284040563158412</v>
      </c>
      <c r="O59" s="134">
        <f t="shared" si="5"/>
        <v>1.1954870904751573E-2</v>
      </c>
      <c r="P59" s="134">
        <f t="shared" si="5"/>
        <v>2.3608111734413533E-3</v>
      </c>
      <c r="Q59" s="134">
        <f t="shared" si="5"/>
        <v>2.6178010471204192E-2</v>
      </c>
      <c r="R59" s="134">
        <f t="shared" si="5"/>
        <v>0.74833286038592517</v>
      </c>
      <c r="S59" s="134">
        <f t="shared" si="5"/>
        <v>3.5350646379132822E-2</v>
      </c>
      <c r="T59" s="134">
        <f t="shared" si="5"/>
        <v>3.5350646379132822E-2</v>
      </c>
      <c r="U59" s="134">
        <f t="shared" si="5"/>
        <v>0.95019261893364337</v>
      </c>
      <c r="V59" s="134">
        <f t="shared" si="5"/>
        <v>1.149840761219984E-2</v>
      </c>
      <c r="X59" s="130" t="s">
        <v>167</v>
      </c>
    </row>
    <row r="60" spans="1:24" x14ac:dyDescent="0.25">
      <c r="B60" s="134">
        <f>SUMIFS(B39:B56,$X39:$X56,$X60)/B38</f>
        <v>5.7617293314551954E-2</v>
      </c>
      <c r="C60" s="134">
        <f t="shared" ref="C60:V60" si="6">SUMIFS(C39:C56,$X39:$X56,$X60)/C38</f>
        <v>0.15555555555555556</v>
      </c>
      <c r="D60" s="134">
        <f t="shared" si="6"/>
        <v>4.0848806366047749E-2</v>
      </c>
      <c r="E60" s="134">
        <f t="shared" si="6"/>
        <v>3.9889536667689469E-2</v>
      </c>
      <c r="F60" s="134">
        <f t="shared" si="6"/>
        <v>3.9889536667689469E-2</v>
      </c>
      <c r="G60" s="134">
        <f t="shared" si="6"/>
        <v>4.6576187538556447E-2</v>
      </c>
      <c r="H60" s="134">
        <f t="shared" si="6"/>
        <v>1.6008642702808877E-2</v>
      </c>
      <c r="I60" s="134">
        <f t="shared" si="6"/>
        <v>5.4840064901199512E-2</v>
      </c>
      <c r="J60" s="134">
        <f t="shared" si="6"/>
        <v>0.10480976310122038</v>
      </c>
      <c r="K60" s="134">
        <f t="shared" si="6"/>
        <v>2.0830957539818298E-2</v>
      </c>
      <c r="L60" s="134">
        <f t="shared" si="6"/>
        <v>4.8375755871185491E-2</v>
      </c>
      <c r="M60" s="134">
        <f t="shared" si="6"/>
        <v>4.8375755871185491E-2</v>
      </c>
      <c r="N60" s="134">
        <f t="shared" si="6"/>
        <v>2.6508811656985327E-2</v>
      </c>
      <c r="O60" s="134">
        <f t="shared" si="6"/>
        <v>1.2573226296376654E-2</v>
      </c>
      <c r="P60" s="134">
        <f t="shared" si="6"/>
        <v>5.5167588841892733E-2</v>
      </c>
      <c r="Q60" s="134">
        <f t="shared" si="6"/>
        <v>0.10929319371727748</v>
      </c>
      <c r="R60" s="134">
        <f t="shared" si="6"/>
        <v>2.2169409761634506E-2</v>
      </c>
      <c r="S60" s="134">
        <f t="shared" si="6"/>
        <v>4.6790985013156386E-2</v>
      </c>
      <c r="T60" s="134">
        <f t="shared" si="6"/>
        <v>4.6790985013156386E-2</v>
      </c>
      <c r="U60" s="134">
        <f t="shared" si="6"/>
        <v>2.8015227153570858E-2</v>
      </c>
      <c r="V60" s="134">
        <f t="shared" si="6"/>
        <v>1.2914948906820888E-2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2.2961696702787273E-3</v>
      </c>
      <c r="J61" s="134">
        <f t="shared" si="7"/>
        <v>0.20746590093323761</v>
      </c>
      <c r="K61" s="134">
        <f t="shared" si="7"/>
        <v>6.363325350667122E-2</v>
      </c>
      <c r="L61" s="134">
        <f t="shared" si="7"/>
        <v>8.7891998312473636E-3</v>
      </c>
      <c r="M61" s="134">
        <f t="shared" si="7"/>
        <v>8.7891998312473636E-3</v>
      </c>
      <c r="N61" s="134">
        <f t="shared" si="7"/>
        <v>4.3566013586688974E-3</v>
      </c>
      <c r="O61" s="134">
        <f t="shared" si="7"/>
        <v>9.1126057713169877E-4</v>
      </c>
      <c r="P61" s="134">
        <f t="shared" si="7"/>
        <v>2.0253779214638944E-3</v>
      </c>
      <c r="Q61" s="134">
        <f t="shared" si="7"/>
        <v>0.18913612565445026</v>
      </c>
      <c r="R61" s="134">
        <f t="shared" si="7"/>
        <v>5.9378547105561862E-2</v>
      </c>
      <c r="S61" s="134">
        <f t="shared" si="7"/>
        <v>7.1502116462647293E-3</v>
      </c>
      <c r="T61" s="134">
        <f t="shared" si="7"/>
        <v>7.1502116462647293E-3</v>
      </c>
      <c r="U61" s="134">
        <f t="shared" si="7"/>
        <v>4.0347397934760304E-3</v>
      </c>
      <c r="V61" s="134">
        <f t="shared" si="7"/>
        <v>8.2061702584943625E-4</v>
      </c>
      <c r="X61" s="130" t="s">
        <v>165</v>
      </c>
    </row>
    <row r="64" spans="1:24" x14ac:dyDescent="0.25">
      <c r="A64" s="129" t="s">
        <v>198</v>
      </c>
    </row>
    <row r="65" spans="1:24" x14ac:dyDescent="0.25">
      <c r="A65" s="132" t="s">
        <v>207</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3.6916000000000002</v>
      </c>
      <c r="C69" s="129">
        <v>1.35E-2</v>
      </c>
      <c r="D69" s="129">
        <v>0.1885</v>
      </c>
      <c r="E69" s="129">
        <v>0.32590000000000002</v>
      </c>
      <c r="F69" s="129">
        <v>0.32590000000000002</v>
      </c>
      <c r="G69" s="129">
        <v>0.32419999999999999</v>
      </c>
      <c r="H69" s="129">
        <v>1.0182</v>
      </c>
      <c r="I69" s="129">
        <v>27.6112</v>
      </c>
      <c r="J69" s="133">
        <v>0.13930000000000001</v>
      </c>
      <c r="K69" s="133">
        <v>2.6307</v>
      </c>
      <c r="L69" s="129">
        <v>1.1047</v>
      </c>
      <c r="M69" s="166">
        <v>1.1047</v>
      </c>
      <c r="N69" s="133">
        <v>4.1360000000000001</v>
      </c>
      <c r="O69" s="133">
        <v>9.218</v>
      </c>
      <c r="P69" s="129">
        <v>31.302800000000001</v>
      </c>
      <c r="Q69" s="133">
        <v>0.15279999999999999</v>
      </c>
      <c r="R69" s="133">
        <v>2.8191999999999999</v>
      </c>
      <c r="S69" s="129">
        <v>1.4307000000000001</v>
      </c>
      <c r="T69" s="166">
        <v>1.4307000000000001</v>
      </c>
      <c r="U69" s="133">
        <v>4.4600999999999997</v>
      </c>
      <c r="V69" s="133">
        <v>10.2362</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1.12E-2</v>
      </c>
      <c r="E72" s="129">
        <v>2.9999999999999997E-4</v>
      </c>
      <c r="F72" s="129">
        <v>2.9999999999999997E-4</v>
      </c>
      <c r="G72" s="129">
        <v>7.9000000000000008E-3</v>
      </c>
      <c r="H72" s="129">
        <v>4.0000000000000002E-4</v>
      </c>
      <c r="I72" s="129">
        <v>1.67E-2</v>
      </c>
      <c r="J72" s="129">
        <v>8.9999999999999998E-4</v>
      </c>
      <c r="K72" s="129">
        <v>0.67320000000000002</v>
      </c>
      <c r="L72" s="129">
        <v>1.7100000000000001E-2</v>
      </c>
      <c r="M72" s="129">
        <v>1.7100000000000001E-2</v>
      </c>
      <c r="N72" s="129">
        <v>0.47589999999999999</v>
      </c>
      <c r="O72" s="129">
        <v>2.6700000000000002E-2</v>
      </c>
      <c r="P72" s="129">
        <v>1.7000000000000001E-2</v>
      </c>
      <c r="Q72" s="129">
        <v>8.9999999999999998E-4</v>
      </c>
      <c r="R72" s="129">
        <v>0.68440000000000001</v>
      </c>
      <c r="S72" s="129">
        <v>1.7399999999999999E-2</v>
      </c>
      <c r="T72" s="129">
        <v>1.7399999999999999E-2</v>
      </c>
      <c r="U72" s="129">
        <v>0.48380000000000001</v>
      </c>
      <c r="V72" s="129">
        <v>2.7099999999999999E-2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0.21240000000000001</v>
      </c>
      <c r="C75" s="129">
        <v>2.0999999999999999E-3</v>
      </c>
      <c r="D75" s="129">
        <v>7.7000000000000002E-3</v>
      </c>
      <c r="E75" s="129">
        <v>1.2999999999999999E-2</v>
      </c>
      <c r="F75" s="129">
        <v>1.2999999999999999E-2</v>
      </c>
      <c r="G75" s="129">
        <v>1.5100000000000001E-2</v>
      </c>
      <c r="H75" s="129">
        <v>1.6299999999999999E-2</v>
      </c>
      <c r="I75" s="129">
        <v>1.5099</v>
      </c>
      <c r="J75" s="129">
        <v>1.46E-2</v>
      </c>
      <c r="K75" s="129">
        <v>5.4600000000000003E-2</v>
      </c>
      <c r="L75" s="129">
        <v>5.0200000000000002E-2</v>
      </c>
      <c r="M75" s="129">
        <v>5.0200000000000002E-2</v>
      </c>
      <c r="N75" s="129">
        <v>8.3799999999999999E-2</v>
      </c>
      <c r="O75" s="129">
        <v>0.11559999999999999</v>
      </c>
      <c r="P75" s="129">
        <v>1.7223999999999999</v>
      </c>
      <c r="Q75" s="129">
        <v>1.67E-2</v>
      </c>
      <c r="R75" s="129">
        <v>6.2300000000000001E-2</v>
      </c>
      <c r="S75" s="129">
        <v>6.3200000000000006E-2</v>
      </c>
      <c r="T75" s="129">
        <v>6.3200000000000006E-2</v>
      </c>
      <c r="U75" s="129">
        <v>9.8900000000000002E-2</v>
      </c>
      <c r="V75" s="129">
        <v>0.13189999999999999</v>
      </c>
      <c r="W75" s="130" t="s">
        <v>180</v>
      </c>
      <c r="X75" s="130" t="s">
        <v>166</v>
      </c>
    </row>
    <row r="76" spans="1:24" x14ac:dyDescent="0.25">
      <c r="A76" s="130">
        <v>2104004000</v>
      </c>
      <c r="B76" s="129">
        <v>4.4999999999999997E-3</v>
      </c>
      <c r="C76" s="129">
        <v>2.0000000000000001E-4</v>
      </c>
      <c r="D76" s="129">
        <v>0.11210000000000001</v>
      </c>
      <c r="E76" s="129">
        <v>4.5999999999999999E-3</v>
      </c>
      <c r="F76" s="129">
        <v>4.5999999999999999E-3</v>
      </c>
      <c r="G76" s="129">
        <v>0.2893</v>
      </c>
      <c r="H76" s="129">
        <v>7.1000000000000004E-3</v>
      </c>
      <c r="I76" s="129">
        <v>5.2400000000000002E-2</v>
      </c>
      <c r="J76" s="129">
        <v>2.8999999999999998E-3</v>
      </c>
      <c r="K76" s="129">
        <v>1.3131999999999999</v>
      </c>
      <c r="L76" s="129">
        <v>3.9800000000000002E-2</v>
      </c>
      <c r="M76" s="129">
        <v>3.9800000000000002E-2</v>
      </c>
      <c r="N76" s="129">
        <v>3.3953000000000002</v>
      </c>
      <c r="O76" s="129">
        <v>8.3500000000000005E-2</v>
      </c>
      <c r="P76" s="129">
        <v>5.6899999999999999E-2</v>
      </c>
      <c r="Q76" s="129">
        <v>3.0999999999999999E-3</v>
      </c>
      <c r="R76" s="129">
        <v>1.4253</v>
      </c>
      <c r="S76" s="129">
        <v>4.4400000000000002E-2</v>
      </c>
      <c r="T76" s="129">
        <v>4.4400000000000002E-2</v>
      </c>
      <c r="U76" s="129">
        <v>3.6846000000000001</v>
      </c>
      <c r="V76" s="129">
        <v>9.06E-2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0.40410000000000001</v>
      </c>
      <c r="C78" s="129">
        <v>2.8999999999999998E-3</v>
      </c>
      <c r="D78" s="129">
        <v>4.1999999999999997E-3</v>
      </c>
      <c r="E78" s="129">
        <v>5.5399999999999998E-2</v>
      </c>
      <c r="F78" s="129">
        <v>5.5399999999999998E-2</v>
      </c>
      <c r="G78" s="129">
        <v>5.9999999999999995E-4</v>
      </c>
      <c r="H78" s="129">
        <v>0.3664</v>
      </c>
      <c r="I78" s="129">
        <v>4.8166000000000002</v>
      </c>
      <c r="J78" s="129">
        <v>3.4299999999999997E-2</v>
      </c>
      <c r="K78" s="129">
        <v>4.9599999999999998E-2</v>
      </c>
      <c r="L78" s="129">
        <v>0.27339999999999998</v>
      </c>
      <c r="M78" s="129">
        <v>0.27339999999999998</v>
      </c>
      <c r="N78" s="129">
        <v>5.1000000000000004E-3</v>
      </c>
      <c r="O78" s="129">
        <v>4.3666</v>
      </c>
      <c r="P78" s="129">
        <v>5.2207999999999997</v>
      </c>
      <c r="Q78" s="129">
        <v>3.7199999999999997E-2</v>
      </c>
      <c r="R78" s="129">
        <v>5.3699999999999998E-2</v>
      </c>
      <c r="S78" s="129">
        <v>0.32869999999999999</v>
      </c>
      <c r="T78" s="129">
        <v>0.32869999999999999</v>
      </c>
      <c r="U78" s="129">
        <v>5.7000000000000002E-3</v>
      </c>
      <c r="V78" s="129">
        <v>4.7329999999999997</v>
      </c>
      <c r="W78" s="130" t="s">
        <v>183</v>
      </c>
      <c r="X78" s="130" t="s">
        <v>168</v>
      </c>
    </row>
    <row r="79" spans="1:24" x14ac:dyDescent="0.25">
      <c r="A79" s="130">
        <v>2104008210</v>
      </c>
      <c r="B79" s="129">
        <v>5.7799999999999997E-2</v>
      </c>
      <c r="C79" s="129">
        <v>4.0000000000000002E-4</v>
      </c>
      <c r="D79" s="129">
        <v>6.9999999999999999E-4</v>
      </c>
      <c r="E79" s="129">
        <v>7.7000000000000002E-3</v>
      </c>
      <c r="F79" s="129">
        <v>7.7000000000000002E-3</v>
      </c>
      <c r="G79" s="129">
        <v>1E-4</v>
      </c>
      <c r="H79" s="129">
        <v>1.3299999999999999E-2</v>
      </c>
      <c r="I79" s="129">
        <v>0.38840000000000002</v>
      </c>
      <c r="J79" s="129">
        <v>2.8999999999999998E-3</v>
      </c>
      <c r="K79" s="129">
        <v>4.7000000000000002E-3</v>
      </c>
      <c r="L79" s="129">
        <v>1.7500000000000002E-2</v>
      </c>
      <c r="M79" s="129">
        <v>1.7500000000000002E-2</v>
      </c>
      <c r="N79" s="129">
        <v>8.0000000000000004E-4</v>
      </c>
      <c r="O79" s="129">
        <v>8.9200000000000002E-2</v>
      </c>
      <c r="P79" s="129">
        <v>0.44619999999999999</v>
      </c>
      <c r="Q79" s="129">
        <v>3.3E-3</v>
      </c>
      <c r="R79" s="129">
        <v>5.4000000000000003E-3</v>
      </c>
      <c r="S79" s="129">
        <v>2.5100000000000001E-2</v>
      </c>
      <c r="T79" s="129">
        <v>2.5100000000000001E-2</v>
      </c>
      <c r="U79" s="129">
        <v>8.9999999999999998E-4</v>
      </c>
      <c r="V79" s="129">
        <v>0.10249999999999999</v>
      </c>
      <c r="W79" s="130" t="s">
        <v>184</v>
      </c>
      <c r="X79" s="130" t="s">
        <v>168</v>
      </c>
    </row>
    <row r="80" spans="1:24" x14ac:dyDescent="0.25">
      <c r="A80" s="130">
        <v>2104008220</v>
      </c>
      <c r="B80" s="129">
        <v>7.4300000000000005E-2</v>
      </c>
      <c r="C80" s="129">
        <v>5.0000000000000001E-4</v>
      </c>
      <c r="D80" s="129">
        <v>1.1000000000000001E-3</v>
      </c>
      <c r="E80" s="129">
        <v>6.3E-3</v>
      </c>
      <c r="F80" s="129">
        <v>6.3E-3</v>
      </c>
      <c r="G80" s="129">
        <v>2.0000000000000001E-4</v>
      </c>
      <c r="H80" s="129">
        <v>6.3E-3</v>
      </c>
      <c r="I80" s="129">
        <v>0.49880000000000002</v>
      </c>
      <c r="J80" s="129">
        <v>3.2000000000000002E-3</v>
      </c>
      <c r="K80" s="129">
        <v>7.1000000000000004E-3</v>
      </c>
      <c r="L80" s="129">
        <v>8.0000000000000004E-4</v>
      </c>
      <c r="M80" s="129">
        <v>8.0000000000000004E-4</v>
      </c>
      <c r="N80" s="129">
        <v>2.0000000000000001E-4</v>
      </c>
      <c r="O80" s="129">
        <v>4.2500000000000003E-2</v>
      </c>
      <c r="P80" s="129">
        <v>0.57310000000000005</v>
      </c>
      <c r="Q80" s="129">
        <v>3.7000000000000002E-3</v>
      </c>
      <c r="R80" s="129">
        <v>8.0999999999999996E-3</v>
      </c>
      <c r="S80" s="129">
        <v>7.1000000000000004E-3</v>
      </c>
      <c r="T80" s="129">
        <v>7.1000000000000004E-3</v>
      </c>
      <c r="U80" s="129">
        <v>4.0000000000000002E-4</v>
      </c>
      <c r="V80" s="129">
        <v>4.8800000000000003E-2</v>
      </c>
      <c r="W80" s="130" t="s">
        <v>185</v>
      </c>
      <c r="X80" s="130" t="s">
        <v>168</v>
      </c>
    </row>
    <row r="81" spans="1:24" x14ac:dyDescent="0.25">
      <c r="A81" s="130">
        <v>2104008230</v>
      </c>
      <c r="B81" s="129">
        <v>3.4000000000000002E-2</v>
      </c>
      <c r="C81" s="129">
        <v>2.9999999999999997E-4</v>
      </c>
      <c r="D81" s="129">
        <v>5.9999999999999995E-4</v>
      </c>
      <c r="E81" s="129">
        <v>4.1000000000000003E-3</v>
      </c>
      <c r="F81" s="129">
        <v>4.1000000000000003E-3</v>
      </c>
      <c r="G81" s="129">
        <v>1E-4</v>
      </c>
      <c r="H81" s="129">
        <v>4.7999999999999996E-3</v>
      </c>
      <c r="I81" s="129">
        <v>0.22819999999999999</v>
      </c>
      <c r="J81" s="129">
        <v>1.9E-3</v>
      </c>
      <c r="K81" s="129">
        <v>4.3E-3</v>
      </c>
      <c r="L81" s="129">
        <v>5.0000000000000001E-4</v>
      </c>
      <c r="M81" s="129">
        <v>5.0000000000000001E-4</v>
      </c>
      <c r="N81" s="129">
        <v>0</v>
      </c>
      <c r="O81" s="129">
        <v>3.2000000000000001E-2</v>
      </c>
      <c r="P81" s="129">
        <v>0.26219999999999999</v>
      </c>
      <c r="Q81" s="129">
        <v>2.2000000000000001E-3</v>
      </c>
      <c r="R81" s="129">
        <v>4.8999999999999998E-3</v>
      </c>
      <c r="S81" s="129">
        <v>4.7000000000000002E-3</v>
      </c>
      <c r="T81" s="129">
        <v>4.7000000000000002E-3</v>
      </c>
      <c r="U81" s="129">
        <v>1E-4</v>
      </c>
      <c r="V81" s="129">
        <v>3.6799999999999999E-2</v>
      </c>
      <c r="W81" s="130" t="s">
        <v>186</v>
      </c>
      <c r="X81" s="130" t="s">
        <v>168</v>
      </c>
    </row>
    <row r="82" spans="1:24" x14ac:dyDescent="0.25">
      <c r="A82" s="130">
        <v>2104008310</v>
      </c>
      <c r="B82" s="129">
        <v>0.61629999999999996</v>
      </c>
      <c r="C82" s="129">
        <v>2E-3</v>
      </c>
      <c r="D82" s="129">
        <v>7.4000000000000003E-3</v>
      </c>
      <c r="E82" s="129">
        <v>6.1800000000000001E-2</v>
      </c>
      <c r="F82" s="129">
        <v>6.1800000000000001E-2</v>
      </c>
      <c r="G82" s="129">
        <v>2E-3</v>
      </c>
      <c r="H82" s="129">
        <v>0.26960000000000001</v>
      </c>
      <c r="I82" s="129">
        <v>4.1379000000000001</v>
      </c>
      <c r="J82" s="129">
        <v>1.3599999999999999E-2</v>
      </c>
      <c r="K82" s="129">
        <v>4.9599999999999998E-2</v>
      </c>
      <c r="L82" s="129">
        <v>0.16500000000000001</v>
      </c>
      <c r="M82" s="129">
        <v>0.16500000000000001</v>
      </c>
      <c r="N82" s="129">
        <v>2.3099999999999999E-2</v>
      </c>
      <c r="O82" s="129">
        <v>1.8099000000000001</v>
      </c>
      <c r="P82" s="129">
        <v>4.7542</v>
      </c>
      <c r="Q82" s="129">
        <v>1.5599999999999999E-2</v>
      </c>
      <c r="R82" s="129">
        <v>5.7000000000000002E-2</v>
      </c>
      <c r="S82" s="129">
        <v>0.22670000000000001</v>
      </c>
      <c r="T82" s="129">
        <v>0.22670000000000001</v>
      </c>
      <c r="U82" s="129">
        <v>2.5100000000000001E-2</v>
      </c>
      <c r="V82" s="129">
        <v>2.0794999999999999</v>
      </c>
      <c r="W82" s="130" t="s">
        <v>187</v>
      </c>
      <c r="X82" s="130" t="s">
        <v>168</v>
      </c>
    </row>
    <row r="83" spans="1:24" x14ac:dyDescent="0.25">
      <c r="A83" s="130">
        <v>2104008320</v>
      </c>
      <c r="B83" s="129">
        <v>1.3241000000000001</v>
      </c>
      <c r="C83" s="129">
        <v>2.7000000000000001E-3</v>
      </c>
      <c r="D83" s="129">
        <v>1.72E-2</v>
      </c>
      <c r="E83" s="129">
        <v>8.4900000000000003E-2</v>
      </c>
      <c r="F83" s="129">
        <v>8.4900000000000003E-2</v>
      </c>
      <c r="G83" s="129">
        <v>4.3E-3</v>
      </c>
      <c r="H83" s="129">
        <v>0.1285</v>
      </c>
      <c r="I83" s="129">
        <v>8.8896999999999995</v>
      </c>
      <c r="J83" s="129">
        <v>1.7999999999999999E-2</v>
      </c>
      <c r="K83" s="129">
        <v>0.1157</v>
      </c>
      <c r="L83" s="129">
        <v>0.24709999999999999</v>
      </c>
      <c r="M83" s="129">
        <v>0.24709999999999999</v>
      </c>
      <c r="N83" s="129">
        <v>6.2899999999999998E-2</v>
      </c>
      <c r="O83" s="129">
        <v>0.86280000000000001</v>
      </c>
      <c r="P83" s="129">
        <v>10.213699999999999</v>
      </c>
      <c r="Q83" s="129">
        <v>2.06E-2</v>
      </c>
      <c r="R83" s="129">
        <v>0.13289999999999999</v>
      </c>
      <c r="S83" s="129">
        <v>0.33200000000000002</v>
      </c>
      <c r="T83" s="129">
        <v>0.33200000000000002</v>
      </c>
      <c r="U83" s="129">
        <v>6.7100000000000007E-2</v>
      </c>
      <c r="V83" s="129">
        <v>0.99129999999999996</v>
      </c>
      <c r="W83" s="130" t="s">
        <v>188</v>
      </c>
      <c r="X83" s="130" t="s">
        <v>168</v>
      </c>
    </row>
    <row r="84" spans="1:24" x14ac:dyDescent="0.25">
      <c r="A84" s="130">
        <v>2104008330</v>
      </c>
      <c r="B84" s="129">
        <v>0.79720000000000002</v>
      </c>
      <c r="C84" s="129">
        <v>1.6000000000000001E-3</v>
      </c>
      <c r="D84" s="129">
        <v>1.04E-2</v>
      </c>
      <c r="E84" s="129">
        <v>5.67E-2</v>
      </c>
      <c r="F84" s="129">
        <v>5.67E-2</v>
      </c>
      <c r="G84" s="129">
        <v>2.5999999999999999E-3</v>
      </c>
      <c r="H84" s="129">
        <v>9.6699999999999994E-2</v>
      </c>
      <c r="I84" s="129">
        <v>5.3521999999999998</v>
      </c>
      <c r="J84" s="129">
        <v>1.0800000000000001E-2</v>
      </c>
      <c r="K84" s="129">
        <v>6.9599999999999995E-2</v>
      </c>
      <c r="L84" s="129">
        <v>0.1651</v>
      </c>
      <c r="M84" s="129">
        <v>0.1651</v>
      </c>
      <c r="N84" s="129">
        <v>3.8699999999999998E-2</v>
      </c>
      <c r="O84" s="129">
        <v>0.64929999999999999</v>
      </c>
      <c r="P84" s="129">
        <v>6.1494</v>
      </c>
      <c r="Q84" s="129">
        <v>1.24E-2</v>
      </c>
      <c r="R84" s="129">
        <v>0.08</v>
      </c>
      <c r="S84" s="129">
        <v>0.2218</v>
      </c>
      <c r="T84" s="129">
        <v>0.2218</v>
      </c>
      <c r="U84" s="129">
        <v>4.1300000000000003E-2</v>
      </c>
      <c r="V84" s="129">
        <v>0.746</v>
      </c>
      <c r="W84" s="130" t="s">
        <v>189</v>
      </c>
      <c r="X84" s="130" t="s">
        <v>168</v>
      </c>
    </row>
    <row r="85" spans="1:24" x14ac:dyDescent="0.25">
      <c r="A85" s="130">
        <v>2104008410</v>
      </c>
      <c r="B85" s="129">
        <v>7.0000000000000001E-3</v>
      </c>
      <c r="C85" s="129">
        <v>1E-4</v>
      </c>
      <c r="D85" s="129">
        <v>2.8E-3</v>
      </c>
      <c r="E85" s="129">
        <v>2.0999999999999999E-3</v>
      </c>
      <c r="F85" s="129">
        <v>2.0999999999999999E-3</v>
      </c>
      <c r="G85" s="129">
        <v>2.0000000000000001E-4</v>
      </c>
      <c r="H85" s="129">
        <v>1.6000000000000001E-3</v>
      </c>
      <c r="I85" s="129">
        <v>4.7100000000000003E-2</v>
      </c>
      <c r="J85" s="129">
        <v>2.9999999999999997E-4</v>
      </c>
      <c r="K85" s="129">
        <v>1.9E-2</v>
      </c>
      <c r="L85" s="129">
        <v>6.4000000000000003E-3</v>
      </c>
      <c r="M85" s="129">
        <v>6.4000000000000003E-3</v>
      </c>
      <c r="N85" s="129">
        <v>3.3999999999999998E-3</v>
      </c>
      <c r="O85" s="129">
        <v>1.09E-2</v>
      </c>
      <c r="P85" s="129">
        <v>5.4100000000000002E-2</v>
      </c>
      <c r="Q85" s="129">
        <v>4.0000000000000002E-4</v>
      </c>
      <c r="R85" s="129">
        <v>2.18E-2</v>
      </c>
      <c r="S85" s="129">
        <v>8.5000000000000006E-3</v>
      </c>
      <c r="T85" s="129">
        <v>8.5000000000000006E-3</v>
      </c>
      <c r="U85" s="129">
        <v>3.5999999999999999E-3</v>
      </c>
      <c r="V85" s="129">
        <v>1.2500000000000001E-2</v>
      </c>
      <c r="W85" s="130" t="s">
        <v>190</v>
      </c>
      <c r="X85" s="130" t="s">
        <v>168</v>
      </c>
    </row>
    <row r="86" spans="1:24" x14ac:dyDescent="0.25">
      <c r="A86" s="130">
        <v>2104008420</v>
      </c>
      <c r="B86" s="129">
        <v>2.3699999999999999E-2</v>
      </c>
      <c r="C86" s="129">
        <v>2.0000000000000001E-4</v>
      </c>
      <c r="D86" s="129">
        <v>9.4999999999999998E-3</v>
      </c>
      <c r="E86" s="129">
        <v>7.1000000000000004E-3</v>
      </c>
      <c r="F86" s="129">
        <v>7.1000000000000004E-3</v>
      </c>
      <c r="G86" s="129">
        <v>8.0000000000000004E-4</v>
      </c>
      <c r="H86" s="129">
        <v>5.4999999999999997E-3</v>
      </c>
      <c r="I86" s="129">
        <v>0.159</v>
      </c>
      <c r="J86" s="129">
        <v>1.1999999999999999E-3</v>
      </c>
      <c r="K86" s="129">
        <v>6.4100000000000004E-2</v>
      </c>
      <c r="L86" s="129">
        <v>2.0799999999999999E-2</v>
      </c>
      <c r="M86" s="129">
        <v>2.0799999999999999E-2</v>
      </c>
      <c r="N86" s="129">
        <v>1.4200000000000001E-2</v>
      </c>
      <c r="O86" s="129">
        <v>3.6700000000000003E-2</v>
      </c>
      <c r="P86" s="129">
        <v>0.18260000000000001</v>
      </c>
      <c r="Q86" s="129">
        <v>1.2999999999999999E-3</v>
      </c>
      <c r="R86" s="129">
        <v>7.3599999999999999E-2</v>
      </c>
      <c r="S86" s="129">
        <v>2.7900000000000001E-2</v>
      </c>
      <c r="T86" s="129">
        <v>2.7900000000000001E-2</v>
      </c>
      <c r="U86" s="129">
        <v>1.4999999999999999E-2</v>
      </c>
      <c r="V86" s="129">
        <v>4.2200000000000001E-2</v>
      </c>
      <c r="W86" s="130" t="s">
        <v>191</v>
      </c>
      <c r="X86" s="130" t="s">
        <v>168</v>
      </c>
    </row>
    <row r="87" spans="1:24" x14ac:dyDescent="0.25">
      <c r="A87" s="130">
        <v>2104008610</v>
      </c>
      <c r="B87" s="129">
        <v>0.13539999999999999</v>
      </c>
      <c r="C87" s="129">
        <v>5.0000000000000001E-4</v>
      </c>
      <c r="D87" s="129">
        <v>3.5999999999999999E-3</v>
      </c>
      <c r="E87" s="129">
        <v>2.2100000000000002E-2</v>
      </c>
      <c r="F87" s="129">
        <v>2.2100000000000002E-2</v>
      </c>
      <c r="G87" s="129">
        <v>8.9999999999999998E-4</v>
      </c>
      <c r="H87" s="129">
        <v>0.10150000000000001</v>
      </c>
      <c r="I87" s="129">
        <v>1.4444999999999999</v>
      </c>
      <c r="J87" s="129">
        <v>5.7999999999999996E-3</v>
      </c>
      <c r="K87" s="129">
        <v>3.85E-2</v>
      </c>
      <c r="L87" s="129">
        <v>8.8099999999999998E-2</v>
      </c>
      <c r="M87" s="129">
        <v>8.8099999999999998E-2</v>
      </c>
      <c r="N87" s="129">
        <v>1.4800000000000001E-2</v>
      </c>
      <c r="O87" s="129">
        <v>1.0827</v>
      </c>
      <c r="P87" s="129">
        <v>1.5799000000000001</v>
      </c>
      <c r="Q87" s="129">
        <v>6.4000000000000003E-3</v>
      </c>
      <c r="R87" s="129">
        <v>4.2099999999999999E-2</v>
      </c>
      <c r="S87" s="129">
        <v>0.11020000000000001</v>
      </c>
      <c r="T87" s="129">
        <v>0.11020000000000001</v>
      </c>
      <c r="U87" s="129">
        <v>1.5699999999999999E-2</v>
      </c>
      <c r="V87" s="129">
        <v>1.1841999999999999</v>
      </c>
      <c r="W87" s="130" t="s">
        <v>192</v>
      </c>
      <c r="X87" s="130" t="s">
        <v>168</v>
      </c>
    </row>
    <row r="89" spans="1:24" x14ac:dyDescent="0.25">
      <c r="B89" s="135">
        <f>SUMIFS(B70:B87,$X70:$X87,$X89)/B69</f>
        <v>0.94110954599631602</v>
      </c>
      <c r="C89" s="135">
        <f t="shared" ref="C89:V89" si="8">SUMIFS(C70:C87,$X70:$X87,$X89)/C69</f>
        <v>0.82962962962962972</v>
      </c>
      <c r="D89" s="135">
        <f t="shared" si="8"/>
        <v>0.30503978779840846</v>
      </c>
      <c r="E89" s="135">
        <f t="shared" si="8"/>
        <v>0.94568886161399202</v>
      </c>
      <c r="F89" s="135">
        <f t="shared" si="8"/>
        <v>0.94568886161399202</v>
      </c>
      <c r="G89" s="135">
        <f t="shared" si="8"/>
        <v>3.639728562615669E-2</v>
      </c>
      <c r="H89" s="135">
        <f t="shared" si="8"/>
        <v>0.97662541740326081</v>
      </c>
      <c r="I89" s="135">
        <f t="shared" si="8"/>
        <v>0.94035391435359572</v>
      </c>
      <c r="J89" s="136">
        <f t="shared" si="8"/>
        <v>0.66044508255563528</v>
      </c>
      <c r="K89" s="136">
        <f t="shared" si="8"/>
        <v>0.16048960352757818</v>
      </c>
      <c r="L89" s="135">
        <f t="shared" si="8"/>
        <v>0.89164479044084366</v>
      </c>
      <c r="M89" s="136">
        <f t="shared" si="8"/>
        <v>0.89164479044084366</v>
      </c>
      <c r="N89" s="136">
        <f t="shared" si="8"/>
        <v>3.9458413926499028E-2</v>
      </c>
      <c r="O89" s="136">
        <f t="shared" si="8"/>
        <v>0.97456064222173999</v>
      </c>
      <c r="P89" s="135">
        <f t="shared" si="8"/>
        <v>0.94043663825600254</v>
      </c>
      <c r="Q89" s="136">
        <f t="shared" si="8"/>
        <v>0.67473821989528793</v>
      </c>
      <c r="R89" s="136">
        <f t="shared" si="8"/>
        <v>0.17008371169125994</v>
      </c>
      <c r="S89" s="135">
        <f t="shared" si="8"/>
        <v>0.90375340742293986</v>
      </c>
      <c r="T89" s="136">
        <f t="shared" si="8"/>
        <v>0.90375340742293986</v>
      </c>
      <c r="U89" s="136">
        <f t="shared" si="8"/>
        <v>3.921436739086568E-2</v>
      </c>
      <c r="V89" s="136">
        <f t="shared" si="8"/>
        <v>0.97476602645512966</v>
      </c>
      <c r="X89" s="130" t="s">
        <v>168</v>
      </c>
    </row>
    <row r="90" spans="1:24" x14ac:dyDescent="0.25">
      <c r="B90" s="135">
        <f>SUMIFS(B70:B87,$X70:$X87,$X90)/B69</f>
        <v>1.3002492144327661E-3</v>
      </c>
      <c r="C90" s="135">
        <f t="shared" ref="C90:V90" si="9">SUMIFS(C70:C87,$X70:$X87,$X90)/C69</f>
        <v>1.4814814814814815E-2</v>
      </c>
      <c r="D90" s="135">
        <f t="shared" si="9"/>
        <v>0.65411140583554384</v>
      </c>
      <c r="E90" s="135">
        <f t="shared" si="9"/>
        <v>1.5035286897821416E-2</v>
      </c>
      <c r="F90" s="135">
        <f t="shared" si="9"/>
        <v>1.5035286897821416E-2</v>
      </c>
      <c r="G90" s="135">
        <f t="shared" si="9"/>
        <v>0.91671807526218396</v>
      </c>
      <c r="H90" s="135">
        <f t="shared" si="9"/>
        <v>7.3659398939304663E-3</v>
      </c>
      <c r="I90" s="135">
        <f t="shared" si="9"/>
        <v>2.5026076374804426E-3</v>
      </c>
      <c r="J90" s="136">
        <f t="shared" si="9"/>
        <v>2.7279253409906671E-2</v>
      </c>
      <c r="K90" s="136">
        <f t="shared" si="9"/>
        <v>0.75508419812217276</v>
      </c>
      <c r="L90" s="135">
        <f t="shared" si="9"/>
        <v>5.1507196523943158E-2</v>
      </c>
      <c r="M90" s="136">
        <f t="shared" si="9"/>
        <v>5.1507196523943158E-2</v>
      </c>
      <c r="N90" s="136">
        <f t="shared" si="9"/>
        <v>0.93597678916827853</v>
      </c>
      <c r="O90" s="136">
        <f t="shared" si="9"/>
        <v>1.1954870904751573E-2</v>
      </c>
      <c r="P90" s="135">
        <f t="shared" si="9"/>
        <v>2.3608111734413533E-3</v>
      </c>
      <c r="Q90" s="136">
        <f t="shared" si="9"/>
        <v>2.6178010471204192E-2</v>
      </c>
      <c r="R90" s="136">
        <f t="shared" si="9"/>
        <v>0.74833286038592517</v>
      </c>
      <c r="S90" s="135">
        <f t="shared" si="9"/>
        <v>4.3195638498637029E-2</v>
      </c>
      <c r="T90" s="136">
        <f t="shared" si="9"/>
        <v>4.3195638498637029E-2</v>
      </c>
      <c r="U90" s="136">
        <f t="shared" si="9"/>
        <v>0.93459787897132363</v>
      </c>
      <c r="V90" s="136">
        <f t="shared" si="9"/>
        <v>1.149840761219984E-2</v>
      </c>
      <c r="X90" s="130" t="s">
        <v>167</v>
      </c>
    </row>
    <row r="91" spans="1:24" x14ac:dyDescent="0.25">
      <c r="B91" s="135">
        <f>SUMIFS(B70:B87,$X70:$X87,$X91)/B69</f>
        <v>5.7617293314551954E-2</v>
      </c>
      <c r="C91" s="135">
        <f t="shared" ref="C91:V91" si="10">SUMIFS(C70:C87,$X70:$X87,$X91)/C69</f>
        <v>0.15555555555555556</v>
      </c>
      <c r="D91" s="135">
        <f t="shared" si="10"/>
        <v>4.0848806366047749E-2</v>
      </c>
      <c r="E91" s="135">
        <f t="shared" si="10"/>
        <v>3.9889536667689469E-2</v>
      </c>
      <c r="F91" s="135">
        <f t="shared" si="10"/>
        <v>3.9889536667689469E-2</v>
      </c>
      <c r="G91" s="135">
        <f t="shared" si="10"/>
        <v>4.6576187538556447E-2</v>
      </c>
      <c r="H91" s="135">
        <f t="shared" si="10"/>
        <v>1.6008642702808877E-2</v>
      </c>
      <c r="I91" s="135">
        <f t="shared" si="10"/>
        <v>5.4840064901199512E-2</v>
      </c>
      <c r="J91" s="136">
        <f t="shared" si="10"/>
        <v>0.10480976310122038</v>
      </c>
      <c r="K91" s="136">
        <f t="shared" si="10"/>
        <v>2.0830957539818298E-2</v>
      </c>
      <c r="L91" s="135">
        <f t="shared" si="10"/>
        <v>4.5713768443921429E-2</v>
      </c>
      <c r="M91" s="136">
        <f t="shared" si="10"/>
        <v>4.5713768443921429E-2</v>
      </c>
      <c r="N91" s="136">
        <f t="shared" si="10"/>
        <v>2.0333655705996129E-2</v>
      </c>
      <c r="O91" s="136">
        <f t="shared" si="10"/>
        <v>1.2573226296376654E-2</v>
      </c>
      <c r="P91" s="135">
        <f t="shared" si="10"/>
        <v>5.5167588841892733E-2</v>
      </c>
      <c r="Q91" s="136">
        <f t="shared" si="10"/>
        <v>0.10929319371727748</v>
      </c>
      <c r="R91" s="136">
        <f t="shared" si="10"/>
        <v>2.2169409761634506E-2</v>
      </c>
      <c r="S91" s="135">
        <f t="shared" si="10"/>
        <v>4.4383868036625425E-2</v>
      </c>
      <c r="T91" s="136">
        <f t="shared" si="10"/>
        <v>4.4383868036625425E-2</v>
      </c>
      <c r="U91" s="136">
        <f t="shared" si="10"/>
        <v>2.2241653774579047E-2</v>
      </c>
      <c r="V91" s="136">
        <f t="shared" si="10"/>
        <v>1.2914948906820888E-2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2.2961696702787273E-3</v>
      </c>
      <c r="J92" s="136">
        <f t="shared" si="11"/>
        <v>0.20746590093323761</v>
      </c>
      <c r="K92" s="136">
        <f t="shared" si="11"/>
        <v>6.363325350667122E-2</v>
      </c>
      <c r="L92" s="135">
        <f t="shared" si="11"/>
        <v>1.1315289218792431E-2</v>
      </c>
      <c r="M92" s="136">
        <f t="shared" si="11"/>
        <v>1.1315289218792431E-2</v>
      </c>
      <c r="N92" s="136">
        <f t="shared" si="11"/>
        <v>4.2794970986460342E-3</v>
      </c>
      <c r="O92" s="136">
        <f t="shared" si="11"/>
        <v>9.1126057713169877E-4</v>
      </c>
      <c r="P92" s="135">
        <f t="shared" si="11"/>
        <v>2.0253779214638944E-3</v>
      </c>
      <c r="Q92" s="136">
        <f t="shared" si="11"/>
        <v>0.18913612565445026</v>
      </c>
      <c r="R92" s="136">
        <f t="shared" si="11"/>
        <v>5.9378547105561862E-2</v>
      </c>
      <c r="S92" s="135">
        <f t="shared" si="11"/>
        <v>8.7369818969735089E-3</v>
      </c>
      <c r="T92" s="136">
        <f t="shared" si="11"/>
        <v>8.7369818969735089E-3</v>
      </c>
      <c r="U92" s="136">
        <f t="shared" si="11"/>
        <v>3.9685208851819465E-3</v>
      </c>
      <c r="V92" s="136">
        <f t="shared" si="11"/>
        <v>8.2061702584943625E-4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F4E04-DB23-4DB7-A7F3-4334E7770919}">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208</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3.7370999999999999</v>
      </c>
      <c r="C7" s="129">
        <v>1.3599999999999999E-2</v>
      </c>
      <c r="D7" s="129">
        <v>0.19</v>
      </c>
      <c r="E7" s="129">
        <v>0.32990000000000003</v>
      </c>
      <c r="F7" s="129">
        <v>0.32990000000000003</v>
      </c>
      <c r="G7" s="129">
        <v>0.3261</v>
      </c>
      <c r="H7" s="129">
        <v>1.0308999999999999</v>
      </c>
      <c r="I7" s="129">
        <v>27.951799999999999</v>
      </c>
      <c r="J7" s="129">
        <v>0.1406</v>
      </c>
      <c r="K7" s="129">
        <v>2.6537999999999999</v>
      </c>
      <c r="L7" s="129">
        <v>2.6515</v>
      </c>
      <c r="M7" s="129">
        <v>2.6515</v>
      </c>
      <c r="N7" s="129">
        <v>4.1012000000000004</v>
      </c>
      <c r="O7" s="129">
        <v>9.3335000000000008</v>
      </c>
      <c r="P7" s="129">
        <v>31.6889</v>
      </c>
      <c r="Q7" s="129">
        <v>0.1542</v>
      </c>
      <c r="R7" s="129">
        <v>2.8437999999999999</v>
      </c>
      <c r="S7" s="129">
        <v>2.9813999999999998</v>
      </c>
      <c r="T7" s="129">
        <v>2.9813999999999998</v>
      </c>
      <c r="U7" s="129">
        <v>4.4272999999999998</v>
      </c>
      <c r="V7" s="129">
        <v>10.3644</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1.1299999999999999E-2</v>
      </c>
      <c r="E10" s="129">
        <v>2.9999999999999997E-4</v>
      </c>
      <c r="F10" s="129">
        <v>2.9999999999999997E-4</v>
      </c>
      <c r="G10" s="129">
        <v>8.0000000000000002E-3</v>
      </c>
      <c r="H10" s="129">
        <v>4.0000000000000002E-4</v>
      </c>
      <c r="I10" s="129">
        <v>1.7000000000000001E-2</v>
      </c>
      <c r="J10" s="129">
        <v>8.9999999999999998E-4</v>
      </c>
      <c r="K10" s="129">
        <v>0.68230000000000002</v>
      </c>
      <c r="L10" s="129">
        <v>1.7299999999999999E-2</v>
      </c>
      <c r="M10" s="129">
        <v>1.7299999999999999E-2</v>
      </c>
      <c r="N10" s="129">
        <v>0.48230000000000001</v>
      </c>
      <c r="O10" s="129">
        <v>2.7E-2</v>
      </c>
      <c r="P10" s="129">
        <v>1.7299999999999999E-2</v>
      </c>
      <c r="Q10" s="129">
        <v>8.9999999999999998E-4</v>
      </c>
      <c r="R10" s="129">
        <v>0.69359999999999999</v>
      </c>
      <c r="S10" s="129">
        <v>1.7600000000000001E-2</v>
      </c>
      <c r="T10" s="129">
        <v>1.7600000000000001E-2</v>
      </c>
      <c r="U10" s="129">
        <v>0.49030000000000001</v>
      </c>
      <c r="V10" s="129">
        <v>2.75E-2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0.214</v>
      </c>
      <c r="C13" s="129">
        <v>2.0999999999999999E-3</v>
      </c>
      <c r="D13" s="129">
        <v>7.7000000000000002E-3</v>
      </c>
      <c r="E13" s="129">
        <v>1.3100000000000001E-2</v>
      </c>
      <c r="F13" s="129">
        <v>1.3100000000000001E-2</v>
      </c>
      <c r="G13" s="129">
        <v>1.52E-2</v>
      </c>
      <c r="H13" s="129">
        <v>1.6400000000000001E-2</v>
      </c>
      <c r="I13" s="129">
        <v>1.5214000000000001</v>
      </c>
      <c r="J13" s="129">
        <v>1.4800000000000001E-2</v>
      </c>
      <c r="K13" s="129">
        <v>5.5E-2</v>
      </c>
      <c r="L13" s="129">
        <v>9.3100000000000002E-2</v>
      </c>
      <c r="M13" s="129">
        <v>9.3100000000000002E-2</v>
      </c>
      <c r="N13" s="129">
        <v>0.1084</v>
      </c>
      <c r="O13" s="129">
        <v>0.11650000000000001</v>
      </c>
      <c r="P13" s="129">
        <v>1.7354000000000001</v>
      </c>
      <c r="Q13" s="129">
        <v>1.6799999999999999E-2</v>
      </c>
      <c r="R13" s="129">
        <v>6.2700000000000006E-2</v>
      </c>
      <c r="S13" s="129">
        <v>0.1062</v>
      </c>
      <c r="T13" s="129">
        <v>0.1062</v>
      </c>
      <c r="U13" s="129">
        <v>0.1236</v>
      </c>
      <c r="V13" s="129">
        <v>0.13289999999999999</v>
      </c>
      <c r="W13" s="130" t="s">
        <v>180</v>
      </c>
      <c r="X13" s="130" t="s">
        <v>166</v>
      </c>
    </row>
    <row r="14" spans="1:24" x14ac:dyDescent="0.25">
      <c r="A14" s="130">
        <v>2104004000</v>
      </c>
      <c r="B14" s="129">
        <v>4.4999999999999997E-3</v>
      </c>
      <c r="C14" s="129">
        <v>2.0000000000000001E-4</v>
      </c>
      <c r="D14" s="129">
        <v>0.11269999999999999</v>
      </c>
      <c r="E14" s="129">
        <v>4.5999999999999999E-3</v>
      </c>
      <c r="F14" s="129">
        <v>4.5999999999999999E-3</v>
      </c>
      <c r="G14" s="129">
        <v>0.2908</v>
      </c>
      <c r="H14" s="129">
        <v>7.1999999999999998E-3</v>
      </c>
      <c r="I14" s="129">
        <v>5.28E-2</v>
      </c>
      <c r="J14" s="129">
        <v>2.8999999999999998E-3</v>
      </c>
      <c r="K14" s="129">
        <v>1.3213999999999999</v>
      </c>
      <c r="L14" s="129">
        <v>5.3699999999999998E-2</v>
      </c>
      <c r="M14" s="129">
        <v>5.3699999999999998E-2</v>
      </c>
      <c r="N14" s="129">
        <v>3.4049999999999998</v>
      </c>
      <c r="O14" s="129">
        <v>8.4000000000000005E-2</v>
      </c>
      <c r="P14" s="129">
        <v>5.7299999999999997E-2</v>
      </c>
      <c r="Q14" s="129">
        <v>3.0999999999999999E-3</v>
      </c>
      <c r="R14" s="129">
        <v>1.4341999999999999</v>
      </c>
      <c r="S14" s="129">
        <v>5.8299999999999998E-2</v>
      </c>
      <c r="T14" s="129">
        <v>5.8299999999999998E-2</v>
      </c>
      <c r="U14" s="129">
        <v>3.6958000000000002</v>
      </c>
      <c r="V14" s="129">
        <v>9.1200000000000003E-2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0.40920000000000001</v>
      </c>
      <c r="C16" s="129">
        <v>2.8999999999999998E-3</v>
      </c>
      <c r="D16" s="129">
        <v>4.1999999999999997E-3</v>
      </c>
      <c r="E16" s="129">
        <v>5.6099999999999997E-2</v>
      </c>
      <c r="F16" s="129">
        <v>5.6099999999999997E-2</v>
      </c>
      <c r="G16" s="129">
        <v>5.9999999999999995E-4</v>
      </c>
      <c r="H16" s="129">
        <v>0.371</v>
      </c>
      <c r="I16" s="129">
        <v>4.8776000000000002</v>
      </c>
      <c r="J16" s="129">
        <v>3.4799999999999998E-2</v>
      </c>
      <c r="K16" s="129">
        <v>5.0200000000000002E-2</v>
      </c>
      <c r="L16" s="129">
        <v>0.66810000000000003</v>
      </c>
      <c r="M16" s="129">
        <v>0.66810000000000003</v>
      </c>
      <c r="N16" s="129">
        <v>7.7000000000000002E-3</v>
      </c>
      <c r="O16" s="129">
        <v>4.4218999999999999</v>
      </c>
      <c r="P16" s="129">
        <v>5.2868000000000004</v>
      </c>
      <c r="Q16" s="129">
        <v>3.7699999999999997E-2</v>
      </c>
      <c r="R16" s="129">
        <v>5.4399999999999997E-2</v>
      </c>
      <c r="S16" s="129">
        <v>0.72419999999999995</v>
      </c>
      <c r="T16" s="129">
        <v>0.72419999999999995</v>
      </c>
      <c r="U16" s="129">
        <v>8.3999999999999995E-3</v>
      </c>
      <c r="V16" s="129">
        <v>4.7929000000000004</v>
      </c>
      <c r="W16" s="130" t="s">
        <v>183</v>
      </c>
      <c r="X16" s="130" t="s">
        <v>168</v>
      </c>
    </row>
    <row r="17" spans="1:24" x14ac:dyDescent="0.25">
      <c r="A17" s="130">
        <v>2104008210</v>
      </c>
      <c r="B17" s="129">
        <v>5.8599999999999999E-2</v>
      </c>
      <c r="C17" s="129">
        <v>4.0000000000000002E-4</v>
      </c>
      <c r="D17" s="129">
        <v>6.9999999999999999E-4</v>
      </c>
      <c r="E17" s="129">
        <v>7.7999999999999996E-3</v>
      </c>
      <c r="F17" s="129">
        <v>7.7999999999999996E-3</v>
      </c>
      <c r="G17" s="129">
        <v>1E-4</v>
      </c>
      <c r="H17" s="129">
        <v>1.35E-2</v>
      </c>
      <c r="I17" s="129">
        <v>0.39329999999999998</v>
      </c>
      <c r="J17" s="129">
        <v>2.8999999999999998E-3</v>
      </c>
      <c r="K17" s="129">
        <v>4.7999999999999996E-3</v>
      </c>
      <c r="L17" s="129">
        <v>5.21E-2</v>
      </c>
      <c r="M17" s="129">
        <v>5.21E-2</v>
      </c>
      <c r="N17" s="129">
        <v>6.9999999999999999E-4</v>
      </c>
      <c r="O17" s="129">
        <v>9.0300000000000005E-2</v>
      </c>
      <c r="P17" s="129">
        <v>0.45190000000000002</v>
      </c>
      <c r="Q17" s="129">
        <v>3.3E-3</v>
      </c>
      <c r="R17" s="129">
        <v>5.4999999999999997E-3</v>
      </c>
      <c r="S17" s="129">
        <v>5.9900000000000002E-2</v>
      </c>
      <c r="T17" s="129">
        <v>5.9900000000000002E-2</v>
      </c>
      <c r="U17" s="129">
        <v>8.0000000000000004E-4</v>
      </c>
      <c r="V17" s="129">
        <v>0.1038</v>
      </c>
      <c r="W17" s="130" t="s">
        <v>184</v>
      </c>
      <c r="X17" s="130" t="s">
        <v>168</v>
      </c>
    </row>
    <row r="18" spans="1:24" x14ac:dyDescent="0.25">
      <c r="A18" s="130">
        <v>2104008220</v>
      </c>
      <c r="B18" s="129">
        <v>7.5200000000000003E-2</v>
      </c>
      <c r="C18" s="129">
        <v>5.0000000000000001E-4</v>
      </c>
      <c r="D18" s="129">
        <v>1.1000000000000001E-3</v>
      </c>
      <c r="E18" s="129">
        <v>6.4000000000000003E-3</v>
      </c>
      <c r="F18" s="129">
        <v>6.4000000000000003E-3</v>
      </c>
      <c r="G18" s="129">
        <v>2.0000000000000001E-4</v>
      </c>
      <c r="H18" s="129">
        <v>6.4000000000000003E-3</v>
      </c>
      <c r="I18" s="129">
        <v>0.50509999999999999</v>
      </c>
      <c r="J18" s="129">
        <v>3.2000000000000002E-3</v>
      </c>
      <c r="K18" s="129">
        <v>7.1999999999999998E-3</v>
      </c>
      <c r="L18" s="129">
        <v>4.3099999999999999E-2</v>
      </c>
      <c r="M18" s="129">
        <v>4.3099999999999999E-2</v>
      </c>
      <c r="N18" s="129">
        <v>1.4E-3</v>
      </c>
      <c r="O18" s="129">
        <v>4.3099999999999999E-2</v>
      </c>
      <c r="P18" s="129">
        <v>0.58040000000000003</v>
      </c>
      <c r="Q18" s="129">
        <v>3.7000000000000002E-3</v>
      </c>
      <c r="R18" s="129">
        <v>8.2000000000000007E-3</v>
      </c>
      <c r="S18" s="129">
        <v>4.9500000000000002E-2</v>
      </c>
      <c r="T18" s="129">
        <v>4.9500000000000002E-2</v>
      </c>
      <c r="U18" s="129">
        <v>1.6000000000000001E-3</v>
      </c>
      <c r="V18" s="129">
        <v>4.9500000000000002E-2</v>
      </c>
      <c r="W18" s="130" t="s">
        <v>185</v>
      </c>
      <c r="X18" s="130" t="s">
        <v>168</v>
      </c>
    </row>
    <row r="19" spans="1:24" x14ac:dyDescent="0.25">
      <c r="A19" s="130">
        <v>2104008230</v>
      </c>
      <c r="B19" s="129">
        <v>3.44E-2</v>
      </c>
      <c r="C19" s="129">
        <v>2.9999999999999997E-4</v>
      </c>
      <c r="D19" s="129">
        <v>5.9999999999999995E-4</v>
      </c>
      <c r="E19" s="129">
        <v>4.1999999999999997E-3</v>
      </c>
      <c r="F19" s="129">
        <v>4.1999999999999997E-3</v>
      </c>
      <c r="G19" s="129">
        <v>1E-4</v>
      </c>
      <c r="H19" s="129">
        <v>4.7999999999999996E-3</v>
      </c>
      <c r="I19" s="129">
        <v>0.2311</v>
      </c>
      <c r="J19" s="129">
        <v>1.9E-3</v>
      </c>
      <c r="K19" s="129">
        <v>4.3E-3</v>
      </c>
      <c r="L19" s="129">
        <v>2.81E-2</v>
      </c>
      <c r="M19" s="129">
        <v>2.81E-2</v>
      </c>
      <c r="N19" s="129">
        <v>8.9999999999999998E-4</v>
      </c>
      <c r="O19" s="129">
        <v>3.2399999999999998E-2</v>
      </c>
      <c r="P19" s="129">
        <v>0.26550000000000001</v>
      </c>
      <c r="Q19" s="129">
        <v>2.2000000000000001E-3</v>
      </c>
      <c r="R19" s="129">
        <v>5.0000000000000001E-3</v>
      </c>
      <c r="S19" s="129">
        <v>3.2300000000000002E-2</v>
      </c>
      <c r="T19" s="129">
        <v>3.2300000000000002E-2</v>
      </c>
      <c r="U19" s="129">
        <v>1E-3</v>
      </c>
      <c r="V19" s="129">
        <v>3.7199999999999997E-2</v>
      </c>
      <c r="W19" s="130" t="s">
        <v>186</v>
      </c>
      <c r="X19" s="130" t="s">
        <v>168</v>
      </c>
    </row>
    <row r="20" spans="1:24" x14ac:dyDescent="0.25">
      <c r="A20" s="130">
        <v>2104008310</v>
      </c>
      <c r="B20" s="129">
        <v>0.62409999999999999</v>
      </c>
      <c r="C20" s="129">
        <v>2E-3</v>
      </c>
      <c r="D20" s="129">
        <v>7.4999999999999997E-3</v>
      </c>
      <c r="E20" s="129">
        <v>6.25E-2</v>
      </c>
      <c r="F20" s="129">
        <v>6.25E-2</v>
      </c>
      <c r="G20" s="129">
        <v>2.0999999999999999E-3</v>
      </c>
      <c r="H20" s="129">
        <v>0.27300000000000002</v>
      </c>
      <c r="I20" s="129">
        <v>4.1902999999999997</v>
      </c>
      <c r="J20" s="129">
        <v>1.37E-2</v>
      </c>
      <c r="K20" s="129">
        <v>5.0200000000000002E-2</v>
      </c>
      <c r="L20" s="129">
        <v>0.4199</v>
      </c>
      <c r="M20" s="129">
        <v>0.4199</v>
      </c>
      <c r="N20" s="129">
        <v>1.38E-2</v>
      </c>
      <c r="O20" s="129">
        <v>1.8328</v>
      </c>
      <c r="P20" s="129">
        <v>4.8144</v>
      </c>
      <c r="Q20" s="129">
        <v>1.5800000000000002E-2</v>
      </c>
      <c r="R20" s="129">
        <v>5.7700000000000001E-2</v>
      </c>
      <c r="S20" s="129">
        <v>0.4824</v>
      </c>
      <c r="T20" s="129">
        <v>0.4824</v>
      </c>
      <c r="U20" s="129">
        <v>1.5900000000000001E-2</v>
      </c>
      <c r="V20" s="129">
        <v>2.1057999999999999</v>
      </c>
      <c r="W20" s="130" t="s">
        <v>187</v>
      </c>
      <c r="X20" s="130" t="s">
        <v>168</v>
      </c>
    </row>
    <row r="21" spans="1:24" x14ac:dyDescent="0.25">
      <c r="A21" s="130">
        <v>2104008320</v>
      </c>
      <c r="B21" s="129">
        <v>1.3408</v>
      </c>
      <c r="C21" s="129">
        <v>2.7000000000000001E-3</v>
      </c>
      <c r="D21" s="129">
        <v>1.7399999999999999E-2</v>
      </c>
      <c r="E21" s="129">
        <v>8.5900000000000004E-2</v>
      </c>
      <c r="F21" s="129">
        <v>8.5900000000000004E-2</v>
      </c>
      <c r="G21" s="129">
        <v>4.3E-3</v>
      </c>
      <c r="H21" s="129">
        <v>0.13009999999999999</v>
      </c>
      <c r="I21" s="129">
        <v>9.0021000000000004</v>
      </c>
      <c r="J21" s="129">
        <v>1.8200000000000001E-2</v>
      </c>
      <c r="K21" s="129">
        <v>0.1171</v>
      </c>
      <c r="L21" s="129">
        <v>0.57699999999999996</v>
      </c>
      <c r="M21" s="129">
        <v>0.57699999999999996</v>
      </c>
      <c r="N21" s="129">
        <v>2.9100000000000001E-2</v>
      </c>
      <c r="O21" s="129">
        <v>0.87370000000000003</v>
      </c>
      <c r="P21" s="129">
        <v>10.3429</v>
      </c>
      <c r="Q21" s="129">
        <v>2.0899999999999998E-2</v>
      </c>
      <c r="R21" s="129">
        <v>0.1346</v>
      </c>
      <c r="S21" s="129">
        <v>0.66300000000000003</v>
      </c>
      <c r="T21" s="129">
        <v>0.66300000000000003</v>
      </c>
      <c r="U21" s="129">
        <v>3.3500000000000002E-2</v>
      </c>
      <c r="V21" s="129">
        <v>1.0038</v>
      </c>
      <c r="W21" s="130" t="s">
        <v>188</v>
      </c>
      <c r="X21" s="130" t="s">
        <v>168</v>
      </c>
    </row>
    <row r="22" spans="1:24" x14ac:dyDescent="0.25">
      <c r="A22" s="130">
        <v>2104008330</v>
      </c>
      <c r="B22" s="129">
        <v>0.80730000000000002</v>
      </c>
      <c r="C22" s="129">
        <v>1.6000000000000001E-3</v>
      </c>
      <c r="D22" s="129">
        <v>1.0500000000000001E-2</v>
      </c>
      <c r="E22" s="129">
        <v>5.74E-2</v>
      </c>
      <c r="F22" s="129">
        <v>5.74E-2</v>
      </c>
      <c r="G22" s="129">
        <v>2.5999999999999999E-3</v>
      </c>
      <c r="H22" s="129">
        <v>9.7900000000000001E-2</v>
      </c>
      <c r="I22" s="129">
        <v>5.4199000000000002</v>
      </c>
      <c r="J22" s="129">
        <v>1.09E-2</v>
      </c>
      <c r="K22" s="129">
        <v>7.0499999999999993E-2</v>
      </c>
      <c r="L22" s="129">
        <v>0.38550000000000001</v>
      </c>
      <c r="M22" s="129">
        <v>0.38550000000000001</v>
      </c>
      <c r="N22" s="129">
        <v>1.7500000000000002E-2</v>
      </c>
      <c r="O22" s="129">
        <v>0.65749999999999997</v>
      </c>
      <c r="P22" s="129">
        <v>6.2271999999999998</v>
      </c>
      <c r="Q22" s="129">
        <v>1.26E-2</v>
      </c>
      <c r="R22" s="129">
        <v>8.1000000000000003E-2</v>
      </c>
      <c r="S22" s="129">
        <v>0.44290000000000002</v>
      </c>
      <c r="T22" s="129">
        <v>0.44290000000000002</v>
      </c>
      <c r="U22" s="129">
        <v>2.01E-2</v>
      </c>
      <c r="V22" s="129">
        <v>0.75549999999999995</v>
      </c>
      <c r="W22" s="130" t="s">
        <v>189</v>
      </c>
      <c r="X22" s="130" t="s">
        <v>168</v>
      </c>
    </row>
    <row r="23" spans="1:24" x14ac:dyDescent="0.25">
      <c r="A23" s="130">
        <v>2104008410</v>
      </c>
      <c r="B23" s="129">
        <v>7.1000000000000004E-3</v>
      </c>
      <c r="C23" s="129">
        <v>1E-4</v>
      </c>
      <c r="D23" s="129">
        <v>2.8999999999999998E-3</v>
      </c>
      <c r="E23" s="129">
        <v>2.0999999999999999E-3</v>
      </c>
      <c r="F23" s="129">
        <v>2.0999999999999999E-3</v>
      </c>
      <c r="G23" s="129">
        <v>2.0000000000000001E-4</v>
      </c>
      <c r="H23" s="129">
        <v>1.6000000000000001E-3</v>
      </c>
      <c r="I23" s="129">
        <v>4.7699999999999999E-2</v>
      </c>
      <c r="J23" s="129">
        <v>2.9999999999999997E-4</v>
      </c>
      <c r="K23" s="129">
        <v>1.9199999999999998E-2</v>
      </c>
      <c r="L23" s="129">
        <v>1.4200000000000001E-2</v>
      </c>
      <c r="M23" s="129">
        <v>1.4200000000000001E-2</v>
      </c>
      <c r="N23" s="129">
        <v>1.5E-3</v>
      </c>
      <c r="O23" s="129">
        <v>1.0999999999999999E-2</v>
      </c>
      <c r="P23" s="129">
        <v>5.4800000000000001E-2</v>
      </c>
      <c r="Q23" s="129">
        <v>4.0000000000000002E-4</v>
      </c>
      <c r="R23" s="129">
        <v>2.2100000000000002E-2</v>
      </c>
      <c r="S23" s="129">
        <v>1.6299999999999999E-2</v>
      </c>
      <c r="T23" s="129">
        <v>1.6299999999999999E-2</v>
      </c>
      <c r="U23" s="129">
        <v>1.8E-3</v>
      </c>
      <c r="V23" s="129">
        <v>1.2699999999999999E-2</v>
      </c>
      <c r="W23" s="130" t="s">
        <v>190</v>
      </c>
      <c r="X23" s="130" t="s">
        <v>168</v>
      </c>
    </row>
    <row r="24" spans="1:24" x14ac:dyDescent="0.25">
      <c r="A24" s="130">
        <v>2104008420</v>
      </c>
      <c r="B24" s="129">
        <v>2.4E-2</v>
      </c>
      <c r="C24" s="129">
        <v>2.0000000000000001E-4</v>
      </c>
      <c r="D24" s="129">
        <v>9.7000000000000003E-3</v>
      </c>
      <c r="E24" s="129">
        <v>7.1000000000000004E-3</v>
      </c>
      <c r="F24" s="129">
        <v>7.1000000000000004E-3</v>
      </c>
      <c r="G24" s="129">
        <v>8.0000000000000004E-4</v>
      </c>
      <c r="H24" s="129">
        <v>5.4999999999999997E-3</v>
      </c>
      <c r="I24" s="129">
        <v>0.161</v>
      </c>
      <c r="J24" s="129">
        <v>1.1999999999999999E-3</v>
      </c>
      <c r="K24" s="129">
        <v>6.4899999999999999E-2</v>
      </c>
      <c r="L24" s="129">
        <v>4.8000000000000001E-2</v>
      </c>
      <c r="M24" s="129">
        <v>4.8000000000000001E-2</v>
      </c>
      <c r="N24" s="129">
        <v>5.1999999999999998E-3</v>
      </c>
      <c r="O24" s="129">
        <v>3.7199999999999997E-2</v>
      </c>
      <c r="P24" s="129">
        <v>0.185</v>
      </c>
      <c r="Q24" s="129">
        <v>1.2999999999999999E-3</v>
      </c>
      <c r="R24" s="129">
        <v>7.46E-2</v>
      </c>
      <c r="S24" s="129">
        <v>5.5100000000000003E-2</v>
      </c>
      <c r="T24" s="129">
        <v>5.5100000000000003E-2</v>
      </c>
      <c r="U24" s="129">
        <v>6.0000000000000001E-3</v>
      </c>
      <c r="V24" s="129">
        <v>4.2700000000000002E-2</v>
      </c>
      <c r="W24" s="130" t="s">
        <v>191</v>
      </c>
      <c r="X24" s="130" t="s">
        <v>168</v>
      </c>
    </row>
    <row r="25" spans="1:24" x14ac:dyDescent="0.25">
      <c r="A25" s="130">
        <v>2104008610</v>
      </c>
      <c r="B25" s="129">
        <v>0.1371</v>
      </c>
      <c r="C25" s="129">
        <v>5.9999999999999995E-4</v>
      </c>
      <c r="D25" s="129">
        <v>3.5999999999999999E-3</v>
      </c>
      <c r="E25" s="129">
        <v>2.23E-2</v>
      </c>
      <c r="F25" s="129">
        <v>2.23E-2</v>
      </c>
      <c r="G25" s="129">
        <v>8.9999999999999998E-4</v>
      </c>
      <c r="H25" s="129">
        <v>0.1027</v>
      </c>
      <c r="I25" s="129">
        <v>1.4628000000000001</v>
      </c>
      <c r="J25" s="129">
        <v>5.8999999999999999E-3</v>
      </c>
      <c r="K25" s="129">
        <v>3.8899999999999997E-2</v>
      </c>
      <c r="L25" s="129">
        <v>0.2384</v>
      </c>
      <c r="M25" s="129">
        <v>0.2384</v>
      </c>
      <c r="N25" s="129">
        <v>9.7000000000000003E-3</v>
      </c>
      <c r="O25" s="129">
        <v>1.0964</v>
      </c>
      <c r="P25" s="129">
        <v>1.5999000000000001</v>
      </c>
      <c r="Q25" s="129">
        <v>6.4000000000000003E-3</v>
      </c>
      <c r="R25" s="129">
        <v>4.2599999999999999E-2</v>
      </c>
      <c r="S25" s="129">
        <v>0.26069999999999999</v>
      </c>
      <c r="T25" s="129">
        <v>0.26069999999999999</v>
      </c>
      <c r="U25" s="129">
        <v>1.06E-2</v>
      </c>
      <c r="V25" s="129">
        <v>1.1992</v>
      </c>
      <c r="W25" s="130" t="s">
        <v>192</v>
      </c>
      <c r="X25" s="130" t="s">
        <v>168</v>
      </c>
    </row>
    <row r="26" spans="1:24" x14ac:dyDescent="0.25">
      <c r="X26" s="130"/>
    </row>
    <row r="27" spans="1:24" x14ac:dyDescent="0.25">
      <c r="B27" s="134">
        <f>SUMIFS(B8:B25,$X8:$X25,$X27)/B7</f>
        <v>0.94139841053223106</v>
      </c>
      <c r="C27" s="134">
        <f t="shared" ref="C27:V27" si="0">SUMIFS(C8:C25,$X8:$X25,$X27)/C7</f>
        <v>0.83088235294117663</v>
      </c>
      <c r="D27" s="134">
        <f t="shared" si="0"/>
        <v>0.30631578947368421</v>
      </c>
      <c r="E27" s="134">
        <f t="shared" si="0"/>
        <v>0.94513488936041212</v>
      </c>
      <c r="F27" s="134">
        <f t="shared" si="0"/>
        <v>0.94513488936041212</v>
      </c>
      <c r="G27" s="134">
        <f t="shared" si="0"/>
        <v>3.6491873658386999E-2</v>
      </c>
      <c r="H27" s="134">
        <f t="shared" si="0"/>
        <v>0.97652536618488694</v>
      </c>
      <c r="I27" s="134">
        <f t="shared" si="0"/>
        <v>0.94064782947788694</v>
      </c>
      <c r="J27" s="134">
        <f t="shared" si="0"/>
        <v>0.66145092460881927</v>
      </c>
      <c r="K27" s="134">
        <f t="shared" si="0"/>
        <v>0.16101439445323687</v>
      </c>
      <c r="L27" s="134">
        <f t="shared" si="0"/>
        <v>0.93332076183292489</v>
      </c>
      <c r="M27" s="134">
        <f t="shared" si="0"/>
        <v>0.93332076183292489</v>
      </c>
      <c r="N27" s="134">
        <f t="shared" si="0"/>
        <v>2.1335218960304297E-2</v>
      </c>
      <c r="O27" s="134">
        <f t="shared" si="0"/>
        <v>0.9746825949536615</v>
      </c>
      <c r="P27" s="134">
        <f t="shared" si="0"/>
        <v>0.94073634616537649</v>
      </c>
      <c r="Q27" s="134">
        <f t="shared" si="0"/>
        <v>0.67639429312581067</v>
      </c>
      <c r="R27" s="134">
        <f t="shared" si="0"/>
        <v>0.17079260144876576</v>
      </c>
      <c r="S27" s="134">
        <f t="shared" si="0"/>
        <v>0.93466156839068881</v>
      </c>
      <c r="T27" s="134">
        <f t="shared" si="0"/>
        <v>0.93466156839068881</v>
      </c>
      <c r="U27" s="134">
        <f t="shared" si="0"/>
        <v>2.2519368463849301E-2</v>
      </c>
      <c r="V27" s="134">
        <f t="shared" si="0"/>
        <v>0.9748948323106017</v>
      </c>
      <c r="X27" s="130" t="s">
        <v>168</v>
      </c>
    </row>
    <row r="28" spans="1:24" x14ac:dyDescent="0.25">
      <c r="B28" s="134">
        <f>SUMIFS(B8:B25,$X8:$X25,$X28)/B7</f>
        <v>1.2844183992935698E-3</v>
      </c>
      <c r="C28" s="134">
        <f t="shared" ref="C28:V28" si="1">SUMIFS(C8:C25,$X8:$X25,$X28)/C7</f>
        <v>1.4705882352941178E-2</v>
      </c>
      <c r="D28" s="134">
        <f t="shared" si="1"/>
        <v>0.65263157894736845</v>
      </c>
      <c r="E28" s="134">
        <f t="shared" si="1"/>
        <v>1.4852985753258562E-2</v>
      </c>
      <c r="F28" s="134">
        <f t="shared" si="1"/>
        <v>1.4852985753258562E-2</v>
      </c>
      <c r="G28" s="134">
        <f t="shared" si="1"/>
        <v>0.91628334866605343</v>
      </c>
      <c r="H28" s="134">
        <f t="shared" si="1"/>
        <v>7.3721990493743339E-3</v>
      </c>
      <c r="I28" s="134">
        <f t="shared" si="1"/>
        <v>2.497155818229953E-3</v>
      </c>
      <c r="J28" s="134">
        <f t="shared" si="1"/>
        <v>2.7027027027027025E-2</v>
      </c>
      <c r="K28" s="134">
        <f t="shared" si="1"/>
        <v>0.75503052226995249</v>
      </c>
      <c r="L28" s="134">
        <f t="shared" si="1"/>
        <v>2.6777295870262115E-2</v>
      </c>
      <c r="M28" s="134">
        <f t="shared" si="1"/>
        <v>2.6777295870262115E-2</v>
      </c>
      <c r="N28" s="134">
        <f t="shared" si="1"/>
        <v>0.94784453330732454</v>
      </c>
      <c r="O28" s="134">
        <f t="shared" si="1"/>
        <v>1.189264477420046E-2</v>
      </c>
      <c r="P28" s="134">
        <f t="shared" si="1"/>
        <v>2.3541366219717312E-3</v>
      </c>
      <c r="Q28" s="134">
        <f t="shared" si="1"/>
        <v>2.5940337224383919E-2</v>
      </c>
      <c r="R28" s="134">
        <f t="shared" si="1"/>
        <v>0.74822420704690895</v>
      </c>
      <c r="S28" s="134">
        <f t="shared" si="1"/>
        <v>2.5457838599315757E-2</v>
      </c>
      <c r="T28" s="134">
        <f t="shared" si="1"/>
        <v>2.5457838599315757E-2</v>
      </c>
      <c r="U28" s="134">
        <f t="shared" si="1"/>
        <v>0.94551984279357637</v>
      </c>
      <c r="V28" s="134">
        <f t="shared" si="1"/>
        <v>1.1452664891358882E-2</v>
      </c>
      <c r="X28" s="130" t="s">
        <v>167</v>
      </c>
    </row>
    <row r="29" spans="1:24" x14ac:dyDescent="0.25">
      <c r="B29" s="134">
        <f>SUMIFS(B8:B25,$X8:$X25,$X29)/B7</f>
        <v>5.7343929785127506E-2</v>
      </c>
      <c r="C29" s="134">
        <f t="shared" ref="C29:V29" si="2">SUMIFS(C8:C25,$X8:$X25,$X29)/C7</f>
        <v>0.15441176470588236</v>
      </c>
      <c r="D29" s="134">
        <f t="shared" si="2"/>
        <v>4.0526315789473688E-2</v>
      </c>
      <c r="E29" s="134">
        <f t="shared" si="2"/>
        <v>3.9709002728099421E-2</v>
      </c>
      <c r="F29" s="134">
        <f t="shared" si="2"/>
        <v>3.9709002728099421E-2</v>
      </c>
      <c r="G29" s="134">
        <f t="shared" si="2"/>
        <v>4.661146887457835E-2</v>
      </c>
      <c r="H29" s="134">
        <f t="shared" si="2"/>
        <v>1.5908429527597249E-2</v>
      </c>
      <c r="I29" s="134">
        <f t="shared" si="2"/>
        <v>5.4583246874977648E-2</v>
      </c>
      <c r="J29" s="134">
        <f t="shared" si="2"/>
        <v>0.10526315789473685</v>
      </c>
      <c r="K29" s="134">
        <f t="shared" si="2"/>
        <v>2.0800361745421658E-2</v>
      </c>
      <c r="L29" s="134">
        <f t="shared" si="2"/>
        <v>3.5225344144823686E-2</v>
      </c>
      <c r="M29" s="134">
        <f t="shared" si="2"/>
        <v>3.5225344144823686E-2</v>
      </c>
      <c r="N29" s="134">
        <f t="shared" si="2"/>
        <v>2.6504437725543738E-2</v>
      </c>
      <c r="O29" s="134">
        <f t="shared" si="2"/>
        <v>1.2514062248888411E-2</v>
      </c>
      <c r="P29" s="134">
        <f t="shared" si="2"/>
        <v>5.4905660972769645E-2</v>
      </c>
      <c r="Q29" s="134">
        <f t="shared" si="2"/>
        <v>0.10894941634241244</v>
      </c>
      <c r="R29" s="134">
        <f t="shared" si="2"/>
        <v>2.2118292425627687E-2</v>
      </c>
      <c r="S29" s="134">
        <f t="shared" si="2"/>
        <v>3.5721473133427252E-2</v>
      </c>
      <c r="T29" s="134">
        <f t="shared" si="2"/>
        <v>3.5721473133427252E-2</v>
      </c>
      <c r="U29" s="134">
        <f t="shared" si="2"/>
        <v>2.7985453888374406E-2</v>
      </c>
      <c r="V29" s="134">
        <f t="shared" si="2"/>
        <v>1.2851684612712745E-2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2.2681902417733386E-3</v>
      </c>
      <c r="J30" s="134">
        <f t="shared" si="3"/>
        <v>0.20554765291607396</v>
      </c>
      <c r="K30" s="134">
        <f t="shared" si="3"/>
        <v>6.3079357901876548E-2</v>
      </c>
      <c r="L30" s="134">
        <f t="shared" si="3"/>
        <v>4.7143126532151608E-3</v>
      </c>
      <c r="M30" s="134">
        <f t="shared" si="3"/>
        <v>4.7143126532151608E-3</v>
      </c>
      <c r="N30" s="134">
        <f t="shared" si="3"/>
        <v>4.3158100068272686E-3</v>
      </c>
      <c r="O30" s="134">
        <f t="shared" si="3"/>
        <v>8.9998392885841307E-4</v>
      </c>
      <c r="P30" s="134">
        <f t="shared" si="3"/>
        <v>2.0007005607641792E-3</v>
      </c>
      <c r="Q30" s="134">
        <f t="shared" si="3"/>
        <v>0.1874189364461738</v>
      </c>
      <c r="R30" s="134">
        <f t="shared" si="3"/>
        <v>5.8864899078697519E-2</v>
      </c>
      <c r="S30" s="134">
        <f t="shared" si="3"/>
        <v>4.1926611658952171E-3</v>
      </c>
      <c r="T30" s="134">
        <f t="shared" si="3"/>
        <v>4.1926611658952171E-3</v>
      </c>
      <c r="U30" s="134">
        <f t="shared" si="3"/>
        <v>3.997921984053486E-3</v>
      </c>
      <c r="V30" s="134">
        <f t="shared" si="3"/>
        <v>8.1046659719810111E-4</v>
      </c>
      <c r="X30" s="130" t="s">
        <v>165</v>
      </c>
    </row>
    <row r="33" spans="1:24" x14ac:dyDescent="0.25">
      <c r="A33" s="129" t="s">
        <v>197</v>
      </c>
    </row>
    <row r="34" spans="1:24" x14ac:dyDescent="0.25">
      <c r="A34" s="132" t="s">
        <v>209</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3.7370999999999999</v>
      </c>
      <c r="C38" s="129">
        <v>1.3599999999999999E-2</v>
      </c>
      <c r="D38" s="129">
        <v>0.19</v>
      </c>
      <c r="E38" s="129">
        <v>0.32990000000000003</v>
      </c>
      <c r="F38" s="129">
        <v>0.32990000000000003</v>
      </c>
      <c r="G38" s="129">
        <v>0.3261</v>
      </c>
      <c r="H38" s="129">
        <v>1.0308999999999999</v>
      </c>
      <c r="I38" s="129">
        <v>27.951799999999999</v>
      </c>
      <c r="J38" s="129">
        <v>0.1406</v>
      </c>
      <c r="K38" s="129">
        <v>2.6537999999999999</v>
      </c>
      <c r="L38" s="129">
        <v>1.2150000000000001</v>
      </c>
      <c r="M38" s="129">
        <v>1.2150000000000001</v>
      </c>
      <c r="N38" s="129">
        <v>2.1806000000000001</v>
      </c>
      <c r="O38" s="129">
        <v>9.3335000000000008</v>
      </c>
      <c r="P38" s="129">
        <v>31.6889</v>
      </c>
      <c r="Q38" s="129">
        <v>0.1542</v>
      </c>
      <c r="R38" s="129">
        <v>2.8437999999999999</v>
      </c>
      <c r="S38" s="129">
        <v>1.5449999999999999</v>
      </c>
      <c r="T38" s="129">
        <v>1.5449999999999999</v>
      </c>
      <c r="U38" s="129">
        <v>2.5066000000000002</v>
      </c>
      <c r="V38" s="129">
        <v>10.3644</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1.1299999999999999E-2</v>
      </c>
      <c r="E41" s="129">
        <v>2.9999999999999997E-4</v>
      </c>
      <c r="F41" s="129">
        <v>2.9999999999999997E-4</v>
      </c>
      <c r="G41" s="129">
        <v>8.0000000000000002E-3</v>
      </c>
      <c r="H41" s="129">
        <v>4.0000000000000002E-4</v>
      </c>
      <c r="I41" s="129">
        <v>1.7000000000000001E-2</v>
      </c>
      <c r="J41" s="129">
        <v>8.9999999999999998E-4</v>
      </c>
      <c r="K41" s="129">
        <v>0.68230000000000002</v>
      </c>
      <c r="L41" s="129">
        <v>9.1000000000000004E-3</v>
      </c>
      <c r="M41" s="129">
        <v>9.1000000000000004E-3</v>
      </c>
      <c r="N41" s="129">
        <v>0.49490000000000001</v>
      </c>
      <c r="O41" s="129">
        <v>2.7E-2</v>
      </c>
      <c r="P41" s="129">
        <v>1.7299999999999999E-2</v>
      </c>
      <c r="Q41" s="129">
        <v>8.9999999999999998E-4</v>
      </c>
      <c r="R41" s="129">
        <v>0.69359999999999999</v>
      </c>
      <c r="S41" s="129">
        <v>9.4000000000000004E-3</v>
      </c>
      <c r="T41" s="129">
        <v>9.4000000000000004E-3</v>
      </c>
      <c r="U41" s="129">
        <v>0.50280000000000002</v>
      </c>
      <c r="V41" s="129">
        <v>2.75E-2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0.214</v>
      </c>
      <c r="C44" s="129">
        <v>2.0999999999999999E-3</v>
      </c>
      <c r="D44" s="129">
        <v>7.7000000000000002E-3</v>
      </c>
      <c r="E44" s="129">
        <v>1.3100000000000001E-2</v>
      </c>
      <c r="F44" s="129">
        <v>1.3100000000000001E-2</v>
      </c>
      <c r="G44" s="129">
        <v>1.52E-2</v>
      </c>
      <c r="H44" s="129">
        <v>1.6400000000000001E-2</v>
      </c>
      <c r="I44" s="129">
        <v>1.5214000000000001</v>
      </c>
      <c r="J44" s="129">
        <v>1.4800000000000001E-2</v>
      </c>
      <c r="K44" s="129">
        <v>5.5E-2</v>
      </c>
      <c r="L44" s="129">
        <v>6.3899999999999998E-2</v>
      </c>
      <c r="M44" s="129">
        <v>6.3899999999999998E-2</v>
      </c>
      <c r="N44" s="129">
        <v>0.1082</v>
      </c>
      <c r="O44" s="129">
        <v>0.11650000000000001</v>
      </c>
      <c r="P44" s="129">
        <v>1.7354000000000001</v>
      </c>
      <c r="Q44" s="129">
        <v>1.6799999999999999E-2</v>
      </c>
      <c r="R44" s="129">
        <v>6.2700000000000006E-2</v>
      </c>
      <c r="S44" s="129">
        <v>7.6999999999999999E-2</v>
      </c>
      <c r="T44" s="129">
        <v>7.6999999999999999E-2</v>
      </c>
      <c r="U44" s="129">
        <v>0.1235</v>
      </c>
      <c r="V44" s="129">
        <v>0.13289999999999999</v>
      </c>
      <c r="W44" s="130" t="s">
        <v>180</v>
      </c>
      <c r="X44" s="130" t="s">
        <v>166</v>
      </c>
    </row>
    <row r="45" spans="1:24" x14ac:dyDescent="0.25">
      <c r="A45" s="130">
        <v>2104004000</v>
      </c>
      <c r="B45" s="129">
        <v>4.4999999999999997E-3</v>
      </c>
      <c r="C45" s="129">
        <v>2.0000000000000001E-4</v>
      </c>
      <c r="D45" s="129">
        <v>0.11269999999999999</v>
      </c>
      <c r="E45" s="129">
        <v>4.5999999999999999E-3</v>
      </c>
      <c r="F45" s="129">
        <v>4.5999999999999999E-3</v>
      </c>
      <c r="G45" s="129">
        <v>0.2908</v>
      </c>
      <c r="H45" s="129">
        <v>7.1999999999999998E-3</v>
      </c>
      <c r="I45" s="129">
        <v>5.28E-2</v>
      </c>
      <c r="J45" s="129">
        <v>2.8999999999999998E-3</v>
      </c>
      <c r="K45" s="129">
        <v>1.3213999999999999</v>
      </c>
      <c r="L45" s="129">
        <v>1.89E-2</v>
      </c>
      <c r="M45" s="129">
        <v>1.89E-2</v>
      </c>
      <c r="N45" s="129">
        <v>1.4958</v>
      </c>
      <c r="O45" s="129">
        <v>8.4000000000000005E-2</v>
      </c>
      <c r="P45" s="129">
        <v>5.7299999999999997E-2</v>
      </c>
      <c r="Q45" s="129">
        <v>3.0999999999999999E-3</v>
      </c>
      <c r="R45" s="129">
        <v>1.4341999999999999</v>
      </c>
      <c r="S45" s="129">
        <v>2.35E-2</v>
      </c>
      <c r="T45" s="129">
        <v>2.35E-2</v>
      </c>
      <c r="U45" s="129">
        <v>1.7867</v>
      </c>
      <c r="V45" s="129">
        <v>9.1200000000000003E-2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0.40920000000000001</v>
      </c>
      <c r="C47" s="129">
        <v>2.8999999999999998E-3</v>
      </c>
      <c r="D47" s="129">
        <v>4.1999999999999997E-3</v>
      </c>
      <c r="E47" s="129">
        <v>5.6099999999999997E-2</v>
      </c>
      <c r="F47" s="129">
        <v>5.6099999999999997E-2</v>
      </c>
      <c r="G47" s="129">
        <v>5.9999999999999995E-4</v>
      </c>
      <c r="H47" s="129">
        <v>0.371</v>
      </c>
      <c r="I47" s="129">
        <v>4.8776000000000002</v>
      </c>
      <c r="J47" s="129">
        <v>3.4799999999999998E-2</v>
      </c>
      <c r="K47" s="129">
        <v>5.0200000000000002E-2</v>
      </c>
      <c r="L47" s="129">
        <v>0.29199999999999998</v>
      </c>
      <c r="M47" s="129">
        <v>0.29199999999999998</v>
      </c>
      <c r="N47" s="129">
        <v>4.8999999999999998E-3</v>
      </c>
      <c r="O47" s="129">
        <v>4.4218999999999999</v>
      </c>
      <c r="P47" s="129">
        <v>5.2868000000000004</v>
      </c>
      <c r="Q47" s="129">
        <v>3.7699999999999997E-2</v>
      </c>
      <c r="R47" s="129">
        <v>5.4399999999999997E-2</v>
      </c>
      <c r="S47" s="129">
        <v>0.34799999999999998</v>
      </c>
      <c r="T47" s="129">
        <v>0.34799999999999998</v>
      </c>
      <c r="U47" s="129">
        <v>5.5999999999999999E-3</v>
      </c>
      <c r="V47" s="129">
        <v>4.7929000000000004</v>
      </c>
      <c r="W47" s="130" t="s">
        <v>183</v>
      </c>
      <c r="X47" s="130" t="s">
        <v>168</v>
      </c>
    </row>
    <row r="48" spans="1:24" x14ac:dyDescent="0.25">
      <c r="A48" s="130">
        <v>2104008210</v>
      </c>
      <c r="B48" s="129">
        <v>5.8599999999999999E-2</v>
      </c>
      <c r="C48" s="129">
        <v>4.0000000000000002E-4</v>
      </c>
      <c r="D48" s="129">
        <v>6.9999999999999999E-4</v>
      </c>
      <c r="E48" s="129">
        <v>7.7999999999999996E-3</v>
      </c>
      <c r="F48" s="129">
        <v>7.7999999999999996E-3</v>
      </c>
      <c r="G48" s="129">
        <v>1E-4</v>
      </c>
      <c r="H48" s="129">
        <v>1.35E-2</v>
      </c>
      <c r="I48" s="129">
        <v>0.39329999999999998</v>
      </c>
      <c r="J48" s="129">
        <v>2.8999999999999998E-3</v>
      </c>
      <c r="K48" s="129">
        <v>4.7999999999999996E-3</v>
      </c>
      <c r="L48" s="129">
        <v>1.9099999999999999E-2</v>
      </c>
      <c r="M48" s="129">
        <v>1.9099999999999999E-2</v>
      </c>
      <c r="N48" s="129">
        <v>4.0000000000000002E-4</v>
      </c>
      <c r="O48" s="129">
        <v>9.0300000000000005E-2</v>
      </c>
      <c r="P48" s="129">
        <v>0.45190000000000002</v>
      </c>
      <c r="Q48" s="129">
        <v>3.3E-3</v>
      </c>
      <c r="R48" s="129">
        <v>5.4999999999999997E-3</v>
      </c>
      <c r="S48" s="129">
        <v>2.69E-2</v>
      </c>
      <c r="T48" s="129">
        <v>2.69E-2</v>
      </c>
      <c r="U48" s="129">
        <v>5.0000000000000001E-4</v>
      </c>
      <c r="V48" s="129">
        <v>0.1038</v>
      </c>
      <c r="W48" s="130" t="s">
        <v>184</v>
      </c>
      <c r="X48" s="130" t="s">
        <v>168</v>
      </c>
    </row>
    <row r="49" spans="1:24" x14ac:dyDescent="0.25">
      <c r="A49" s="130">
        <v>2104008220</v>
      </c>
      <c r="B49" s="129">
        <v>7.5200000000000003E-2</v>
      </c>
      <c r="C49" s="129">
        <v>5.0000000000000001E-4</v>
      </c>
      <c r="D49" s="129">
        <v>1.1000000000000001E-3</v>
      </c>
      <c r="E49" s="129">
        <v>6.4000000000000003E-3</v>
      </c>
      <c r="F49" s="129">
        <v>6.4000000000000003E-3</v>
      </c>
      <c r="G49" s="129">
        <v>2.0000000000000001E-4</v>
      </c>
      <c r="H49" s="129">
        <v>6.4000000000000003E-3</v>
      </c>
      <c r="I49" s="129">
        <v>0.50509999999999999</v>
      </c>
      <c r="J49" s="129">
        <v>3.2000000000000002E-3</v>
      </c>
      <c r="K49" s="129">
        <v>7.1999999999999998E-3</v>
      </c>
      <c r="L49" s="129">
        <v>0</v>
      </c>
      <c r="M49" s="129">
        <v>0</v>
      </c>
      <c r="N49" s="129">
        <v>0</v>
      </c>
      <c r="O49" s="129">
        <v>4.3099999999999999E-2</v>
      </c>
      <c r="P49" s="129">
        <v>0.58040000000000003</v>
      </c>
      <c r="Q49" s="129">
        <v>3.7000000000000002E-3</v>
      </c>
      <c r="R49" s="129">
        <v>8.2000000000000007E-3</v>
      </c>
      <c r="S49" s="129">
        <v>6.4000000000000003E-3</v>
      </c>
      <c r="T49" s="129">
        <v>6.4000000000000003E-3</v>
      </c>
      <c r="U49" s="129">
        <v>2.0000000000000001E-4</v>
      </c>
      <c r="V49" s="129">
        <v>4.9500000000000002E-2</v>
      </c>
      <c r="W49" s="130" t="s">
        <v>185</v>
      </c>
      <c r="X49" s="130" t="s">
        <v>168</v>
      </c>
    </row>
    <row r="50" spans="1:24" x14ac:dyDescent="0.25">
      <c r="A50" s="130">
        <v>2104008230</v>
      </c>
      <c r="B50" s="129">
        <v>3.44E-2</v>
      </c>
      <c r="C50" s="129">
        <v>2.9999999999999997E-4</v>
      </c>
      <c r="D50" s="129">
        <v>5.9999999999999995E-4</v>
      </c>
      <c r="E50" s="129">
        <v>4.1999999999999997E-3</v>
      </c>
      <c r="F50" s="129">
        <v>4.1999999999999997E-3</v>
      </c>
      <c r="G50" s="129">
        <v>1E-4</v>
      </c>
      <c r="H50" s="129">
        <v>4.7999999999999996E-3</v>
      </c>
      <c r="I50" s="129">
        <v>0.2311</v>
      </c>
      <c r="J50" s="129">
        <v>1.9E-3</v>
      </c>
      <c r="K50" s="129">
        <v>4.3E-3</v>
      </c>
      <c r="L50" s="129">
        <v>0</v>
      </c>
      <c r="M50" s="129">
        <v>0</v>
      </c>
      <c r="N50" s="129">
        <v>0</v>
      </c>
      <c r="O50" s="129">
        <v>3.2399999999999998E-2</v>
      </c>
      <c r="P50" s="129">
        <v>0.26550000000000001</v>
      </c>
      <c r="Q50" s="129">
        <v>2.2000000000000001E-3</v>
      </c>
      <c r="R50" s="129">
        <v>5.0000000000000001E-3</v>
      </c>
      <c r="S50" s="129">
        <v>4.1999999999999997E-3</v>
      </c>
      <c r="T50" s="129">
        <v>4.1999999999999997E-3</v>
      </c>
      <c r="U50" s="129">
        <v>1E-4</v>
      </c>
      <c r="V50" s="129">
        <v>3.7199999999999997E-2</v>
      </c>
      <c r="W50" s="130" t="s">
        <v>186</v>
      </c>
      <c r="X50" s="130" t="s">
        <v>168</v>
      </c>
    </row>
    <row r="51" spans="1:24" x14ac:dyDescent="0.25">
      <c r="A51" s="130">
        <v>2104008310</v>
      </c>
      <c r="B51" s="129">
        <v>0.62409999999999999</v>
      </c>
      <c r="C51" s="129">
        <v>2E-3</v>
      </c>
      <c r="D51" s="129">
        <v>7.4999999999999997E-3</v>
      </c>
      <c r="E51" s="129">
        <v>6.25E-2</v>
      </c>
      <c r="F51" s="129">
        <v>6.25E-2</v>
      </c>
      <c r="G51" s="129">
        <v>2.0999999999999999E-3</v>
      </c>
      <c r="H51" s="129">
        <v>0.27300000000000002</v>
      </c>
      <c r="I51" s="129">
        <v>4.1902999999999997</v>
      </c>
      <c r="J51" s="129">
        <v>1.37E-2</v>
      </c>
      <c r="K51" s="129">
        <v>5.0200000000000002E-2</v>
      </c>
      <c r="L51" s="129">
        <v>0.18490000000000001</v>
      </c>
      <c r="M51" s="129">
        <v>0.18490000000000001</v>
      </c>
      <c r="N51" s="129">
        <v>8.8999999999999999E-3</v>
      </c>
      <c r="O51" s="129">
        <v>1.8328</v>
      </c>
      <c r="P51" s="129">
        <v>4.8144</v>
      </c>
      <c r="Q51" s="129">
        <v>1.5800000000000002E-2</v>
      </c>
      <c r="R51" s="129">
        <v>5.7700000000000001E-2</v>
      </c>
      <c r="S51" s="129">
        <v>0.2475</v>
      </c>
      <c r="T51" s="129">
        <v>0.2475</v>
      </c>
      <c r="U51" s="129">
        <v>1.09E-2</v>
      </c>
      <c r="V51" s="129">
        <v>2.1057999999999999</v>
      </c>
      <c r="W51" s="130" t="s">
        <v>187</v>
      </c>
      <c r="X51" s="130" t="s">
        <v>168</v>
      </c>
    </row>
    <row r="52" spans="1:24" x14ac:dyDescent="0.25">
      <c r="A52" s="130">
        <v>2104008320</v>
      </c>
      <c r="B52" s="129">
        <v>1.3408</v>
      </c>
      <c r="C52" s="129">
        <v>2.7000000000000001E-3</v>
      </c>
      <c r="D52" s="129">
        <v>1.7399999999999999E-2</v>
      </c>
      <c r="E52" s="129">
        <v>8.5900000000000004E-2</v>
      </c>
      <c r="F52" s="129">
        <v>8.5900000000000004E-2</v>
      </c>
      <c r="G52" s="129">
        <v>4.3E-3</v>
      </c>
      <c r="H52" s="129">
        <v>0.13009999999999999</v>
      </c>
      <c r="I52" s="129">
        <v>9.0021000000000004</v>
      </c>
      <c r="J52" s="129">
        <v>1.8200000000000001E-2</v>
      </c>
      <c r="K52" s="129">
        <v>0.1171</v>
      </c>
      <c r="L52" s="129">
        <v>0.2893</v>
      </c>
      <c r="M52" s="129">
        <v>0.2893</v>
      </c>
      <c r="N52" s="129">
        <v>2.35E-2</v>
      </c>
      <c r="O52" s="129">
        <v>0.87370000000000003</v>
      </c>
      <c r="P52" s="129">
        <v>10.3429</v>
      </c>
      <c r="Q52" s="129">
        <v>2.0899999999999998E-2</v>
      </c>
      <c r="R52" s="129">
        <v>0.1346</v>
      </c>
      <c r="S52" s="129">
        <v>0.37519999999999998</v>
      </c>
      <c r="T52" s="129">
        <v>0.37519999999999998</v>
      </c>
      <c r="U52" s="129">
        <v>2.7799999999999998E-2</v>
      </c>
      <c r="V52" s="129">
        <v>1.0038</v>
      </c>
      <c r="W52" s="130" t="s">
        <v>188</v>
      </c>
      <c r="X52" s="130" t="s">
        <v>168</v>
      </c>
    </row>
    <row r="53" spans="1:24" x14ac:dyDescent="0.25">
      <c r="A53" s="130">
        <v>2104008330</v>
      </c>
      <c r="B53" s="129">
        <v>0.80730000000000002</v>
      </c>
      <c r="C53" s="129">
        <v>1.6000000000000001E-3</v>
      </c>
      <c r="D53" s="129">
        <v>1.0500000000000001E-2</v>
      </c>
      <c r="E53" s="129">
        <v>5.74E-2</v>
      </c>
      <c r="F53" s="129">
        <v>5.74E-2</v>
      </c>
      <c r="G53" s="129">
        <v>2.5999999999999999E-3</v>
      </c>
      <c r="H53" s="129">
        <v>9.7900000000000001E-2</v>
      </c>
      <c r="I53" s="129">
        <v>5.4199000000000002</v>
      </c>
      <c r="J53" s="129">
        <v>1.09E-2</v>
      </c>
      <c r="K53" s="129">
        <v>7.0499999999999993E-2</v>
      </c>
      <c r="L53" s="129">
        <v>0.19320000000000001</v>
      </c>
      <c r="M53" s="129">
        <v>0.19320000000000001</v>
      </c>
      <c r="N53" s="129">
        <v>1.38E-2</v>
      </c>
      <c r="O53" s="129">
        <v>0.65749999999999997</v>
      </c>
      <c r="P53" s="129">
        <v>6.2271999999999998</v>
      </c>
      <c r="Q53" s="129">
        <v>1.26E-2</v>
      </c>
      <c r="R53" s="129">
        <v>8.1000000000000003E-2</v>
      </c>
      <c r="S53" s="129">
        <v>0.25069999999999998</v>
      </c>
      <c r="T53" s="129">
        <v>0.25069999999999998</v>
      </c>
      <c r="U53" s="129">
        <v>1.6400000000000001E-2</v>
      </c>
      <c r="V53" s="129">
        <v>0.75549999999999995</v>
      </c>
      <c r="W53" s="130" t="s">
        <v>189</v>
      </c>
      <c r="X53" s="130" t="s">
        <v>168</v>
      </c>
    </row>
    <row r="54" spans="1:24" x14ac:dyDescent="0.25">
      <c r="A54" s="130">
        <v>2104008410</v>
      </c>
      <c r="B54" s="129">
        <v>7.1000000000000004E-3</v>
      </c>
      <c r="C54" s="129">
        <v>1E-4</v>
      </c>
      <c r="D54" s="129">
        <v>2.8999999999999998E-3</v>
      </c>
      <c r="E54" s="129">
        <v>2.0999999999999999E-3</v>
      </c>
      <c r="F54" s="129">
        <v>2.0999999999999999E-3</v>
      </c>
      <c r="G54" s="129">
        <v>2.0000000000000001E-4</v>
      </c>
      <c r="H54" s="129">
        <v>1.6000000000000001E-3</v>
      </c>
      <c r="I54" s="129">
        <v>4.7699999999999999E-2</v>
      </c>
      <c r="J54" s="129">
        <v>2.9999999999999997E-4</v>
      </c>
      <c r="K54" s="129">
        <v>1.9199999999999998E-2</v>
      </c>
      <c r="L54" s="129">
        <v>7.9000000000000008E-3</v>
      </c>
      <c r="M54" s="129">
        <v>7.9000000000000008E-3</v>
      </c>
      <c r="N54" s="129">
        <v>1.1999999999999999E-3</v>
      </c>
      <c r="O54" s="129">
        <v>1.0999999999999999E-2</v>
      </c>
      <c r="P54" s="129">
        <v>5.4800000000000001E-2</v>
      </c>
      <c r="Q54" s="129">
        <v>4.0000000000000002E-4</v>
      </c>
      <c r="R54" s="129">
        <v>2.2100000000000002E-2</v>
      </c>
      <c r="S54" s="129">
        <v>0.01</v>
      </c>
      <c r="T54" s="129">
        <v>0.01</v>
      </c>
      <c r="U54" s="129">
        <v>1.5E-3</v>
      </c>
      <c r="V54" s="129">
        <v>1.2699999999999999E-2</v>
      </c>
      <c r="W54" s="130" t="s">
        <v>190</v>
      </c>
      <c r="X54" s="130" t="s">
        <v>168</v>
      </c>
    </row>
    <row r="55" spans="1:24" x14ac:dyDescent="0.25">
      <c r="A55" s="130">
        <v>2104008420</v>
      </c>
      <c r="B55" s="129">
        <v>2.4E-2</v>
      </c>
      <c r="C55" s="129">
        <v>2.0000000000000001E-4</v>
      </c>
      <c r="D55" s="129">
        <v>9.7000000000000003E-3</v>
      </c>
      <c r="E55" s="129">
        <v>7.1000000000000004E-3</v>
      </c>
      <c r="F55" s="129">
        <v>7.1000000000000004E-3</v>
      </c>
      <c r="G55" s="129">
        <v>8.0000000000000004E-4</v>
      </c>
      <c r="H55" s="129">
        <v>5.4999999999999997E-3</v>
      </c>
      <c r="I55" s="129">
        <v>0.161</v>
      </c>
      <c r="J55" s="129">
        <v>1.1999999999999999E-3</v>
      </c>
      <c r="K55" s="129">
        <v>6.4899999999999999E-2</v>
      </c>
      <c r="L55" s="129">
        <v>2.5000000000000001E-2</v>
      </c>
      <c r="M55" s="129">
        <v>2.5000000000000001E-2</v>
      </c>
      <c r="N55" s="129">
        <v>3.8999999999999998E-3</v>
      </c>
      <c r="O55" s="129">
        <v>3.7199999999999997E-2</v>
      </c>
      <c r="P55" s="129">
        <v>0.185</v>
      </c>
      <c r="Q55" s="129">
        <v>1.2999999999999999E-3</v>
      </c>
      <c r="R55" s="129">
        <v>7.46E-2</v>
      </c>
      <c r="S55" s="129">
        <v>3.2099999999999997E-2</v>
      </c>
      <c r="T55" s="129">
        <v>3.2099999999999997E-2</v>
      </c>
      <c r="U55" s="129">
        <v>4.7000000000000002E-3</v>
      </c>
      <c r="V55" s="129">
        <v>4.2700000000000002E-2</v>
      </c>
      <c r="W55" s="130" t="s">
        <v>191</v>
      </c>
      <c r="X55" s="130" t="s">
        <v>168</v>
      </c>
    </row>
    <row r="56" spans="1:24" x14ac:dyDescent="0.25">
      <c r="A56" s="130">
        <v>2104008610</v>
      </c>
      <c r="B56" s="129">
        <v>0.1371</v>
      </c>
      <c r="C56" s="129">
        <v>5.9999999999999995E-4</v>
      </c>
      <c r="D56" s="129">
        <v>3.5999999999999999E-3</v>
      </c>
      <c r="E56" s="129">
        <v>2.23E-2</v>
      </c>
      <c r="F56" s="129">
        <v>2.23E-2</v>
      </c>
      <c r="G56" s="129">
        <v>8.9999999999999998E-4</v>
      </c>
      <c r="H56" s="129">
        <v>0.1027</v>
      </c>
      <c r="I56" s="129">
        <v>1.4628000000000001</v>
      </c>
      <c r="J56" s="129">
        <v>5.8999999999999999E-3</v>
      </c>
      <c r="K56" s="129">
        <v>3.8899999999999997E-2</v>
      </c>
      <c r="L56" s="129">
        <v>9.8799999999999999E-2</v>
      </c>
      <c r="M56" s="129">
        <v>9.8799999999999999E-2</v>
      </c>
      <c r="N56" s="129">
        <v>7.1000000000000004E-3</v>
      </c>
      <c r="O56" s="129">
        <v>1.0964</v>
      </c>
      <c r="P56" s="129">
        <v>1.5999000000000001</v>
      </c>
      <c r="Q56" s="129">
        <v>6.4000000000000003E-3</v>
      </c>
      <c r="R56" s="129">
        <v>4.2599999999999999E-2</v>
      </c>
      <c r="S56" s="129">
        <v>0.1211</v>
      </c>
      <c r="T56" s="129">
        <v>0.1211</v>
      </c>
      <c r="U56" s="129">
        <v>8.0000000000000002E-3</v>
      </c>
      <c r="V56" s="129">
        <v>1.1992</v>
      </c>
      <c r="W56" s="130" t="s">
        <v>192</v>
      </c>
      <c r="X56" s="130" t="s">
        <v>168</v>
      </c>
    </row>
    <row r="58" spans="1:24" x14ac:dyDescent="0.25">
      <c r="B58" s="134">
        <f>SUMIFS(B39:B56,$X39:$X56,$X58)/B38</f>
        <v>0.94139841053223106</v>
      </c>
      <c r="C58" s="134">
        <f t="shared" ref="C58:V58" si="4">SUMIFS(C39:C56,$X39:$X56,$X58)/C38</f>
        <v>0.83088235294117663</v>
      </c>
      <c r="D58" s="134">
        <f t="shared" si="4"/>
        <v>0.30631578947368421</v>
      </c>
      <c r="E58" s="134">
        <f t="shared" si="4"/>
        <v>0.94513488936041212</v>
      </c>
      <c r="F58" s="134">
        <f t="shared" si="4"/>
        <v>0.94513488936041212</v>
      </c>
      <c r="G58" s="134">
        <f t="shared" si="4"/>
        <v>3.6491873658386999E-2</v>
      </c>
      <c r="H58" s="134">
        <f t="shared" si="4"/>
        <v>0.97652536618488694</v>
      </c>
      <c r="I58" s="134">
        <f t="shared" si="4"/>
        <v>0.94064782947788694</v>
      </c>
      <c r="J58" s="134">
        <f t="shared" si="4"/>
        <v>0.66145092460881927</v>
      </c>
      <c r="K58" s="134">
        <f t="shared" si="4"/>
        <v>0.16101439445323687</v>
      </c>
      <c r="L58" s="134">
        <f t="shared" si="4"/>
        <v>0.91399176954732508</v>
      </c>
      <c r="M58" s="134">
        <f t="shared" si="4"/>
        <v>0.91399176954732508</v>
      </c>
      <c r="N58" s="134">
        <f t="shared" si="4"/>
        <v>2.9212143446757769E-2</v>
      </c>
      <c r="O58" s="134">
        <f t="shared" si="4"/>
        <v>0.9746825949536615</v>
      </c>
      <c r="P58" s="134">
        <f t="shared" si="4"/>
        <v>0.94073634616537649</v>
      </c>
      <c r="Q58" s="134">
        <f t="shared" si="4"/>
        <v>0.67639429312581067</v>
      </c>
      <c r="R58" s="134">
        <f t="shared" si="4"/>
        <v>0.17079260144876576</v>
      </c>
      <c r="S58" s="134">
        <f t="shared" si="4"/>
        <v>0.92064724919093843</v>
      </c>
      <c r="T58" s="134">
        <f t="shared" si="4"/>
        <v>0.92064724919093843</v>
      </c>
      <c r="U58" s="134">
        <f t="shared" si="4"/>
        <v>3.0200271283810733E-2</v>
      </c>
      <c r="V58" s="134">
        <f t="shared" si="4"/>
        <v>0.9748948323106017</v>
      </c>
      <c r="X58" s="130" t="s">
        <v>168</v>
      </c>
    </row>
    <row r="59" spans="1:24" x14ac:dyDescent="0.25">
      <c r="B59" s="134">
        <f>SUMIFS(B39:B56,$X39:$X56,$X59)/B38</f>
        <v>1.2844183992935698E-3</v>
      </c>
      <c r="C59" s="134">
        <f t="shared" ref="C59:V59" si="5">SUMIFS(C39:C56,$X39:$X56,$X59)/C38</f>
        <v>1.4705882352941178E-2</v>
      </c>
      <c r="D59" s="134">
        <f t="shared" si="5"/>
        <v>0.65263157894736845</v>
      </c>
      <c r="E59" s="134">
        <f t="shared" si="5"/>
        <v>1.4852985753258562E-2</v>
      </c>
      <c r="F59" s="134">
        <f t="shared" si="5"/>
        <v>1.4852985753258562E-2</v>
      </c>
      <c r="G59" s="134">
        <f t="shared" si="5"/>
        <v>0.91628334866605343</v>
      </c>
      <c r="H59" s="134">
        <f t="shared" si="5"/>
        <v>7.3721990493743339E-3</v>
      </c>
      <c r="I59" s="134">
        <f t="shared" si="5"/>
        <v>2.497155818229953E-3</v>
      </c>
      <c r="J59" s="134">
        <f t="shared" si="5"/>
        <v>2.7027027027027025E-2</v>
      </c>
      <c r="K59" s="134">
        <f t="shared" si="5"/>
        <v>0.75503052226995249</v>
      </c>
      <c r="L59" s="134">
        <f t="shared" si="5"/>
        <v>2.3045267489711932E-2</v>
      </c>
      <c r="M59" s="134">
        <f t="shared" si="5"/>
        <v>2.3045267489711932E-2</v>
      </c>
      <c r="N59" s="134">
        <f t="shared" si="5"/>
        <v>0.91291387691461057</v>
      </c>
      <c r="O59" s="134">
        <f t="shared" si="5"/>
        <v>1.189264477420046E-2</v>
      </c>
      <c r="P59" s="134">
        <f t="shared" si="5"/>
        <v>2.3541366219717312E-3</v>
      </c>
      <c r="Q59" s="134">
        <f t="shared" si="5"/>
        <v>2.5940337224383919E-2</v>
      </c>
      <c r="R59" s="134">
        <f t="shared" si="5"/>
        <v>0.74822420704690895</v>
      </c>
      <c r="S59" s="134">
        <f t="shared" si="5"/>
        <v>2.1294498381877022E-2</v>
      </c>
      <c r="T59" s="134">
        <f t="shared" si="5"/>
        <v>2.1294498381877022E-2</v>
      </c>
      <c r="U59" s="134">
        <f t="shared" si="5"/>
        <v>0.9133886539535625</v>
      </c>
      <c r="V59" s="134">
        <f t="shared" si="5"/>
        <v>1.1452664891358882E-2</v>
      </c>
      <c r="X59" s="130" t="s">
        <v>167</v>
      </c>
    </row>
    <row r="60" spans="1:24" x14ac:dyDescent="0.25">
      <c r="B60" s="134">
        <f>SUMIFS(B39:B56,$X39:$X56,$X60)/B38</f>
        <v>5.7343929785127506E-2</v>
      </c>
      <c r="C60" s="134">
        <f t="shared" ref="C60:V60" si="6">SUMIFS(C39:C56,$X39:$X56,$X60)/C38</f>
        <v>0.15441176470588236</v>
      </c>
      <c r="D60" s="134">
        <f t="shared" si="6"/>
        <v>4.0526315789473688E-2</v>
      </c>
      <c r="E60" s="134">
        <f t="shared" si="6"/>
        <v>3.9709002728099421E-2</v>
      </c>
      <c r="F60" s="134">
        <f t="shared" si="6"/>
        <v>3.9709002728099421E-2</v>
      </c>
      <c r="G60" s="134">
        <f t="shared" si="6"/>
        <v>4.661146887457835E-2</v>
      </c>
      <c r="H60" s="134">
        <f t="shared" si="6"/>
        <v>1.5908429527597249E-2</v>
      </c>
      <c r="I60" s="134">
        <f t="shared" si="6"/>
        <v>5.4583246874977648E-2</v>
      </c>
      <c r="J60" s="134">
        <f t="shared" si="6"/>
        <v>0.10526315789473685</v>
      </c>
      <c r="K60" s="134">
        <f t="shared" si="6"/>
        <v>2.0800361745421658E-2</v>
      </c>
      <c r="L60" s="134">
        <f t="shared" si="6"/>
        <v>5.2839506172839494E-2</v>
      </c>
      <c r="M60" s="134">
        <f t="shared" si="6"/>
        <v>5.2839506172839494E-2</v>
      </c>
      <c r="N60" s="134">
        <f t="shared" si="6"/>
        <v>4.9756947629092906E-2</v>
      </c>
      <c r="O60" s="134">
        <f t="shared" si="6"/>
        <v>1.2514062248888411E-2</v>
      </c>
      <c r="P60" s="134">
        <f t="shared" si="6"/>
        <v>5.4905660972769645E-2</v>
      </c>
      <c r="Q60" s="134">
        <f t="shared" si="6"/>
        <v>0.10894941634241244</v>
      </c>
      <c r="R60" s="134">
        <f t="shared" si="6"/>
        <v>2.2118292425627687E-2</v>
      </c>
      <c r="S60" s="134">
        <f t="shared" si="6"/>
        <v>5.0032362459546925E-2</v>
      </c>
      <c r="T60" s="134">
        <f t="shared" si="6"/>
        <v>5.0032362459546925E-2</v>
      </c>
      <c r="U60" s="134">
        <f t="shared" si="6"/>
        <v>4.938961142583579E-2</v>
      </c>
      <c r="V60" s="134">
        <f t="shared" si="6"/>
        <v>1.2851684612712745E-2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2.2681902417733386E-3</v>
      </c>
      <c r="J61" s="134">
        <f t="shared" si="7"/>
        <v>0.20554765291607396</v>
      </c>
      <c r="K61" s="134">
        <f t="shared" si="7"/>
        <v>6.3079357901876548E-2</v>
      </c>
      <c r="L61" s="134">
        <f t="shared" si="7"/>
        <v>1.0288065843621397E-2</v>
      </c>
      <c r="M61" s="134">
        <f t="shared" si="7"/>
        <v>1.0288065843621397E-2</v>
      </c>
      <c r="N61" s="134">
        <f t="shared" si="7"/>
        <v>8.1170320095386578E-3</v>
      </c>
      <c r="O61" s="134">
        <f t="shared" si="7"/>
        <v>8.9998392885841307E-4</v>
      </c>
      <c r="P61" s="134">
        <f t="shared" si="7"/>
        <v>2.0007005607641792E-3</v>
      </c>
      <c r="Q61" s="134">
        <f t="shared" si="7"/>
        <v>0.1874189364461738</v>
      </c>
      <c r="R61" s="134">
        <f t="shared" si="7"/>
        <v>5.8864899078697519E-2</v>
      </c>
      <c r="S61" s="134">
        <f t="shared" si="7"/>
        <v>8.0906148867313909E-3</v>
      </c>
      <c r="T61" s="134">
        <f t="shared" si="7"/>
        <v>8.0906148867313909E-3</v>
      </c>
      <c r="U61" s="134">
        <f t="shared" si="7"/>
        <v>7.0613580148408189E-3</v>
      </c>
      <c r="V61" s="134">
        <f t="shared" si="7"/>
        <v>8.1046659719810111E-4</v>
      </c>
      <c r="X61" s="130" t="s">
        <v>165</v>
      </c>
    </row>
    <row r="64" spans="1:24" x14ac:dyDescent="0.25">
      <c r="A64" s="129" t="s">
        <v>198</v>
      </c>
    </row>
    <row r="65" spans="1:24" x14ac:dyDescent="0.25">
      <c r="A65" s="132" t="s">
        <v>210</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3.7370999999999999</v>
      </c>
      <c r="C69" s="129">
        <v>1.3599999999999999E-2</v>
      </c>
      <c r="D69" s="129">
        <v>0.19</v>
      </c>
      <c r="E69" s="129">
        <v>0.32990000000000003</v>
      </c>
      <c r="F69" s="129">
        <v>0.32990000000000003</v>
      </c>
      <c r="G69" s="129">
        <v>0.3261</v>
      </c>
      <c r="H69" s="129">
        <v>1.0308999999999999</v>
      </c>
      <c r="I69" s="129">
        <v>27.951799999999999</v>
      </c>
      <c r="J69" s="133">
        <v>0.1406</v>
      </c>
      <c r="K69" s="133">
        <v>2.6537999999999999</v>
      </c>
      <c r="L69" s="129">
        <v>0.9083</v>
      </c>
      <c r="M69" s="166">
        <v>0.9083</v>
      </c>
      <c r="N69" s="133">
        <v>2.2574000000000001</v>
      </c>
      <c r="O69" s="133">
        <v>9.3335000000000008</v>
      </c>
      <c r="P69" s="129">
        <v>31.6889</v>
      </c>
      <c r="Q69" s="133">
        <v>0.1542</v>
      </c>
      <c r="R69" s="133">
        <v>2.8437999999999999</v>
      </c>
      <c r="S69" s="129">
        <v>1.2382</v>
      </c>
      <c r="T69" s="166">
        <v>1.2382</v>
      </c>
      <c r="U69" s="133">
        <v>2.5834999999999999</v>
      </c>
      <c r="V69" s="133">
        <v>10.3644</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1.1299999999999999E-2</v>
      </c>
      <c r="E72" s="129">
        <v>2.9999999999999997E-4</v>
      </c>
      <c r="F72" s="129">
        <v>2.9999999999999997E-4</v>
      </c>
      <c r="G72" s="129">
        <v>8.0000000000000002E-3</v>
      </c>
      <c r="H72" s="129">
        <v>4.0000000000000002E-4</v>
      </c>
      <c r="I72" s="129">
        <v>1.7000000000000001E-2</v>
      </c>
      <c r="J72" s="129">
        <v>8.9999999999999998E-4</v>
      </c>
      <c r="K72" s="129">
        <v>0.68230000000000002</v>
      </c>
      <c r="L72" s="129">
        <v>9.1000000000000004E-3</v>
      </c>
      <c r="M72" s="129">
        <v>9.1000000000000004E-3</v>
      </c>
      <c r="N72" s="129">
        <v>0.49490000000000001</v>
      </c>
      <c r="O72" s="129">
        <v>2.7E-2</v>
      </c>
      <c r="P72" s="129">
        <v>1.7299999999999999E-2</v>
      </c>
      <c r="Q72" s="129">
        <v>8.9999999999999998E-4</v>
      </c>
      <c r="R72" s="129">
        <v>0.69359999999999999</v>
      </c>
      <c r="S72" s="129">
        <v>9.4000000000000004E-3</v>
      </c>
      <c r="T72" s="129">
        <v>9.4000000000000004E-3</v>
      </c>
      <c r="U72" s="129">
        <v>0.50280000000000002</v>
      </c>
      <c r="V72" s="129">
        <v>2.75E-2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0.214</v>
      </c>
      <c r="C75" s="129">
        <v>2.0999999999999999E-3</v>
      </c>
      <c r="D75" s="129">
        <v>7.7000000000000002E-3</v>
      </c>
      <c r="E75" s="129">
        <v>1.3100000000000001E-2</v>
      </c>
      <c r="F75" s="129">
        <v>1.3100000000000001E-2</v>
      </c>
      <c r="G75" s="129">
        <v>1.52E-2</v>
      </c>
      <c r="H75" s="129">
        <v>1.6400000000000001E-2</v>
      </c>
      <c r="I75" s="129">
        <v>1.5214000000000001</v>
      </c>
      <c r="J75" s="129">
        <v>1.4800000000000001E-2</v>
      </c>
      <c r="K75" s="129">
        <v>5.5E-2</v>
      </c>
      <c r="L75" s="129">
        <v>4.4699999999999997E-2</v>
      </c>
      <c r="M75" s="129">
        <v>4.4699999999999997E-2</v>
      </c>
      <c r="N75" s="129">
        <v>8.14E-2</v>
      </c>
      <c r="O75" s="129">
        <v>0.11650000000000001</v>
      </c>
      <c r="P75" s="129">
        <v>1.7354000000000001</v>
      </c>
      <c r="Q75" s="129">
        <v>1.6799999999999999E-2</v>
      </c>
      <c r="R75" s="129">
        <v>6.2700000000000006E-2</v>
      </c>
      <c r="S75" s="129">
        <v>5.7799999999999997E-2</v>
      </c>
      <c r="T75" s="129">
        <v>5.7799999999999997E-2</v>
      </c>
      <c r="U75" s="129">
        <v>9.6600000000000005E-2</v>
      </c>
      <c r="V75" s="129">
        <v>0.13289999999999999</v>
      </c>
      <c r="W75" s="130" t="s">
        <v>180</v>
      </c>
      <c r="X75" s="130" t="s">
        <v>166</v>
      </c>
    </row>
    <row r="76" spans="1:24" x14ac:dyDescent="0.25">
      <c r="A76" s="130">
        <v>2104004000</v>
      </c>
      <c r="B76" s="129">
        <v>4.4999999999999997E-3</v>
      </c>
      <c r="C76" s="129">
        <v>2.0000000000000001E-4</v>
      </c>
      <c r="D76" s="129">
        <v>0.11269999999999999</v>
      </c>
      <c r="E76" s="129">
        <v>4.5999999999999999E-3</v>
      </c>
      <c r="F76" s="129">
        <v>4.5999999999999999E-3</v>
      </c>
      <c r="G76" s="129">
        <v>0.2908</v>
      </c>
      <c r="H76" s="129">
        <v>7.1999999999999998E-3</v>
      </c>
      <c r="I76" s="129">
        <v>5.28E-2</v>
      </c>
      <c r="J76" s="129">
        <v>2.8999999999999998E-3</v>
      </c>
      <c r="K76" s="129">
        <v>1.3213999999999999</v>
      </c>
      <c r="L76" s="129">
        <v>1.89E-2</v>
      </c>
      <c r="M76" s="129">
        <v>1.89E-2</v>
      </c>
      <c r="N76" s="129">
        <v>1.4958</v>
      </c>
      <c r="O76" s="129">
        <v>8.4000000000000005E-2</v>
      </c>
      <c r="P76" s="129">
        <v>5.7299999999999997E-2</v>
      </c>
      <c r="Q76" s="129">
        <v>3.0999999999999999E-3</v>
      </c>
      <c r="R76" s="129">
        <v>1.4341999999999999</v>
      </c>
      <c r="S76" s="129">
        <v>2.35E-2</v>
      </c>
      <c r="T76" s="129">
        <v>2.35E-2</v>
      </c>
      <c r="U76" s="129">
        <v>1.7867</v>
      </c>
      <c r="V76" s="129">
        <v>9.1200000000000003E-2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0.40920000000000001</v>
      </c>
      <c r="C78" s="129">
        <v>2.8999999999999998E-3</v>
      </c>
      <c r="D78" s="129">
        <v>4.1999999999999997E-3</v>
      </c>
      <c r="E78" s="129">
        <v>5.6099999999999997E-2</v>
      </c>
      <c r="F78" s="129">
        <v>5.6099999999999997E-2</v>
      </c>
      <c r="G78" s="129">
        <v>5.9999999999999995E-4</v>
      </c>
      <c r="H78" s="129">
        <v>0.371</v>
      </c>
      <c r="I78" s="129">
        <v>4.8776000000000002</v>
      </c>
      <c r="J78" s="129">
        <v>3.4799999999999998E-2</v>
      </c>
      <c r="K78" s="129">
        <v>5.0200000000000002E-2</v>
      </c>
      <c r="L78" s="129">
        <v>0.22720000000000001</v>
      </c>
      <c r="M78" s="129">
        <v>0.22720000000000001</v>
      </c>
      <c r="N78" s="129">
        <v>4.7000000000000002E-3</v>
      </c>
      <c r="O78" s="129">
        <v>4.4218999999999999</v>
      </c>
      <c r="P78" s="129">
        <v>5.2868000000000004</v>
      </c>
      <c r="Q78" s="129">
        <v>3.7699999999999997E-2</v>
      </c>
      <c r="R78" s="129">
        <v>5.4399999999999997E-2</v>
      </c>
      <c r="S78" s="129">
        <v>0.2833</v>
      </c>
      <c r="T78" s="129">
        <v>0.2833</v>
      </c>
      <c r="U78" s="129">
        <v>5.3E-3</v>
      </c>
      <c r="V78" s="129">
        <v>4.7929000000000004</v>
      </c>
      <c r="W78" s="130" t="s">
        <v>183</v>
      </c>
      <c r="X78" s="130" t="s">
        <v>168</v>
      </c>
    </row>
    <row r="79" spans="1:24" x14ac:dyDescent="0.25">
      <c r="A79" s="130">
        <v>2104008210</v>
      </c>
      <c r="B79" s="129">
        <v>5.8599999999999999E-2</v>
      </c>
      <c r="C79" s="129">
        <v>4.0000000000000002E-4</v>
      </c>
      <c r="D79" s="129">
        <v>6.9999999999999999E-4</v>
      </c>
      <c r="E79" s="129">
        <v>7.7999999999999996E-3</v>
      </c>
      <c r="F79" s="129">
        <v>7.7999999999999996E-3</v>
      </c>
      <c r="G79" s="129">
        <v>1E-4</v>
      </c>
      <c r="H79" s="129">
        <v>1.35E-2</v>
      </c>
      <c r="I79" s="129">
        <v>0.39329999999999998</v>
      </c>
      <c r="J79" s="129">
        <v>2.8999999999999998E-3</v>
      </c>
      <c r="K79" s="129">
        <v>4.7999999999999996E-3</v>
      </c>
      <c r="L79" s="129">
        <v>1.3599999999999999E-2</v>
      </c>
      <c r="M79" s="129">
        <v>1.3599999999999999E-2</v>
      </c>
      <c r="N79" s="129">
        <v>6.9999999999999999E-4</v>
      </c>
      <c r="O79" s="129">
        <v>9.0300000000000005E-2</v>
      </c>
      <c r="P79" s="129">
        <v>0.45190000000000002</v>
      </c>
      <c r="Q79" s="129">
        <v>3.3E-3</v>
      </c>
      <c r="R79" s="129">
        <v>5.4999999999999997E-3</v>
      </c>
      <c r="S79" s="129">
        <v>2.1299999999999999E-2</v>
      </c>
      <c r="T79" s="129">
        <v>2.1299999999999999E-2</v>
      </c>
      <c r="U79" s="129">
        <v>8.0000000000000004E-4</v>
      </c>
      <c r="V79" s="129">
        <v>0.1038</v>
      </c>
      <c r="W79" s="130" t="s">
        <v>184</v>
      </c>
      <c r="X79" s="130" t="s">
        <v>168</v>
      </c>
    </row>
    <row r="80" spans="1:24" x14ac:dyDescent="0.25">
      <c r="A80" s="130">
        <v>2104008220</v>
      </c>
      <c r="B80" s="129">
        <v>7.5200000000000003E-2</v>
      </c>
      <c r="C80" s="129">
        <v>5.0000000000000001E-4</v>
      </c>
      <c r="D80" s="129">
        <v>1.1000000000000001E-3</v>
      </c>
      <c r="E80" s="129">
        <v>6.4000000000000003E-3</v>
      </c>
      <c r="F80" s="129">
        <v>6.4000000000000003E-3</v>
      </c>
      <c r="G80" s="129">
        <v>2.0000000000000001E-4</v>
      </c>
      <c r="H80" s="129">
        <v>6.4000000000000003E-3</v>
      </c>
      <c r="I80" s="129">
        <v>0.50509999999999999</v>
      </c>
      <c r="J80" s="129">
        <v>3.2000000000000002E-3</v>
      </c>
      <c r="K80" s="129">
        <v>7.1999999999999998E-3</v>
      </c>
      <c r="L80" s="129">
        <v>0</v>
      </c>
      <c r="M80" s="129">
        <v>0</v>
      </c>
      <c r="N80" s="129">
        <v>0</v>
      </c>
      <c r="O80" s="129">
        <v>4.3099999999999999E-2</v>
      </c>
      <c r="P80" s="129">
        <v>0.58040000000000003</v>
      </c>
      <c r="Q80" s="129">
        <v>3.7000000000000002E-3</v>
      </c>
      <c r="R80" s="129">
        <v>8.2000000000000007E-3</v>
      </c>
      <c r="S80" s="129">
        <v>6.4000000000000003E-3</v>
      </c>
      <c r="T80" s="129">
        <v>6.4000000000000003E-3</v>
      </c>
      <c r="U80" s="129">
        <v>2.0000000000000001E-4</v>
      </c>
      <c r="V80" s="129">
        <v>4.9500000000000002E-2</v>
      </c>
      <c r="W80" s="130" t="s">
        <v>185</v>
      </c>
      <c r="X80" s="130" t="s">
        <v>168</v>
      </c>
    </row>
    <row r="81" spans="1:24" x14ac:dyDescent="0.25">
      <c r="A81" s="130">
        <v>2104008230</v>
      </c>
      <c r="B81" s="129">
        <v>3.44E-2</v>
      </c>
      <c r="C81" s="129">
        <v>2.9999999999999997E-4</v>
      </c>
      <c r="D81" s="129">
        <v>5.9999999999999995E-4</v>
      </c>
      <c r="E81" s="129">
        <v>4.1999999999999997E-3</v>
      </c>
      <c r="F81" s="129">
        <v>4.1999999999999997E-3</v>
      </c>
      <c r="G81" s="129">
        <v>1E-4</v>
      </c>
      <c r="H81" s="129">
        <v>4.7999999999999996E-3</v>
      </c>
      <c r="I81" s="129">
        <v>0.2311</v>
      </c>
      <c r="J81" s="129">
        <v>1.9E-3</v>
      </c>
      <c r="K81" s="129">
        <v>4.3E-3</v>
      </c>
      <c r="L81" s="129">
        <v>0</v>
      </c>
      <c r="M81" s="129">
        <v>0</v>
      </c>
      <c r="N81" s="129">
        <v>0</v>
      </c>
      <c r="O81" s="129">
        <v>3.2399999999999998E-2</v>
      </c>
      <c r="P81" s="129">
        <v>0.26550000000000001</v>
      </c>
      <c r="Q81" s="129">
        <v>2.2000000000000001E-3</v>
      </c>
      <c r="R81" s="129">
        <v>5.0000000000000001E-3</v>
      </c>
      <c r="S81" s="129">
        <v>4.1999999999999997E-3</v>
      </c>
      <c r="T81" s="129">
        <v>4.1999999999999997E-3</v>
      </c>
      <c r="U81" s="129">
        <v>1E-4</v>
      </c>
      <c r="V81" s="129">
        <v>3.7199999999999997E-2</v>
      </c>
      <c r="W81" s="130" t="s">
        <v>186</v>
      </c>
      <c r="X81" s="130" t="s">
        <v>168</v>
      </c>
    </row>
    <row r="82" spans="1:24" x14ac:dyDescent="0.25">
      <c r="A82" s="130">
        <v>2104008310</v>
      </c>
      <c r="B82" s="129">
        <v>0.62409999999999999</v>
      </c>
      <c r="C82" s="129">
        <v>2E-3</v>
      </c>
      <c r="D82" s="129">
        <v>7.4999999999999997E-3</v>
      </c>
      <c r="E82" s="129">
        <v>6.25E-2</v>
      </c>
      <c r="F82" s="129">
        <v>6.25E-2</v>
      </c>
      <c r="G82" s="129">
        <v>2.0999999999999999E-3</v>
      </c>
      <c r="H82" s="129">
        <v>0.27300000000000002</v>
      </c>
      <c r="I82" s="129">
        <v>4.1902999999999997</v>
      </c>
      <c r="J82" s="129">
        <v>1.37E-2</v>
      </c>
      <c r="K82" s="129">
        <v>5.0200000000000002E-2</v>
      </c>
      <c r="L82" s="129">
        <v>0.13150000000000001</v>
      </c>
      <c r="M82" s="129">
        <v>0.13150000000000001</v>
      </c>
      <c r="N82" s="129">
        <v>2.23E-2</v>
      </c>
      <c r="O82" s="129">
        <v>1.8328</v>
      </c>
      <c r="P82" s="129">
        <v>4.8144</v>
      </c>
      <c r="Q82" s="129">
        <v>1.5800000000000002E-2</v>
      </c>
      <c r="R82" s="129">
        <v>5.7700000000000001E-2</v>
      </c>
      <c r="S82" s="129">
        <v>0.19409999999999999</v>
      </c>
      <c r="T82" s="129">
        <v>0.19409999999999999</v>
      </c>
      <c r="U82" s="129">
        <v>2.4299999999999999E-2</v>
      </c>
      <c r="V82" s="129">
        <v>2.1057999999999999</v>
      </c>
      <c r="W82" s="130" t="s">
        <v>187</v>
      </c>
      <c r="X82" s="130" t="s">
        <v>168</v>
      </c>
    </row>
    <row r="83" spans="1:24" x14ac:dyDescent="0.25">
      <c r="A83" s="130">
        <v>2104008320</v>
      </c>
      <c r="B83" s="129">
        <v>1.3408</v>
      </c>
      <c r="C83" s="129">
        <v>2.7000000000000001E-3</v>
      </c>
      <c r="D83" s="129">
        <v>1.7399999999999999E-2</v>
      </c>
      <c r="E83" s="129">
        <v>8.5900000000000004E-2</v>
      </c>
      <c r="F83" s="129">
        <v>8.5900000000000004E-2</v>
      </c>
      <c r="G83" s="129">
        <v>4.3E-3</v>
      </c>
      <c r="H83" s="129">
        <v>0.13009999999999999</v>
      </c>
      <c r="I83" s="129">
        <v>9.0021000000000004</v>
      </c>
      <c r="J83" s="129">
        <v>1.8200000000000001E-2</v>
      </c>
      <c r="K83" s="129">
        <v>0.1171</v>
      </c>
      <c r="L83" s="129">
        <v>0.2135</v>
      </c>
      <c r="M83" s="129">
        <v>0.2135</v>
      </c>
      <c r="N83" s="129">
        <v>6.5600000000000006E-2</v>
      </c>
      <c r="O83" s="129">
        <v>0.87370000000000003</v>
      </c>
      <c r="P83" s="129">
        <v>10.3429</v>
      </c>
      <c r="Q83" s="129">
        <v>2.0899999999999998E-2</v>
      </c>
      <c r="R83" s="129">
        <v>0.1346</v>
      </c>
      <c r="S83" s="129">
        <v>0.2994</v>
      </c>
      <c r="T83" s="129">
        <v>0.2994</v>
      </c>
      <c r="U83" s="129">
        <v>7.0000000000000007E-2</v>
      </c>
      <c r="V83" s="129">
        <v>1.0038</v>
      </c>
      <c r="W83" s="130" t="s">
        <v>188</v>
      </c>
      <c r="X83" s="130" t="s">
        <v>168</v>
      </c>
    </row>
    <row r="84" spans="1:24" x14ac:dyDescent="0.25">
      <c r="A84" s="130">
        <v>2104008330</v>
      </c>
      <c r="B84" s="129">
        <v>0.80730000000000002</v>
      </c>
      <c r="C84" s="129">
        <v>1.6000000000000001E-3</v>
      </c>
      <c r="D84" s="129">
        <v>1.0500000000000001E-2</v>
      </c>
      <c r="E84" s="129">
        <v>5.74E-2</v>
      </c>
      <c r="F84" s="129">
        <v>5.74E-2</v>
      </c>
      <c r="G84" s="129">
        <v>2.5999999999999999E-3</v>
      </c>
      <c r="H84" s="129">
        <v>9.7900000000000001E-2</v>
      </c>
      <c r="I84" s="129">
        <v>5.4199000000000002</v>
      </c>
      <c r="J84" s="129">
        <v>1.09E-2</v>
      </c>
      <c r="K84" s="129">
        <v>7.0499999999999993E-2</v>
      </c>
      <c r="L84" s="129">
        <v>0.1426</v>
      </c>
      <c r="M84" s="129">
        <v>0.1426</v>
      </c>
      <c r="N84" s="129">
        <v>4.0399999999999998E-2</v>
      </c>
      <c r="O84" s="129">
        <v>0.65749999999999997</v>
      </c>
      <c r="P84" s="129">
        <v>6.2271999999999998</v>
      </c>
      <c r="Q84" s="129">
        <v>1.26E-2</v>
      </c>
      <c r="R84" s="129">
        <v>8.1000000000000003E-2</v>
      </c>
      <c r="S84" s="129">
        <v>0.2</v>
      </c>
      <c r="T84" s="129">
        <v>0.2</v>
      </c>
      <c r="U84" s="129">
        <v>4.2999999999999997E-2</v>
      </c>
      <c r="V84" s="129">
        <v>0.75549999999999995</v>
      </c>
      <c r="W84" s="130" t="s">
        <v>189</v>
      </c>
      <c r="X84" s="130" t="s">
        <v>168</v>
      </c>
    </row>
    <row r="85" spans="1:24" x14ac:dyDescent="0.25">
      <c r="A85" s="130">
        <v>2104008410</v>
      </c>
      <c r="B85" s="129">
        <v>7.1000000000000004E-3</v>
      </c>
      <c r="C85" s="129">
        <v>1E-4</v>
      </c>
      <c r="D85" s="129">
        <v>2.8999999999999998E-3</v>
      </c>
      <c r="E85" s="129">
        <v>2.0999999999999999E-3</v>
      </c>
      <c r="F85" s="129">
        <v>2.0999999999999999E-3</v>
      </c>
      <c r="G85" s="129">
        <v>2.0000000000000001E-4</v>
      </c>
      <c r="H85" s="129">
        <v>1.6000000000000001E-3</v>
      </c>
      <c r="I85" s="129">
        <v>4.7699999999999999E-2</v>
      </c>
      <c r="J85" s="129">
        <v>2.9999999999999997E-4</v>
      </c>
      <c r="K85" s="129">
        <v>1.9199999999999998E-2</v>
      </c>
      <c r="L85" s="129">
        <v>5.5999999999999999E-3</v>
      </c>
      <c r="M85" s="129">
        <v>5.5999999999999999E-3</v>
      </c>
      <c r="N85" s="129">
        <v>3.5999999999999999E-3</v>
      </c>
      <c r="O85" s="129">
        <v>1.0999999999999999E-2</v>
      </c>
      <c r="P85" s="129">
        <v>5.4800000000000001E-2</v>
      </c>
      <c r="Q85" s="129">
        <v>4.0000000000000002E-4</v>
      </c>
      <c r="R85" s="129">
        <v>2.2100000000000002E-2</v>
      </c>
      <c r="S85" s="129">
        <v>7.7000000000000002E-3</v>
      </c>
      <c r="T85" s="129">
        <v>7.7000000000000002E-3</v>
      </c>
      <c r="U85" s="129">
        <v>3.8999999999999998E-3</v>
      </c>
      <c r="V85" s="129">
        <v>1.2699999999999999E-2</v>
      </c>
      <c r="W85" s="130" t="s">
        <v>190</v>
      </c>
      <c r="X85" s="130" t="s">
        <v>168</v>
      </c>
    </row>
    <row r="86" spans="1:24" x14ac:dyDescent="0.25">
      <c r="A86" s="130">
        <v>2104008420</v>
      </c>
      <c r="B86" s="129">
        <v>2.4E-2</v>
      </c>
      <c r="C86" s="129">
        <v>2.0000000000000001E-4</v>
      </c>
      <c r="D86" s="129">
        <v>9.7000000000000003E-3</v>
      </c>
      <c r="E86" s="129">
        <v>7.1000000000000004E-3</v>
      </c>
      <c r="F86" s="129">
        <v>7.1000000000000004E-3</v>
      </c>
      <c r="G86" s="129">
        <v>8.0000000000000004E-4</v>
      </c>
      <c r="H86" s="129">
        <v>5.4999999999999997E-3</v>
      </c>
      <c r="I86" s="129">
        <v>0.161</v>
      </c>
      <c r="J86" s="129">
        <v>1.1999999999999999E-3</v>
      </c>
      <c r="K86" s="129">
        <v>6.4899999999999999E-2</v>
      </c>
      <c r="L86" s="129">
        <v>1.7899999999999999E-2</v>
      </c>
      <c r="M86" s="129">
        <v>1.7899999999999999E-2</v>
      </c>
      <c r="N86" s="129">
        <v>1.4999999999999999E-2</v>
      </c>
      <c r="O86" s="129">
        <v>3.7199999999999997E-2</v>
      </c>
      <c r="P86" s="129">
        <v>0.185</v>
      </c>
      <c r="Q86" s="129">
        <v>1.2999999999999999E-3</v>
      </c>
      <c r="R86" s="129">
        <v>7.46E-2</v>
      </c>
      <c r="S86" s="129">
        <v>2.5000000000000001E-2</v>
      </c>
      <c r="T86" s="129">
        <v>2.5000000000000001E-2</v>
      </c>
      <c r="U86" s="129">
        <v>1.5800000000000002E-2</v>
      </c>
      <c r="V86" s="129">
        <v>4.2700000000000002E-2</v>
      </c>
      <c r="W86" s="130" t="s">
        <v>191</v>
      </c>
      <c r="X86" s="130" t="s">
        <v>168</v>
      </c>
    </row>
    <row r="87" spans="1:24" x14ac:dyDescent="0.25">
      <c r="A87" s="130">
        <v>2104008610</v>
      </c>
      <c r="B87" s="129">
        <v>0.1371</v>
      </c>
      <c r="C87" s="129">
        <v>5.9999999999999995E-4</v>
      </c>
      <c r="D87" s="129">
        <v>3.5999999999999999E-3</v>
      </c>
      <c r="E87" s="129">
        <v>2.23E-2</v>
      </c>
      <c r="F87" s="129">
        <v>2.23E-2</v>
      </c>
      <c r="G87" s="129">
        <v>8.9999999999999998E-4</v>
      </c>
      <c r="H87" s="129">
        <v>0.1027</v>
      </c>
      <c r="I87" s="129">
        <v>1.4628000000000001</v>
      </c>
      <c r="J87" s="129">
        <v>5.8999999999999999E-3</v>
      </c>
      <c r="K87" s="129">
        <v>3.8899999999999997E-2</v>
      </c>
      <c r="L87" s="129">
        <v>7.0699999999999999E-2</v>
      </c>
      <c r="M87" s="129">
        <v>7.0699999999999999E-2</v>
      </c>
      <c r="N87" s="129">
        <v>1.5100000000000001E-2</v>
      </c>
      <c r="O87" s="129">
        <v>1.0964</v>
      </c>
      <c r="P87" s="129">
        <v>1.5999000000000001</v>
      </c>
      <c r="Q87" s="129">
        <v>6.4000000000000003E-3</v>
      </c>
      <c r="R87" s="129">
        <v>4.2599999999999999E-2</v>
      </c>
      <c r="S87" s="129">
        <v>9.3100000000000002E-2</v>
      </c>
      <c r="T87" s="129">
        <v>9.3100000000000002E-2</v>
      </c>
      <c r="U87" s="129">
        <v>1.6E-2</v>
      </c>
      <c r="V87" s="129">
        <v>1.1992</v>
      </c>
      <c r="W87" s="130" t="s">
        <v>192</v>
      </c>
      <c r="X87" s="130" t="s">
        <v>168</v>
      </c>
    </row>
    <row r="89" spans="1:24" x14ac:dyDescent="0.25">
      <c r="B89" s="135">
        <f>SUMIFS(B70:B87,$X70:$X87,$X89)/B69</f>
        <v>0.94139841053223106</v>
      </c>
      <c r="C89" s="135">
        <f t="shared" ref="C89:V89" si="8">SUMIFS(C70:C87,$X70:$X87,$X89)/C69</f>
        <v>0.83088235294117663</v>
      </c>
      <c r="D89" s="135">
        <f t="shared" si="8"/>
        <v>0.30631578947368421</v>
      </c>
      <c r="E89" s="135">
        <f t="shared" si="8"/>
        <v>0.94513488936041212</v>
      </c>
      <c r="F89" s="135">
        <f t="shared" si="8"/>
        <v>0.94513488936041212</v>
      </c>
      <c r="G89" s="135">
        <f t="shared" si="8"/>
        <v>3.6491873658386999E-2</v>
      </c>
      <c r="H89" s="135">
        <f t="shared" si="8"/>
        <v>0.97652536618488694</v>
      </c>
      <c r="I89" s="135">
        <f t="shared" si="8"/>
        <v>0.94064782947788694</v>
      </c>
      <c r="J89" s="136">
        <f t="shared" si="8"/>
        <v>0.66145092460881927</v>
      </c>
      <c r="K89" s="136">
        <f t="shared" si="8"/>
        <v>0.16101439445323687</v>
      </c>
      <c r="L89" s="135">
        <f t="shared" si="8"/>
        <v>0.90597820103490057</v>
      </c>
      <c r="M89" s="136">
        <f t="shared" si="8"/>
        <v>0.90597820103490057</v>
      </c>
      <c r="N89" s="136">
        <f t="shared" si="8"/>
        <v>7.4156108797731893E-2</v>
      </c>
      <c r="O89" s="136">
        <f t="shared" si="8"/>
        <v>0.9746825949536615</v>
      </c>
      <c r="P89" s="135">
        <f t="shared" si="8"/>
        <v>0.94073634616537649</v>
      </c>
      <c r="Q89" s="136">
        <f t="shared" si="8"/>
        <v>0.67639429312581067</v>
      </c>
      <c r="R89" s="136">
        <f t="shared" si="8"/>
        <v>0.17079260144876576</v>
      </c>
      <c r="S89" s="135">
        <f t="shared" si="8"/>
        <v>0.91649168147310622</v>
      </c>
      <c r="T89" s="136">
        <f t="shared" si="8"/>
        <v>0.91649168147310622</v>
      </c>
      <c r="U89" s="136">
        <f t="shared" si="8"/>
        <v>6.9440681246371205E-2</v>
      </c>
      <c r="V89" s="136">
        <f t="shared" si="8"/>
        <v>0.9748948323106017</v>
      </c>
      <c r="X89" s="130" t="s">
        <v>168</v>
      </c>
    </row>
    <row r="90" spans="1:24" x14ac:dyDescent="0.25">
      <c r="B90" s="135">
        <f>SUMIFS(B70:B87,$X70:$X87,$X90)/B69</f>
        <v>1.2844183992935698E-3</v>
      </c>
      <c r="C90" s="135">
        <f t="shared" ref="C90:V90" si="9">SUMIFS(C70:C87,$X70:$X87,$X90)/C69</f>
        <v>1.4705882352941178E-2</v>
      </c>
      <c r="D90" s="135">
        <f t="shared" si="9"/>
        <v>0.65263157894736845</v>
      </c>
      <c r="E90" s="135">
        <f t="shared" si="9"/>
        <v>1.4852985753258562E-2</v>
      </c>
      <c r="F90" s="135">
        <f t="shared" si="9"/>
        <v>1.4852985753258562E-2</v>
      </c>
      <c r="G90" s="135">
        <f t="shared" si="9"/>
        <v>0.91628334866605343</v>
      </c>
      <c r="H90" s="135">
        <f t="shared" si="9"/>
        <v>7.3721990493743339E-3</v>
      </c>
      <c r="I90" s="135">
        <f t="shared" si="9"/>
        <v>2.497155818229953E-3</v>
      </c>
      <c r="J90" s="136">
        <f t="shared" si="9"/>
        <v>2.7027027027027025E-2</v>
      </c>
      <c r="K90" s="136">
        <f t="shared" si="9"/>
        <v>0.75503052226995249</v>
      </c>
      <c r="L90" s="135">
        <f t="shared" si="9"/>
        <v>3.0826819332819555E-2</v>
      </c>
      <c r="M90" s="136">
        <f t="shared" si="9"/>
        <v>3.0826819332819555E-2</v>
      </c>
      <c r="N90" s="136">
        <f t="shared" si="9"/>
        <v>0.88185523168246649</v>
      </c>
      <c r="O90" s="136">
        <f t="shared" si="9"/>
        <v>1.189264477420046E-2</v>
      </c>
      <c r="P90" s="135">
        <f t="shared" si="9"/>
        <v>2.3541366219717312E-3</v>
      </c>
      <c r="Q90" s="136">
        <f t="shared" si="9"/>
        <v>2.5940337224383919E-2</v>
      </c>
      <c r="R90" s="136">
        <f t="shared" si="9"/>
        <v>0.74822420704690895</v>
      </c>
      <c r="S90" s="135">
        <f t="shared" si="9"/>
        <v>2.6570828622193506E-2</v>
      </c>
      <c r="T90" s="136">
        <f t="shared" si="9"/>
        <v>2.6570828622193506E-2</v>
      </c>
      <c r="U90" s="136">
        <f t="shared" si="9"/>
        <v>0.88620089026514415</v>
      </c>
      <c r="V90" s="136">
        <f t="shared" si="9"/>
        <v>1.1452664891358882E-2</v>
      </c>
      <c r="X90" s="130" t="s">
        <v>167</v>
      </c>
    </row>
    <row r="91" spans="1:24" x14ac:dyDescent="0.25">
      <c r="B91" s="135">
        <f>SUMIFS(B70:B87,$X70:$X87,$X91)/B69</f>
        <v>5.7343929785127506E-2</v>
      </c>
      <c r="C91" s="135">
        <f t="shared" ref="C91:V91" si="10">SUMIFS(C70:C87,$X70:$X87,$X91)/C69</f>
        <v>0.15441176470588236</v>
      </c>
      <c r="D91" s="135">
        <f t="shared" si="10"/>
        <v>4.0526315789473688E-2</v>
      </c>
      <c r="E91" s="135">
        <f t="shared" si="10"/>
        <v>3.9709002728099421E-2</v>
      </c>
      <c r="F91" s="135">
        <f t="shared" si="10"/>
        <v>3.9709002728099421E-2</v>
      </c>
      <c r="G91" s="135">
        <f t="shared" si="10"/>
        <v>4.661146887457835E-2</v>
      </c>
      <c r="H91" s="135">
        <f t="shared" si="10"/>
        <v>1.5908429527597249E-2</v>
      </c>
      <c r="I91" s="135">
        <f t="shared" si="10"/>
        <v>5.4583246874977648E-2</v>
      </c>
      <c r="J91" s="136">
        <f t="shared" si="10"/>
        <v>0.10526315789473685</v>
      </c>
      <c r="K91" s="136">
        <f t="shared" si="10"/>
        <v>2.0800361745421658E-2</v>
      </c>
      <c r="L91" s="135">
        <f t="shared" si="10"/>
        <v>4.9543102499174277E-2</v>
      </c>
      <c r="M91" s="136">
        <f t="shared" si="10"/>
        <v>4.9543102499174277E-2</v>
      </c>
      <c r="N91" s="136">
        <f t="shared" si="10"/>
        <v>3.6192079383361386E-2</v>
      </c>
      <c r="O91" s="136">
        <f t="shared" si="10"/>
        <v>1.2514062248888411E-2</v>
      </c>
      <c r="P91" s="135">
        <f t="shared" si="10"/>
        <v>5.4905660972769645E-2</v>
      </c>
      <c r="Q91" s="136">
        <f t="shared" si="10"/>
        <v>0.10894941634241244</v>
      </c>
      <c r="R91" s="136">
        <f t="shared" si="10"/>
        <v>2.2118292425627687E-2</v>
      </c>
      <c r="S91" s="135">
        <f t="shared" si="10"/>
        <v>4.6922952673235339E-2</v>
      </c>
      <c r="T91" s="136">
        <f t="shared" si="10"/>
        <v>4.6922952673235339E-2</v>
      </c>
      <c r="U91" s="136">
        <f t="shared" si="10"/>
        <v>3.7507257596284115E-2</v>
      </c>
      <c r="V91" s="136">
        <f t="shared" si="10"/>
        <v>1.2851684612712745E-2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2.2681902417733386E-3</v>
      </c>
      <c r="J92" s="136">
        <f t="shared" si="11"/>
        <v>0.20554765291607396</v>
      </c>
      <c r="K92" s="136">
        <f t="shared" si="11"/>
        <v>6.3079357901876548E-2</v>
      </c>
      <c r="L92" s="135">
        <f t="shared" si="11"/>
        <v>1.37619729164373E-2</v>
      </c>
      <c r="M92" s="136">
        <f t="shared" si="11"/>
        <v>1.37619729164373E-2</v>
      </c>
      <c r="N92" s="136">
        <f t="shared" si="11"/>
        <v>7.8408788872153783E-3</v>
      </c>
      <c r="O92" s="136">
        <f t="shared" si="11"/>
        <v>8.9998392885841307E-4</v>
      </c>
      <c r="P92" s="135">
        <f t="shared" si="11"/>
        <v>2.0007005607641792E-3</v>
      </c>
      <c r="Q92" s="136">
        <f t="shared" si="11"/>
        <v>0.1874189364461738</v>
      </c>
      <c r="R92" s="136">
        <f t="shared" si="11"/>
        <v>5.8864899078697519E-2</v>
      </c>
      <c r="S92" s="135">
        <f t="shared" si="11"/>
        <v>1.0095299628492973E-2</v>
      </c>
      <c r="T92" s="136">
        <f t="shared" si="11"/>
        <v>1.0095299628492973E-2</v>
      </c>
      <c r="U92" s="136">
        <f t="shared" si="11"/>
        <v>6.851170892200502E-3</v>
      </c>
      <c r="V92" s="136">
        <f t="shared" si="11"/>
        <v>8.1046659719810111E-4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D961-D4E3-4491-96C8-D430745C1F0D}">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211</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3.7936999999999999</v>
      </c>
      <c r="C7" s="129">
        <v>1.38E-2</v>
      </c>
      <c r="D7" s="129">
        <v>0.1915</v>
      </c>
      <c r="E7" s="129">
        <v>0.33489999999999998</v>
      </c>
      <c r="F7" s="129">
        <v>0.33489999999999998</v>
      </c>
      <c r="G7" s="129">
        <v>0.32769999999999999</v>
      </c>
      <c r="H7" s="129">
        <v>1.0468</v>
      </c>
      <c r="I7" s="129">
        <v>28.375299999999999</v>
      </c>
      <c r="J7" s="129">
        <v>0.14219999999999999</v>
      </c>
      <c r="K7" s="129">
        <v>2.6779000000000002</v>
      </c>
      <c r="L7" s="129">
        <v>2.6913999999999998</v>
      </c>
      <c r="M7" s="129">
        <v>2.6913999999999998</v>
      </c>
      <c r="N7" s="129">
        <v>4.1294000000000004</v>
      </c>
      <c r="O7" s="129">
        <v>9.4774999999999991</v>
      </c>
      <c r="P7" s="129">
        <v>32.168900000000001</v>
      </c>
      <c r="Q7" s="129">
        <v>0.156</v>
      </c>
      <c r="R7" s="129">
        <v>2.8694000000000002</v>
      </c>
      <c r="S7" s="129">
        <v>3.0264000000000002</v>
      </c>
      <c r="T7" s="129">
        <v>3.0264000000000002</v>
      </c>
      <c r="U7" s="129">
        <v>4.4570999999999996</v>
      </c>
      <c r="V7" s="129">
        <v>10.5243</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1.1299999999999999E-2</v>
      </c>
      <c r="E10" s="129">
        <v>2.9999999999999997E-4</v>
      </c>
      <c r="F10" s="129">
        <v>2.9999999999999997E-4</v>
      </c>
      <c r="G10" s="129">
        <v>8.0000000000000002E-3</v>
      </c>
      <c r="H10" s="129">
        <v>4.0000000000000002E-4</v>
      </c>
      <c r="I10" s="129">
        <v>1.72E-2</v>
      </c>
      <c r="J10" s="129">
        <v>8.9999999999999998E-4</v>
      </c>
      <c r="K10" s="129">
        <v>0.69169999999999998</v>
      </c>
      <c r="L10" s="129">
        <v>1.7500000000000002E-2</v>
      </c>
      <c r="M10" s="129">
        <v>1.7500000000000002E-2</v>
      </c>
      <c r="N10" s="129">
        <v>0.48899999999999999</v>
      </c>
      <c r="O10" s="129">
        <v>2.7400000000000001E-2</v>
      </c>
      <c r="P10" s="129">
        <v>1.7500000000000002E-2</v>
      </c>
      <c r="Q10" s="129">
        <v>1E-3</v>
      </c>
      <c r="R10" s="129">
        <v>0.70309999999999995</v>
      </c>
      <c r="S10" s="129">
        <v>1.78E-2</v>
      </c>
      <c r="T10" s="129">
        <v>1.78E-2</v>
      </c>
      <c r="U10" s="129">
        <v>0.497</v>
      </c>
      <c r="V10" s="129">
        <v>2.7900000000000001E-2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0.21560000000000001</v>
      </c>
      <c r="C13" s="129">
        <v>2.0999999999999999E-3</v>
      </c>
      <c r="D13" s="129">
        <v>7.7999999999999996E-3</v>
      </c>
      <c r="E13" s="129">
        <v>1.32E-2</v>
      </c>
      <c r="F13" s="129">
        <v>1.32E-2</v>
      </c>
      <c r="G13" s="129">
        <v>1.54E-2</v>
      </c>
      <c r="H13" s="129">
        <v>1.6500000000000001E-2</v>
      </c>
      <c r="I13" s="129">
        <v>1.5331999999999999</v>
      </c>
      <c r="J13" s="129">
        <v>1.49E-2</v>
      </c>
      <c r="K13" s="129">
        <v>5.5399999999999998E-2</v>
      </c>
      <c r="L13" s="129">
        <v>9.3799999999999994E-2</v>
      </c>
      <c r="M13" s="129">
        <v>9.3799999999999994E-2</v>
      </c>
      <c r="N13" s="129">
        <v>0.10920000000000001</v>
      </c>
      <c r="O13" s="129">
        <v>0.1174</v>
      </c>
      <c r="P13" s="129">
        <v>1.7487999999999999</v>
      </c>
      <c r="Q13" s="129">
        <v>1.7000000000000001E-2</v>
      </c>
      <c r="R13" s="129">
        <v>6.3200000000000006E-2</v>
      </c>
      <c r="S13" s="129">
        <v>0.107</v>
      </c>
      <c r="T13" s="129">
        <v>0.107</v>
      </c>
      <c r="U13" s="129">
        <v>0.1246</v>
      </c>
      <c r="V13" s="129">
        <v>0.13389999999999999</v>
      </c>
      <c r="W13" s="130" t="s">
        <v>180</v>
      </c>
      <c r="X13" s="130" t="s">
        <v>166</v>
      </c>
    </row>
    <row r="14" spans="1:24" x14ac:dyDescent="0.25">
      <c r="A14" s="130">
        <v>2104004000</v>
      </c>
      <c r="B14" s="129">
        <v>4.4999999999999997E-3</v>
      </c>
      <c r="C14" s="129">
        <v>2.0000000000000001E-4</v>
      </c>
      <c r="D14" s="129">
        <v>0.1132</v>
      </c>
      <c r="E14" s="129">
        <v>4.5999999999999999E-3</v>
      </c>
      <c r="F14" s="129">
        <v>4.5999999999999999E-3</v>
      </c>
      <c r="G14" s="129">
        <v>0.29210000000000003</v>
      </c>
      <c r="H14" s="129">
        <v>7.1999999999999998E-3</v>
      </c>
      <c r="I14" s="129">
        <v>5.3100000000000001E-2</v>
      </c>
      <c r="J14" s="129">
        <v>2.8999999999999998E-3</v>
      </c>
      <c r="K14" s="129">
        <v>1.3289</v>
      </c>
      <c r="L14" s="129">
        <v>5.4100000000000002E-2</v>
      </c>
      <c r="M14" s="129">
        <v>5.4100000000000002E-2</v>
      </c>
      <c r="N14" s="129">
        <v>3.4243000000000001</v>
      </c>
      <c r="O14" s="129">
        <v>8.4500000000000006E-2</v>
      </c>
      <c r="P14" s="129">
        <v>5.7599999999999998E-2</v>
      </c>
      <c r="Q14" s="129">
        <v>3.0999999999999999E-3</v>
      </c>
      <c r="R14" s="129">
        <v>1.4420999999999999</v>
      </c>
      <c r="S14" s="129">
        <v>5.8700000000000002E-2</v>
      </c>
      <c r="T14" s="129">
        <v>5.8700000000000002E-2</v>
      </c>
      <c r="U14" s="129">
        <v>3.7164000000000001</v>
      </c>
      <c r="V14" s="129">
        <v>9.1700000000000004E-2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0.41560000000000002</v>
      </c>
      <c r="C16" s="129">
        <v>3.0000000000000001E-3</v>
      </c>
      <c r="D16" s="129">
        <v>4.3E-3</v>
      </c>
      <c r="E16" s="129">
        <v>5.6899999999999999E-2</v>
      </c>
      <c r="F16" s="129">
        <v>5.6899999999999999E-2</v>
      </c>
      <c r="G16" s="129">
        <v>6.9999999999999999E-4</v>
      </c>
      <c r="H16" s="129">
        <v>0.37680000000000002</v>
      </c>
      <c r="I16" s="129">
        <v>4.9539</v>
      </c>
      <c r="J16" s="129">
        <v>3.5299999999999998E-2</v>
      </c>
      <c r="K16" s="129">
        <v>5.0999999999999997E-2</v>
      </c>
      <c r="L16" s="129">
        <v>0.67859999999999998</v>
      </c>
      <c r="M16" s="129">
        <v>0.67859999999999998</v>
      </c>
      <c r="N16" s="129">
        <v>7.7999999999999996E-3</v>
      </c>
      <c r="O16" s="129">
        <v>4.4911000000000003</v>
      </c>
      <c r="P16" s="129">
        <v>5.3696000000000002</v>
      </c>
      <c r="Q16" s="129">
        <v>3.8300000000000001E-2</v>
      </c>
      <c r="R16" s="129">
        <v>5.5300000000000002E-2</v>
      </c>
      <c r="S16" s="129">
        <v>0.73550000000000004</v>
      </c>
      <c r="T16" s="129">
        <v>0.73550000000000004</v>
      </c>
      <c r="U16" s="129">
        <v>8.5000000000000006E-3</v>
      </c>
      <c r="V16" s="129">
        <v>4.8678999999999997</v>
      </c>
      <c r="W16" s="130" t="s">
        <v>183</v>
      </c>
      <c r="X16" s="130" t="s">
        <v>168</v>
      </c>
    </row>
    <row r="17" spans="1:24" x14ac:dyDescent="0.25">
      <c r="A17" s="130">
        <v>2104008210</v>
      </c>
      <c r="B17" s="129">
        <v>5.9499999999999997E-2</v>
      </c>
      <c r="C17" s="129">
        <v>4.0000000000000002E-4</v>
      </c>
      <c r="D17" s="129">
        <v>6.9999999999999999E-4</v>
      </c>
      <c r="E17" s="129">
        <v>7.9000000000000008E-3</v>
      </c>
      <c r="F17" s="129">
        <v>7.9000000000000008E-3</v>
      </c>
      <c r="G17" s="129">
        <v>1E-4</v>
      </c>
      <c r="H17" s="129">
        <v>1.37E-2</v>
      </c>
      <c r="I17" s="129">
        <v>0.39939999999999998</v>
      </c>
      <c r="J17" s="129">
        <v>2.8999999999999998E-3</v>
      </c>
      <c r="K17" s="129">
        <v>4.7999999999999996E-3</v>
      </c>
      <c r="L17" s="129">
        <v>5.2999999999999999E-2</v>
      </c>
      <c r="M17" s="129">
        <v>5.2999999999999999E-2</v>
      </c>
      <c r="N17" s="129">
        <v>6.9999999999999999E-4</v>
      </c>
      <c r="O17" s="129">
        <v>9.1700000000000004E-2</v>
      </c>
      <c r="P17" s="129">
        <v>0.45889999999999997</v>
      </c>
      <c r="Q17" s="129">
        <v>3.3999999999999998E-3</v>
      </c>
      <c r="R17" s="129">
        <v>5.5999999999999999E-3</v>
      </c>
      <c r="S17" s="129">
        <v>6.08E-2</v>
      </c>
      <c r="T17" s="129">
        <v>6.08E-2</v>
      </c>
      <c r="U17" s="129">
        <v>8.0000000000000004E-4</v>
      </c>
      <c r="V17" s="129">
        <v>0.10539999999999999</v>
      </c>
      <c r="W17" s="130" t="s">
        <v>184</v>
      </c>
      <c r="X17" s="130" t="s">
        <v>168</v>
      </c>
    </row>
    <row r="18" spans="1:24" x14ac:dyDescent="0.25">
      <c r="A18" s="130">
        <v>2104008220</v>
      </c>
      <c r="B18" s="129">
        <v>7.6399999999999996E-2</v>
      </c>
      <c r="C18" s="129">
        <v>5.0000000000000001E-4</v>
      </c>
      <c r="D18" s="129">
        <v>1.1000000000000001E-3</v>
      </c>
      <c r="E18" s="129">
        <v>6.4999999999999997E-3</v>
      </c>
      <c r="F18" s="129">
        <v>6.4999999999999997E-3</v>
      </c>
      <c r="G18" s="129">
        <v>2.0000000000000001E-4</v>
      </c>
      <c r="H18" s="129">
        <v>6.4999999999999997E-3</v>
      </c>
      <c r="I18" s="129">
        <v>0.51300000000000001</v>
      </c>
      <c r="J18" s="129">
        <v>3.3E-3</v>
      </c>
      <c r="K18" s="129">
        <v>7.3000000000000001E-3</v>
      </c>
      <c r="L18" s="129">
        <v>4.3700000000000003E-2</v>
      </c>
      <c r="M18" s="129">
        <v>4.3700000000000003E-2</v>
      </c>
      <c r="N18" s="129">
        <v>1.5E-3</v>
      </c>
      <c r="O18" s="129">
        <v>4.3700000000000003E-2</v>
      </c>
      <c r="P18" s="129">
        <v>0.58950000000000002</v>
      </c>
      <c r="Q18" s="129">
        <v>3.8E-3</v>
      </c>
      <c r="R18" s="129">
        <v>8.3999999999999995E-3</v>
      </c>
      <c r="S18" s="129">
        <v>5.0200000000000002E-2</v>
      </c>
      <c r="T18" s="129">
        <v>5.0200000000000002E-2</v>
      </c>
      <c r="U18" s="129">
        <v>1.6999999999999999E-3</v>
      </c>
      <c r="V18" s="129">
        <v>5.0200000000000002E-2</v>
      </c>
      <c r="W18" s="130" t="s">
        <v>185</v>
      </c>
      <c r="X18" s="130" t="s">
        <v>168</v>
      </c>
    </row>
    <row r="19" spans="1:24" x14ac:dyDescent="0.25">
      <c r="A19" s="130">
        <v>2104008230</v>
      </c>
      <c r="B19" s="129">
        <v>3.5000000000000003E-2</v>
      </c>
      <c r="C19" s="129">
        <v>2.9999999999999997E-4</v>
      </c>
      <c r="D19" s="129">
        <v>6.9999999999999999E-4</v>
      </c>
      <c r="E19" s="129">
        <v>4.1999999999999997E-3</v>
      </c>
      <c r="F19" s="129">
        <v>4.1999999999999997E-3</v>
      </c>
      <c r="G19" s="129">
        <v>1E-4</v>
      </c>
      <c r="H19" s="129">
        <v>4.8999999999999998E-3</v>
      </c>
      <c r="I19" s="129">
        <v>0.23469999999999999</v>
      </c>
      <c r="J19" s="129">
        <v>2E-3</v>
      </c>
      <c r="K19" s="129">
        <v>4.4000000000000003E-3</v>
      </c>
      <c r="L19" s="129">
        <v>2.8500000000000001E-2</v>
      </c>
      <c r="M19" s="129">
        <v>2.8500000000000001E-2</v>
      </c>
      <c r="N19" s="129">
        <v>8.9999999999999998E-4</v>
      </c>
      <c r="O19" s="129">
        <v>3.2899999999999999E-2</v>
      </c>
      <c r="P19" s="129">
        <v>0.2697</v>
      </c>
      <c r="Q19" s="129">
        <v>2.3E-3</v>
      </c>
      <c r="R19" s="129">
        <v>5.0000000000000001E-3</v>
      </c>
      <c r="S19" s="129">
        <v>3.2800000000000003E-2</v>
      </c>
      <c r="T19" s="129">
        <v>3.2800000000000003E-2</v>
      </c>
      <c r="U19" s="129">
        <v>1E-3</v>
      </c>
      <c r="V19" s="129">
        <v>3.78E-2</v>
      </c>
      <c r="W19" s="130" t="s">
        <v>186</v>
      </c>
      <c r="X19" s="130" t="s">
        <v>168</v>
      </c>
    </row>
    <row r="20" spans="1:24" x14ac:dyDescent="0.25">
      <c r="A20" s="130">
        <v>2104008310</v>
      </c>
      <c r="B20" s="129">
        <v>0.63380000000000003</v>
      </c>
      <c r="C20" s="129">
        <v>2.0999999999999999E-3</v>
      </c>
      <c r="D20" s="129">
        <v>7.6E-3</v>
      </c>
      <c r="E20" s="129">
        <v>6.3500000000000001E-2</v>
      </c>
      <c r="F20" s="129">
        <v>6.3500000000000001E-2</v>
      </c>
      <c r="G20" s="129">
        <v>2.0999999999999999E-3</v>
      </c>
      <c r="H20" s="129">
        <v>0.2772</v>
      </c>
      <c r="I20" s="129">
        <v>4.2557999999999998</v>
      </c>
      <c r="J20" s="129">
        <v>1.3899999999999999E-2</v>
      </c>
      <c r="K20" s="129">
        <v>5.0999999999999997E-2</v>
      </c>
      <c r="L20" s="129">
        <v>0.42649999999999999</v>
      </c>
      <c r="M20" s="129">
        <v>0.42649999999999999</v>
      </c>
      <c r="N20" s="129">
        <v>1.4E-2</v>
      </c>
      <c r="O20" s="129">
        <v>1.8614999999999999</v>
      </c>
      <c r="P20" s="129">
        <v>4.8897000000000004</v>
      </c>
      <c r="Q20" s="129">
        <v>1.6E-2</v>
      </c>
      <c r="R20" s="129">
        <v>5.8599999999999999E-2</v>
      </c>
      <c r="S20" s="129">
        <v>0.49</v>
      </c>
      <c r="T20" s="129">
        <v>0.49</v>
      </c>
      <c r="U20" s="129">
        <v>1.61E-2</v>
      </c>
      <c r="V20" s="129">
        <v>2.1387</v>
      </c>
      <c r="W20" s="130" t="s">
        <v>187</v>
      </c>
      <c r="X20" s="130" t="s">
        <v>168</v>
      </c>
    </row>
    <row r="21" spans="1:24" x14ac:dyDescent="0.25">
      <c r="A21" s="130">
        <v>2104008320</v>
      </c>
      <c r="B21" s="129">
        <v>1.3616999999999999</v>
      </c>
      <c r="C21" s="129">
        <v>2.8E-3</v>
      </c>
      <c r="D21" s="129">
        <v>1.77E-2</v>
      </c>
      <c r="E21" s="129">
        <v>8.7300000000000003E-2</v>
      </c>
      <c r="F21" s="129">
        <v>8.7300000000000003E-2</v>
      </c>
      <c r="G21" s="129">
        <v>4.4000000000000003E-3</v>
      </c>
      <c r="H21" s="129">
        <v>0.13220000000000001</v>
      </c>
      <c r="I21" s="129">
        <v>9.1428999999999991</v>
      </c>
      <c r="J21" s="129">
        <v>1.8499999999999999E-2</v>
      </c>
      <c r="K21" s="129">
        <v>0.11899999999999999</v>
      </c>
      <c r="L21" s="129">
        <v>0.58599999999999997</v>
      </c>
      <c r="M21" s="129">
        <v>0.58599999999999997</v>
      </c>
      <c r="N21" s="129">
        <v>2.9600000000000001E-2</v>
      </c>
      <c r="O21" s="129">
        <v>0.88739999999999997</v>
      </c>
      <c r="P21" s="129">
        <v>10.5046</v>
      </c>
      <c r="Q21" s="129">
        <v>2.12E-2</v>
      </c>
      <c r="R21" s="129">
        <v>0.13669999999999999</v>
      </c>
      <c r="S21" s="129">
        <v>0.67330000000000001</v>
      </c>
      <c r="T21" s="129">
        <v>0.67330000000000001</v>
      </c>
      <c r="U21" s="129">
        <v>3.4000000000000002E-2</v>
      </c>
      <c r="V21" s="129">
        <v>1.0195000000000001</v>
      </c>
      <c r="W21" s="130" t="s">
        <v>188</v>
      </c>
      <c r="X21" s="130" t="s">
        <v>168</v>
      </c>
    </row>
    <row r="22" spans="1:24" x14ac:dyDescent="0.25">
      <c r="A22" s="130">
        <v>2104008330</v>
      </c>
      <c r="B22" s="129">
        <v>0.81989999999999996</v>
      </c>
      <c r="C22" s="129">
        <v>1.6999999999999999E-3</v>
      </c>
      <c r="D22" s="129">
        <v>1.0699999999999999E-2</v>
      </c>
      <c r="E22" s="129">
        <v>5.8299999999999998E-2</v>
      </c>
      <c r="F22" s="129">
        <v>5.8299999999999998E-2</v>
      </c>
      <c r="G22" s="129">
        <v>2.7000000000000001E-3</v>
      </c>
      <c r="H22" s="129">
        <v>9.9500000000000005E-2</v>
      </c>
      <c r="I22" s="129">
        <v>5.5046999999999997</v>
      </c>
      <c r="J22" s="129">
        <v>1.11E-2</v>
      </c>
      <c r="K22" s="129">
        <v>7.1599999999999997E-2</v>
      </c>
      <c r="L22" s="129">
        <v>0.39150000000000001</v>
      </c>
      <c r="M22" s="129">
        <v>0.39150000000000001</v>
      </c>
      <c r="N22" s="129">
        <v>1.78E-2</v>
      </c>
      <c r="O22" s="129">
        <v>0.66779999999999995</v>
      </c>
      <c r="P22" s="129">
        <v>6.3246000000000002</v>
      </c>
      <c r="Q22" s="129">
        <v>1.2800000000000001E-2</v>
      </c>
      <c r="R22" s="129">
        <v>8.2299999999999998E-2</v>
      </c>
      <c r="S22" s="129">
        <v>0.44979999999999998</v>
      </c>
      <c r="T22" s="129">
        <v>0.44979999999999998</v>
      </c>
      <c r="U22" s="129">
        <v>2.0500000000000001E-2</v>
      </c>
      <c r="V22" s="129">
        <v>0.76729999999999998</v>
      </c>
      <c r="W22" s="130" t="s">
        <v>189</v>
      </c>
      <c r="X22" s="130" t="s">
        <v>168</v>
      </c>
    </row>
    <row r="23" spans="1:24" x14ac:dyDescent="0.25">
      <c r="A23" s="130">
        <v>2104008410</v>
      </c>
      <c r="B23" s="129">
        <v>7.1999999999999998E-3</v>
      </c>
      <c r="C23" s="129">
        <v>1E-4</v>
      </c>
      <c r="D23" s="129">
        <v>2.8999999999999998E-3</v>
      </c>
      <c r="E23" s="129">
        <v>2.2000000000000001E-3</v>
      </c>
      <c r="F23" s="129">
        <v>2.2000000000000001E-3</v>
      </c>
      <c r="G23" s="129">
        <v>2.0000000000000001E-4</v>
      </c>
      <c r="H23" s="129">
        <v>1.6999999999999999E-3</v>
      </c>
      <c r="I23" s="129">
        <v>4.8500000000000001E-2</v>
      </c>
      <c r="J23" s="129">
        <v>4.0000000000000002E-4</v>
      </c>
      <c r="K23" s="129">
        <v>1.95E-2</v>
      </c>
      <c r="L23" s="129">
        <v>1.44E-2</v>
      </c>
      <c r="M23" s="129">
        <v>1.44E-2</v>
      </c>
      <c r="N23" s="129">
        <v>1.6000000000000001E-3</v>
      </c>
      <c r="O23" s="129">
        <v>1.12E-2</v>
      </c>
      <c r="P23" s="129">
        <v>5.57E-2</v>
      </c>
      <c r="Q23" s="129">
        <v>4.0000000000000002E-4</v>
      </c>
      <c r="R23" s="129">
        <v>2.2499999999999999E-2</v>
      </c>
      <c r="S23" s="129">
        <v>1.66E-2</v>
      </c>
      <c r="T23" s="129">
        <v>1.66E-2</v>
      </c>
      <c r="U23" s="129">
        <v>1.8E-3</v>
      </c>
      <c r="V23" s="129">
        <v>1.29E-2</v>
      </c>
      <c r="W23" s="130" t="s">
        <v>190</v>
      </c>
      <c r="X23" s="130" t="s">
        <v>168</v>
      </c>
    </row>
    <row r="24" spans="1:24" x14ac:dyDescent="0.25">
      <c r="A24" s="130">
        <v>2104008420</v>
      </c>
      <c r="B24" s="129">
        <v>2.4400000000000002E-2</v>
      </c>
      <c r="C24" s="129">
        <v>2.0000000000000001E-4</v>
      </c>
      <c r="D24" s="129">
        <v>9.7999999999999997E-3</v>
      </c>
      <c r="E24" s="129">
        <v>7.3000000000000001E-3</v>
      </c>
      <c r="F24" s="129">
        <v>7.3000000000000001E-3</v>
      </c>
      <c r="G24" s="129">
        <v>8.0000000000000004E-4</v>
      </c>
      <c r="H24" s="129">
        <v>5.5999999999999999E-3</v>
      </c>
      <c r="I24" s="129">
        <v>0.16350000000000001</v>
      </c>
      <c r="J24" s="129">
        <v>1.1999999999999999E-3</v>
      </c>
      <c r="K24" s="129">
        <v>6.59E-2</v>
      </c>
      <c r="L24" s="129">
        <v>4.87E-2</v>
      </c>
      <c r="M24" s="129">
        <v>4.87E-2</v>
      </c>
      <c r="N24" s="129">
        <v>5.3E-3</v>
      </c>
      <c r="O24" s="129">
        <v>3.7699999999999997E-2</v>
      </c>
      <c r="P24" s="129">
        <v>0.18790000000000001</v>
      </c>
      <c r="Q24" s="129">
        <v>1.4E-3</v>
      </c>
      <c r="R24" s="129">
        <v>7.5700000000000003E-2</v>
      </c>
      <c r="S24" s="129">
        <v>5.6000000000000001E-2</v>
      </c>
      <c r="T24" s="129">
        <v>5.6000000000000001E-2</v>
      </c>
      <c r="U24" s="129">
        <v>6.1000000000000004E-3</v>
      </c>
      <c r="V24" s="129">
        <v>4.3400000000000001E-2</v>
      </c>
      <c r="W24" s="130" t="s">
        <v>191</v>
      </c>
      <c r="X24" s="130" t="s">
        <v>168</v>
      </c>
    </row>
    <row r="25" spans="1:24" x14ac:dyDescent="0.25">
      <c r="A25" s="130">
        <v>2104008610</v>
      </c>
      <c r="B25" s="129">
        <v>0.13919999999999999</v>
      </c>
      <c r="C25" s="129">
        <v>5.9999999999999995E-4</v>
      </c>
      <c r="D25" s="129">
        <v>3.7000000000000002E-3</v>
      </c>
      <c r="E25" s="129">
        <v>2.2700000000000001E-2</v>
      </c>
      <c r="F25" s="129">
        <v>2.2700000000000001E-2</v>
      </c>
      <c r="G25" s="129">
        <v>8.9999999999999998E-4</v>
      </c>
      <c r="H25" s="129">
        <v>0.10440000000000001</v>
      </c>
      <c r="I25" s="129">
        <v>1.4857</v>
      </c>
      <c r="J25" s="129">
        <v>6.0000000000000001E-3</v>
      </c>
      <c r="K25" s="129">
        <v>3.9600000000000003E-2</v>
      </c>
      <c r="L25" s="129">
        <v>0.24210000000000001</v>
      </c>
      <c r="M25" s="129">
        <v>0.24210000000000001</v>
      </c>
      <c r="N25" s="129">
        <v>9.7999999999999997E-3</v>
      </c>
      <c r="O25" s="129">
        <v>1.1135999999999999</v>
      </c>
      <c r="P25" s="129">
        <v>1.6249</v>
      </c>
      <c r="Q25" s="129">
        <v>6.4999999999999997E-3</v>
      </c>
      <c r="R25" s="129">
        <v>4.3299999999999998E-2</v>
      </c>
      <c r="S25" s="129">
        <v>0.26479999999999998</v>
      </c>
      <c r="T25" s="129">
        <v>0.26479999999999998</v>
      </c>
      <c r="U25" s="129">
        <v>1.0699999999999999E-2</v>
      </c>
      <c r="V25" s="129">
        <v>1.2179</v>
      </c>
      <c r="W25" s="130" t="s">
        <v>192</v>
      </c>
      <c r="X25" s="130" t="s">
        <v>168</v>
      </c>
    </row>
    <row r="26" spans="1:24" x14ac:dyDescent="0.25">
      <c r="X26" s="130"/>
    </row>
    <row r="27" spans="1:24" x14ac:dyDescent="0.25">
      <c r="B27" s="134">
        <f>SUMIFS(B8:B25,$X8:$X25,$X27)/B7</f>
        <v>0.94182460394865186</v>
      </c>
      <c r="C27" s="134">
        <f t="shared" ref="C27:V27" si="0">SUMIFS(C8:C25,$X8:$X25,$X27)/C7</f>
        <v>0.84782608695652173</v>
      </c>
      <c r="D27" s="134">
        <f t="shared" si="0"/>
        <v>0.30913838120104442</v>
      </c>
      <c r="E27" s="134">
        <f t="shared" si="0"/>
        <v>0.94595401612421615</v>
      </c>
      <c r="F27" s="134">
        <f t="shared" si="0"/>
        <v>0.94595401612421615</v>
      </c>
      <c r="G27" s="134">
        <f t="shared" si="0"/>
        <v>3.7229173024107422E-2</v>
      </c>
      <c r="H27" s="134">
        <f t="shared" si="0"/>
        <v>0.97697745510126122</v>
      </c>
      <c r="I27" s="134">
        <f t="shared" si="0"/>
        <v>0.94110018220071678</v>
      </c>
      <c r="J27" s="134">
        <f t="shared" si="0"/>
        <v>0.66526019690576654</v>
      </c>
      <c r="K27" s="134">
        <f t="shared" si="0"/>
        <v>0.16210463422831323</v>
      </c>
      <c r="L27" s="134">
        <f t="shared" si="0"/>
        <v>0.9338262614252808</v>
      </c>
      <c r="M27" s="134">
        <f t="shared" si="0"/>
        <v>0.9338262614252808</v>
      </c>
      <c r="N27" s="134">
        <f t="shared" si="0"/>
        <v>2.1552767956603866E-2</v>
      </c>
      <c r="O27" s="134">
        <f t="shared" si="0"/>
        <v>0.97488789237668161</v>
      </c>
      <c r="P27" s="134">
        <f t="shared" si="0"/>
        <v>0.94119475642623773</v>
      </c>
      <c r="Q27" s="134">
        <f t="shared" si="0"/>
        <v>0.68012820512820515</v>
      </c>
      <c r="R27" s="134">
        <f t="shared" si="0"/>
        <v>0.17195232452777584</v>
      </c>
      <c r="S27" s="134">
        <f t="shared" si="0"/>
        <v>0.93513745704467355</v>
      </c>
      <c r="T27" s="134">
        <f t="shared" si="0"/>
        <v>0.93513745704467355</v>
      </c>
      <c r="U27" s="134">
        <f t="shared" si="0"/>
        <v>2.2705346525767878E-2</v>
      </c>
      <c r="V27" s="134">
        <f t="shared" si="0"/>
        <v>0.97508622901285613</v>
      </c>
      <c r="X27" s="130" t="s">
        <v>168</v>
      </c>
    </row>
    <row r="28" spans="1:24" x14ac:dyDescent="0.25">
      <c r="B28" s="134">
        <f>SUMIFS(B8:B25,$X8:$X25,$X28)/B7</f>
        <v>1.2652555552626723E-3</v>
      </c>
      <c r="C28" s="134">
        <f t="shared" ref="C28:V28" si="1">SUMIFS(C8:C25,$X8:$X25,$X28)/C7</f>
        <v>1.4492753623188406E-2</v>
      </c>
      <c r="D28" s="134">
        <f t="shared" si="1"/>
        <v>0.65013054830287209</v>
      </c>
      <c r="E28" s="134">
        <f t="shared" si="1"/>
        <v>1.4631233203941475E-2</v>
      </c>
      <c r="F28" s="134">
        <f t="shared" si="1"/>
        <v>1.4631233203941475E-2</v>
      </c>
      <c r="G28" s="134">
        <f t="shared" si="1"/>
        <v>0.91577662496185552</v>
      </c>
      <c r="H28" s="134">
        <f t="shared" si="1"/>
        <v>7.2602216278181125E-3</v>
      </c>
      <c r="I28" s="134">
        <f t="shared" si="1"/>
        <v>2.4775068457426001E-3</v>
      </c>
      <c r="J28" s="134">
        <f t="shared" si="1"/>
        <v>2.672292545710267E-2</v>
      </c>
      <c r="K28" s="134">
        <f t="shared" si="1"/>
        <v>0.75454647298256095</v>
      </c>
      <c r="L28" s="134">
        <f t="shared" si="1"/>
        <v>2.6603254811622203E-2</v>
      </c>
      <c r="M28" s="134">
        <f t="shared" si="1"/>
        <v>2.6603254811622203E-2</v>
      </c>
      <c r="N28" s="134">
        <f t="shared" si="1"/>
        <v>0.94766794207390892</v>
      </c>
      <c r="O28" s="134">
        <f t="shared" si="1"/>
        <v>1.1806911105249276E-2</v>
      </c>
      <c r="P28" s="134">
        <f t="shared" si="1"/>
        <v>2.3345529377753046E-3</v>
      </c>
      <c r="Q28" s="134">
        <f t="shared" si="1"/>
        <v>2.6282051282051279E-2</v>
      </c>
      <c r="R28" s="134">
        <f t="shared" si="1"/>
        <v>0.74761274133965283</v>
      </c>
      <c r="S28" s="134">
        <f t="shared" si="1"/>
        <v>2.5277557494052336E-2</v>
      </c>
      <c r="T28" s="134">
        <f t="shared" si="1"/>
        <v>2.5277557494052336E-2</v>
      </c>
      <c r="U28" s="134">
        <f t="shared" si="1"/>
        <v>0.94532319221018157</v>
      </c>
      <c r="V28" s="134">
        <f t="shared" si="1"/>
        <v>1.1364176239749913E-2</v>
      </c>
      <c r="X28" s="130" t="s">
        <v>167</v>
      </c>
    </row>
    <row r="29" spans="1:24" x14ac:dyDescent="0.25">
      <c r="B29" s="134">
        <f>SUMIFS(B8:B25,$X8:$X25,$X29)/B7</f>
        <v>5.6910140496085622E-2</v>
      </c>
      <c r="C29" s="134">
        <f t="shared" ref="C29:V29" si="2">SUMIFS(C8:C25,$X8:$X25,$X29)/C7</f>
        <v>0.15217391304347824</v>
      </c>
      <c r="D29" s="134">
        <f t="shared" si="2"/>
        <v>4.073107049608355E-2</v>
      </c>
      <c r="E29" s="134">
        <f t="shared" si="2"/>
        <v>3.9414750671842344E-2</v>
      </c>
      <c r="F29" s="134">
        <f t="shared" si="2"/>
        <v>3.9414750671842344E-2</v>
      </c>
      <c r="G29" s="134">
        <f t="shared" si="2"/>
        <v>4.6994202014037229E-2</v>
      </c>
      <c r="H29" s="134">
        <f t="shared" si="2"/>
        <v>1.5762323270920902E-2</v>
      </c>
      <c r="I29" s="134">
        <f t="shared" si="2"/>
        <v>5.4184449151198397E-2</v>
      </c>
      <c r="J29" s="134">
        <f t="shared" si="2"/>
        <v>0.10478199718706048</v>
      </c>
      <c r="K29" s="134">
        <f t="shared" si="2"/>
        <v>2.0762537809477573E-2</v>
      </c>
      <c r="L29" s="134">
        <f t="shared" si="2"/>
        <v>3.4963216170023036E-2</v>
      </c>
      <c r="M29" s="134">
        <f t="shared" si="2"/>
        <v>3.4963216170023036E-2</v>
      </c>
      <c r="N29" s="134">
        <f t="shared" si="2"/>
        <v>2.6517169564585653E-2</v>
      </c>
      <c r="O29" s="134">
        <f t="shared" si="2"/>
        <v>1.241888683724611E-2</v>
      </c>
      <c r="P29" s="134">
        <f t="shared" si="2"/>
        <v>5.4502951608541163E-2</v>
      </c>
      <c r="Q29" s="134">
        <f t="shared" si="2"/>
        <v>0.10897435897435898</v>
      </c>
      <c r="R29" s="134">
        <f t="shared" si="2"/>
        <v>2.2095211542482753E-2</v>
      </c>
      <c r="S29" s="134">
        <f t="shared" si="2"/>
        <v>3.5454665609304777E-2</v>
      </c>
      <c r="T29" s="134">
        <f t="shared" si="2"/>
        <v>3.5454665609304777E-2</v>
      </c>
      <c r="U29" s="134">
        <f t="shared" si="2"/>
        <v>2.8022705346525768E-2</v>
      </c>
      <c r="V29" s="134">
        <f t="shared" si="2"/>
        <v>1.2751441901124063E-2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2.2343376105274657E-3</v>
      </c>
      <c r="J30" s="134">
        <f t="shared" si="3"/>
        <v>0.20323488045007032</v>
      </c>
      <c r="K30" s="134">
        <f t="shared" si="3"/>
        <v>6.2511669591844343E-2</v>
      </c>
      <c r="L30" s="134">
        <f t="shared" si="3"/>
        <v>4.6444229768893511E-3</v>
      </c>
      <c r="M30" s="134">
        <f t="shared" si="3"/>
        <v>4.6444229768893511E-3</v>
      </c>
      <c r="N30" s="134">
        <f t="shared" si="3"/>
        <v>4.2863369981111041E-3</v>
      </c>
      <c r="O30" s="134">
        <f t="shared" si="3"/>
        <v>8.8630968082300187E-4</v>
      </c>
      <c r="P30" s="134">
        <f t="shared" si="3"/>
        <v>1.9708476199061828E-3</v>
      </c>
      <c r="Q30" s="134">
        <f t="shared" si="3"/>
        <v>0.18525641025641024</v>
      </c>
      <c r="R30" s="134">
        <f t="shared" si="3"/>
        <v>5.8339722590088516E-2</v>
      </c>
      <c r="S30" s="134">
        <f t="shared" si="3"/>
        <v>4.1303198519693357E-3</v>
      </c>
      <c r="T30" s="134">
        <f t="shared" si="3"/>
        <v>4.1303198519693357E-3</v>
      </c>
      <c r="U30" s="134">
        <f t="shared" si="3"/>
        <v>3.9711920306926022E-3</v>
      </c>
      <c r="V30" s="134">
        <f t="shared" si="3"/>
        <v>7.9815284627006064E-4</v>
      </c>
      <c r="X30" s="130" t="s">
        <v>165</v>
      </c>
    </row>
    <row r="33" spans="1:24" x14ac:dyDescent="0.25">
      <c r="A33" s="129" t="s">
        <v>197</v>
      </c>
    </row>
    <row r="34" spans="1:24" x14ac:dyDescent="0.25">
      <c r="A34" s="132" t="s">
        <v>212</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3.7936999999999999</v>
      </c>
      <c r="C38" s="129">
        <v>1.38E-2</v>
      </c>
      <c r="D38" s="129">
        <v>0.1915</v>
      </c>
      <c r="E38" s="129">
        <v>0.33489999999999998</v>
      </c>
      <c r="F38" s="129">
        <v>0.33489999999999998</v>
      </c>
      <c r="G38" s="129">
        <v>0.32769999999999999</v>
      </c>
      <c r="H38" s="129">
        <v>1.0468</v>
      </c>
      <c r="I38" s="129">
        <v>28.375299999999999</v>
      </c>
      <c r="J38" s="129">
        <v>0.14219999999999999</v>
      </c>
      <c r="K38" s="129">
        <v>2.6779000000000002</v>
      </c>
      <c r="L38" s="129">
        <v>1.0084</v>
      </c>
      <c r="M38" s="129">
        <v>1.0084</v>
      </c>
      <c r="N38" s="129">
        <v>2.1663000000000001</v>
      </c>
      <c r="O38" s="129">
        <v>9.4774999999999991</v>
      </c>
      <c r="P38" s="129">
        <v>32.168900000000001</v>
      </c>
      <c r="Q38" s="129">
        <v>0.156</v>
      </c>
      <c r="R38" s="129">
        <v>2.8694000000000002</v>
      </c>
      <c r="S38" s="129">
        <v>1.3432999999999999</v>
      </c>
      <c r="T38" s="129">
        <v>1.3432999999999999</v>
      </c>
      <c r="U38" s="129">
        <v>2.4940000000000002</v>
      </c>
      <c r="V38" s="129">
        <v>10.5243</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1.1299999999999999E-2</v>
      </c>
      <c r="E41" s="129">
        <v>2.9999999999999997E-4</v>
      </c>
      <c r="F41" s="129">
        <v>2.9999999999999997E-4</v>
      </c>
      <c r="G41" s="129">
        <v>8.0000000000000002E-3</v>
      </c>
      <c r="H41" s="129">
        <v>4.0000000000000002E-4</v>
      </c>
      <c r="I41" s="129">
        <v>1.72E-2</v>
      </c>
      <c r="J41" s="129">
        <v>8.9999999999999998E-4</v>
      </c>
      <c r="K41" s="129">
        <v>0.69169999999999998</v>
      </c>
      <c r="L41" s="129">
        <v>9.1999999999999998E-3</v>
      </c>
      <c r="M41" s="129">
        <v>9.1999999999999998E-3</v>
      </c>
      <c r="N41" s="129">
        <v>0.50170000000000003</v>
      </c>
      <c r="O41" s="129">
        <v>2.7400000000000001E-2</v>
      </c>
      <c r="P41" s="129">
        <v>1.7500000000000002E-2</v>
      </c>
      <c r="Q41" s="129">
        <v>1E-3</v>
      </c>
      <c r="R41" s="129">
        <v>0.70309999999999995</v>
      </c>
      <c r="S41" s="129">
        <v>9.4999999999999998E-3</v>
      </c>
      <c r="T41" s="129">
        <v>9.4999999999999998E-3</v>
      </c>
      <c r="U41" s="129">
        <v>0.50970000000000004</v>
      </c>
      <c r="V41" s="129">
        <v>2.7900000000000001E-2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0.21560000000000001</v>
      </c>
      <c r="C44" s="129">
        <v>2.0999999999999999E-3</v>
      </c>
      <c r="D44" s="129">
        <v>7.7999999999999996E-3</v>
      </c>
      <c r="E44" s="129">
        <v>1.32E-2</v>
      </c>
      <c r="F44" s="129">
        <v>1.32E-2</v>
      </c>
      <c r="G44" s="129">
        <v>1.54E-2</v>
      </c>
      <c r="H44" s="129">
        <v>1.6500000000000001E-2</v>
      </c>
      <c r="I44" s="129">
        <v>1.5331999999999999</v>
      </c>
      <c r="J44" s="129">
        <v>1.49E-2</v>
      </c>
      <c r="K44" s="129">
        <v>5.5399999999999998E-2</v>
      </c>
      <c r="L44" s="129">
        <v>3.9199999999999999E-2</v>
      </c>
      <c r="M44" s="129">
        <v>3.9199999999999999E-2</v>
      </c>
      <c r="N44" s="129">
        <v>6.9500000000000006E-2</v>
      </c>
      <c r="O44" s="129">
        <v>0.1174</v>
      </c>
      <c r="P44" s="129">
        <v>1.7487999999999999</v>
      </c>
      <c r="Q44" s="129">
        <v>1.7000000000000001E-2</v>
      </c>
      <c r="R44" s="129">
        <v>6.3200000000000006E-2</v>
      </c>
      <c r="S44" s="129">
        <v>5.2400000000000002E-2</v>
      </c>
      <c r="T44" s="129">
        <v>5.2400000000000002E-2</v>
      </c>
      <c r="U44" s="129">
        <v>8.4900000000000003E-2</v>
      </c>
      <c r="V44" s="129">
        <v>0.13389999999999999</v>
      </c>
      <c r="W44" s="130" t="s">
        <v>180</v>
      </c>
      <c r="X44" s="130" t="s">
        <v>166</v>
      </c>
    </row>
    <row r="45" spans="1:24" x14ac:dyDescent="0.25">
      <c r="A45" s="130">
        <v>2104004000</v>
      </c>
      <c r="B45" s="129">
        <v>4.4999999999999997E-3</v>
      </c>
      <c r="C45" s="129">
        <v>2.0000000000000001E-4</v>
      </c>
      <c r="D45" s="129">
        <v>0.1132</v>
      </c>
      <c r="E45" s="129">
        <v>4.5999999999999999E-3</v>
      </c>
      <c r="F45" s="129">
        <v>4.5999999999999999E-3</v>
      </c>
      <c r="G45" s="129">
        <v>0.29210000000000003</v>
      </c>
      <c r="H45" s="129">
        <v>7.1999999999999998E-3</v>
      </c>
      <c r="I45" s="129">
        <v>5.3100000000000001E-2</v>
      </c>
      <c r="J45" s="129">
        <v>2.8999999999999998E-3</v>
      </c>
      <c r="K45" s="129">
        <v>1.3289</v>
      </c>
      <c r="L45" s="129">
        <v>1.84E-2</v>
      </c>
      <c r="M45" s="129">
        <v>1.84E-2</v>
      </c>
      <c r="N45" s="129">
        <v>1.5177</v>
      </c>
      <c r="O45" s="129">
        <v>8.4500000000000006E-2</v>
      </c>
      <c r="P45" s="129">
        <v>5.7599999999999998E-2</v>
      </c>
      <c r="Q45" s="129">
        <v>3.0999999999999999E-3</v>
      </c>
      <c r="R45" s="129">
        <v>1.4420999999999999</v>
      </c>
      <c r="S45" s="129">
        <v>2.3E-2</v>
      </c>
      <c r="T45" s="129">
        <v>2.3E-2</v>
      </c>
      <c r="U45" s="129">
        <v>1.8097000000000001</v>
      </c>
      <c r="V45" s="129">
        <v>9.1700000000000004E-2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0.41560000000000002</v>
      </c>
      <c r="C47" s="129">
        <v>3.0000000000000001E-3</v>
      </c>
      <c r="D47" s="129">
        <v>4.3E-3</v>
      </c>
      <c r="E47" s="129">
        <v>5.6899999999999999E-2</v>
      </c>
      <c r="F47" s="129">
        <v>5.6899999999999999E-2</v>
      </c>
      <c r="G47" s="129">
        <v>6.9999999999999999E-4</v>
      </c>
      <c r="H47" s="129">
        <v>0.37680000000000002</v>
      </c>
      <c r="I47" s="129">
        <v>4.9539</v>
      </c>
      <c r="J47" s="129">
        <v>3.5299999999999998E-2</v>
      </c>
      <c r="K47" s="129">
        <v>5.0999999999999997E-2</v>
      </c>
      <c r="L47" s="129">
        <v>0.2215</v>
      </c>
      <c r="M47" s="129">
        <v>0.2215</v>
      </c>
      <c r="N47" s="129">
        <v>3.8999999999999998E-3</v>
      </c>
      <c r="O47" s="129">
        <v>4.4911000000000003</v>
      </c>
      <c r="P47" s="129">
        <v>5.3696000000000002</v>
      </c>
      <c r="Q47" s="129">
        <v>3.8300000000000001E-2</v>
      </c>
      <c r="R47" s="129">
        <v>5.5300000000000002E-2</v>
      </c>
      <c r="S47" s="129">
        <v>0.27839999999999998</v>
      </c>
      <c r="T47" s="129">
        <v>0.27839999999999998</v>
      </c>
      <c r="U47" s="129">
        <v>4.5999999999999999E-3</v>
      </c>
      <c r="V47" s="129">
        <v>4.8678999999999997</v>
      </c>
      <c r="W47" s="130" t="s">
        <v>183</v>
      </c>
      <c r="X47" s="130" t="s">
        <v>168</v>
      </c>
    </row>
    <row r="48" spans="1:24" x14ac:dyDescent="0.25">
      <c r="A48" s="130">
        <v>2104008210</v>
      </c>
      <c r="B48" s="129">
        <v>5.9499999999999997E-2</v>
      </c>
      <c r="C48" s="129">
        <v>4.0000000000000002E-4</v>
      </c>
      <c r="D48" s="129">
        <v>6.9999999999999999E-4</v>
      </c>
      <c r="E48" s="129">
        <v>7.9000000000000008E-3</v>
      </c>
      <c r="F48" s="129">
        <v>7.9000000000000008E-3</v>
      </c>
      <c r="G48" s="129">
        <v>1E-4</v>
      </c>
      <c r="H48" s="129">
        <v>1.37E-2</v>
      </c>
      <c r="I48" s="129">
        <v>0.39939999999999998</v>
      </c>
      <c r="J48" s="129">
        <v>2.8999999999999998E-3</v>
      </c>
      <c r="K48" s="129">
        <v>4.7999999999999996E-3</v>
      </c>
      <c r="L48" s="129">
        <v>1.3599999999999999E-2</v>
      </c>
      <c r="M48" s="129">
        <v>1.3599999999999999E-2</v>
      </c>
      <c r="N48" s="129">
        <v>2.9999999999999997E-4</v>
      </c>
      <c r="O48" s="129">
        <v>9.1700000000000004E-2</v>
      </c>
      <c r="P48" s="129">
        <v>0.45889999999999997</v>
      </c>
      <c r="Q48" s="129">
        <v>3.3999999999999998E-3</v>
      </c>
      <c r="R48" s="129">
        <v>5.5999999999999999E-3</v>
      </c>
      <c r="S48" s="129">
        <v>2.1499999999999998E-2</v>
      </c>
      <c r="T48" s="129">
        <v>2.1499999999999998E-2</v>
      </c>
      <c r="U48" s="129">
        <v>4.0000000000000002E-4</v>
      </c>
      <c r="V48" s="129">
        <v>0.10539999999999999</v>
      </c>
      <c r="W48" s="130" t="s">
        <v>184</v>
      </c>
      <c r="X48" s="130" t="s">
        <v>168</v>
      </c>
    </row>
    <row r="49" spans="1:24" x14ac:dyDescent="0.25">
      <c r="A49" s="130">
        <v>2104008220</v>
      </c>
      <c r="B49" s="129">
        <v>7.6399999999999996E-2</v>
      </c>
      <c r="C49" s="129">
        <v>5.0000000000000001E-4</v>
      </c>
      <c r="D49" s="129">
        <v>1.1000000000000001E-3</v>
      </c>
      <c r="E49" s="129">
        <v>6.4999999999999997E-3</v>
      </c>
      <c r="F49" s="129">
        <v>6.4999999999999997E-3</v>
      </c>
      <c r="G49" s="129">
        <v>2.0000000000000001E-4</v>
      </c>
      <c r="H49" s="129">
        <v>6.4999999999999997E-3</v>
      </c>
      <c r="I49" s="129">
        <v>0.51300000000000001</v>
      </c>
      <c r="J49" s="129">
        <v>3.3E-3</v>
      </c>
      <c r="K49" s="129">
        <v>7.3000000000000001E-3</v>
      </c>
      <c r="L49" s="129">
        <v>0</v>
      </c>
      <c r="M49" s="129">
        <v>0</v>
      </c>
      <c r="N49" s="129">
        <v>0</v>
      </c>
      <c r="O49" s="129">
        <v>4.3700000000000003E-2</v>
      </c>
      <c r="P49" s="129">
        <v>0.58950000000000002</v>
      </c>
      <c r="Q49" s="129">
        <v>3.8E-3</v>
      </c>
      <c r="R49" s="129">
        <v>8.3999999999999995E-3</v>
      </c>
      <c r="S49" s="129">
        <v>6.4999999999999997E-3</v>
      </c>
      <c r="T49" s="129">
        <v>6.4999999999999997E-3</v>
      </c>
      <c r="U49" s="129">
        <v>2.0000000000000001E-4</v>
      </c>
      <c r="V49" s="129">
        <v>5.0200000000000002E-2</v>
      </c>
      <c r="W49" s="130" t="s">
        <v>185</v>
      </c>
      <c r="X49" s="130" t="s">
        <v>168</v>
      </c>
    </row>
    <row r="50" spans="1:24" x14ac:dyDescent="0.25">
      <c r="A50" s="130">
        <v>2104008230</v>
      </c>
      <c r="B50" s="129">
        <v>3.5000000000000003E-2</v>
      </c>
      <c r="C50" s="129">
        <v>2.9999999999999997E-4</v>
      </c>
      <c r="D50" s="129">
        <v>6.9999999999999999E-4</v>
      </c>
      <c r="E50" s="129">
        <v>4.1999999999999997E-3</v>
      </c>
      <c r="F50" s="129">
        <v>4.1999999999999997E-3</v>
      </c>
      <c r="G50" s="129">
        <v>1E-4</v>
      </c>
      <c r="H50" s="129">
        <v>4.8999999999999998E-3</v>
      </c>
      <c r="I50" s="129">
        <v>0.23469999999999999</v>
      </c>
      <c r="J50" s="129">
        <v>2E-3</v>
      </c>
      <c r="K50" s="129">
        <v>4.4000000000000003E-3</v>
      </c>
      <c r="L50" s="129">
        <v>0</v>
      </c>
      <c r="M50" s="129">
        <v>0</v>
      </c>
      <c r="N50" s="129">
        <v>0</v>
      </c>
      <c r="O50" s="129">
        <v>3.2899999999999999E-2</v>
      </c>
      <c r="P50" s="129">
        <v>0.2697</v>
      </c>
      <c r="Q50" s="129">
        <v>2.3E-3</v>
      </c>
      <c r="R50" s="129">
        <v>5.0000000000000001E-3</v>
      </c>
      <c r="S50" s="129">
        <v>4.1999999999999997E-3</v>
      </c>
      <c r="T50" s="129">
        <v>4.1999999999999997E-3</v>
      </c>
      <c r="U50" s="129">
        <v>1E-4</v>
      </c>
      <c r="V50" s="129">
        <v>3.78E-2</v>
      </c>
      <c r="W50" s="130" t="s">
        <v>186</v>
      </c>
      <c r="X50" s="130" t="s">
        <v>168</v>
      </c>
    </row>
    <row r="51" spans="1:24" x14ac:dyDescent="0.25">
      <c r="A51" s="130">
        <v>2104008310</v>
      </c>
      <c r="B51" s="129">
        <v>0.63380000000000003</v>
      </c>
      <c r="C51" s="129">
        <v>2.0999999999999999E-3</v>
      </c>
      <c r="D51" s="129">
        <v>7.6E-3</v>
      </c>
      <c r="E51" s="129">
        <v>6.3500000000000001E-2</v>
      </c>
      <c r="F51" s="129">
        <v>6.3500000000000001E-2</v>
      </c>
      <c r="G51" s="129">
        <v>2.0999999999999999E-3</v>
      </c>
      <c r="H51" s="129">
        <v>0.2772</v>
      </c>
      <c r="I51" s="129">
        <v>4.2557999999999998</v>
      </c>
      <c r="J51" s="129">
        <v>1.3899999999999999E-2</v>
      </c>
      <c r="K51" s="129">
        <v>5.0999999999999997E-2</v>
      </c>
      <c r="L51" s="129">
        <v>0.1351</v>
      </c>
      <c r="M51" s="129">
        <v>0.1351</v>
      </c>
      <c r="N51" s="129">
        <v>6.7999999999999996E-3</v>
      </c>
      <c r="O51" s="129">
        <v>1.8614999999999999</v>
      </c>
      <c r="P51" s="129">
        <v>4.8897000000000004</v>
      </c>
      <c r="Q51" s="129">
        <v>1.6E-2</v>
      </c>
      <c r="R51" s="129">
        <v>5.8599999999999999E-2</v>
      </c>
      <c r="S51" s="129">
        <v>0.19869999999999999</v>
      </c>
      <c r="T51" s="129">
        <v>0.19869999999999999</v>
      </c>
      <c r="U51" s="129">
        <v>8.8999999999999999E-3</v>
      </c>
      <c r="V51" s="129">
        <v>2.1387</v>
      </c>
      <c r="W51" s="130" t="s">
        <v>187</v>
      </c>
      <c r="X51" s="130" t="s">
        <v>168</v>
      </c>
    </row>
    <row r="52" spans="1:24" x14ac:dyDescent="0.25">
      <c r="A52" s="130">
        <v>2104008320</v>
      </c>
      <c r="B52" s="129">
        <v>1.3616999999999999</v>
      </c>
      <c r="C52" s="129">
        <v>2.8E-3</v>
      </c>
      <c r="D52" s="129">
        <v>1.77E-2</v>
      </c>
      <c r="E52" s="129">
        <v>8.7300000000000003E-2</v>
      </c>
      <c r="F52" s="129">
        <v>8.7300000000000003E-2</v>
      </c>
      <c r="G52" s="129">
        <v>4.4000000000000003E-3</v>
      </c>
      <c r="H52" s="129">
        <v>0.13220000000000001</v>
      </c>
      <c r="I52" s="129">
        <v>9.1428999999999991</v>
      </c>
      <c r="J52" s="129">
        <v>1.8499999999999999E-2</v>
      </c>
      <c r="K52" s="129">
        <v>0.11899999999999999</v>
      </c>
      <c r="L52" s="129">
        <v>0.27250000000000002</v>
      </c>
      <c r="M52" s="129">
        <v>0.27250000000000002</v>
      </c>
      <c r="N52" s="129">
        <v>2.3699999999999999E-2</v>
      </c>
      <c r="O52" s="129">
        <v>0.88739999999999997</v>
      </c>
      <c r="P52" s="129">
        <v>10.5046</v>
      </c>
      <c r="Q52" s="129">
        <v>2.12E-2</v>
      </c>
      <c r="R52" s="129">
        <v>0.13669999999999999</v>
      </c>
      <c r="S52" s="129">
        <v>0.35980000000000001</v>
      </c>
      <c r="T52" s="129">
        <v>0.35980000000000001</v>
      </c>
      <c r="U52" s="129">
        <v>2.81E-2</v>
      </c>
      <c r="V52" s="129">
        <v>1.0195000000000001</v>
      </c>
      <c r="W52" s="130" t="s">
        <v>188</v>
      </c>
      <c r="X52" s="130" t="s">
        <v>168</v>
      </c>
    </row>
    <row r="53" spans="1:24" x14ac:dyDescent="0.25">
      <c r="A53" s="130">
        <v>2104008330</v>
      </c>
      <c r="B53" s="129">
        <v>0.81989999999999996</v>
      </c>
      <c r="C53" s="129">
        <v>1.6999999999999999E-3</v>
      </c>
      <c r="D53" s="129">
        <v>1.0699999999999999E-2</v>
      </c>
      <c r="E53" s="129">
        <v>5.8299999999999998E-2</v>
      </c>
      <c r="F53" s="129">
        <v>5.8299999999999998E-2</v>
      </c>
      <c r="G53" s="129">
        <v>2.7000000000000001E-3</v>
      </c>
      <c r="H53" s="129">
        <v>9.9500000000000005E-2</v>
      </c>
      <c r="I53" s="129">
        <v>5.5046999999999997</v>
      </c>
      <c r="J53" s="129">
        <v>1.11E-2</v>
      </c>
      <c r="K53" s="129">
        <v>7.1599999999999997E-2</v>
      </c>
      <c r="L53" s="129">
        <v>0.18210000000000001</v>
      </c>
      <c r="M53" s="129">
        <v>0.18210000000000001</v>
      </c>
      <c r="N53" s="129">
        <v>1.3899999999999999E-2</v>
      </c>
      <c r="O53" s="129">
        <v>0.66779999999999995</v>
      </c>
      <c r="P53" s="129">
        <v>6.3246000000000002</v>
      </c>
      <c r="Q53" s="129">
        <v>1.2800000000000001E-2</v>
      </c>
      <c r="R53" s="129">
        <v>8.2299999999999998E-2</v>
      </c>
      <c r="S53" s="129">
        <v>0.2404</v>
      </c>
      <c r="T53" s="129">
        <v>0.2404</v>
      </c>
      <c r="U53" s="129">
        <v>1.66E-2</v>
      </c>
      <c r="V53" s="129">
        <v>0.76729999999999998</v>
      </c>
      <c r="W53" s="130" t="s">
        <v>189</v>
      </c>
      <c r="X53" s="130" t="s">
        <v>168</v>
      </c>
    </row>
    <row r="54" spans="1:24" x14ac:dyDescent="0.25">
      <c r="A54" s="130">
        <v>2104008410</v>
      </c>
      <c r="B54" s="129">
        <v>7.1999999999999998E-3</v>
      </c>
      <c r="C54" s="129">
        <v>1E-4</v>
      </c>
      <c r="D54" s="129">
        <v>2.8999999999999998E-3</v>
      </c>
      <c r="E54" s="129">
        <v>2.2000000000000001E-3</v>
      </c>
      <c r="F54" s="129">
        <v>2.2000000000000001E-3</v>
      </c>
      <c r="G54" s="129">
        <v>2.0000000000000001E-4</v>
      </c>
      <c r="H54" s="129">
        <v>1.6999999999999999E-3</v>
      </c>
      <c r="I54" s="129">
        <v>4.8500000000000001E-2</v>
      </c>
      <c r="J54" s="129">
        <v>4.0000000000000002E-4</v>
      </c>
      <c r="K54" s="129">
        <v>1.95E-2</v>
      </c>
      <c r="L54" s="129">
        <v>7.4999999999999997E-3</v>
      </c>
      <c r="M54" s="129">
        <v>7.4999999999999997E-3</v>
      </c>
      <c r="N54" s="129">
        <v>1.1999999999999999E-3</v>
      </c>
      <c r="O54" s="129">
        <v>1.12E-2</v>
      </c>
      <c r="P54" s="129">
        <v>5.57E-2</v>
      </c>
      <c r="Q54" s="129">
        <v>4.0000000000000002E-4</v>
      </c>
      <c r="R54" s="129">
        <v>2.2499999999999999E-2</v>
      </c>
      <c r="S54" s="129">
        <v>9.7000000000000003E-3</v>
      </c>
      <c r="T54" s="129">
        <v>9.7000000000000003E-3</v>
      </c>
      <c r="U54" s="129">
        <v>1.5E-3</v>
      </c>
      <c r="V54" s="129">
        <v>1.29E-2</v>
      </c>
      <c r="W54" s="130" t="s">
        <v>190</v>
      </c>
      <c r="X54" s="130" t="s">
        <v>168</v>
      </c>
    </row>
    <row r="55" spans="1:24" x14ac:dyDescent="0.25">
      <c r="A55" s="130">
        <v>2104008420</v>
      </c>
      <c r="B55" s="129">
        <v>2.4400000000000002E-2</v>
      </c>
      <c r="C55" s="129">
        <v>2.0000000000000001E-4</v>
      </c>
      <c r="D55" s="129">
        <v>9.7999999999999997E-3</v>
      </c>
      <c r="E55" s="129">
        <v>7.3000000000000001E-3</v>
      </c>
      <c r="F55" s="129">
        <v>7.3000000000000001E-3</v>
      </c>
      <c r="G55" s="129">
        <v>8.0000000000000004E-4</v>
      </c>
      <c r="H55" s="129">
        <v>5.5999999999999999E-3</v>
      </c>
      <c r="I55" s="129">
        <v>0.16350000000000001</v>
      </c>
      <c r="J55" s="129">
        <v>1.1999999999999999E-3</v>
      </c>
      <c r="K55" s="129">
        <v>6.59E-2</v>
      </c>
      <c r="L55" s="129">
        <v>2.3400000000000001E-2</v>
      </c>
      <c r="M55" s="129">
        <v>2.3400000000000001E-2</v>
      </c>
      <c r="N55" s="129">
        <v>3.8E-3</v>
      </c>
      <c r="O55" s="129">
        <v>3.7699999999999997E-2</v>
      </c>
      <c r="P55" s="129">
        <v>0.18790000000000001</v>
      </c>
      <c r="Q55" s="129">
        <v>1.4E-3</v>
      </c>
      <c r="R55" s="129">
        <v>7.5700000000000003E-2</v>
      </c>
      <c r="S55" s="129">
        <v>3.0599999999999999E-2</v>
      </c>
      <c r="T55" s="129">
        <v>3.0599999999999999E-2</v>
      </c>
      <c r="U55" s="129">
        <v>4.5999999999999999E-3</v>
      </c>
      <c r="V55" s="129">
        <v>4.3400000000000001E-2</v>
      </c>
      <c r="W55" s="130" t="s">
        <v>191</v>
      </c>
      <c r="X55" s="130" t="s">
        <v>168</v>
      </c>
    </row>
    <row r="56" spans="1:24" x14ac:dyDescent="0.25">
      <c r="A56" s="130">
        <v>2104008610</v>
      </c>
      <c r="B56" s="129">
        <v>0.13919999999999999</v>
      </c>
      <c r="C56" s="129">
        <v>5.9999999999999995E-4</v>
      </c>
      <c r="D56" s="129">
        <v>3.7000000000000002E-3</v>
      </c>
      <c r="E56" s="129">
        <v>2.2700000000000001E-2</v>
      </c>
      <c r="F56" s="129">
        <v>2.2700000000000001E-2</v>
      </c>
      <c r="G56" s="129">
        <v>8.9999999999999998E-4</v>
      </c>
      <c r="H56" s="129">
        <v>0.10440000000000001</v>
      </c>
      <c r="I56" s="129">
        <v>1.4857</v>
      </c>
      <c r="J56" s="129">
        <v>6.0000000000000001E-3</v>
      </c>
      <c r="K56" s="129">
        <v>3.9600000000000003E-2</v>
      </c>
      <c r="L56" s="129">
        <v>7.2900000000000006E-2</v>
      </c>
      <c r="M56" s="129">
        <v>7.2900000000000006E-2</v>
      </c>
      <c r="N56" s="129">
        <v>5.7999999999999996E-3</v>
      </c>
      <c r="O56" s="129">
        <v>1.1135999999999999</v>
      </c>
      <c r="P56" s="129">
        <v>1.6249</v>
      </c>
      <c r="Q56" s="129">
        <v>6.4999999999999997E-3</v>
      </c>
      <c r="R56" s="129">
        <v>4.3299999999999998E-2</v>
      </c>
      <c r="S56" s="129">
        <v>9.5600000000000004E-2</v>
      </c>
      <c r="T56" s="129">
        <v>9.5600000000000004E-2</v>
      </c>
      <c r="U56" s="129">
        <v>6.7000000000000002E-3</v>
      </c>
      <c r="V56" s="129">
        <v>1.2179</v>
      </c>
      <c r="W56" s="130" t="s">
        <v>192</v>
      </c>
      <c r="X56" s="130" t="s">
        <v>168</v>
      </c>
    </row>
    <row r="58" spans="1:24" x14ac:dyDescent="0.25">
      <c r="B58" s="134">
        <f>SUMIFS(B39:B56,$X39:$X56,$X58)/B38</f>
        <v>0.94182460394865186</v>
      </c>
      <c r="C58" s="134">
        <f t="shared" ref="C58:V58" si="4">SUMIFS(C39:C56,$X39:$X56,$X58)/C38</f>
        <v>0.84782608695652173</v>
      </c>
      <c r="D58" s="134">
        <f t="shared" si="4"/>
        <v>0.30913838120104442</v>
      </c>
      <c r="E58" s="134">
        <f t="shared" si="4"/>
        <v>0.94595401612421615</v>
      </c>
      <c r="F58" s="134">
        <f t="shared" si="4"/>
        <v>0.94595401612421615</v>
      </c>
      <c r="G58" s="134">
        <f t="shared" si="4"/>
        <v>3.7229173024107422E-2</v>
      </c>
      <c r="H58" s="134">
        <f t="shared" si="4"/>
        <v>0.97697745510126122</v>
      </c>
      <c r="I58" s="134">
        <f t="shared" si="4"/>
        <v>0.94110018220071678</v>
      </c>
      <c r="J58" s="134">
        <f t="shared" si="4"/>
        <v>0.66526019690576654</v>
      </c>
      <c r="K58" s="134">
        <f t="shared" si="4"/>
        <v>0.16210463422831323</v>
      </c>
      <c r="L58" s="134">
        <f t="shared" si="4"/>
        <v>0.92116223720745738</v>
      </c>
      <c r="M58" s="134">
        <f t="shared" si="4"/>
        <v>0.92116223720745738</v>
      </c>
      <c r="N58" s="134">
        <f t="shared" si="4"/>
        <v>2.7420024927295381E-2</v>
      </c>
      <c r="O58" s="134">
        <f t="shared" si="4"/>
        <v>0.97488789237668161</v>
      </c>
      <c r="P58" s="134">
        <f t="shared" si="4"/>
        <v>0.94119475642623773</v>
      </c>
      <c r="Q58" s="134">
        <f t="shared" si="4"/>
        <v>0.68012820512820515</v>
      </c>
      <c r="R58" s="134">
        <f t="shared" si="4"/>
        <v>0.17195232452777584</v>
      </c>
      <c r="S58" s="134">
        <f t="shared" si="4"/>
        <v>0.92734311025087479</v>
      </c>
      <c r="T58" s="134">
        <f t="shared" si="4"/>
        <v>0.92734311025087479</v>
      </c>
      <c r="U58" s="134">
        <f t="shared" si="4"/>
        <v>2.8748997594226139E-2</v>
      </c>
      <c r="V58" s="134">
        <f t="shared" si="4"/>
        <v>0.97508622901285613</v>
      </c>
      <c r="X58" s="130" t="s">
        <v>168</v>
      </c>
    </row>
    <row r="59" spans="1:24" x14ac:dyDescent="0.25">
      <c r="B59" s="134">
        <f>SUMIFS(B39:B56,$X39:$X56,$X59)/B38</f>
        <v>1.2652555552626723E-3</v>
      </c>
      <c r="C59" s="134">
        <f t="shared" ref="C59:V59" si="5">SUMIFS(C39:C56,$X39:$X56,$X59)/C38</f>
        <v>1.4492753623188406E-2</v>
      </c>
      <c r="D59" s="134">
        <f t="shared" si="5"/>
        <v>0.65013054830287209</v>
      </c>
      <c r="E59" s="134">
        <f t="shared" si="5"/>
        <v>1.4631233203941475E-2</v>
      </c>
      <c r="F59" s="134">
        <f t="shared" si="5"/>
        <v>1.4631233203941475E-2</v>
      </c>
      <c r="G59" s="134">
        <f t="shared" si="5"/>
        <v>0.91577662496185552</v>
      </c>
      <c r="H59" s="134">
        <f t="shared" si="5"/>
        <v>7.2602216278181125E-3</v>
      </c>
      <c r="I59" s="134">
        <f t="shared" si="5"/>
        <v>2.4775068457426001E-3</v>
      </c>
      <c r="J59" s="134">
        <f t="shared" si="5"/>
        <v>2.672292545710267E-2</v>
      </c>
      <c r="K59" s="134">
        <f t="shared" si="5"/>
        <v>0.75454647298256095</v>
      </c>
      <c r="L59" s="134">
        <f t="shared" si="5"/>
        <v>2.7370091233637445E-2</v>
      </c>
      <c r="M59" s="134">
        <f t="shared" si="5"/>
        <v>2.7370091233637445E-2</v>
      </c>
      <c r="N59" s="134">
        <f t="shared" si="5"/>
        <v>0.93218852421178966</v>
      </c>
      <c r="O59" s="134">
        <f t="shared" si="5"/>
        <v>1.1806911105249276E-2</v>
      </c>
      <c r="P59" s="134">
        <f t="shared" si="5"/>
        <v>2.3345529377753046E-3</v>
      </c>
      <c r="Q59" s="134">
        <f t="shared" si="5"/>
        <v>2.6282051282051279E-2</v>
      </c>
      <c r="R59" s="134">
        <f t="shared" si="5"/>
        <v>0.74761274133965283</v>
      </c>
      <c r="S59" s="134">
        <f t="shared" si="5"/>
        <v>2.419414873818209E-2</v>
      </c>
      <c r="T59" s="134">
        <f t="shared" si="5"/>
        <v>2.419414873818209E-2</v>
      </c>
      <c r="U59" s="134">
        <f t="shared" si="5"/>
        <v>0.92999198075380907</v>
      </c>
      <c r="V59" s="134">
        <f t="shared" si="5"/>
        <v>1.1364176239749913E-2</v>
      </c>
      <c r="X59" s="130" t="s">
        <v>167</v>
      </c>
    </row>
    <row r="60" spans="1:24" x14ac:dyDescent="0.25">
      <c r="B60" s="134">
        <f>SUMIFS(B39:B56,$X39:$X56,$X60)/B38</f>
        <v>5.6910140496085622E-2</v>
      </c>
      <c r="C60" s="134">
        <f t="shared" ref="C60:V60" si="6">SUMIFS(C39:C56,$X39:$X56,$X60)/C38</f>
        <v>0.15217391304347824</v>
      </c>
      <c r="D60" s="134">
        <f t="shared" si="6"/>
        <v>4.073107049608355E-2</v>
      </c>
      <c r="E60" s="134">
        <f t="shared" si="6"/>
        <v>3.9414750671842344E-2</v>
      </c>
      <c r="F60" s="134">
        <f t="shared" si="6"/>
        <v>3.9414750671842344E-2</v>
      </c>
      <c r="G60" s="134">
        <f t="shared" si="6"/>
        <v>4.6994202014037229E-2</v>
      </c>
      <c r="H60" s="134">
        <f t="shared" si="6"/>
        <v>1.5762323270920902E-2</v>
      </c>
      <c r="I60" s="134">
        <f t="shared" si="6"/>
        <v>5.4184449151198397E-2</v>
      </c>
      <c r="J60" s="134">
        <f t="shared" si="6"/>
        <v>0.10478199718706048</v>
      </c>
      <c r="K60" s="134">
        <f t="shared" si="6"/>
        <v>2.0762537809477573E-2</v>
      </c>
      <c r="L60" s="134">
        <f t="shared" si="6"/>
        <v>3.9170963903213014E-2</v>
      </c>
      <c r="M60" s="134">
        <f t="shared" si="6"/>
        <v>3.9170963903213014E-2</v>
      </c>
      <c r="N60" s="134">
        <f t="shared" si="6"/>
        <v>3.2220837372478418E-2</v>
      </c>
      <c r="O60" s="134">
        <f t="shared" si="6"/>
        <v>1.241888683724611E-2</v>
      </c>
      <c r="P60" s="134">
        <f t="shared" si="6"/>
        <v>5.4502951608541163E-2</v>
      </c>
      <c r="Q60" s="134">
        <f t="shared" si="6"/>
        <v>0.10897435897435898</v>
      </c>
      <c r="R60" s="134">
        <f t="shared" si="6"/>
        <v>2.2095211542482753E-2</v>
      </c>
      <c r="S60" s="134">
        <f t="shared" si="6"/>
        <v>3.9231742723144503E-2</v>
      </c>
      <c r="T60" s="134">
        <f t="shared" si="6"/>
        <v>3.9231742723144503E-2</v>
      </c>
      <c r="U60" s="134">
        <f t="shared" si="6"/>
        <v>3.4161988773055332E-2</v>
      </c>
      <c r="V60" s="134">
        <f t="shared" si="6"/>
        <v>1.2751441901124063E-2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2.2343376105274657E-3</v>
      </c>
      <c r="J61" s="134">
        <f t="shared" si="7"/>
        <v>0.20323488045007032</v>
      </c>
      <c r="K61" s="134">
        <f t="shared" si="7"/>
        <v>6.2511669591844343E-2</v>
      </c>
      <c r="L61" s="134">
        <f t="shared" si="7"/>
        <v>1.2395874652915509E-2</v>
      </c>
      <c r="M61" s="134">
        <f t="shared" si="7"/>
        <v>1.2395874652915509E-2</v>
      </c>
      <c r="N61" s="134">
        <f t="shared" si="7"/>
        <v>8.1706134884365032E-3</v>
      </c>
      <c r="O61" s="134">
        <f t="shared" si="7"/>
        <v>8.8630968082300187E-4</v>
      </c>
      <c r="P61" s="134">
        <f t="shared" si="7"/>
        <v>1.9708476199061828E-3</v>
      </c>
      <c r="Q61" s="134">
        <f t="shared" si="7"/>
        <v>0.18525641025641024</v>
      </c>
      <c r="R61" s="134">
        <f t="shared" si="7"/>
        <v>5.8339722590088516E-2</v>
      </c>
      <c r="S61" s="134">
        <f t="shared" si="7"/>
        <v>9.305441822377726E-3</v>
      </c>
      <c r="T61" s="134">
        <f t="shared" si="7"/>
        <v>9.305441822377726E-3</v>
      </c>
      <c r="U61" s="134">
        <f t="shared" si="7"/>
        <v>7.0970328789093807E-3</v>
      </c>
      <c r="V61" s="134">
        <f t="shared" si="7"/>
        <v>7.9815284627006064E-4</v>
      </c>
      <c r="X61" s="130" t="s">
        <v>165</v>
      </c>
    </row>
    <row r="64" spans="1:24" x14ac:dyDescent="0.25">
      <c r="A64" s="129" t="s">
        <v>198</v>
      </c>
    </row>
    <row r="65" spans="1:24" x14ac:dyDescent="0.25">
      <c r="A65" s="132" t="s">
        <v>213</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3.7936999999999999</v>
      </c>
      <c r="C69" s="129">
        <v>1.38E-2</v>
      </c>
      <c r="D69" s="129">
        <v>0.1915</v>
      </c>
      <c r="E69" s="129">
        <v>0.33489999999999998</v>
      </c>
      <c r="F69" s="129">
        <v>0.33489999999999998</v>
      </c>
      <c r="G69" s="129">
        <v>0.32769999999999999</v>
      </c>
      <c r="H69" s="129">
        <v>1.0468</v>
      </c>
      <c r="I69" s="129">
        <v>28.375299999999999</v>
      </c>
      <c r="J69" s="133">
        <v>0.14219999999999999</v>
      </c>
      <c r="K69" s="133">
        <v>2.6779000000000002</v>
      </c>
      <c r="L69" s="129">
        <v>0.75590000000000002</v>
      </c>
      <c r="M69" s="166">
        <v>0.75590000000000002</v>
      </c>
      <c r="N69" s="133">
        <v>2.2484999999999999</v>
      </c>
      <c r="O69" s="133">
        <v>9.4774999999999991</v>
      </c>
      <c r="P69" s="129">
        <v>32.168900000000001</v>
      </c>
      <c r="Q69" s="133">
        <v>0.156</v>
      </c>
      <c r="R69" s="133">
        <v>2.8694000000000002</v>
      </c>
      <c r="S69" s="129">
        <v>1.0908</v>
      </c>
      <c r="T69" s="166">
        <v>1.0908</v>
      </c>
      <c r="U69" s="133">
        <v>2.5762</v>
      </c>
      <c r="V69" s="133">
        <v>10.5243</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1.1299999999999999E-2</v>
      </c>
      <c r="E72" s="129">
        <v>2.9999999999999997E-4</v>
      </c>
      <c r="F72" s="129">
        <v>2.9999999999999997E-4</v>
      </c>
      <c r="G72" s="129">
        <v>8.0000000000000002E-3</v>
      </c>
      <c r="H72" s="129">
        <v>4.0000000000000002E-4</v>
      </c>
      <c r="I72" s="129">
        <v>1.72E-2</v>
      </c>
      <c r="J72" s="129">
        <v>8.9999999999999998E-4</v>
      </c>
      <c r="K72" s="129">
        <v>0.69169999999999998</v>
      </c>
      <c r="L72" s="129">
        <v>9.1999999999999998E-3</v>
      </c>
      <c r="M72" s="129">
        <v>9.1999999999999998E-3</v>
      </c>
      <c r="N72" s="129">
        <v>0.50170000000000003</v>
      </c>
      <c r="O72" s="129">
        <v>2.7400000000000001E-2</v>
      </c>
      <c r="P72" s="129">
        <v>1.7500000000000002E-2</v>
      </c>
      <c r="Q72" s="129">
        <v>1E-3</v>
      </c>
      <c r="R72" s="129">
        <v>0.70309999999999995</v>
      </c>
      <c r="S72" s="129">
        <v>9.4999999999999998E-3</v>
      </c>
      <c r="T72" s="129">
        <v>9.4999999999999998E-3</v>
      </c>
      <c r="U72" s="129">
        <v>0.50970000000000004</v>
      </c>
      <c r="V72" s="129">
        <v>2.7900000000000001E-2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0.21560000000000001</v>
      </c>
      <c r="C75" s="129">
        <v>2.0999999999999999E-3</v>
      </c>
      <c r="D75" s="129">
        <v>7.7999999999999996E-3</v>
      </c>
      <c r="E75" s="129">
        <v>1.32E-2</v>
      </c>
      <c r="F75" s="129">
        <v>1.32E-2</v>
      </c>
      <c r="G75" s="129">
        <v>1.54E-2</v>
      </c>
      <c r="H75" s="129">
        <v>1.6500000000000001E-2</v>
      </c>
      <c r="I75" s="129">
        <v>1.5331999999999999</v>
      </c>
      <c r="J75" s="129">
        <v>1.49E-2</v>
      </c>
      <c r="K75" s="129">
        <v>5.5399999999999998E-2</v>
      </c>
      <c r="L75" s="129">
        <v>2.7400000000000001E-2</v>
      </c>
      <c r="M75" s="129">
        <v>2.7400000000000001E-2</v>
      </c>
      <c r="N75" s="129">
        <v>5.2299999999999999E-2</v>
      </c>
      <c r="O75" s="129">
        <v>0.1174</v>
      </c>
      <c r="P75" s="129">
        <v>1.7487999999999999</v>
      </c>
      <c r="Q75" s="129">
        <v>1.7000000000000001E-2</v>
      </c>
      <c r="R75" s="129">
        <v>6.3200000000000006E-2</v>
      </c>
      <c r="S75" s="129">
        <v>4.0599999999999997E-2</v>
      </c>
      <c r="T75" s="129">
        <v>4.0599999999999997E-2</v>
      </c>
      <c r="U75" s="129">
        <v>6.7599999999999993E-2</v>
      </c>
      <c r="V75" s="129">
        <v>0.13389999999999999</v>
      </c>
      <c r="W75" s="130" t="s">
        <v>180</v>
      </c>
      <c r="X75" s="130" t="s">
        <v>166</v>
      </c>
    </row>
    <row r="76" spans="1:24" x14ac:dyDescent="0.25">
      <c r="A76" s="130">
        <v>2104004000</v>
      </c>
      <c r="B76" s="129">
        <v>4.4999999999999997E-3</v>
      </c>
      <c r="C76" s="129">
        <v>2.0000000000000001E-4</v>
      </c>
      <c r="D76" s="129">
        <v>0.1132</v>
      </c>
      <c r="E76" s="129">
        <v>4.5999999999999999E-3</v>
      </c>
      <c r="F76" s="129">
        <v>4.5999999999999999E-3</v>
      </c>
      <c r="G76" s="129">
        <v>0.29210000000000003</v>
      </c>
      <c r="H76" s="129">
        <v>7.1999999999999998E-3</v>
      </c>
      <c r="I76" s="129">
        <v>5.3100000000000001E-2</v>
      </c>
      <c r="J76" s="129">
        <v>2.8999999999999998E-3</v>
      </c>
      <c r="K76" s="129">
        <v>1.3289</v>
      </c>
      <c r="L76" s="129">
        <v>1.84E-2</v>
      </c>
      <c r="M76" s="129">
        <v>1.84E-2</v>
      </c>
      <c r="N76" s="129">
        <v>1.5177</v>
      </c>
      <c r="O76" s="129">
        <v>8.4500000000000006E-2</v>
      </c>
      <c r="P76" s="129">
        <v>5.7599999999999998E-2</v>
      </c>
      <c r="Q76" s="129">
        <v>3.0999999999999999E-3</v>
      </c>
      <c r="R76" s="129">
        <v>1.4420999999999999</v>
      </c>
      <c r="S76" s="129">
        <v>2.3E-2</v>
      </c>
      <c r="T76" s="129">
        <v>2.3E-2</v>
      </c>
      <c r="U76" s="129">
        <v>1.8097000000000001</v>
      </c>
      <c r="V76" s="129">
        <v>9.1700000000000004E-2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0.41560000000000002</v>
      </c>
      <c r="C78" s="129">
        <v>3.0000000000000001E-3</v>
      </c>
      <c r="D78" s="129">
        <v>4.3E-3</v>
      </c>
      <c r="E78" s="129">
        <v>5.6899999999999999E-2</v>
      </c>
      <c r="F78" s="129">
        <v>5.6899999999999999E-2</v>
      </c>
      <c r="G78" s="129">
        <v>6.9999999999999999E-4</v>
      </c>
      <c r="H78" s="129">
        <v>0.37680000000000002</v>
      </c>
      <c r="I78" s="129">
        <v>4.9539</v>
      </c>
      <c r="J78" s="129">
        <v>3.5299999999999998E-2</v>
      </c>
      <c r="K78" s="129">
        <v>5.0999999999999997E-2</v>
      </c>
      <c r="L78" s="129">
        <v>0.1724</v>
      </c>
      <c r="M78" s="129">
        <v>0.1724</v>
      </c>
      <c r="N78" s="129">
        <v>3.7000000000000002E-3</v>
      </c>
      <c r="O78" s="129">
        <v>4.4911000000000003</v>
      </c>
      <c r="P78" s="129">
        <v>5.3696000000000002</v>
      </c>
      <c r="Q78" s="129">
        <v>3.8300000000000001E-2</v>
      </c>
      <c r="R78" s="129">
        <v>5.5300000000000002E-2</v>
      </c>
      <c r="S78" s="129">
        <v>0.2293</v>
      </c>
      <c r="T78" s="129">
        <v>0.2293</v>
      </c>
      <c r="U78" s="129">
        <v>4.4000000000000003E-3</v>
      </c>
      <c r="V78" s="129">
        <v>4.8678999999999997</v>
      </c>
      <c r="W78" s="130" t="s">
        <v>183</v>
      </c>
      <c r="X78" s="130" t="s">
        <v>168</v>
      </c>
    </row>
    <row r="79" spans="1:24" x14ac:dyDescent="0.25">
      <c r="A79" s="130">
        <v>2104008210</v>
      </c>
      <c r="B79" s="129">
        <v>5.9499999999999997E-2</v>
      </c>
      <c r="C79" s="129">
        <v>4.0000000000000002E-4</v>
      </c>
      <c r="D79" s="129">
        <v>6.9999999999999999E-4</v>
      </c>
      <c r="E79" s="129">
        <v>7.9000000000000008E-3</v>
      </c>
      <c r="F79" s="129">
        <v>7.9000000000000008E-3</v>
      </c>
      <c r="G79" s="129">
        <v>1E-4</v>
      </c>
      <c r="H79" s="129">
        <v>1.37E-2</v>
      </c>
      <c r="I79" s="129">
        <v>0.39939999999999998</v>
      </c>
      <c r="J79" s="129">
        <v>2.8999999999999998E-3</v>
      </c>
      <c r="K79" s="129">
        <v>4.7999999999999996E-3</v>
      </c>
      <c r="L79" s="129">
        <v>9.5999999999999992E-3</v>
      </c>
      <c r="M79" s="129">
        <v>9.5999999999999992E-3</v>
      </c>
      <c r="N79" s="129">
        <v>5.9999999999999995E-4</v>
      </c>
      <c r="O79" s="129">
        <v>9.1700000000000004E-2</v>
      </c>
      <c r="P79" s="129">
        <v>0.45889999999999997</v>
      </c>
      <c r="Q79" s="129">
        <v>3.3999999999999998E-3</v>
      </c>
      <c r="R79" s="129">
        <v>5.5999999999999999E-3</v>
      </c>
      <c r="S79" s="129">
        <v>1.7500000000000002E-2</v>
      </c>
      <c r="T79" s="129">
        <v>1.7500000000000002E-2</v>
      </c>
      <c r="U79" s="129">
        <v>6.9999999999999999E-4</v>
      </c>
      <c r="V79" s="129">
        <v>0.10539999999999999</v>
      </c>
      <c r="W79" s="130" t="s">
        <v>184</v>
      </c>
      <c r="X79" s="130" t="s">
        <v>168</v>
      </c>
    </row>
    <row r="80" spans="1:24" x14ac:dyDescent="0.25">
      <c r="A80" s="130">
        <v>2104008220</v>
      </c>
      <c r="B80" s="129">
        <v>7.6399999999999996E-2</v>
      </c>
      <c r="C80" s="129">
        <v>5.0000000000000001E-4</v>
      </c>
      <c r="D80" s="129">
        <v>1.1000000000000001E-3</v>
      </c>
      <c r="E80" s="129">
        <v>6.4999999999999997E-3</v>
      </c>
      <c r="F80" s="129">
        <v>6.4999999999999997E-3</v>
      </c>
      <c r="G80" s="129">
        <v>2.0000000000000001E-4</v>
      </c>
      <c r="H80" s="129">
        <v>6.4999999999999997E-3</v>
      </c>
      <c r="I80" s="129">
        <v>0.51300000000000001</v>
      </c>
      <c r="J80" s="129">
        <v>3.3E-3</v>
      </c>
      <c r="K80" s="129">
        <v>7.3000000000000001E-3</v>
      </c>
      <c r="L80" s="129">
        <v>0</v>
      </c>
      <c r="M80" s="129">
        <v>0</v>
      </c>
      <c r="N80" s="129">
        <v>0</v>
      </c>
      <c r="O80" s="129">
        <v>4.3700000000000003E-2</v>
      </c>
      <c r="P80" s="129">
        <v>0.58950000000000002</v>
      </c>
      <c r="Q80" s="129">
        <v>3.8E-3</v>
      </c>
      <c r="R80" s="129">
        <v>8.3999999999999995E-3</v>
      </c>
      <c r="S80" s="129">
        <v>6.4999999999999997E-3</v>
      </c>
      <c r="T80" s="129">
        <v>6.4999999999999997E-3</v>
      </c>
      <c r="U80" s="129">
        <v>2.0000000000000001E-4</v>
      </c>
      <c r="V80" s="129">
        <v>5.0200000000000002E-2</v>
      </c>
      <c r="W80" s="130" t="s">
        <v>185</v>
      </c>
      <c r="X80" s="130" t="s">
        <v>168</v>
      </c>
    </row>
    <row r="81" spans="1:24" x14ac:dyDescent="0.25">
      <c r="A81" s="130">
        <v>2104008230</v>
      </c>
      <c r="B81" s="129">
        <v>3.5000000000000003E-2</v>
      </c>
      <c r="C81" s="129">
        <v>2.9999999999999997E-4</v>
      </c>
      <c r="D81" s="129">
        <v>6.9999999999999999E-4</v>
      </c>
      <c r="E81" s="129">
        <v>4.1999999999999997E-3</v>
      </c>
      <c r="F81" s="129">
        <v>4.1999999999999997E-3</v>
      </c>
      <c r="G81" s="129">
        <v>1E-4</v>
      </c>
      <c r="H81" s="129">
        <v>4.8999999999999998E-3</v>
      </c>
      <c r="I81" s="129">
        <v>0.23469999999999999</v>
      </c>
      <c r="J81" s="129">
        <v>2E-3</v>
      </c>
      <c r="K81" s="129">
        <v>4.4000000000000003E-3</v>
      </c>
      <c r="L81" s="129">
        <v>0</v>
      </c>
      <c r="M81" s="129">
        <v>0</v>
      </c>
      <c r="N81" s="129">
        <v>0</v>
      </c>
      <c r="O81" s="129">
        <v>3.2899999999999999E-2</v>
      </c>
      <c r="P81" s="129">
        <v>0.2697</v>
      </c>
      <c r="Q81" s="129">
        <v>2.3E-3</v>
      </c>
      <c r="R81" s="129">
        <v>5.0000000000000001E-3</v>
      </c>
      <c r="S81" s="129">
        <v>4.1999999999999997E-3</v>
      </c>
      <c r="T81" s="129">
        <v>4.1999999999999997E-3</v>
      </c>
      <c r="U81" s="129">
        <v>1E-4</v>
      </c>
      <c r="V81" s="129">
        <v>3.78E-2</v>
      </c>
      <c r="W81" s="130" t="s">
        <v>186</v>
      </c>
      <c r="X81" s="130" t="s">
        <v>168</v>
      </c>
    </row>
    <row r="82" spans="1:24" x14ac:dyDescent="0.25">
      <c r="A82" s="130">
        <v>2104008310</v>
      </c>
      <c r="B82" s="129">
        <v>0.63380000000000003</v>
      </c>
      <c r="C82" s="129">
        <v>2.0999999999999999E-3</v>
      </c>
      <c r="D82" s="129">
        <v>7.6E-3</v>
      </c>
      <c r="E82" s="129">
        <v>6.3500000000000001E-2</v>
      </c>
      <c r="F82" s="129">
        <v>6.3500000000000001E-2</v>
      </c>
      <c r="G82" s="129">
        <v>2.0999999999999999E-3</v>
      </c>
      <c r="H82" s="129">
        <v>0.2772</v>
      </c>
      <c r="I82" s="129">
        <v>4.2557999999999998</v>
      </c>
      <c r="J82" s="129">
        <v>1.3899999999999999E-2</v>
      </c>
      <c r="K82" s="129">
        <v>5.0999999999999997E-2</v>
      </c>
      <c r="L82" s="129">
        <v>9.6100000000000005E-2</v>
      </c>
      <c r="M82" s="129">
        <v>9.6100000000000005E-2</v>
      </c>
      <c r="N82" s="129">
        <v>1.7000000000000001E-2</v>
      </c>
      <c r="O82" s="129">
        <v>1.8614999999999999</v>
      </c>
      <c r="P82" s="129">
        <v>4.8897000000000004</v>
      </c>
      <c r="Q82" s="129">
        <v>1.6E-2</v>
      </c>
      <c r="R82" s="129">
        <v>5.8599999999999999E-2</v>
      </c>
      <c r="S82" s="129">
        <v>0.15959999999999999</v>
      </c>
      <c r="T82" s="129">
        <v>0.15959999999999999</v>
      </c>
      <c r="U82" s="129">
        <v>1.9099999999999999E-2</v>
      </c>
      <c r="V82" s="129">
        <v>2.1387</v>
      </c>
      <c r="W82" s="130" t="s">
        <v>187</v>
      </c>
      <c r="X82" s="130" t="s">
        <v>168</v>
      </c>
    </row>
    <row r="83" spans="1:24" x14ac:dyDescent="0.25">
      <c r="A83" s="130">
        <v>2104008320</v>
      </c>
      <c r="B83" s="129">
        <v>1.3616999999999999</v>
      </c>
      <c r="C83" s="129">
        <v>2.8E-3</v>
      </c>
      <c r="D83" s="129">
        <v>1.77E-2</v>
      </c>
      <c r="E83" s="129">
        <v>8.7300000000000003E-2</v>
      </c>
      <c r="F83" s="129">
        <v>8.7300000000000003E-2</v>
      </c>
      <c r="G83" s="129">
        <v>4.4000000000000003E-3</v>
      </c>
      <c r="H83" s="129">
        <v>0.13220000000000001</v>
      </c>
      <c r="I83" s="129">
        <v>9.1428999999999991</v>
      </c>
      <c r="J83" s="129">
        <v>1.8499999999999999E-2</v>
      </c>
      <c r="K83" s="129">
        <v>0.11899999999999999</v>
      </c>
      <c r="L83" s="129">
        <v>0.2011</v>
      </c>
      <c r="M83" s="129">
        <v>0.2011</v>
      </c>
      <c r="N83" s="129">
        <v>6.6199999999999995E-2</v>
      </c>
      <c r="O83" s="129">
        <v>0.88739999999999997</v>
      </c>
      <c r="P83" s="129">
        <v>10.5046</v>
      </c>
      <c r="Q83" s="129">
        <v>2.12E-2</v>
      </c>
      <c r="R83" s="129">
        <v>0.13669999999999999</v>
      </c>
      <c r="S83" s="129">
        <v>0.28839999999999999</v>
      </c>
      <c r="T83" s="129">
        <v>0.28839999999999999</v>
      </c>
      <c r="U83" s="129">
        <v>7.0599999999999996E-2</v>
      </c>
      <c r="V83" s="129">
        <v>1.0195000000000001</v>
      </c>
      <c r="W83" s="130" t="s">
        <v>188</v>
      </c>
      <c r="X83" s="130" t="s">
        <v>168</v>
      </c>
    </row>
    <row r="84" spans="1:24" x14ac:dyDescent="0.25">
      <c r="A84" s="130">
        <v>2104008330</v>
      </c>
      <c r="B84" s="129">
        <v>0.81989999999999996</v>
      </c>
      <c r="C84" s="129">
        <v>1.6999999999999999E-3</v>
      </c>
      <c r="D84" s="129">
        <v>1.0699999999999999E-2</v>
      </c>
      <c r="E84" s="129">
        <v>5.8299999999999998E-2</v>
      </c>
      <c r="F84" s="129">
        <v>5.8299999999999998E-2</v>
      </c>
      <c r="G84" s="129">
        <v>2.7000000000000001E-3</v>
      </c>
      <c r="H84" s="129">
        <v>9.9500000000000005E-2</v>
      </c>
      <c r="I84" s="129">
        <v>5.5046999999999997</v>
      </c>
      <c r="J84" s="129">
        <v>1.11E-2</v>
      </c>
      <c r="K84" s="129">
        <v>7.1599999999999997E-2</v>
      </c>
      <c r="L84" s="129">
        <v>0.1343</v>
      </c>
      <c r="M84" s="129">
        <v>0.1343</v>
      </c>
      <c r="N84" s="129">
        <v>4.07E-2</v>
      </c>
      <c r="O84" s="129">
        <v>0.66779999999999995</v>
      </c>
      <c r="P84" s="129">
        <v>6.3246000000000002</v>
      </c>
      <c r="Q84" s="129">
        <v>1.2800000000000001E-2</v>
      </c>
      <c r="R84" s="129">
        <v>8.2299999999999998E-2</v>
      </c>
      <c r="S84" s="129">
        <v>0.19259999999999999</v>
      </c>
      <c r="T84" s="129">
        <v>0.19259999999999999</v>
      </c>
      <c r="U84" s="129">
        <v>4.3299999999999998E-2</v>
      </c>
      <c r="V84" s="129">
        <v>0.76729999999999998</v>
      </c>
      <c r="W84" s="130" t="s">
        <v>189</v>
      </c>
      <c r="X84" s="130" t="s">
        <v>168</v>
      </c>
    </row>
    <row r="85" spans="1:24" x14ac:dyDescent="0.25">
      <c r="A85" s="130">
        <v>2104008410</v>
      </c>
      <c r="B85" s="129">
        <v>7.1999999999999998E-3</v>
      </c>
      <c r="C85" s="129">
        <v>1E-4</v>
      </c>
      <c r="D85" s="129">
        <v>2.8999999999999998E-3</v>
      </c>
      <c r="E85" s="129">
        <v>2.2000000000000001E-3</v>
      </c>
      <c r="F85" s="129">
        <v>2.2000000000000001E-3</v>
      </c>
      <c r="G85" s="129">
        <v>2.0000000000000001E-4</v>
      </c>
      <c r="H85" s="129">
        <v>1.6999999999999999E-3</v>
      </c>
      <c r="I85" s="129">
        <v>4.8500000000000001E-2</v>
      </c>
      <c r="J85" s="129">
        <v>4.0000000000000002E-4</v>
      </c>
      <c r="K85" s="129">
        <v>1.95E-2</v>
      </c>
      <c r="L85" s="129">
        <v>5.4000000000000003E-3</v>
      </c>
      <c r="M85" s="129">
        <v>5.4000000000000003E-3</v>
      </c>
      <c r="N85" s="129">
        <v>3.5999999999999999E-3</v>
      </c>
      <c r="O85" s="129">
        <v>1.12E-2</v>
      </c>
      <c r="P85" s="129">
        <v>5.57E-2</v>
      </c>
      <c r="Q85" s="129">
        <v>4.0000000000000002E-4</v>
      </c>
      <c r="R85" s="129">
        <v>2.2499999999999999E-2</v>
      </c>
      <c r="S85" s="129">
        <v>7.4999999999999997E-3</v>
      </c>
      <c r="T85" s="129">
        <v>7.4999999999999997E-3</v>
      </c>
      <c r="U85" s="129">
        <v>3.8999999999999998E-3</v>
      </c>
      <c r="V85" s="129">
        <v>1.29E-2</v>
      </c>
      <c r="W85" s="130" t="s">
        <v>190</v>
      </c>
      <c r="X85" s="130" t="s">
        <v>168</v>
      </c>
    </row>
    <row r="86" spans="1:24" x14ac:dyDescent="0.25">
      <c r="A86" s="130">
        <v>2104008420</v>
      </c>
      <c r="B86" s="129">
        <v>2.4400000000000002E-2</v>
      </c>
      <c r="C86" s="129">
        <v>2.0000000000000001E-4</v>
      </c>
      <c r="D86" s="129">
        <v>9.7999999999999997E-3</v>
      </c>
      <c r="E86" s="129">
        <v>7.3000000000000001E-3</v>
      </c>
      <c r="F86" s="129">
        <v>7.3000000000000001E-3</v>
      </c>
      <c r="G86" s="129">
        <v>8.0000000000000004E-4</v>
      </c>
      <c r="H86" s="129">
        <v>5.5999999999999999E-3</v>
      </c>
      <c r="I86" s="129">
        <v>0.16350000000000001</v>
      </c>
      <c r="J86" s="129">
        <v>1.1999999999999999E-3</v>
      </c>
      <c r="K86" s="129">
        <v>6.59E-2</v>
      </c>
      <c r="L86" s="129">
        <v>1.67E-2</v>
      </c>
      <c r="M86" s="129">
        <v>1.67E-2</v>
      </c>
      <c r="N86" s="129">
        <v>1.46E-2</v>
      </c>
      <c r="O86" s="129">
        <v>3.7699999999999997E-2</v>
      </c>
      <c r="P86" s="129">
        <v>0.18790000000000001</v>
      </c>
      <c r="Q86" s="129">
        <v>1.4E-3</v>
      </c>
      <c r="R86" s="129">
        <v>7.5700000000000003E-2</v>
      </c>
      <c r="S86" s="129">
        <v>2.4E-2</v>
      </c>
      <c r="T86" s="129">
        <v>2.4E-2</v>
      </c>
      <c r="U86" s="129">
        <v>1.54E-2</v>
      </c>
      <c r="V86" s="129">
        <v>4.3400000000000001E-2</v>
      </c>
      <c r="W86" s="130" t="s">
        <v>191</v>
      </c>
      <c r="X86" s="130" t="s">
        <v>168</v>
      </c>
    </row>
    <row r="87" spans="1:24" x14ac:dyDescent="0.25">
      <c r="A87" s="130">
        <v>2104008610</v>
      </c>
      <c r="B87" s="129">
        <v>0.13919999999999999</v>
      </c>
      <c r="C87" s="129">
        <v>5.9999999999999995E-4</v>
      </c>
      <c r="D87" s="129">
        <v>3.7000000000000002E-3</v>
      </c>
      <c r="E87" s="129">
        <v>2.2700000000000001E-2</v>
      </c>
      <c r="F87" s="129">
        <v>2.2700000000000001E-2</v>
      </c>
      <c r="G87" s="129">
        <v>8.9999999999999998E-4</v>
      </c>
      <c r="H87" s="129">
        <v>0.10440000000000001</v>
      </c>
      <c r="I87" s="129">
        <v>1.4857</v>
      </c>
      <c r="J87" s="129">
        <v>6.0000000000000001E-3</v>
      </c>
      <c r="K87" s="129">
        <v>3.9600000000000003E-2</v>
      </c>
      <c r="L87" s="129">
        <v>5.2200000000000003E-2</v>
      </c>
      <c r="M87" s="129">
        <v>5.2200000000000003E-2</v>
      </c>
      <c r="N87" s="129">
        <v>1.24E-2</v>
      </c>
      <c r="O87" s="129">
        <v>1.1135999999999999</v>
      </c>
      <c r="P87" s="129">
        <v>1.6249</v>
      </c>
      <c r="Q87" s="129">
        <v>6.4999999999999997E-3</v>
      </c>
      <c r="R87" s="129">
        <v>4.3299999999999998E-2</v>
      </c>
      <c r="S87" s="129">
        <v>7.4899999999999994E-2</v>
      </c>
      <c r="T87" s="129">
        <v>7.4899999999999994E-2</v>
      </c>
      <c r="U87" s="129">
        <v>1.3299999999999999E-2</v>
      </c>
      <c r="V87" s="129">
        <v>1.2179</v>
      </c>
      <c r="W87" s="130" t="s">
        <v>192</v>
      </c>
      <c r="X87" s="130" t="s">
        <v>168</v>
      </c>
    </row>
    <row r="89" spans="1:24" x14ac:dyDescent="0.25">
      <c r="B89" s="135">
        <f>SUMIFS(B70:B87,$X70:$X87,$X89)/B69</f>
        <v>0.94182460394865186</v>
      </c>
      <c r="C89" s="135">
        <f t="shared" ref="C89:V89" si="8">SUMIFS(C70:C87,$X70:$X87,$X89)/C69</f>
        <v>0.84782608695652173</v>
      </c>
      <c r="D89" s="135">
        <f t="shared" si="8"/>
        <v>0.30913838120104442</v>
      </c>
      <c r="E89" s="135">
        <f t="shared" si="8"/>
        <v>0.94595401612421615</v>
      </c>
      <c r="F89" s="135">
        <f t="shared" si="8"/>
        <v>0.94595401612421615</v>
      </c>
      <c r="G89" s="135">
        <f t="shared" si="8"/>
        <v>3.7229173024107422E-2</v>
      </c>
      <c r="H89" s="135">
        <f t="shared" si="8"/>
        <v>0.97697745510126122</v>
      </c>
      <c r="I89" s="135">
        <f t="shared" si="8"/>
        <v>0.94110018220071678</v>
      </c>
      <c r="J89" s="136">
        <f t="shared" si="8"/>
        <v>0.66526019690576654</v>
      </c>
      <c r="K89" s="136">
        <f t="shared" si="8"/>
        <v>0.16210463422831323</v>
      </c>
      <c r="L89" s="135">
        <f t="shared" si="8"/>
        <v>0.91030559597830407</v>
      </c>
      <c r="M89" s="136">
        <f t="shared" si="8"/>
        <v>0.91030559597830407</v>
      </c>
      <c r="N89" s="136">
        <f t="shared" si="8"/>
        <v>7.0624861018456733E-2</v>
      </c>
      <c r="O89" s="136">
        <f t="shared" si="8"/>
        <v>0.97488789237668161</v>
      </c>
      <c r="P89" s="135">
        <f t="shared" si="8"/>
        <v>0.94119475642623773</v>
      </c>
      <c r="Q89" s="136">
        <f t="shared" si="8"/>
        <v>0.68012820512820515</v>
      </c>
      <c r="R89" s="136">
        <f t="shared" si="8"/>
        <v>0.17195232452777584</v>
      </c>
      <c r="S89" s="135">
        <f t="shared" si="8"/>
        <v>0.92115878254492112</v>
      </c>
      <c r="T89" s="136">
        <f t="shared" si="8"/>
        <v>0.92115878254492112</v>
      </c>
      <c r="U89" s="136">
        <f t="shared" si="8"/>
        <v>6.6376834096731618E-2</v>
      </c>
      <c r="V89" s="136">
        <f t="shared" si="8"/>
        <v>0.97508622901285613</v>
      </c>
      <c r="X89" s="130" t="s">
        <v>168</v>
      </c>
    </row>
    <row r="90" spans="1:24" x14ac:dyDescent="0.25">
      <c r="B90" s="135">
        <f>SUMIFS(B70:B87,$X70:$X87,$X90)/B69</f>
        <v>1.2652555552626723E-3</v>
      </c>
      <c r="C90" s="135">
        <f t="shared" ref="C90:V90" si="9">SUMIFS(C70:C87,$X70:$X87,$X90)/C69</f>
        <v>1.4492753623188406E-2</v>
      </c>
      <c r="D90" s="135">
        <f t="shared" si="9"/>
        <v>0.65013054830287209</v>
      </c>
      <c r="E90" s="135">
        <f t="shared" si="9"/>
        <v>1.4631233203941475E-2</v>
      </c>
      <c r="F90" s="135">
        <f t="shared" si="9"/>
        <v>1.4631233203941475E-2</v>
      </c>
      <c r="G90" s="135">
        <f t="shared" si="9"/>
        <v>0.91577662496185552</v>
      </c>
      <c r="H90" s="135">
        <f t="shared" si="9"/>
        <v>7.2602216278181125E-3</v>
      </c>
      <c r="I90" s="135">
        <f t="shared" si="9"/>
        <v>2.4775068457426001E-3</v>
      </c>
      <c r="J90" s="136">
        <f t="shared" si="9"/>
        <v>2.672292545710267E-2</v>
      </c>
      <c r="K90" s="136">
        <f t="shared" si="9"/>
        <v>0.75454647298256095</v>
      </c>
      <c r="L90" s="135">
        <f t="shared" si="9"/>
        <v>3.651276623892049E-2</v>
      </c>
      <c r="M90" s="136">
        <f t="shared" si="9"/>
        <v>3.651276623892049E-2</v>
      </c>
      <c r="N90" s="136">
        <f t="shared" si="9"/>
        <v>0.89810985101178564</v>
      </c>
      <c r="O90" s="136">
        <f t="shared" si="9"/>
        <v>1.1806911105249276E-2</v>
      </c>
      <c r="P90" s="135">
        <f t="shared" si="9"/>
        <v>2.3345529377753046E-3</v>
      </c>
      <c r="Q90" s="136">
        <f t="shared" si="9"/>
        <v>2.6282051282051279E-2</v>
      </c>
      <c r="R90" s="136">
        <f t="shared" si="9"/>
        <v>0.74761274133965283</v>
      </c>
      <c r="S90" s="135">
        <f t="shared" si="9"/>
        <v>2.9794646131279797E-2</v>
      </c>
      <c r="T90" s="136">
        <f t="shared" si="9"/>
        <v>2.9794646131279797E-2</v>
      </c>
      <c r="U90" s="136">
        <f t="shared" si="9"/>
        <v>0.90031829826876786</v>
      </c>
      <c r="V90" s="136">
        <f t="shared" si="9"/>
        <v>1.1364176239749913E-2</v>
      </c>
      <c r="X90" s="130" t="s">
        <v>167</v>
      </c>
    </row>
    <row r="91" spans="1:24" x14ac:dyDescent="0.25">
      <c r="B91" s="135">
        <f>SUMIFS(B70:B87,$X70:$X87,$X91)/B69</f>
        <v>5.6910140496085622E-2</v>
      </c>
      <c r="C91" s="135">
        <f t="shared" ref="C91:V91" si="10">SUMIFS(C70:C87,$X70:$X87,$X91)/C69</f>
        <v>0.15217391304347824</v>
      </c>
      <c r="D91" s="135">
        <f t="shared" si="10"/>
        <v>4.073107049608355E-2</v>
      </c>
      <c r="E91" s="135">
        <f t="shared" si="10"/>
        <v>3.9414750671842344E-2</v>
      </c>
      <c r="F91" s="135">
        <f t="shared" si="10"/>
        <v>3.9414750671842344E-2</v>
      </c>
      <c r="G91" s="135">
        <f t="shared" si="10"/>
        <v>4.6994202014037229E-2</v>
      </c>
      <c r="H91" s="135">
        <f t="shared" si="10"/>
        <v>1.5762323270920902E-2</v>
      </c>
      <c r="I91" s="135">
        <f t="shared" si="10"/>
        <v>5.4184449151198397E-2</v>
      </c>
      <c r="J91" s="136">
        <f t="shared" si="10"/>
        <v>0.10478199718706048</v>
      </c>
      <c r="K91" s="136">
        <f t="shared" si="10"/>
        <v>2.0762537809477573E-2</v>
      </c>
      <c r="L91" s="135">
        <f t="shared" si="10"/>
        <v>3.6645058870220931E-2</v>
      </c>
      <c r="M91" s="136">
        <f t="shared" si="10"/>
        <v>3.6645058870220931E-2</v>
      </c>
      <c r="N91" s="136">
        <f t="shared" si="10"/>
        <v>2.3393373360017792E-2</v>
      </c>
      <c r="O91" s="136">
        <f t="shared" si="10"/>
        <v>1.241888683724611E-2</v>
      </c>
      <c r="P91" s="135">
        <f t="shared" si="10"/>
        <v>5.4502951608541163E-2</v>
      </c>
      <c r="Q91" s="136">
        <f t="shared" si="10"/>
        <v>0.10897435897435898</v>
      </c>
      <c r="R91" s="136">
        <f t="shared" si="10"/>
        <v>2.2095211542482753E-2</v>
      </c>
      <c r="S91" s="135">
        <f t="shared" si="10"/>
        <v>3.7495416208287495E-2</v>
      </c>
      <c r="T91" s="136">
        <f t="shared" si="10"/>
        <v>3.7495416208287495E-2</v>
      </c>
      <c r="U91" s="136">
        <f t="shared" si="10"/>
        <v>2.6356649328468283E-2</v>
      </c>
      <c r="V91" s="136">
        <f t="shared" si="10"/>
        <v>1.2751441901124063E-2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2.2343376105274657E-3</v>
      </c>
      <c r="J92" s="136">
        <f t="shared" si="11"/>
        <v>0.20323488045007032</v>
      </c>
      <c r="K92" s="136">
        <f t="shared" si="11"/>
        <v>6.2511669591844343E-2</v>
      </c>
      <c r="L92" s="135">
        <f t="shared" si="11"/>
        <v>1.653657891255457E-2</v>
      </c>
      <c r="M92" s="136">
        <f t="shared" si="11"/>
        <v>1.653657891255457E-2</v>
      </c>
      <c r="N92" s="136">
        <f t="shared" si="11"/>
        <v>7.8719146097398253E-3</v>
      </c>
      <c r="O92" s="136">
        <f t="shared" si="11"/>
        <v>8.8630968082300187E-4</v>
      </c>
      <c r="P92" s="135">
        <f t="shared" si="11"/>
        <v>1.9708476199061828E-3</v>
      </c>
      <c r="Q92" s="136">
        <f t="shared" si="11"/>
        <v>0.18525641025641024</v>
      </c>
      <c r="R92" s="136">
        <f t="shared" si="11"/>
        <v>5.8339722590088516E-2</v>
      </c>
      <c r="S92" s="135">
        <f t="shared" si="11"/>
        <v>1.1459479281261458E-2</v>
      </c>
      <c r="T92" s="136">
        <f t="shared" si="11"/>
        <v>1.1459479281261458E-2</v>
      </c>
      <c r="U92" s="136">
        <f t="shared" si="11"/>
        <v>6.8705845819423943E-3</v>
      </c>
      <c r="V92" s="136">
        <f t="shared" si="11"/>
        <v>7.9815284627006064E-4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6C6FE-E4B1-43F7-9AC4-9BAE81B20834}">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194</v>
      </c>
    </row>
    <row r="3" spans="1:24" x14ac:dyDescent="0.25">
      <c r="A3" s="132" t="s">
        <v>214</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3.8237000000000001</v>
      </c>
      <c r="C7" s="129">
        <v>1.3899999999999999E-2</v>
      </c>
      <c r="D7" s="129">
        <v>0.193</v>
      </c>
      <c r="E7" s="129">
        <v>0.33760000000000001</v>
      </c>
      <c r="F7" s="129">
        <v>0.33760000000000001</v>
      </c>
      <c r="G7" s="129">
        <v>0.33029999999999998</v>
      </c>
      <c r="H7" s="129">
        <v>1.0550999999999999</v>
      </c>
      <c r="I7" s="129">
        <v>28.599699999999999</v>
      </c>
      <c r="J7" s="129">
        <v>0.1431</v>
      </c>
      <c r="K7" s="129">
        <v>2.702</v>
      </c>
      <c r="L7" s="129">
        <v>2.7128000000000001</v>
      </c>
      <c r="M7" s="129">
        <v>2.7128000000000001</v>
      </c>
      <c r="N7" s="129">
        <v>4.165</v>
      </c>
      <c r="O7" s="129">
        <v>9.5526999999999997</v>
      </c>
      <c r="P7" s="129">
        <v>32.423499999999997</v>
      </c>
      <c r="Q7" s="129">
        <v>0.157</v>
      </c>
      <c r="R7" s="129">
        <v>2.895</v>
      </c>
      <c r="S7" s="129">
        <v>3.0503999999999998</v>
      </c>
      <c r="T7" s="129">
        <v>3.0503999999999998</v>
      </c>
      <c r="U7" s="129">
        <v>4.4951999999999996</v>
      </c>
      <c r="V7" s="129">
        <v>10.607799999999999</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1.14E-2</v>
      </c>
      <c r="E10" s="129">
        <v>2.9999999999999997E-4</v>
      </c>
      <c r="F10" s="129">
        <v>2.9999999999999997E-4</v>
      </c>
      <c r="G10" s="129">
        <v>8.0999999999999996E-3</v>
      </c>
      <c r="H10" s="129">
        <v>5.0000000000000001E-4</v>
      </c>
      <c r="I10" s="129">
        <v>1.7500000000000002E-2</v>
      </c>
      <c r="J10" s="129">
        <v>1E-3</v>
      </c>
      <c r="K10" s="129">
        <v>0.70140000000000002</v>
      </c>
      <c r="L10" s="129">
        <v>1.78E-2</v>
      </c>
      <c r="M10" s="129">
        <v>1.78E-2</v>
      </c>
      <c r="N10" s="129">
        <v>0.49580000000000002</v>
      </c>
      <c r="O10" s="129">
        <v>2.7799999999999998E-2</v>
      </c>
      <c r="P10" s="129">
        <v>1.77E-2</v>
      </c>
      <c r="Q10" s="129">
        <v>1E-3</v>
      </c>
      <c r="R10" s="129">
        <v>0.71279999999999999</v>
      </c>
      <c r="S10" s="129">
        <v>1.8100000000000002E-2</v>
      </c>
      <c r="T10" s="129">
        <v>1.8100000000000002E-2</v>
      </c>
      <c r="U10" s="129">
        <v>0.50390000000000001</v>
      </c>
      <c r="V10" s="129">
        <v>2.8199999999999999E-2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0.21729999999999999</v>
      </c>
      <c r="C13" s="129">
        <v>2.0999999999999999E-3</v>
      </c>
      <c r="D13" s="129">
        <v>7.9000000000000008E-3</v>
      </c>
      <c r="E13" s="129">
        <v>1.3299999999999999E-2</v>
      </c>
      <c r="F13" s="129">
        <v>1.3299999999999999E-2</v>
      </c>
      <c r="G13" s="129">
        <v>1.55E-2</v>
      </c>
      <c r="H13" s="129">
        <v>1.66E-2</v>
      </c>
      <c r="I13" s="129">
        <v>1.5454000000000001</v>
      </c>
      <c r="J13" s="129">
        <v>1.4999999999999999E-2</v>
      </c>
      <c r="K13" s="129">
        <v>5.5899999999999998E-2</v>
      </c>
      <c r="L13" s="129">
        <v>9.4600000000000004E-2</v>
      </c>
      <c r="M13" s="129">
        <v>9.4600000000000004E-2</v>
      </c>
      <c r="N13" s="129">
        <v>0.1101</v>
      </c>
      <c r="O13" s="129">
        <v>0.11840000000000001</v>
      </c>
      <c r="P13" s="129">
        <v>1.7626999999999999</v>
      </c>
      <c r="Q13" s="129">
        <v>1.7100000000000001E-2</v>
      </c>
      <c r="R13" s="129">
        <v>6.3700000000000007E-2</v>
      </c>
      <c r="S13" s="129">
        <v>0.1079</v>
      </c>
      <c r="T13" s="129">
        <v>0.1079</v>
      </c>
      <c r="U13" s="129">
        <v>0.1255</v>
      </c>
      <c r="V13" s="129">
        <v>0.13500000000000001</v>
      </c>
      <c r="W13" s="130" t="s">
        <v>180</v>
      </c>
      <c r="X13" s="130" t="s">
        <v>166</v>
      </c>
    </row>
    <row r="14" spans="1:24" x14ac:dyDescent="0.25">
      <c r="A14" s="130">
        <v>2104004000</v>
      </c>
      <c r="B14" s="129">
        <v>4.5999999999999999E-3</v>
      </c>
      <c r="C14" s="129">
        <v>2.0000000000000001E-4</v>
      </c>
      <c r="D14" s="129">
        <v>0.11409999999999999</v>
      </c>
      <c r="E14" s="129">
        <v>4.5999999999999999E-3</v>
      </c>
      <c r="F14" s="129">
        <v>4.5999999999999999E-3</v>
      </c>
      <c r="G14" s="129">
        <v>0.2944</v>
      </c>
      <c r="H14" s="129">
        <v>7.3000000000000001E-3</v>
      </c>
      <c r="I14" s="129">
        <v>5.3499999999999999E-2</v>
      </c>
      <c r="J14" s="129">
        <v>2.8999999999999998E-3</v>
      </c>
      <c r="K14" s="129">
        <v>1.3394999999999999</v>
      </c>
      <c r="L14" s="129">
        <v>5.45E-2</v>
      </c>
      <c r="M14" s="129">
        <v>5.45E-2</v>
      </c>
      <c r="N14" s="129">
        <v>3.4514999999999998</v>
      </c>
      <c r="O14" s="129">
        <v>8.5099999999999995E-2</v>
      </c>
      <c r="P14" s="129">
        <v>5.8000000000000003E-2</v>
      </c>
      <c r="Q14" s="129">
        <v>3.2000000000000002E-3</v>
      </c>
      <c r="R14" s="129">
        <v>1.4536</v>
      </c>
      <c r="S14" s="129">
        <v>5.91E-2</v>
      </c>
      <c r="T14" s="129">
        <v>5.91E-2</v>
      </c>
      <c r="U14" s="129">
        <v>3.7458999999999998</v>
      </c>
      <c r="V14" s="129">
        <v>9.2399999999999996E-2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0.41889999999999999</v>
      </c>
      <c r="C16" s="129">
        <v>3.0000000000000001E-3</v>
      </c>
      <c r="D16" s="129">
        <v>4.3E-3</v>
      </c>
      <c r="E16" s="129">
        <v>5.74E-2</v>
      </c>
      <c r="F16" s="129">
        <v>5.74E-2</v>
      </c>
      <c r="G16" s="129">
        <v>6.9999999999999999E-4</v>
      </c>
      <c r="H16" s="129">
        <v>0.37980000000000003</v>
      </c>
      <c r="I16" s="129">
        <v>4.9931999999999999</v>
      </c>
      <c r="J16" s="129">
        <v>3.56E-2</v>
      </c>
      <c r="K16" s="129">
        <v>5.1400000000000001E-2</v>
      </c>
      <c r="L16" s="129">
        <v>0.68389999999999995</v>
      </c>
      <c r="M16" s="129">
        <v>0.68389999999999995</v>
      </c>
      <c r="N16" s="129">
        <v>7.9000000000000008E-3</v>
      </c>
      <c r="O16" s="129">
        <v>4.5266999999999999</v>
      </c>
      <c r="P16" s="129">
        <v>5.4120999999999997</v>
      </c>
      <c r="Q16" s="129">
        <v>3.8600000000000002E-2</v>
      </c>
      <c r="R16" s="129">
        <v>5.57E-2</v>
      </c>
      <c r="S16" s="129">
        <v>0.74129999999999996</v>
      </c>
      <c r="T16" s="129">
        <v>0.74129999999999996</v>
      </c>
      <c r="U16" s="129">
        <v>8.6E-3</v>
      </c>
      <c r="V16" s="129">
        <v>4.9065000000000003</v>
      </c>
      <c r="W16" s="130" t="s">
        <v>183</v>
      </c>
      <c r="X16" s="130" t="s">
        <v>168</v>
      </c>
    </row>
    <row r="17" spans="1:24" x14ac:dyDescent="0.25">
      <c r="A17" s="130">
        <v>2104008210</v>
      </c>
      <c r="B17" s="129">
        <v>0.06</v>
      </c>
      <c r="C17" s="129">
        <v>4.0000000000000002E-4</v>
      </c>
      <c r="D17" s="129">
        <v>6.9999999999999999E-4</v>
      </c>
      <c r="E17" s="129">
        <v>7.9000000000000008E-3</v>
      </c>
      <c r="F17" s="129">
        <v>7.9000000000000008E-3</v>
      </c>
      <c r="G17" s="129">
        <v>1E-4</v>
      </c>
      <c r="H17" s="129">
        <v>1.38E-2</v>
      </c>
      <c r="I17" s="129">
        <v>0.40260000000000001</v>
      </c>
      <c r="J17" s="129">
        <v>3.0000000000000001E-3</v>
      </c>
      <c r="K17" s="129">
        <v>4.8999999999999998E-3</v>
      </c>
      <c r="L17" s="129">
        <v>5.3400000000000003E-2</v>
      </c>
      <c r="M17" s="129">
        <v>5.3400000000000003E-2</v>
      </c>
      <c r="N17" s="129">
        <v>6.9999999999999999E-4</v>
      </c>
      <c r="O17" s="129">
        <v>9.2499999999999999E-2</v>
      </c>
      <c r="P17" s="129">
        <v>0.46260000000000001</v>
      </c>
      <c r="Q17" s="129">
        <v>3.3999999999999998E-3</v>
      </c>
      <c r="R17" s="129">
        <v>5.5999999999999999E-3</v>
      </c>
      <c r="S17" s="129">
        <v>6.13E-2</v>
      </c>
      <c r="T17" s="129">
        <v>6.13E-2</v>
      </c>
      <c r="U17" s="129">
        <v>8.0000000000000004E-4</v>
      </c>
      <c r="V17" s="129">
        <v>0.1062</v>
      </c>
      <c r="W17" s="130" t="s">
        <v>184</v>
      </c>
      <c r="X17" s="130" t="s">
        <v>168</v>
      </c>
    </row>
    <row r="18" spans="1:24" x14ac:dyDescent="0.25">
      <c r="A18" s="130">
        <v>2104008220</v>
      </c>
      <c r="B18" s="129">
        <v>7.6999999999999999E-2</v>
      </c>
      <c r="C18" s="129">
        <v>5.0000000000000001E-4</v>
      </c>
      <c r="D18" s="129">
        <v>1.1000000000000001E-3</v>
      </c>
      <c r="E18" s="129">
        <v>6.6E-3</v>
      </c>
      <c r="F18" s="129">
        <v>6.6E-3</v>
      </c>
      <c r="G18" s="129">
        <v>2.0000000000000001E-4</v>
      </c>
      <c r="H18" s="129">
        <v>6.6E-3</v>
      </c>
      <c r="I18" s="129">
        <v>0.5171</v>
      </c>
      <c r="J18" s="129">
        <v>3.3E-3</v>
      </c>
      <c r="K18" s="129">
        <v>7.3000000000000001E-3</v>
      </c>
      <c r="L18" s="129">
        <v>4.41E-2</v>
      </c>
      <c r="M18" s="129">
        <v>4.41E-2</v>
      </c>
      <c r="N18" s="129">
        <v>1.5E-3</v>
      </c>
      <c r="O18" s="129">
        <v>4.41E-2</v>
      </c>
      <c r="P18" s="129">
        <v>0.59409999999999996</v>
      </c>
      <c r="Q18" s="129">
        <v>3.8E-3</v>
      </c>
      <c r="R18" s="129">
        <v>8.3999999999999995E-3</v>
      </c>
      <c r="S18" s="129">
        <v>5.0599999999999999E-2</v>
      </c>
      <c r="T18" s="129">
        <v>5.0599999999999999E-2</v>
      </c>
      <c r="U18" s="129">
        <v>1.6999999999999999E-3</v>
      </c>
      <c r="V18" s="129">
        <v>5.0599999999999999E-2</v>
      </c>
      <c r="W18" s="130" t="s">
        <v>185</v>
      </c>
      <c r="X18" s="130" t="s">
        <v>168</v>
      </c>
    </row>
    <row r="19" spans="1:24" x14ac:dyDescent="0.25">
      <c r="A19" s="130">
        <v>2104008230</v>
      </c>
      <c r="B19" s="129">
        <v>3.5200000000000002E-2</v>
      </c>
      <c r="C19" s="129">
        <v>2.9999999999999997E-4</v>
      </c>
      <c r="D19" s="129">
        <v>6.9999999999999999E-4</v>
      </c>
      <c r="E19" s="129">
        <v>4.3E-3</v>
      </c>
      <c r="F19" s="129">
        <v>4.3E-3</v>
      </c>
      <c r="G19" s="129">
        <v>1E-4</v>
      </c>
      <c r="H19" s="129">
        <v>4.8999999999999998E-3</v>
      </c>
      <c r="I19" s="129">
        <v>0.2366</v>
      </c>
      <c r="J19" s="129">
        <v>2E-3</v>
      </c>
      <c r="K19" s="129">
        <v>4.4000000000000003E-3</v>
      </c>
      <c r="L19" s="129">
        <v>2.87E-2</v>
      </c>
      <c r="M19" s="129">
        <v>2.87E-2</v>
      </c>
      <c r="N19" s="129">
        <v>8.9999999999999998E-4</v>
      </c>
      <c r="O19" s="129">
        <v>3.32E-2</v>
      </c>
      <c r="P19" s="129">
        <v>0.27179999999999999</v>
      </c>
      <c r="Q19" s="129">
        <v>2.3E-3</v>
      </c>
      <c r="R19" s="129">
        <v>5.1000000000000004E-3</v>
      </c>
      <c r="S19" s="129">
        <v>3.3000000000000002E-2</v>
      </c>
      <c r="T19" s="129">
        <v>3.3000000000000002E-2</v>
      </c>
      <c r="U19" s="129">
        <v>1E-3</v>
      </c>
      <c r="V19" s="129">
        <v>3.8100000000000002E-2</v>
      </c>
      <c r="W19" s="130" t="s">
        <v>186</v>
      </c>
      <c r="X19" s="130" t="s">
        <v>168</v>
      </c>
    </row>
    <row r="20" spans="1:24" x14ac:dyDescent="0.25">
      <c r="A20" s="130">
        <v>2104008310</v>
      </c>
      <c r="B20" s="129">
        <v>0.63890000000000002</v>
      </c>
      <c r="C20" s="129">
        <v>2.0999999999999999E-3</v>
      </c>
      <c r="D20" s="129">
        <v>7.7000000000000002E-3</v>
      </c>
      <c r="E20" s="129">
        <v>6.4000000000000001E-2</v>
      </c>
      <c r="F20" s="129">
        <v>6.4000000000000001E-2</v>
      </c>
      <c r="G20" s="129">
        <v>2.0999999999999999E-3</v>
      </c>
      <c r="H20" s="129">
        <v>0.27939999999999998</v>
      </c>
      <c r="I20" s="129">
        <v>4.2895000000000003</v>
      </c>
      <c r="J20" s="129">
        <v>1.41E-2</v>
      </c>
      <c r="K20" s="129">
        <v>5.1400000000000001E-2</v>
      </c>
      <c r="L20" s="129">
        <v>0.42980000000000002</v>
      </c>
      <c r="M20" s="129">
        <v>0.42980000000000002</v>
      </c>
      <c r="N20" s="129">
        <v>1.4200000000000001E-2</v>
      </c>
      <c r="O20" s="129">
        <v>1.8762000000000001</v>
      </c>
      <c r="P20" s="129">
        <v>4.9283999999999999</v>
      </c>
      <c r="Q20" s="129">
        <v>1.61E-2</v>
      </c>
      <c r="R20" s="129">
        <v>5.91E-2</v>
      </c>
      <c r="S20" s="129">
        <v>0.49390000000000001</v>
      </c>
      <c r="T20" s="129">
        <v>0.49390000000000001</v>
      </c>
      <c r="U20" s="129">
        <v>1.6299999999999999E-2</v>
      </c>
      <c r="V20" s="129">
        <v>2.1556999999999999</v>
      </c>
      <c r="W20" s="130" t="s">
        <v>187</v>
      </c>
      <c r="X20" s="130" t="s">
        <v>168</v>
      </c>
    </row>
    <row r="21" spans="1:24" x14ac:dyDescent="0.25">
      <c r="A21" s="130">
        <v>2104008320</v>
      </c>
      <c r="B21" s="129">
        <v>1.3725000000000001</v>
      </c>
      <c r="C21" s="129">
        <v>2.8E-3</v>
      </c>
      <c r="D21" s="129">
        <v>1.7899999999999999E-2</v>
      </c>
      <c r="E21" s="129">
        <v>8.7999999999999995E-2</v>
      </c>
      <c r="F21" s="129">
        <v>8.7999999999999995E-2</v>
      </c>
      <c r="G21" s="129">
        <v>4.4000000000000003E-3</v>
      </c>
      <c r="H21" s="129">
        <v>0.13320000000000001</v>
      </c>
      <c r="I21" s="129">
        <v>9.2154000000000007</v>
      </c>
      <c r="J21" s="129">
        <v>1.8599999999999998E-2</v>
      </c>
      <c r="K21" s="129">
        <v>0.11990000000000001</v>
      </c>
      <c r="L21" s="129">
        <v>0.5907</v>
      </c>
      <c r="M21" s="129">
        <v>0.5907</v>
      </c>
      <c r="N21" s="129">
        <v>2.98E-2</v>
      </c>
      <c r="O21" s="129">
        <v>0.89439999999999997</v>
      </c>
      <c r="P21" s="129">
        <v>10.587899999999999</v>
      </c>
      <c r="Q21" s="129">
        <v>2.1399999999999999E-2</v>
      </c>
      <c r="R21" s="129">
        <v>0.13780000000000001</v>
      </c>
      <c r="S21" s="129">
        <v>0.67869999999999997</v>
      </c>
      <c r="T21" s="129">
        <v>0.67869999999999997</v>
      </c>
      <c r="U21" s="129">
        <v>3.4299999999999997E-2</v>
      </c>
      <c r="V21" s="129">
        <v>1.0276000000000001</v>
      </c>
      <c r="W21" s="130" t="s">
        <v>188</v>
      </c>
      <c r="X21" s="130" t="s">
        <v>168</v>
      </c>
    </row>
    <row r="22" spans="1:24" x14ac:dyDescent="0.25">
      <c r="A22" s="130">
        <v>2104008330</v>
      </c>
      <c r="B22" s="129">
        <v>0.82640000000000002</v>
      </c>
      <c r="C22" s="129">
        <v>1.6999999999999999E-3</v>
      </c>
      <c r="D22" s="129">
        <v>1.0800000000000001E-2</v>
      </c>
      <c r="E22" s="129">
        <v>5.8799999999999998E-2</v>
      </c>
      <c r="F22" s="129">
        <v>5.8799999999999998E-2</v>
      </c>
      <c r="G22" s="129">
        <v>2.7000000000000001E-3</v>
      </c>
      <c r="H22" s="129">
        <v>0.1003</v>
      </c>
      <c r="I22" s="129">
        <v>5.5483000000000002</v>
      </c>
      <c r="J22" s="129">
        <v>1.12E-2</v>
      </c>
      <c r="K22" s="129">
        <v>7.22E-2</v>
      </c>
      <c r="L22" s="129">
        <v>0.39460000000000001</v>
      </c>
      <c r="M22" s="129">
        <v>0.39460000000000001</v>
      </c>
      <c r="N22" s="129">
        <v>1.7899999999999999E-2</v>
      </c>
      <c r="O22" s="129">
        <v>0.67310000000000003</v>
      </c>
      <c r="P22" s="129">
        <v>6.3746999999999998</v>
      </c>
      <c r="Q22" s="129">
        <v>1.29E-2</v>
      </c>
      <c r="R22" s="129">
        <v>8.2900000000000001E-2</v>
      </c>
      <c r="S22" s="129">
        <v>0.45340000000000003</v>
      </c>
      <c r="T22" s="129">
        <v>0.45340000000000003</v>
      </c>
      <c r="U22" s="129">
        <v>2.06E-2</v>
      </c>
      <c r="V22" s="129">
        <v>0.77339999999999998</v>
      </c>
      <c r="W22" s="130" t="s">
        <v>189</v>
      </c>
      <c r="X22" s="130" t="s">
        <v>168</v>
      </c>
    </row>
    <row r="23" spans="1:24" x14ac:dyDescent="0.25">
      <c r="A23" s="130">
        <v>2104008410</v>
      </c>
      <c r="B23" s="129">
        <v>7.3000000000000001E-3</v>
      </c>
      <c r="C23" s="129">
        <v>1E-4</v>
      </c>
      <c r="D23" s="129">
        <v>2.8999999999999998E-3</v>
      </c>
      <c r="E23" s="129">
        <v>2.2000000000000001E-3</v>
      </c>
      <c r="F23" s="129">
        <v>2.2000000000000001E-3</v>
      </c>
      <c r="G23" s="129">
        <v>2.0000000000000001E-4</v>
      </c>
      <c r="H23" s="129">
        <v>1.6999999999999999E-3</v>
      </c>
      <c r="I23" s="129">
        <v>4.8899999999999999E-2</v>
      </c>
      <c r="J23" s="129">
        <v>4.0000000000000002E-4</v>
      </c>
      <c r="K23" s="129">
        <v>1.9699999999999999E-2</v>
      </c>
      <c r="L23" s="129">
        <v>1.46E-2</v>
      </c>
      <c r="M23" s="129">
        <v>1.46E-2</v>
      </c>
      <c r="N23" s="129">
        <v>1.6000000000000001E-3</v>
      </c>
      <c r="O23" s="129">
        <v>1.1299999999999999E-2</v>
      </c>
      <c r="P23" s="129">
        <v>5.6099999999999997E-2</v>
      </c>
      <c r="Q23" s="129">
        <v>4.0000000000000002E-4</v>
      </c>
      <c r="R23" s="129">
        <v>2.2599999999999999E-2</v>
      </c>
      <c r="S23" s="129">
        <v>1.67E-2</v>
      </c>
      <c r="T23" s="129">
        <v>1.67E-2</v>
      </c>
      <c r="U23" s="129">
        <v>1.8E-3</v>
      </c>
      <c r="V23" s="129">
        <v>1.2999999999999999E-2</v>
      </c>
      <c r="W23" s="130" t="s">
        <v>190</v>
      </c>
      <c r="X23" s="130" t="s">
        <v>168</v>
      </c>
    </row>
    <row r="24" spans="1:24" x14ac:dyDescent="0.25">
      <c r="A24" s="130">
        <v>2104008420</v>
      </c>
      <c r="B24" s="129">
        <v>2.4500000000000001E-2</v>
      </c>
      <c r="C24" s="129">
        <v>2.0000000000000001E-4</v>
      </c>
      <c r="D24" s="129">
        <v>9.9000000000000008E-3</v>
      </c>
      <c r="E24" s="129">
        <v>7.3000000000000001E-3</v>
      </c>
      <c r="F24" s="129">
        <v>7.3000000000000001E-3</v>
      </c>
      <c r="G24" s="129">
        <v>8.0000000000000004E-4</v>
      </c>
      <c r="H24" s="129">
        <v>5.7000000000000002E-3</v>
      </c>
      <c r="I24" s="129">
        <v>0.1648</v>
      </c>
      <c r="J24" s="129">
        <v>1.1999999999999999E-3</v>
      </c>
      <c r="K24" s="129">
        <v>6.6400000000000001E-2</v>
      </c>
      <c r="L24" s="129">
        <v>4.9099999999999998E-2</v>
      </c>
      <c r="M24" s="129">
        <v>4.9099999999999998E-2</v>
      </c>
      <c r="N24" s="129">
        <v>5.3E-3</v>
      </c>
      <c r="O24" s="129">
        <v>3.7999999999999999E-2</v>
      </c>
      <c r="P24" s="129">
        <v>0.1893</v>
      </c>
      <c r="Q24" s="129">
        <v>1.4E-3</v>
      </c>
      <c r="R24" s="129">
        <v>7.6300000000000007E-2</v>
      </c>
      <c r="S24" s="129">
        <v>5.6399999999999999E-2</v>
      </c>
      <c r="T24" s="129">
        <v>5.6399999999999999E-2</v>
      </c>
      <c r="U24" s="129">
        <v>6.1000000000000004E-3</v>
      </c>
      <c r="V24" s="129">
        <v>4.3700000000000003E-2</v>
      </c>
      <c r="W24" s="130" t="s">
        <v>191</v>
      </c>
      <c r="X24" s="130" t="s">
        <v>168</v>
      </c>
    </row>
    <row r="25" spans="1:24" x14ac:dyDescent="0.25">
      <c r="A25" s="130">
        <v>2104008610</v>
      </c>
      <c r="B25" s="129">
        <v>0.14030000000000001</v>
      </c>
      <c r="C25" s="129">
        <v>5.9999999999999995E-4</v>
      </c>
      <c r="D25" s="129">
        <v>3.7000000000000002E-3</v>
      </c>
      <c r="E25" s="129">
        <v>2.29E-2</v>
      </c>
      <c r="F25" s="129">
        <v>2.29E-2</v>
      </c>
      <c r="G25" s="129">
        <v>8.9999999999999998E-4</v>
      </c>
      <c r="H25" s="129">
        <v>0.1052</v>
      </c>
      <c r="I25" s="129">
        <v>1.4975000000000001</v>
      </c>
      <c r="J25" s="129">
        <v>6.0000000000000001E-3</v>
      </c>
      <c r="K25" s="129">
        <v>3.9899999999999998E-2</v>
      </c>
      <c r="L25" s="129">
        <v>0.24399999999999999</v>
      </c>
      <c r="M25" s="129">
        <v>0.24399999999999999</v>
      </c>
      <c r="N25" s="129">
        <v>9.9000000000000008E-3</v>
      </c>
      <c r="O25" s="129">
        <v>1.1224000000000001</v>
      </c>
      <c r="P25" s="129">
        <v>1.6377999999999999</v>
      </c>
      <c r="Q25" s="129">
        <v>6.6E-3</v>
      </c>
      <c r="R25" s="129">
        <v>4.36E-2</v>
      </c>
      <c r="S25" s="129">
        <v>0.26690000000000003</v>
      </c>
      <c r="T25" s="129">
        <v>0.26690000000000003</v>
      </c>
      <c r="U25" s="129">
        <v>1.0800000000000001E-2</v>
      </c>
      <c r="V25" s="129">
        <v>1.2276</v>
      </c>
      <c r="W25" s="130" t="s">
        <v>192</v>
      </c>
      <c r="X25" s="130" t="s">
        <v>168</v>
      </c>
    </row>
    <row r="26" spans="1:24" x14ac:dyDescent="0.25">
      <c r="X26" s="130"/>
    </row>
    <row r="27" spans="1:24" x14ac:dyDescent="0.25">
      <c r="B27" s="134">
        <f>SUMIFS(B8:B25,$X8:$X25,$X27)/B7</f>
        <v>0.94183644114339515</v>
      </c>
      <c r="C27" s="134">
        <f t="shared" ref="C27:V27" si="0">SUMIFS(C8:C25,$X8:$X25,$X27)/C7</f>
        <v>0.84172661870503607</v>
      </c>
      <c r="D27" s="134">
        <f t="shared" si="0"/>
        <v>0.30932642487046635</v>
      </c>
      <c r="E27" s="134">
        <f t="shared" si="0"/>
        <v>0.94609004739336466</v>
      </c>
      <c r="F27" s="134">
        <f t="shared" si="0"/>
        <v>0.94609004739336466</v>
      </c>
      <c r="G27" s="134">
        <f t="shared" si="0"/>
        <v>3.6936118679987896E-2</v>
      </c>
      <c r="H27" s="134">
        <f t="shared" si="0"/>
        <v>0.97696900767699746</v>
      </c>
      <c r="I27" s="134">
        <f t="shared" si="0"/>
        <v>0.94112176001846182</v>
      </c>
      <c r="J27" s="134">
        <f t="shared" si="0"/>
        <v>0.66666666666666674</v>
      </c>
      <c r="K27" s="134">
        <f t="shared" si="0"/>
        <v>0.16191709844559585</v>
      </c>
      <c r="L27" s="134">
        <f t="shared" si="0"/>
        <v>0.93379534060749037</v>
      </c>
      <c r="M27" s="134">
        <f t="shared" si="0"/>
        <v>0.93379534060749037</v>
      </c>
      <c r="N27" s="134">
        <f t="shared" si="0"/>
        <v>2.1536614645858345E-2</v>
      </c>
      <c r="O27" s="134">
        <f t="shared" si="0"/>
        <v>0.97488668125242095</v>
      </c>
      <c r="P27" s="134">
        <f t="shared" si="0"/>
        <v>0.94119697133252123</v>
      </c>
      <c r="Q27" s="134">
        <f t="shared" si="0"/>
        <v>0.68089171974522289</v>
      </c>
      <c r="R27" s="134">
        <f t="shared" si="0"/>
        <v>0.17170984455958549</v>
      </c>
      <c r="S27" s="134">
        <f t="shared" si="0"/>
        <v>0.93512326252294808</v>
      </c>
      <c r="T27" s="134">
        <f t="shared" si="0"/>
        <v>0.93512326252294808</v>
      </c>
      <c r="U27" s="134">
        <f t="shared" si="0"/>
        <v>2.2690870261612383E-2</v>
      </c>
      <c r="V27" s="134">
        <f t="shared" si="0"/>
        <v>0.97508437187729802</v>
      </c>
      <c r="X27" s="130" t="s">
        <v>168</v>
      </c>
    </row>
    <row r="28" spans="1:24" x14ac:dyDescent="0.25">
      <c r="B28" s="134">
        <f>SUMIFS(B8:B25,$X8:$X25,$X28)/B7</f>
        <v>1.2814812877579307E-3</v>
      </c>
      <c r="C28" s="134">
        <f t="shared" ref="C28:V28" si="1">SUMIFS(C8:C25,$X8:$X25,$X28)/C7</f>
        <v>1.4388489208633094E-2</v>
      </c>
      <c r="D28" s="134">
        <f t="shared" si="1"/>
        <v>0.65025906735751293</v>
      </c>
      <c r="E28" s="134">
        <f t="shared" si="1"/>
        <v>1.4514218009478672E-2</v>
      </c>
      <c r="F28" s="134">
        <f t="shared" si="1"/>
        <v>1.4514218009478672E-2</v>
      </c>
      <c r="G28" s="134">
        <f t="shared" si="1"/>
        <v>0.91583409022101125</v>
      </c>
      <c r="H28" s="134">
        <f t="shared" si="1"/>
        <v>7.3926642024452656E-3</v>
      </c>
      <c r="I28" s="134">
        <f t="shared" si="1"/>
        <v>2.4825435231838099E-3</v>
      </c>
      <c r="J28" s="134">
        <f t="shared" si="1"/>
        <v>2.7253668763102722E-2</v>
      </c>
      <c r="K28" s="134">
        <f t="shared" si="1"/>
        <v>0.75532938564026642</v>
      </c>
      <c r="L28" s="134">
        <f t="shared" si="1"/>
        <v>2.6651430256561488E-2</v>
      </c>
      <c r="M28" s="134">
        <f t="shared" si="1"/>
        <v>2.6651430256561488E-2</v>
      </c>
      <c r="N28" s="134">
        <f t="shared" si="1"/>
        <v>0.94773109243697473</v>
      </c>
      <c r="O28" s="134">
        <f t="shared" si="1"/>
        <v>1.1818648130894931E-2</v>
      </c>
      <c r="P28" s="134">
        <f t="shared" si="1"/>
        <v>2.3347263558838498E-3</v>
      </c>
      <c r="Q28" s="134">
        <f t="shared" si="1"/>
        <v>2.6751592356687903E-2</v>
      </c>
      <c r="R28" s="134">
        <f t="shared" si="1"/>
        <v>0.74832469775474952</v>
      </c>
      <c r="S28" s="134">
        <f t="shared" si="1"/>
        <v>2.5308156307369527E-2</v>
      </c>
      <c r="T28" s="134">
        <f t="shared" si="1"/>
        <v>2.5308156307369527E-2</v>
      </c>
      <c r="U28" s="134">
        <f t="shared" si="1"/>
        <v>0.945408435664709</v>
      </c>
      <c r="V28" s="134">
        <f t="shared" si="1"/>
        <v>1.136899262806614E-2</v>
      </c>
      <c r="X28" s="130" t="s">
        <v>167</v>
      </c>
    </row>
    <row r="29" spans="1:24" x14ac:dyDescent="0.25">
      <c r="B29" s="134">
        <f>SUMIFS(B8:B25,$X8:$X25,$X29)/B7</f>
        <v>5.6908230248188925E-2</v>
      </c>
      <c r="C29" s="134">
        <f t="shared" ref="C29:V29" si="2">SUMIFS(C8:C25,$X8:$X25,$X29)/C7</f>
        <v>0.15107913669064749</v>
      </c>
      <c r="D29" s="134">
        <f t="shared" si="2"/>
        <v>4.0932642487046637E-2</v>
      </c>
      <c r="E29" s="134">
        <f t="shared" si="2"/>
        <v>3.9395734597156395E-2</v>
      </c>
      <c r="F29" s="134">
        <f t="shared" si="2"/>
        <v>3.9395734597156395E-2</v>
      </c>
      <c r="G29" s="134">
        <f t="shared" si="2"/>
        <v>4.6927036027853468E-2</v>
      </c>
      <c r="H29" s="134">
        <f t="shared" si="2"/>
        <v>1.5733105866742491E-2</v>
      </c>
      <c r="I29" s="134">
        <f t="shared" si="2"/>
        <v>5.4185883068703526E-2</v>
      </c>
      <c r="J29" s="134">
        <f t="shared" si="2"/>
        <v>0.10482180293501048</v>
      </c>
      <c r="K29" s="134">
        <f t="shared" si="2"/>
        <v>2.076239822353812E-2</v>
      </c>
      <c r="L29" s="134">
        <f t="shared" si="2"/>
        <v>3.4982306104393984E-2</v>
      </c>
      <c r="M29" s="134">
        <f t="shared" si="2"/>
        <v>3.4982306104393984E-2</v>
      </c>
      <c r="N29" s="134">
        <f t="shared" si="2"/>
        <v>2.650660264105642E-2</v>
      </c>
      <c r="O29" s="134">
        <f t="shared" si="2"/>
        <v>1.2425806316538781E-2</v>
      </c>
      <c r="P29" s="134">
        <f t="shared" si="2"/>
        <v>5.4503677887951643E-2</v>
      </c>
      <c r="Q29" s="134">
        <f t="shared" si="2"/>
        <v>0.1089171974522293</v>
      </c>
      <c r="R29" s="134">
        <f t="shared" si="2"/>
        <v>2.207253886010363E-2</v>
      </c>
      <c r="S29" s="134">
        <f t="shared" si="2"/>
        <v>3.5470757933385784E-2</v>
      </c>
      <c r="T29" s="134">
        <f t="shared" si="2"/>
        <v>3.5470757933385784E-2</v>
      </c>
      <c r="U29" s="134">
        <f t="shared" si="2"/>
        <v>2.7985406655988612E-2</v>
      </c>
      <c r="V29" s="134">
        <f t="shared" si="2"/>
        <v>1.2754765361337884E-2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2.2168064699979373E-3</v>
      </c>
      <c r="J30" s="134">
        <f t="shared" si="3"/>
        <v>0.20195667365478684</v>
      </c>
      <c r="K30" s="134">
        <f t="shared" si="3"/>
        <v>6.1954108068097702E-2</v>
      </c>
      <c r="L30" s="134">
        <f t="shared" si="3"/>
        <v>4.6077853140666465E-3</v>
      </c>
      <c r="M30" s="134">
        <f t="shared" si="3"/>
        <v>4.6077853140666465E-3</v>
      </c>
      <c r="N30" s="134">
        <f t="shared" si="3"/>
        <v>4.2496998799519802E-3</v>
      </c>
      <c r="O30" s="134">
        <f t="shared" si="3"/>
        <v>8.793325447255749E-4</v>
      </c>
      <c r="P30" s="134">
        <f t="shared" si="3"/>
        <v>1.9553718753373326E-3</v>
      </c>
      <c r="Q30" s="134">
        <f t="shared" si="3"/>
        <v>0.1840764331210191</v>
      </c>
      <c r="R30" s="134">
        <f t="shared" si="3"/>
        <v>5.7823834196891188E-2</v>
      </c>
      <c r="S30" s="134">
        <f t="shared" si="3"/>
        <v>4.0978232362968792E-3</v>
      </c>
      <c r="T30" s="134">
        <f t="shared" si="3"/>
        <v>4.0978232362968792E-3</v>
      </c>
      <c r="U30" s="134">
        <f t="shared" si="3"/>
        <v>3.9375333689268552E-3</v>
      </c>
      <c r="V30" s="134">
        <f t="shared" si="3"/>
        <v>7.9187013329813909E-4</v>
      </c>
      <c r="X30" s="130" t="s">
        <v>165</v>
      </c>
    </row>
    <row r="33" spans="1:24" x14ac:dyDescent="0.25">
      <c r="A33" s="129" t="s">
        <v>195</v>
      </c>
    </row>
    <row r="34" spans="1:24" x14ac:dyDescent="0.25">
      <c r="A34" s="132" t="s">
        <v>215</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3.8237000000000001</v>
      </c>
      <c r="C38" s="129">
        <v>1.3899999999999999E-2</v>
      </c>
      <c r="D38" s="129">
        <v>0.193</v>
      </c>
      <c r="E38" s="129">
        <v>0.33760000000000001</v>
      </c>
      <c r="F38" s="129">
        <v>0.33760000000000001</v>
      </c>
      <c r="G38" s="129">
        <v>0.33029999999999998</v>
      </c>
      <c r="H38" s="129">
        <v>1.0550999999999999</v>
      </c>
      <c r="I38" s="129">
        <v>28.599699999999999</v>
      </c>
      <c r="J38" s="129">
        <v>0.1431</v>
      </c>
      <c r="K38" s="129">
        <v>2.702</v>
      </c>
      <c r="L38" s="129">
        <v>0.85260000000000002</v>
      </c>
      <c r="M38" s="129">
        <v>0.85260000000000002</v>
      </c>
      <c r="N38" s="129">
        <v>2.1638999999999999</v>
      </c>
      <c r="O38" s="129">
        <v>9.5526999999999997</v>
      </c>
      <c r="P38" s="129">
        <v>32.423499999999997</v>
      </c>
      <c r="Q38" s="129">
        <v>0.157</v>
      </c>
      <c r="R38" s="129">
        <v>2.895</v>
      </c>
      <c r="S38" s="129">
        <v>1.1901999999999999</v>
      </c>
      <c r="T38" s="129">
        <v>1.1901999999999999</v>
      </c>
      <c r="U38" s="129">
        <v>2.4942000000000002</v>
      </c>
      <c r="V38" s="129">
        <v>10.607799999999999</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1.14E-2</v>
      </c>
      <c r="E41" s="129">
        <v>2.9999999999999997E-4</v>
      </c>
      <c r="F41" s="129">
        <v>2.9999999999999997E-4</v>
      </c>
      <c r="G41" s="129">
        <v>8.0999999999999996E-3</v>
      </c>
      <c r="H41" s="129">
        <v>5.0000000000000001E-4</v>
      </c>
      <c r="I41" s="129">
        <v>1.7500000000000002E-2</v>
      </c>
      <c r="J41" s="129">
        <v>1E-3</v>
      </c>
      <c r="K41" s="129">
        <v>0.70140000000000002</v>
      </c>
      <c r="L41" s="129">
        <v>9.4000000000000004E-3</v>
      </c>
      <c r="M41" s="129">
        <v>9.4000000000000004E-3</v>
      </c>
      <c r="N41" s="129">
        <v>0.50870000000000004</v>
      </c>
      <c r="O41" s="129">
        <v>2.7799999999999998E-2</v>
      </c>
      <c r="P41" s="129">
        <v>1.77E-2</v>
      </c>
      <c r="Q41" s="129">
        <v>1E-3</v>
      </c>
      <c r="R41" s="129">
        <v>0.71279999999999999</v>
      </c>
      <c r="S41" s="129">
        <v>9.7000000000000003E-3</v>
      </c>
      <c r="T41" s="129">
        <v>9.7000000000000003E-3</v>
      </c>
      <c r="U41" s="129">
        <v>0.51680000000000004</v>
      </c>
      <c r="V41" s="129">
        <v>2.8199999999999999E-2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0.21729999999999999</v>
      </c>
      <c r="C44" s="129">
        <v>2.0999999999999999E-3</v>
      </c>
      <c r="D44" s="129">
        <v>7.9000000000000008E-3</v>
      </c>
      <c r="E44" s="129">
        <v>1.3299999999999999E-2</v>
      </c>
      <c r="F44" s="129">
        <v>1.3299999999999999E-2</v>
      </c>
      <c r="G44" s="129">
        <v>1.55E-2</v>
      </c>
      <c r="H44" s="129">
        <v>1.66E-2</v>
      </c>
      <c r="I44" s="129">
        <v>1.5454000000000001</v>
      </c>
      <c r="J44" s="129">
        <v>1.4999999999999999E-2</v>
      </c>
      <c r="K44" s="129">
        <v>5.5899999999999998E-2</v>
      </c>
      <c r="L44" s="129">
        <v>2.1399999999999999E-2</v>
      </c>
      <c r="M44" s="129">
        <v>2.1399999999999999E-2</v>
      </c>
      <c r="N44" s="129">
        <v>3.85E-2</v>
      </c>
      <c r="O44" s="129">
        <v>0.11840000000000001</v>
      </c>
      <c r="P44" s="129">
        <v>1.7626999999999999</v>
      </c>
      <c r="Q44" s="129">
        <v>1.7100000000000001E-2</v>
      </c>
      <c r="R44" s="129">
        <v>6.3700000000000007E-2</v>
      </c>
      <c r="S44" s="129">
        <v>3.4700000000000002E-2</v>
      </c>
      <c r="T44" s="129">
        <v>3.4700000000000002E-2</v>
      </c>
      <c r="U44" s="129">
        <v>5.3900000000000003E-2</v>
      </c>
      <c r="V44" s="129">
        <v>0.13500000000000001</v>
      </c>
      <c r="W44" s="130" t="s">
        <v>180</v>
      </c>
      <c r="X44" s="130" t="s">
        <v>166</v>
      </c>
    </row>
    <row r="45" spans="1:24" x14ac:dyDescent="0.25">
      <c r="A45" s="130">
        <v>2104004000</v>
      </c>
      <c r="B45" s="129">
        <v>4.5999999999999999E-3</v>
      </c>
      <c r="C45" s="129">
        <v>2.0000000000000001E-4</v>
      </c>
      <c r="D45" s="129">
        <v>0.11409999999999999</v>
      </c>
      <c r="E45" s="129">
        <v>4.5999999999999999E-3</v>
      </c>
      <c r="F45" s="129">
        <v>4.5999999999999999E-3</v>
      </c>
      <c r="G45" s="129">
        <v>0.2944</v>
      </c>
      <c r="H45" s="129">
        <v>7.3000000000000001E-3</v>
      </c>
      <c r="I45" s="129">
        <v>5.3499999999999999E-2</v>
      </c>
      <c r="J45" s="129">
        <v>2.8999999999999998E-3</v>
      </c>
      <c r="K45" s="129">
        <v>1.3394999999999999</v>
      </c>
      <c r="L45" s="129">
        <v>1.84E-2</v>
      </c>
      <c r="M45" s="129">
        <v>1.84E-2</v>
      </c>
      <c r="N45" s="129">
        <v>1.5435000000000001</v>
      </c>
      <c r="O45" s="129">
        <v>8.5099999999999995E-2</v>
      </c>
      <c r="P45" s="129">
        <v>5.8000000000000003E-2</v>
      </c>
      <c r="Q45" s="129">
        <v>3.2000000000000002E-3</v>
      </c>
      <c r="R45" s="129">
        <v>1.4536</v>
      </c>
      <c r="S45" s="129">
        <v>2.3E-2</v>
      </c>
      <c r="T45" s="129">
        <v>2.3E-2</v>
      </c>
      <c r="U45" s="129">
        <v>1.8379000000000001</v>
      </c>
      <c r="V45" s="129">
        <v>9.2399999999999996E-2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0.41889999999999999</v>
      </c>
      <c r="C47" s="129">
        <v>3.0000000000000001E-3</v>
      </c>
      <c r="D47" s="129">
        <v>4.3E-3</v>
      </c>
      <c r="E47" s="129">
        <v>5.74E-2</v>
      </c>
      <c r="F47" s="129">
        <v>5.74E-2</v>
      </c>
      <c r="G47" s="129">
        <v>6.9999999999999999E-4</v>
      </c>
      <c r="H47" s="129">
        <v>0.37980000000000003</v>
      </c>
      <c r="I47" s="129">
        <v>4.9931999999999999</v>
      </c>
      <c r="J47" s="129">
        <v>3.56E-2</v>
      </c>
      <c r="K47" s="129">
        <v>5.1400000000000001E-2</v>
      </c>
      <c r="L47" s="129">
        <v>0.16550000000000001</v>
      </c>
      <c r="M47" s="129">
        <v>0.16550000000000001</v>
      </c>
      <c r="N47" s="129">
        <v>3.0000000000000001E-3</v>
      </c>
      <c r="O47" s="129">
        <v>4.5266999999999999</v>
      </c>
      <c r="P47" s="129">
        <v>5.4120999999999997</v>
      </c>
      <c r="Q47" s="129">
        <v>3.8600000000000002E-2</v>
      </c>
      <c r="R47" s="129">
        <v>5.57E-2</v>
      </c>
      <c r="S47" s="129">
        <v>0.22289999999999999</v>
      </c>
      <c r="T47" s="129">
        <v>0.22289999999999999</v>
      </c>
      <c r="U47" s="129">
        <v>3.5999999999999999E-3</v>
      </c>
      <c r="V47" s="129">
        <v>4.9065000000000003</v>
      </c>
      <c r="W47" s="130" t="s">
        <v>183</v>
      </c>
      <c r="X47" s="130" t="s">
        <v>168</v>
      </c>
    </row>
    <row r="48" spans="1:24" x14ac:dyDescent="0.25">
      <c r="A48" s="130">
        <v>2104008210</v>
      </c>
      <c r="B48" s="129">
        <v>0.06</v>
      </c>
      <c r="C48" s="129">
        <v>4.0000000000000002E-4</v>
      </c>
      <c r="D48" s="129">
        <v>6.9999999999999999E-4</v>
      </c>
      <c r="E48" s="129">
        <v>7.9000000000000008E-3</v>
      </c>
      <c r="F48" s="129">
        <v>7.9000000000000008E-3</v>
      </c>
      <c r="G48" s="129">
        <v>1E-4</v>
      </c>
      <c r="H48" s="129">
        <v>1.38E-2</v>
      </c>
      <c r="I48" s="129">
        <v>0.40260000000000001</v>
      </c>
      <c r="J48" s="129">
        <v>3.0000000000000001E-3</v>
      </c>
      <c r="K48" s="129">
        <v>4.8999999999999998E-3</v>
      </c>
      <c r="L48" s="129">
        <v>9.4000000000000004E-3</v>
      </c>
      <c r="M48" s="129">
        <v>9.4000000000000004E-3</v>
      </c>
      <c r="N48" s="129">
        <v>2.0000000000000001E-4</v>
      </c>
      <c r="O48" s="129">
        <v>9.2499999999999999E-2</v>
      </c>
      <c r="P48" s="129">
        <v>0.46260000000000001</v>
      </c>
      <c r="Q48" s="129">
        <v>3.3999999999999998E-3</v>
      </c>
      <c r="R48" s="129">
        <v>5.5999999999999999E-3</v>
      </c>
      <c r="S48" s="129">
        <v>1.7299999999999999E-2</v>
      </c>
      <c r="T48" s="129">
        <v>1.7299999999999999E-2</v>
      </c>
      <c r="U48" s="129">
        <v>2.9999999999999997E-4</v>
      </c>
      <c r="V48" s="129">
        <v>0.1062</v>
      </c>
      <c r="W48" s="130" t="s">
        <v>184</v>
      </c>
      <c r="X48" s="130" t="s">
        <v>168</v>
      </c>
    </row>
    <row r="49" spans="1:24" x14ac:dyDescent="0.25">
      <c r="A49" s="130">
        <v>2104008220</v>
      </c>
      <c r="B49" s="129">
        <v>7.6999999999999999E-2</v>
      </c>
      <c r="C49" s="129">
        <v>5.0000000000000001E-4</v>
      </c>
      <c r="D49" s="129">
        <v>1.1000000000000001E-3</v>
      </c>
      <c r="E49" s="129">
        <v>6.6E-3</v>
      </c>
      <c r="F49" s="129">
        <v>6.6E-3</v>
      </c>
      <c r="G49" s="129">
        <v>2.0000000000000001E-4</v>
      </c>
      <c r="H49" s="129">
        <v>6.6E-3</v>
      </c>
      <c r="I49" s="129">
        <v>0.5171</v>
      </c>
      <c r="J49" s="129">
        <v>3.3E-3</v>
      </c>
      <c r="K49" s="129">
        <v>7.3000000000000001E-3</v>
      </c>
      <c r="L49" s="129">
        <v>0</v>
      </c>
      <c r="M49" s="129">
        <v>0</v>
      </c>
      <c r="N49" s="129">
        <v>0</v>
      </c>
      <c r="O49" s="129">
        <v>4.41E-2</v>
      </c>
      <c r="P49" s="129">
        <v>0.59409999999999996</v>
      </c>
      <c r="Q49" s="129">
        <v>3.8E-3</v>
      </c>
      <c r="R49" s="129">
        <v>8.3999999999999995E-3</v>
      </c>
      <c r="S49" s="129">
        <v>6.6E-3</v>
      </c>
      <c r="T49" s="129">
        <v>6.6E-3</v>
      </c>
      <c r="U49" s="129">
        <v>2.0000000000000001E-4</v>
      </c>
      <c r="V49" s="129">
        <v>5.0599999999999999E-2</v>
      </c>
      <c r="W49" s="130" t="s">
        <v>185</v>
      </c>
      <c r="X49" s="130" t="s">
        <v>168</v>
      </c>
    </row>
    <row r="50" spans="1:24" x14ac:dyDescent="0.25">
      <c r="A50" s="130">
        <v>2104008230</v>
      </c>
      <c r="B50" s="129">
        <v>3.5200000000000002E-2</v>
      </c>
      <c r="C50" s="129">
        <v>2.9999999999999997E-4</v>
      </c>
      <c r="D50" s="129">
        <v>6.9999999999999999E-4</v>
      </c>
      <c r="E50" s="129">
        <v>4.3E-3</v>
      </c>
      <c r="F50" s="129">
        <v>4.3E-3</v>
      </c>
      <c r="G50" s="129">
        <v>1E-4</v>
      </c>
      <c r="H50" s="129">
        <v>4.8999999999999998E-3</v>
      </c>
      <c r="I50" s="129">
        <v>0.2366</v>
      </c>
      <c r="J50" s="129">
        <v>2E-3</v>
      </c>
      <c r="K50" s="129">
        <v>4.4000000000000003E-3</v>
      </c>
      <c r="L50" s="129">
        <v>0</v>
      </c>
      <c r="M50" s="129">
        <v>0</v>
      </c>
      <c r="N50" s="129">
        <v>0</v>
      </c>
      <c r="O50" s="129">
        <v>3.32E-2</v>
      </c>
      <c r="P50" s="129">
        <v>0.27179999999999999</v>
      </c>
      <c r="Q50" s="129">
        <v>2.3E-3</v>
      </c>
      <c r="R50" s="129">
        <v>5.1000000000000004E-3</v>
      </c>
      <c r="S50" s="129">
        <v>4.3E-3</v>
      </c>
      <c r="T50" s="129">
        <v>4.3E-3</v>
      </c>
      <c r="U50" s="129">
        <v>1E-4</v>
      </c>
      <c r="V50" s="129">
        <v>3.8100000000000002E-2</v>
      </c>
      <c r="W50" s="130" t="s">
        <v>186</v>
      </c>
      <c r="X50" s="130" t="s">
        <v>168</v>
      </c>
    </row>
    <row r="51" spans="1:24" x14ac:dyDescent="0.25">
      <c r="A51" s="130">
        <v>2104008310</v>
      </c>
      <c r="B51" s="129">
        <v>0.63890000000000002</v>
      </c>
      <c r="C51" s="129">
        <v>2.0999999999999999E-3</v>
      </c>
      <c r="D51" s="129">
        <v>7.7000000000000002E-3</v>
      </c>
      <c r="E51" s="129">
        <v>6.4000000000000001E-2</v>
      </c>
      <c r="F51" s="129">
        <v>6.4000000000000001E-2</v>
      </c>
      <c r="G51" s="129">
        <v>2.0999999999999999E-3</v>
      </c>
      <c r="H51" s="129">
        <v>0.27939999999999998</v>
      </c>
      <c r="I51" s="129">
        <v>4.2895000000000003</v>
      </c>
      <c r="J51" s="129">
        <v>1.41E-2</v>
      </c>
      <c r="K51" s="129">
        <v>5.1400000000000001E-2</v>
      </c>
      <c r="L51" s="129">
        <v>9.6199999999999994E-2</v>
      </c>
      <c r="M51" s="129">
        <v>9.6199999999999994E-2</v>
      </c>
      <c r="N51" s="129">
        <v>4.8999999999999998E-3</v>
      </c>
      <c r="O51" s="129">
        <v>1.8762000000000001</v>
      </c>
      <c r="P51" s="129">
        <v>4.9283999999999999</v>
      </c>
      <c r="Q51" s="129">
        <v>1.61E-2</v>
      </c>
      <c r="R51" s="129">
        <v>5.91E-2</v>
      </c>
      <c r="S51" s="129">
        <v>0.16020000000000001</v>
      </c>
      <c r="T51" s="129">
        <v>0.16020000000000001</v>
      </c>
      <c r="U51" s="129">
        <v>7.0000000000000001E-3</v>
      </c>
      <c r="V51" s="129">
        <v>2.1556999999999999</v>
      </c>
      <c r="W51" s="130" t="s">
        <v>187</v>
      </c>
      <c r="X51" s="130" t="s">
        <v>168</v>
      </c>
    </row>
    <row r="52" spans="1:24" x14ac:dyDescent="0.25">
      <c r="A52" s="130">
        <v>2104008320</v>
      </c>
      <c r="B52" s="129">
        <v>1.3725000000000001</v>
      </c>
      <c r="C52" s="129">
        <v>2.8E-3</v>
      </c>
      <c r="D52" s="129">
        <v>1.7899999999999999E-2</v>
      </c>
      <c r="E52" s="129">
        <v>8.7999999999999995E-2</v>
      </c>
      <c r="F52" s="129">
        <v>8.7999999999999995E-2</v>
      </c>
      <c r="G52" s="129">
        <v>4.4000000000000003E-3</v>
      </c>
      <c r="H52" s="129">
        <v>0.13320000000000001</v>
      </c>
      <c r="I52" s="129">
        <v>9.2154000000000007</v>
      </c>
      <c r="J52" s="129">
        <v>1.8599999999999998E-2</v>
      </c>
      <c r="K52" s="129">
        <v>0.11990000000000001</v>
      </c>
      <c r="L52" s="129">
        <v>0.26200000000000001</v>
      </c>
      <c r="M52" s="129">
        <v>0.26200000000000001</v>
      </c>
      <c r="N52" s="129">
        <v>2.3699999999999999E-2</v>
      </c>
      <c r="O52" s="129">
        <v>0.89439999999999997</v>
      </c>
      <c r="P52" s="129">
        <v>10.587899999999999</v>
      </c>
      <c r="Q52" s="129">
        <v>2.1399999999999999E-2</v>
      </c>
      <c r="R52" s="129">
        <v>0.13780000000000001</v>
      </c>
      <c r="S52" s="129">
        <v>0.35</v>
      </c>
      <c r="T52" s="129">
        <v>0.35</v>
      </c>
      <c r="U52" s="129">
        <v>2.81E-2</v>
      </c>
      <c r="V52" s="129">
        <v>1.0276000000000001</v>
      </c>
      <c r="W52" s="130" t="s">
        <v>188</v>
      </c>
      <c r="X52" s="130" t="s">
        <v>168</v>
      </c>
    </row>
    <row r="53" spans="1:24" x14ac:dyDescent="0.25">
      <c r="A53" s="130">
        <v>2104008330</v>
      </c>
      <c r="B53" s="129">
        <v>0.82640000000000002</v>
      </c>
      <c r="C53" s="129">
        <v>1.6999999999999999E-3</v>
      </c>
      <c r="D53" s="129">
        <v>1.0800000000000001E-2</v>
      </c>
      <c r="E53" s="129">
        <v>5.8799999999999998E-2</v>
      </c>
      <c r="F53" s="129">
        <v>5.8799999999999998E-2</v>
      </c>
      <c r="G53" s="129">
        <v>2.7000000000000001E-3</v>
      </c>
      <c r="H53" s="129">
        <v>0.1003</v>
      </c>
      <c r="I53" s="129">
        <v>5.5483000000000002</v>
      </c>
      <c r="J53" s="129">
        <v>1.12E-2</v>
      </c>
      <c r="K53" s="129">
        <v>7.22E-2</v>
      </c>
      <c r="L53" s="129">
        <v>0.17499999999999999</v>
      </c>
      <c r="M53" s="129">
        <v>0.17499999999999999</v>
      </c>
      <c r="N53" s="129">
        <v>1.3899999999999999E-2</v>
      </c>
      <c r="O53" s="129">
        <v>0.67310000000000003</v>
      </c>
      <c r="P53" s="129">
        <v>6.3746999999999998</v>
      </c>
      <c r="Q53" s="129">
        <v>1.29E-2</v>
      </c>
      <c r="R53" s="129">
        <v>8.2900000000000001E-2</v>
      </c>
      <c r="S53" s="129">
        <v>0.23380000000000001</v>
      </c>
      <c r="T53" s="129">
        <v>0.23380000000000001</v>
      </c>
      <c r="U53" s="129">
        <v>1.66E-2</v>
      </c>
      <c r="V53" s="129">
        <v>0.77339999999999998</v>
      </c>
      <c r="W53" s="130" t="s">
        <v>189</v>
      </c>
      <c r="X53" s="130" t="s">
        <v>168</v>
      </c>
    </row>
    <row r="54" spans="1:24" x14ac:dyDescent="0.25">
      <c r="A54" s="130">
        <v>2104008410</v>
      </c>
      <c r="B54" s="129">
        <v>7.3000000000000001E-3</v>
      </c>
      <c r="C54" s="129">
        <v>1E-4</v>
      </c>
      <c r="D54" s="129">
        <v>2.8999999999999998E-3</v>
      </c>
      <c r="E54" s="129">
        <v>2.2000000000000001E-3</v>
      </c>
      <c r="F54" s="129">
        <v>2.2000000000000001E-3</v>
      </c>
      <c r="G54" s="129">
        <v>2.0000000000000001E-4</v>
      </c>
      <c r="H54" s="129">
        <v>1.6999999999999999E-3</v>
      </c>
      <c r="I54" s="129">
        <v>4.8899999999999999E-2</v>
      </c>
      <c r="J54" s="129">
        <v>4.0000000000000002E-4</v>
      </c>
      <c r="K54" s="129">
        <v>1.9699999999999999E-2</v>
      </c>
      <c r="L54" s="129">
        <v>7.4000000000000003E-3</v>
      </c>
      <c r="M54" s="129">
        <v>7.4000000000000003E-3</v>
      </c>
      <c r="N54" s="129">
        <v>1.1999999999999999E-3</v>
      </c>
      <c r="O54" s="129">
        <v>1.1299999999999999E-2</v>
      </c>
      <c r="P54" s="129">
        <v>5.6099999999999997E-2</v>
      </c>
      <c r="Q54" s="129">
        <v>4.0000000000000002E-4</v>
      </c>
      <c r="R54" s="129">
        <v>2.2599999999999999E-2</v>
      </c>
      <c r="S54" s="129">
        <v>9.4999999999999998E-3</v>
      </c>
      <c r="T54" s="129">
        <v>9.4999999999999998E-3</v>
      </c>
      <c r="U54" s="129">
        <v>1.5E-3</v>
      </c>
      <c r="V54" s="129">
        <v>1.2999999999999999E-2</v>
      </c>
      <c r="W54" s="130" t="s">
        <v>190</v>
      </c>
      <c r="X54" s="130" t="s">
        <v>168</v>
      </c>
    </row>
    <row r="55" spans="1:24" x14ac:dyDescent="0.25">
      <c r="A55" s="130">
        <v>2104008420</v>
      </c>
      <c r="B55" s="129">
        <v>2.4500000000000001E-2</v>
      </c>
      <c r="C55" s="129">
        <v>2.0000000000000001E-4</v>
      </c>
      <c r="D55" s="129">
        <v>9.9000000000000008E-3</v>
      </c>
      <c r="E55" s="129">
        <v>7.3000000000000001E-3</v>
      </c>
      <c r="F55" s="129">
        <v>7.3000000000000001E-3</v>
      </c>
      <c r="G55" s="129">
        <v>8.0000000000000004E-4</v>
      </c>
      <c r="H55" s="129">
        <v>5.7000000000000002E-3</v>
      </c>
      <c r="I55" s="129">
        <v>0.1648</v>
      </c>
      <c r="J55" s="129">
        <v>1.1999999999999999E-3</v>
      </c>
      <c r="K55" s="129">
        <v>6.6400000000000001E-2</v>
      </c>
      <c r="L55" s="129">
        <v>2.23E-2</v>
      </c>
      <c r="M55" s="129">
        <v>2.23E-2</v>
      </c>
      <c r="N55" s="129">
        <v>3.7000000000000002E-3</v>
      </c>
      <c r="O55" s="129">
        <v>3.7999999999999999E-2</v>
      </c>
      <c r="P55" s="129">
        <v>0.1893</v>
      </c>
      <c r="Q55" s="129">
        <v>1.4E-3</v>
      </c>
      <c r="R55" s="129">
        <v>7.6300000000000007E-2</v>
      </c>
      <c r="S55" s="129">
        <v>2.9600000000000001E-2</v>
      </c>
      <c r="T55" s="129">
        <v>2.9600000000000001E-2</v>
      </c>
      <c r="U55" s="129">
        <v>4.4999999999999997E-3</v>
      </c>
      <c r="V55" s="129">
        <v>4.3700000000000003E-2</v>
      </c>
      <c r="W55" s="130" t="s">
        <v>191</v>
      </c>
      <c r="X55" s="130" t="s">
        <v>168</v>
      </c>
    </row>
    <row r="56" spans="1:24" x14ac:dyDescent="0.25">
      <c r="A56" s="130">
        <v>2104008610</v>
      </c>
      <c r="B56" s="129">
        <v>0.14030000000000001</v>
      </c>
      <c r="C56" s="129">
        <v>5.9999999999999995E-4</v>
      </c>
      <c r="D56" s="129">
        <v>3.7000000000000002E-3</v>
      </c>
      <c r="E56" s="129">
        <v>2.29E-2</v>
      </c>
      <c r="F56" s="129">
        <v>2.29E-2</v>
      </c>
      <c r="G56" s="129">
        <v>8.9999999999999998E-4</v>
      </c>
      <c r="H56" s="129">
        <v>0.1052</v>
      </c>
      <c r="I56" s="129">
        <v>1.4975000000000001</v>
      </c>
      <c r="J56" s="129">
        <v>6.0000000000000001E-3</v>
      </c>
      <c r="K56" s="129">
        <v>3.9899999999999998E-2</v>
      </c>
      <c r="L56" s="129">
        <v>5.2699999999999997E-2</v>
      </c>
      <c r="M56" s="129">
        <v>5.2699999999999997E-2</v>
      </c>
      <c r="N56" s="129">
        <v>4.5999999999999999E-3</v>
      </c>
      <c r="O56" s="129">
        <v>1.1224000000000001</v>
      </c>
      <c r="P56" s="129">
        <v>1.6377999999999999</v>
      </c>
      <c r="Q56" s="129">
        <v>6.6E-3</v>
      </c>
      <c r="R56" s="129">
        <v>4.36E-2</v>
      </c>
      <c r="S56" s="129">
        <v>7.5600000000000001E-2</v>
      </c>
      <c r="T56" s="129">
        <v>7.5600000000000001E-2</v>
      </c>
      <c r="U56" s="129">
        <v>5.4999999999999997E-3</v>
      </c>
      <c r="V56" s="129">
        <v>1.2276</v>
      </c>
      <c r="W56" s="130" t="s">
        <v>192</v>
      </c>
      <c r="X56" s="130" t="s">
        <v>168</v>
      </c>
    </row>
    <row r="58" spans="1:24" x14ac:dyDescent="0.25">
      <c r="B58" s="134">
        <f>SUMIFS(B39:B56,$X39:$X56,$X58)/B38</f>
        <v>0.94183644114339515</v>
      </c>
      <c r="C58" s="134">
        <f t="shared" ref="C58:V58" si="4">SUMIFS(C39:C56,$X39:$X56,$X58)/C38</f>
        <v>0.84172661870503607</v>
      </c>
      <c r="D58" s="134">
        <f t="shared" si="4"/>
        <v>0.30932642487046635</v>
      </c>
      <c r="E58" s="134">
        <f t="shared" si="4"/>
        <v>0.94609004739336466</v>
      </c>
      <c r="F58" s="134">
        <f t="shared" si="4"/>
        <v>0.94609004739336466</v>
      </c>
      <c r="G58" s="134">
        <f t="shared" si="4"/>
        <v>3.6936118679987896E-2</v>
      </c>
      <c r="H58" s="134">
        <f t="shared" si="4"/>
        <v>0.97696900767699746</v>
      </c>
      <c r="I58" s="134">
        <f t="shared" si="4"/>
        <v>0.94112176001846182</v>
      </c>
      <c r="J58" s="134">
        <f t="shared" si="4"/>
        <v>0.66666666666666674</v>
      </c>
      <c r="K58" s="134">
        <f t="shared" si="4"/>
        <v>0.16191709844559585</v>
      </c>
      <c r="L58" s="134">
        <f t="shared" si="4"/>
        <v>0.92751583391977455</v>
      </c>
      <c r="M58" s="134">
        <f t="shared" si="4"/>
        <v>0.92751583391977455</v>
      </c>
      <c r="N58" s="134">
        <f t="shared" si="4"/>
        <v>2.5509496741993619E-2</v>
      </c>
      <c r="O58" s="134">
        <f t="shared" si="4"/>
        <v>0.97488668125242095</v>
      </c>
      <c r="P58" s="134">
        <f t="shared" si="4"/>
        <v>0.94119697133252123</v>
      </c>
      <c r="Q58" s="134">
        <f t="shared" si="4"/>
        <v>0.68089171974522289</v>
      </c>
      <c r="R58" s="134">
        <f t="shared" si="4"/>
        <v>0.17170984455958549</v>
      </c>
      <c r="S58" s="134">
        <f t="shared" si="4"/>
        <v>0.93270038648966569</v>
      </c>
      <c r="T58" s="134">
        <f t="shared" si="4"/>
        <v>0.93270038648966569</v>
      </c>
      <c r="U58" s="134">
        <f t="shared" si="4"/>
        <v>2.7022692646940901E-2</v>
      </c>
      <c r="V58" s="134">
        <f t="shared" si="4"/>
        <v>0.97508437187729802</v>
      </c>
      <c r="X58" s="130" t="s">
        <v>168</v>
      </c>
    </row>
    <row r="59" spans="1:24" x14ac:dyDescent="0.25">
      <c r="B59" s="134">
        <f>SUMIFS(B39:B56,$X39:$X56,$X59)/B38</f>
        <v>1.2814812877579307E-3</v>
      </c>
      <c r="C59" s="134">
        <f t="shared" ref="C59:V59" si="5">SUMIFS(C39:C56,$X39:$X56,$X59)/C38</f>
        <v>1.4388489208633094E-2</v>
      </c>
      <c r="D59" s="134">
        <f t="shared" si="5"/>
        <v>0.65025906735751293</v>
      </c>
      <c r="E59" s="134">
        <f t="shared" si="5"/>
        <v>1.4514218009478672E-2</v>
      </c>
      <c r="F59" s="134">
        <f t="shared" si="5"/>
        <v>1.4514218009478672E-2</v>
      </c>
      <c r="G59" s="134">
        <f t="shared" si="5"/>
        <v>0.91583409022101125</v>
      </c>
      <c r="H59" s="134">
        <f t="shared" si="5"/>
        <v>7.3926642024452656E-3</v>
      </c>
      <c r="I59" s="134">
        <f t="shared" si="5"/>
        <v>2.4825435231838099E-3</v>
      </c>
      <c r="J59" s="134">
        <f t="shared" si="5"/>
        <v>2.7253668763102722E-2</v>
      </c>
      <c r="K59" s="134">
        <f t="shared" si="5"/>
        <v>0.75532938564026642</v>
      </c>
      <c r="L59" s="134">
        <f t="shared" si="5"/>
        <v>3.2606145906638517E-2</v>
      </c>
      <c r="M59" s="134">
        <f t="shared" si="5"/>
        <v>3.2606145906638517E-2</v>
      </c>
      <c r="N59" s="134">
        <f t="shared" si="5"/>
        <v>0.9483802393825963</v>
      </c>
      <c r="O59" s="134">
        <f t="shared" si="5"/>
        <v>1.1818648130894931E-2</v>
      </c>
      <c r="P59" s="134">
        <f t="shared" si="5"/>
        <v>2.3347263558838498E-3</v>
      </c>
      <c r="Q59" s="134">
        <f t="shared" si="5"/>
        <v>2.6751592356687903E-2</v>
      </c>
      <c r="R59" s="134">
        <f t="shared" si="5"/>
        <v>0.74832469775474952</v>
      </c>
      <c r="S59" s="134">
        <f t="shared" si="5"/>
        <v>2.7474374054780711E-2</v>
      </c>
      <c r="T59" s="134">
        <f t="shared" si="5"/>
        <v>2.7474374054780711E-2</v>
      </c>
      <c r="U59" s="134">
        <f t="shared" si="5"/>
        <v>0.9440702429636757</v>
      </c>
      <c r="V59" s="134">
        <f t="shared" si="5"/>
        <v>1.136899262806614E-2</v>
      </c>
      <c r="X59" s="130" t="s">
        <v>167</v>
      </c>
    </row>
    <row r="60" spans="1:24" x14ac:dyDescent="0.25">
      <c r="B60" s="134">
        <f>SUMIFS(B39:B56,$X39:$X56,$X60)/B38</f>
        <v>5.6908230248188925E-2</v>
      </c>
      <c r="C60" s="134">
        <f t="shared" ref="C60:V60" si="6">SUMIFS(C39:C56,$X39:$X56,$X60)/C38</f>
        <v>0.15107913669064749</v>
      </c>
      <c r="D60" s="134">
        <f t="shared" si="6"/>
        <v>4.0932642487046637E-2</v>
      </c>
      <c r="E60" s="134">
        <f t="shared" si="6"/>
        <v>3.9395734597156395E-2</v>
      </c>
      <c r="F60" s="134">
        <f t="shared" si="6"/>
        <v>3.9395734597156395E-2</v>
      </c>
      <c r="G60" s="134">
        <f t="shared" si="6"/>
        <v>4.6927036027853468E-2</v>
      </c>
      <c r="H60" s="134">
        <f t="shared" si="6"/>
        <v>1.5733105866742491E-2</v>
      </c>
      <c r="I60" s="134">
        <f t="shared" si="6"/>
        <v>5.4185883068703526E-2</v>
      </c>
      <c r="J60" s="134">
        <f t="shared" si="6"/>
        <v>0.10482180293501048</v>
      </c>
      <c r="K60" s="134">
        <f t="shared" si="6"/>
        <v>2.076239822353812E-2</v>
      </c>
      <c r="L60" s="134">
        <f t="shared" si="6"/>
        <v>2.5451559934318555E-2</v>
      </c>
      <c r="M60" s="134">
        <f t="shared" si="6"/>
        <v>2.5451559934318555E-2</v>
      </c>
      <c r="N60" s="134">
        <f t="shared" si="6"/>
        <v>1.7930588289662184E-2</v>
      </c>
      <c r="O60" s="134">
        <f t="shared" si="6"/>
        <v>1.2425806316538781E-2</v>
      </c>
      <c r="P60" s="134">
        <f t="shared" si="6"/>
        <v>5.4503677887951643E-2</v>
      </c>
      <c r="Q60" s="134">
        <f t="shared" si="6"/>
        <v>0.1089171974522293</v>
      </c>
      <c r="R60" s="134">
        <f t="shared" si="6"/>
        <v>2.207253886010363E-2</v>
      </c>
      <c r="S60" s="134">
        <f t="shared" si="6"/>
        <v>2.9406822382792814E-2</v>
      </c>
      <c r="T60" s="134">
        <f t="shared" si="6"/>
        <v>2.9406822382792814E-2</v>
      </c>
      <c r="U60" s="134">
        <f t="shared" si="6"/>
        <v>2.1730414561783339E-2</v>
      </c>
      <c r="V60" s="134">
        <f t="shared" si="6"/>
        <v>1.2754765361337884E-2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2.2168064699979373E-3</v>
      </c>
      <c r="J61" s="134">
        <f t="shared" si="7"/>
        <v>0.20195667365478684</v>
      </c>
      <c r="K61" s="134">
        <f t="shared" si="7"/>
        <v>6.1954108068097702E-2</v>
      </c>
      <c r="L61" s="134">
        <f t="shared" si="7"/>
        <v>1.4661036828524512E-2</v>
      </c>
      <c r="M61" s="134">
        <f t="shared" si="7"/>
        <v>1.4661036828524512E-2</v>
      </c>
      <c r="N61" s="134">
        <f t="shared" si="7"/>
        <v>8.1796755857479544E-3</v>
      </c>
      <c r="O61" s="134">
        <f t="shared" si="7"/>
        <v>8.793325447255749E-4</v>
      </c>
      <c r="P61" s="134">
        <f t="shared" si="7"/>
        <v>1.9553718753373326E-3</v>
      </c>
      <c r="Q61" s="134">
        <f t="shared" si="7"/>
        <v>0.1840764331210191</v>
      </c>
      <c r="R61" s="134">
        <f t="shared" si="7"/>
        <v>5.7823834196891188E-2</v>
      </c>
      <c r="S61" s="134">
        <f t="shared" si="7"/>
        <v>1.0502436565283145E-2</v>
      </c>
      <c r="T61" s="134">
        <f t="shared" si="7"/>
        <v>1.0502436565283145E-2</v>
      </c>
      <c r="U61" s="134">
        <f t="shared" si="7"/>
        <v>7.0964637960067335E-3</v>
      </c>
      <c r="V61" s="134">
        <f t="shared" si="7"/>
        <v>7.9187013329813909E-4</v>
      </c>
      <c r="X61" s="130" t="s">
        <v>165</v>
      </c>
    </row>
    <row r="64" spans="1:24" x14ac:dyDescent="0.25">
      <c r="A64" s="129" t="s">
        <v>196</v>
      </c>
    </row>
    <row r="65" spans="1:24" x14ac:dyDescent="0.25">
      <c r="A65" s="132" t="s">
        <v>216</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3.8237000000000001</v>
      </c>
      <c r="C69" s="129">
        <v>1.3899999999999999E-2</v>
      </c>
      <c r="D69" s="129">
        <v>0.193</v>
      </c>
      <c r="E69" s="129">
        <v>0.33760000000000001</v>
      </c>
      <c r="F69" s="129">
        <v>0.33760000000000001</v>
      </c>
      <c r="G69" s="129">
        <v>0.33029999999999998</v>
      </c>
      <c r="H69" s="129">
        <v>1.0550999999999999</v>
      </c>
      <c r="I69" s="129">
        <v>28.599699999999999</v>
      </c>
      <c r="J69" s="133">
        <v>0.1431</v>
      </c>
      <c r="K69" s="133">
        <v>2.702</v>
      </c>
      <c r="L69" s="129">
        <v>0.6411</v>
      </c>
      <c r="M69" s="166">
        <v>0.6411</v>
      </c>
      <c r="N69" s="133">
        <v>2.2492000000000001</v>
      </c>
      <c r="O69" s="133">
        <v>9.5526999999999997</v>
      </c>
      <c r="P69" s="129">
        <v>32.423499999999997</v>
      </c>
      <c r="Q69" s="133">
        <v>0.157</v>
      </c>
      <c r="R69" s="133">
        <v>2.895</v>
      </c>
      <c r="S69" s="129">
        <v>0.97860000000000003</v>
      </c>
      <c r="T69" s="166">
        <v>0.97860000000000003</v>
      </c>
      <c r="U69" s="133">
        <v>2.5794999999999999</v>
      </c>
      <c r="V69" s="133">
        <v>10.607799999999999</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1.14E-2</v>
      </c>
      <c r="E72" s="129">
        <v>2.9999999999999997E-4</v>
      </c>
      <c r="F72" s="129">
        <v>2.9999999999999997E-4</v>
      </c>
      <c r="G72" s="129">
        <v>8.0999999999999996E-3</v>
      </c>
      <c r="H72" s="129">
        <v>5.0000000000000001E-4</v>
      </c>
      <c r="I72" s="129">
        <v>1.7500000000000002E-2</v>
      </c>
      <c r="J72" s="129">
        <v>1E-3</v>
      </c>
      <c r="K72" s="129">
        <v>0.70140000000000002</v>
      </c>
      <c r="L72" s="129">
        <v>9.4000000000000004E-3</v>
      </c>
      <c r="M72" s="129">
        <v>9.4000000000000004E-3</v>
      </c>
      <c r="N72" s="129">
        <v>0.50870000000000004</v>
      </c>
      <c r="O72" s="129">
        <v>2.7799999999999998E-2</v>
      </c>
      <c r="P72" s="129">
        <v>1.77E-2</v>
      </c>
      <c r="Q72" s="129">
        <v>1E-3</v>
      </c>
      <c r="R72" s="129">
        <v>0.71279999999999999</v>
      </c>
      <c r="S72" s="129">
        <v>9.7000000000000003E-3</v>
      </c>
      <c r="T72" s="129">
        <v>9.7000000000000003E-3</v>
      </c>
      <c r="U72" s="129">
        <v>0.51680000000000004</v>
      </c>
      <c r="V72" s="129">
        <v>2.8199999999999999E-2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0.21729999999999999</v>
      </c>
      <c r="C75" s="129">
        <v>2.0999999999999999E-3</v>
      </c>
      <c r="D75" s="129">
        <v>7.9000000000000008E-3</v>
      </c>
      <c r="E75" s="129">
        <v>1.3299999999999999E-2</v>
      </c>
      <c r="F75" s="129">
        <v>1.3299999999999999E-2</v>
      </c>
      <c r="G75" s="129">
        <v>1.55E-2</v>
      </c>
      <c r="H75" s="129">
        <v>1.66E-2</v>
      </c>
      <c r="I75" s="129">
        <v>1.5454000000000001</v>
      </c>
      <c r="J75" s="129">
        <v>1.4999999999999999E-2</v>
      </c>
      <c r="K75" s="129">
        <v>5.5899999999999998E-2</v>
      </c>
      <c r="L75" s="129">
        <v>1.49E-2</v>
      </c>
      <c r="M75" s="129">
        <v>1.49E-2</v>
      </c>
      <c r="N75" s="129">
        <v>2.8899999999999999E-2</v>
      </c>
      <c r="O75" s="129">
        <v>0.11840000000000001</v>
      </c>
      <c r="P75" s="129">
        <v>1.7626999999999999</v>
      </c>
      <c r="Q75" s="129">
        <v>1.7100000000000001E-2</v>
      </c>
      <c r="R75" s="129">
        <v>6.3700000000000007E-2</v>
      </c>
      <c r="S75" s="129">
        <v>2.8199999999999999E-2</v>
      </c>
      <c r="T75" s="129">
        <v>2.8199999999999999E-2</v>
      </c>
      <c r="U75" s="129">
        <v>4.4400000000000002E-2</v>
      </c>
      <c r="V75" s="129">
        <v>0.13500000000000001</v>
      </c>
      <c r="W75" s="130" t="s">
        <v>180</v>
      </c>
      <c r="X75" s="130" t="s">
        <v>166</v>
      </c>
    </row>
    <row r="76" spans="1:24" x14ac:dyDescent="0.25">
      <c r="A76" s="130">
        <v>2104004000</v>
      </c>
      <c r="B76" s="129">
        <v>4.5999999999999999E-3</v>
      </c>
      <c r="C76" s="129">
        <v>2.0000000000000001E-4</v>
      </c>
      <c r="D76" s="129">
        <v>0.11409999999999999</v>
      </c>
      <c r="E76" s="129">
        <v>4.5999999999999999E-3</v>
      </c>
      <c r="F76" s="129">
        <v>4.5999999999999999E-3</v>
      </c>
      <c r="G76" s="129">
        <v>0.2944</v>
      </c>
      <c r="H76" s="129">
        <v>7.3000000000000001E-3</v>
      </c>
      <c r="I76" s="129">
        <v>5.3499999999999999E-2</v>
      </c>
      <c r="J76" s="129">
        <v>2.8999999999999998E-3</v>
      </c>
      <c r="K76" s="129">
        <v>1.3394999999999999</v>
      </c>
      <c r="L76" s="129">
        <v>1.84E-2</v>
      </c>
      <c r="M76" s="129">
        <v>1.84E-2</v>
      </c>
      <c r="N76" s="129">
        <v>1.5435000000000001</v>
      </c>
      <c r="O76" s="129">
        <v>8.5099999999999995E-2</v>
      </c>
      <c r="P76" s="129">
        <v>5.8000000000000003E-2</v>
      </c>
      <c r="Q76" s="129">
        <v>3.2000000000000002E-3</v>
      </c>
      <c r="R76" s="129">
        <v>1.4536</v>
      </c>
      <c r="S76" s="129">
        <v>2.3E-2</v>
      </c>
      <c r="T76" s="129">
        <v>2.3E-2</v>
      </c>
      <c r="U76" s="129">
        <v>1.8379000000000001</v>
      </c>
      <c r="V76" s="129">
        <v>9.2399999999999996E-2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0.41889999999999999</v>
      </c>
      <c r="C78" s="129">
        <v>3.0000000000000001E-3</v>
      </c>
      <c r="D78" s="129">
        <v>4.3E-3</v>
      </c>
      <c r="E78" s="129">
        <v>5.74E-2</v>
      </c>
      <c r="F78" s="129">
        <v>5.74E-2</v>
      </c>
      <c r="G78" s="129">
        <v>6.9999999999999999E-4</v>
      </c>
      <c r="H78" s="129">
        <v>0.37980000000000003</v>
      </c>
      <c r="I78" s="129">
        <v>4.9931999999999999</v>
      </c>
      <c r="J78" s="129">
        <v>3.56E-2</v>
      </c>
      <c r="K78" s="129">
        <v>5.1400000000000001E-2</v>
      </c>
      <c r="L78" s="129">
        <v>0.1288</v>
      </c>
      <c r="M78" s="129">
        <v>0.1288</v>
      </c>
      <c r="N78" s="129">
        <v>2.8E-3</v>
      </c>
      <c r="O78" s="129">
        <v>4.5266999999999999</v>
      </c>
      <c r="P78" s="129">
        <v>5.4120999999999997</v>
      </c>
      <c r="Q78" s="129">
        <v>3.8600000000000002E-2</v>
      </c>
      <c r="R78" s="129">
        <v>5.57E-2</v>
      </c>
      <c r="S78" s="129">
        <v>0.1862</v>
      </c>
      <c r="T78" s="129">
        <v>0.1862</v>
      </c>
      <c r="U78" s="129">
        <v>3.5000000000000001E-3</v>
      </c>
      <c r="V78" s="129">
        <v>4.9065000000000003</v>
      </c>
      <c r="W78" s="130" t="s">
        <v>183</v>
      </c>
      <c r="X78" s="130" t="s">
        <v>168</v>
      </c>
    </row>
    <row r="79" spans="1:24" x14ac:dyDescent="0.25">
      <c r="A79" s="130">
        <v>2104008210</v>
      </c>
      <c r="B79" s="129">
        <v>0.06</v>
      </c>
      <c r="C79" s="129">
        <v>4.0000000000000002E-4</v>
      </c>
      <c r="D79" s="129">
        <v>6.9999999999999999E-4</v>
      </c>
      <c r="E79" s="129">
        <v>7.9000000000000008E-3</v>
      </c>
      <c r="F79" s="129">
        <v>7.9000000000000008E-3</v>
      </c>
      <c r="G79" s="129">
        <v>1E-4</v>
      </c>
      <c r="H79" s="129">
        <v>1.38E-2</v>
      </c>
      <c r="I79" s="129">
        <v>0.40260000000000001</v>
      </c>
      <c r="J79" s="129">
        <v>3.0000000000000001E-3</v>
      </c>
      <c r="K79" s="129">
        <v>4.8999999999999998E-3</v>
      </c>
      <c r="L79" s="129">
        <v>6.7000000000000002E-3</v>
      </c>
      <c r="M79" s="129">
        <v>6.7000000000000002E-3</v>
      </c>
      <c r="N79" s="129">
        <v>4.0000000000000002E-4</v>
      </c>
      <c r="O79" s="129">
        <v>9.2499999999999999E-2</v>
      </c>
      <c r="P79" s="129">
        <v>0.46260000000000001</v>
      </c>
      <c r="Q79" s="129">
        <v>3.3999999999999998E-3</v>
      </c>
      <c r="R79" s="129">
        <v>5.5999999999999999E-3</v>
      </c>
      <c r="S79" s="129">
        <v>1.46E-2</v>
      </c>
      <c r="T79" s="129">
        <v>1.46E-2</v>
      </c>
      <c r="U79" s="129">
        <v>5.0000000000000001E-4</v>
      </c>
      <c r="V79" s="129">
        <v>0.1062</v>
      </c>
      <c r="W79" s="130" t="s">
        <v>184</v>
      </c>
      <c r="X79" s="130" t="s">
        <v>168</v>
      </c>
    </row>
    <row r="80" spans="1:24" x14ac:dyDescent="0.25">
      <c r="A80" s="130">
        <v>2104008220</v>
      </c>
      <c r="B80" s="129">
        <v>7.6999999999999999E-2</v>
      </c>
      <c r="C80" s="129">
        <v>5.0000000000000001E-4</v>
      </c>
      <c r="D80" s="129">
        <v>1.1000000000000001E-3</v>
      </c>
      <c r="E80" s="129">
        <v>6.6E-3</v>
      </c>
      <c r="F80" s="129">
        <v>6.6E-3</v>
      </c>
      <c r="G80" s="129">
        <v>2.0000000000000001E-4</v>
      </c>
      <c r="H80" s="129">
        <v>6.6E-3</v>
      </c>
      <c r="I80" s="129">
        <v>0.5171</v>
      </c>
      <c r="J80" s="129">
        <v>3.3E-3</v>
      </c>
      <c r="K80" s="129">
        <v>7.3000000000000001E-3</v>
      </c>
      <c r="L80" s="129">
        <v>0</v>
      </c>
      <c r="M80" s="129">
        <v>0</v>
      </c>
      <c r="N80" s="129">
        <v>0</v>
      </c>
      <c r="O80" s="129">
        <v>4.41E-2</v>
      </c>
      <c r="P80" s="129">
        <v>0.59409999999999996</v>
      </c>
      <c r="Q80" s="129">
        <v>3.8E-3</v>
      </c>
      <c r="R80" s="129">
        <v>8.3999999999999995E-3</v>
      </c>
      <c r="S80" s="129">
        <v>6.6E-3</v>
      </c>
      <c r="T80" s="129">
        <v>6.6E-3</v>
      </c>
      <c r="U80" s="129">
        <v>2.0000000000000001E-4</v>
      </c>
      <c r="V80" s="129">
        <v>5.0599999999999999E-2</v>
      </c>
      <c r="W80" s="130" t="s">
        <v>185</v>
      </c>
      <c r="X80" s="130" t="s">
        <v>168</v>
      </c>
    </row>
    <row r="81" spans="1:24" x14ac:dyDescent="0.25">
      <c r="A81" s="130">
        <v>2104008230</v>
      </c>
      <c r="B81" s="129">
        <v>3.5200000000000002E-2</v>
      </c>
      <c r="C81" s="129">
        <v>2.9999999999999997E-4</v>
      </c>
      <c r="D81" s="129">
        <v>6.9999999999999999E-4</v>
      </c>
      <c r="E81" s="129">
        <v>4.3E-3</v>
      </c>
      <c r="F81" s="129">
        <v>4.3E-3</v>
      </c>
      <c r="G81" s="129">
        <v>1E-4</v>
      </c>
      <c r="H81" s="129">
        <v>4.8999999999999998E-3</v>
      </c>
      <c r="I81" s="129">
        <v>0.2366</v>
      </c>
      <c r="J81" s="129">
        <v>2E-3</v>
      </c>
      <c r="K81" s="129">
        <v>4.4000000000000003E-3</v>
      </c>
      <c r="L81" s="129">
        <v>0</v>
      </c>
      <c r="M81" s="129">
        <v>0</v>
      </c>
      <c r="N81" s="129">
        <v>0</v>
      </c>
      <c r="O81" s="129">
        <v>3.32E-2</v>
      </c>
      <c r="P81" s="129">
        <v>0.27179999999999999</v>
      </c>
      <c r="Q81" s="129">
        <v>2.3E-3</v>
      </c>
      <c r="R81" s="129">
        <v>5.1000000000000004E-3</v>
      </c>
      <c r="S81" s="129">
        <v>4.3E-3</v>
      </c>
      <c r="T81" s="129">
        <v>4.3E-3</v>
      </c>
      <c r="U81" s="129">
        <v>1E-4</v>
      </c>
      <c r="V81" s="129">
        <v>3.8100000000000002E-2</v>
      </c>
      <c r="W81" s="130" t="s">
        <v>186</v>
      </c>
      <c r="X81" s="130" t="s">
        <v>168</v>
      </c>
    </row>
    <row r="82" spans="1:24" x14ac:dyDescent="0.25">
      <c r="A82" s="130">
        <v>2104008310</v>
      </c>
      <c r="B82" s="129">
        <v>0.63890000000000002</v>
      </c>
      <c r="C82" s="129">
        <v>2.0999999999999999E-3</v>
      </c>
      <c r="D82" s="129">
        <v>7.7000000000000002E-3</v>
      </c>
      <c r="E82" s="129">
        <v>6.4000000000000001E-2</v>
      </c>
      <c r="F82" s="129">
        <v>6.4000000000000001E-2</v>
      </c>
      <c r="G82" s="129">
        <v>2.0999999999999999E-3</v>
      </c>
      <c r="H82" s="129">
        <v>0.27939999999999998</v>
      </c>
      <c r="I82" s="129">
        <v>4.2895000000000003</v>
      </c>
      <c r="J82" s="129">
        <v>1.41E-2</v>
      </c>
      <c r="K82" s="129">
        <v>5.1400000000000001E-2</v>
      </c>
      <c r="L82" s="129">
        <v>6.8400000000000002E-2</v>
      </c>
      <c r="M82" s="129">
        <v>6.8400000000000002E-2</v>
      </c>
      <c r="N82" s="129">
        <v>1.23E-2</v>
      </c>
      <c r="O82" s="129">
        <v>1.8762000000000001</v>
      </c>
      <c r="P82" s="129">
        <v>4.9283999999999999</v>
      </c>
      <c r="Q82" s="129">
        <v>1.61E-2</v>
      </c>
      <c r="R82" s="129">
        <v>5.91E-2</v>
      </c>
      <c r="S82" s="129">
        <v>0.13250000000000001</v>
      </c>
      <c r="T82" s="129">
        <v>0.13250000000000001</v>
      </c>
      <c r="U82" s="129">
        <v>1.44E-2</v>
      </c>
      <c r="V82" s="129">
        <v>2.1556999999999999</v>
      </c>
      <c r="W82" s="130" t="s">
        <v>187</v>
      </c>
      <c r="X82" s="130" t="s">
        <v>168</v>
      </c>
    </row>
    <row r="83" spans="1:24" x14ac:dyDescent="0.25">
      <c r="A83" s="130">
        <v>2104008320</v>
      </c>
      <c r="B83" s="129">
        <v>1.3725000000000001</v>
      </c>
      <c r="C83" s="129">
        <v>2.8E-3</v>
      </c>
      <c r="D83" s="129">
        <v>1.7899999999999999E-2</v>
      </c>
      <c r="E83" s="129">
        <v>8.7999999999999995E-2</v>
      </c>
      <c r="F83" s="129">
        <v>8.7999999999999995E-2</v>
      </c>
      <c r="G83" s="129">
        <v>4.4000000000000003E-3</v>
      </c>
      <c r="H83" s="129">
        <v>0.13320000000000001</v>
      </c>
      <c r="I83" s="129">
        <v>9.2154000000000007</v>
      </c>
      <c r="J83" s="129">
        <v>1.8599999999999998E-2</v>
      </c>
      <c r="K83" s="129">
        <v>0.11990000000000001</v>
      </c>
      <c r="L83" s="129">
        <v>0.19339999999999999</v>
      </c>
      <c r="M83" s="129">
        <v>0.19339999999999999</v>
      </c>
      <c r="N83" s="129">
        <v>6.6299999999999998E-2</v>
      </c>
      <c r="O83" s="129">
        <v>0.89439999999999997</v>
      </c>
      <c r="P83" s="129">
        <v>10.587899999999999</v>
      </c>
      <c r="Q83" s="129">
        <v>2.1399999999999999E-2</v>
      </c>
      <c r="R83" s="129">
        <v>0.13780000000000001</v>
      </c>
      <c r="S83" s="129">
        <v>0.28129999999999999</v>
      </c>
      <c r="T83" s="129">
        <v>0.28129999999999999</v>
      </c>
      <c r="U83" s="129">
        <v>7.0699999999999999E-2</v>
      </c>
      <c r="V83" s="129">
        <v>1.0276000000000001</v>
      </c>
      <c r="W83" s="130" t="s">
        <v>188</v>
      </c>
      <c r="X83" s="130" t="s">
        <v>168</v>
      </c>
    </row>
    <row r="84" spans="1:24" x14ac:dyDescent="0.25">
      <c r="A84" s="130">
        <v>2104008330</v>
      </c>
      <c r="B84" s="129">
        <v>0.82640000000000002</v>
      </c>
      <c r="C84" s="129">
        <v>1.6999999999999999E-3</v>
      </c>
      <c r="D84" s="129">
        <v>1.0800000000000001E-2</v>
      </c>
      <c r="E84" s="129">
        <v>5.8799999999999998E-2</v>
      </c>
      <c r="F84" s="129">
        <v>5.8799999999999998E-2</v>
      </c>
      <c r="G84" s="129">
        <v>2.7000000000000001E-3</v>
      </c>
      <c r="H84" s="129">
        <v>0.1003</v>
      </c>
      <c r="I84" s="129">
        <v>5.5483000000000002</v>
      </c>
      <c r="J84" s="129">
        <v>1.12E-2</v>
      </c>
      <c r="K84" s="129">
        <v>7.22E-2</v>
      </c>
      <c r="L84" s="129">
        <v>0.12920000000000001</v>
      </c>
      <c r="M84" s="129">
        <v>0.12920000000000001</v>
      </c>
      <c r="N84" s="129">
        <v>4.07E-2</v>
      </c>
      <c r="O84" s="129">
        <v>0.67310000000000003</v>
      </c>
      <c r="P84" s="129">
        <v>6.3746999999999998</v>
      </c>
      <c r="Q84" s="129">
        <v>1.29E-2</v>
      </c>
      <c r="R84" s="129">
        <v>8.2900000000000001E-2</v>
      </c>
      <c r="S84" s="129">
        <v>0.18790000000000001</v>
      </c>
      <c r="T84" s="129">
        <v>0.18790000000000001</v>
      </c>
      <c r="U84" s="129">
        <v>4.3299999999999998E-2</v>
      </c>
      <c r="V84" s="129">
        <v>0.77339999999999998</v>
      </c>
      <c r="W84" s="130" t="s">
        <v>189</v>
      </c>
      <c r="X84" s="130" t="s">
        <v>168</v>
      </c>
    </row>
    <row r="85" spans="1:24" x14ac:dyDescent="0.25">
      <c r="A85" s="130">
        <v>2104008410</v>
      </c>
      <c r="B85" s="129">
        <v>7.3000000000000001E-3</v>
      </c>
      <c r="C85" s="129">
        <v>1E-4</v>
      </c>
      <c r="D85" s="129">
        <v>2.8999999999999998E-3</v>
      </c>
      <c r="E85" s="129">
        <v>2.2000000000000001E-3</v>
      </c>
      <c r="F85" s="129">
        <v>2.2000000000000001E-3</v>
      </c>
      <c r="G85" s="129">
        <v>2.0000000000000001E-4</v>
      </c>
      <c r="H85" s="129">
        <v>1.6999999999999999E-3</v>
      </c>
      <c r="I85" s="129">
        <v>4.8899999999999999E-2</v>
      </c>
      <c r="J85" s="129">
        <v>4.0000000000000002E-4</v>
      </c>
      <c r="K85" s="129">
        <v>1.9699999999999999E-2</v>
      </c>
      <c r="L85" s="129">
        <v>5.1999999999999998E-3</v>
      </c>
      <c r="M85" s="129">
        <v>5.1999999999999998E-3</v>
      </c>
      <c r="N85" s="129">
        <v>3.5999999999999999E-3</v>
      </c>
      <c r="O85" s="129">
        <v>1.1299999999999999E-2</v>
      </c>
      <c r="P85" s="129">
        <v>5.6099999999999997E-2</v>
      </c>
      <c r="Q85" s="129">
        <v>4.0000000000000002E-4</v>
      </c>
      <c r="R85" s="129">
        <v>2.2599999999999999E-2</v>
      </c>
      <c r="S85" s="129">
        <v>7.4000000000000003E-3</v>
      </c>
      <c r="T85" s="129">
        <v>7.4000000000000003E-3</v>
      </c>
      <c r="U85" s="129">
        <v>3.8E-3</v>
      </c>
      <c r="V85" s="129">
        <v>1.2999999999999999E-2</v>
      </c>
      <c r="W85" s="130" t="s">
        <v>190</v>
      </c>
      <c r="X85" s="130" t="s">
        <v>168</v>
      </c>
    </row>
    <row r="86" spans="1:24" x14ac:dyDescent="0.25">
      <c r="A86" s="130">
        <v>2104008420</v>
      </c>
      <c r="B86" s="129">
        <v>2.4500000000000001E-2</v>
      </c>
      <c r="C86" s="129">
        <v>2.0000000000000001E-4</v>
      </c>
      <c r="D86" s="129">
        <v>9.9000000000000008E-3</v>
      </c>
      <c r="E86" s="129">
        <v>7.3000000000000001E-3</v>
      </c>
      <c r="F86" s="129">
        <v>7.3000000000000001E-3</v>
      </c>
      <c r="G86" s="129">
        <v>8.0000000000000004E-4</v>
      </c>
      <c r="H86" s="129">
        <v>5.7000000000000002E-3</v>
      </c>
      <c r="I86" s="129">
        <v>0.1648</v>
      </c>
      <c r="J86" s="129">
        <v>1.1999999999999999E-3</v>
      </c>
      <c r="K86" s="129">
        <v>6.6400000000000001E-2</v>
      </c>
      <c r="L86" s="129">
        <v>1.5900000000000001E-2</v>
      </c>
      <c r="M86" s="129">
        <v>1.5900000000000001E-2</v>
      </c>
      <c r="N86" s="129">
        <v>1.4200000000000001E-2</v>
      </c>
      <c r="O86" s="129">
        <v>3.7999999999999999E-2</v>
      </c>
      <c r="P86" s="129">
        <v>0.1893</v>
      </c>
      <c r="Q86" s="129">
        <v>1.4E-3</v>
      </c>
      <c r="R86" s="129">
        <v>7.6300000000000007E-2</v>
      </c>
      <c r="S86" s="129">
        <v>2.3300000000000001E-2</v>
      </c>
      <c r="T86" s="129">
        <v>2.3300000000000001E-2</v>
      </c>
      <c r="U86" s="129">
        <v>1.4999999999999999E-2</v>
      </c>
      <c r="V86" s="129">
        <v>4.3700000000000003E-2</v>
      </c>
      <c r="W86" s="130" t="s">
        <v>191</v>
      </c>
      <c r="X86" s="130" t="s">
        <v>168</v>
      </c>
    </row>
    <row r="87" spans="1:24" x14ac:dyDescent="0.25">
      <c r="A87" s="130">
        <v>2104008610</v>
      </c>
      <c r="B87" s="129">
        <v>0.14030000000000001</v>
      </c>
      <c r="C87" s="129">
        <v>5.9999999999999995E-4</v>
      </c>
      <c r="D87" s="129">
        <v>3.7000000000000002E-3</v>
      </c>
      <c r="E87" s="129">
        <v>2.29E-2</v>
      </c>
      <c r="F87" s="129">
        <v>2.29E-2</v>
      </c>
      <c r="G87" s="129">
        <v>8.9999999999999998E-4</v>
      </c>
      <c r="H87" s="129">
        <v>0.1052</v>
      </c>
      <c r="I87" s="129">
        <v>1.4975000000000001</v>
      </c>
      <c r="J87" s="129">
        <v>6.0000000000000001E-3</v>
      </c>
      <c r="K87" s="129">
        <v>3.9899999999999998E-2</v>
      </c>
      <c r="L87" s="129">
        <v>3.7699999999999997E-2</v>
      </c>
      <c r="M87" s="129">
        <v>3.7699999999999997E-2</v>
      </c>
      <c r="N87" s="129">
        <v>9.7999999999999997E-3</v>
      </c>
      <c r="O87" s="129">
        <v>1.1224000000000001</v>
      </c>
      <c r="P87" s="129">
        <v>1.6377999999999999</v>
      </c>
      <c r="Q87" s="129">
        <v>6.6E-3</v>
      </c>
      <c r="R87" s="129">
        <v>4.36E-2</v>
      </c>
      <c r="S87" s="129">
        <v>6.0600000000000001E-2</v>
      </c>
      <c r="T87" s="129">
        <v>6.0600000000000001E-2</v>
      </c>
      <c r="U87" s="129">
        <v>1.0699999999999999E-2</v>
      </c>
      <c r="V87" s="129">
        <v>1.2276</v>
      </c>
      <c r="W87" s="130" t="s">
        <v>192</v>
      </c>
      <c r="X87" s="130" t="s">
        <v>168</v>
      </c>
    </row>
    <row r="89" spans="1:24" x14ac:dyDescent="0.25">
      <c r="B89" s="135">
        <f>SUMIFS(B70:B87,$X70:$X87,$X89)/B69</f>
        <v>0.94183644114339515</v>
      </c>
      <c r="C89" s="135">
        <f t="shared" ref="C89:V89" si="8">SUMIFS(C70:C87,$X70:$X87,$X89)/C69</f>
        <v>0.84172661870503607</v>
      </c>
      <c r="D89" s="135">
        <f t="shared" si="8"/>
        <v>0.30932642487046635</v>
      </c>
      <c r="E89" s="135">
        <f t="shared" si="8"/>
        <v>0.94609004739336466</v>
      </c>
      <c r="F89" s="135">
        <f t="shared" si="8"/>
        <v>0.94609004739336466</v>
      </c>
      <c r="G89" s="135">
        <f t="shared" si="8"/>
        <v>3.6936118679987896E-2</v>
      </c>
      <c r="H89" s="135">
        <f t="shared" si="8"/>
        <v>0.97696900767699746</v>
      </c>
      <c r="I89" s="135">
        <f t="shared" si="8"/>
        <v>0.94112176001846182</v>
      </c>
      <c r="J89" s="136">
        <f t="shared" si="8"/>
        <v>0.66666666666666674</v>
      </c>
      <c r="K89" s="136">
        <f t="shared" si="8"/>
        <v>0.16191709844559585</v>
      </c>
      <c r="L89" s="135">
        <f t="shared" si="8"/>
        <v>0.91343004211511447</v>
      </c>
      <c r="M89" s="136">
        <f t="shared" si="8"/>
        <v>0.91343004211511447</v>
      </c>
      <c r="N89" s="136">
        <f t="shared" si="8"/>
        <v>6.6734839053885817E-2</v>
      </c>
      <c r="O89" s="136">
        <f t="shared" si="8"/>
        <v>0.97488668125242095</v>
      </c>
      <c r="P89" s="135">
        <f t="shared" si="8"/>
        <v>0.94119697133252123</v>
      </c>
      <c r="Q89" s="136">
        <f t="shared" si="8"/>
        <v>0.68089171974522289</v>
      </c>
      <c r="R89" s="136">
        <f t="shared" si="8"/>
        <v>0.17170984455958549</v>
      </c>
      <c r="S89" s="135">
        <f t="shared" si="8"/>
        <v>0.92479051706519522</v>
      </c>
      <c r="T89" s="136">
        <f t="shared" si="8"/>
        <v>0.92479051706519522</v>
      </c>
      <c r="U89" s="136">
        <f t="shared" si="8"/>
        <v>6.2880403178910652E-2</v>
      </c>
      <c r="V89" s="136">
        <f t="shared" si="8"/>
        <v>0.97508437187729802</v>
      </c>
      <c r="X89" s="130" t="s">
        <v>168</v>
      </c>
    </row>
    <row r="90" spans="1:24" x14ac:dyDescent="0.25">
      <c r="B90" s="135">
        <f>SUMIFS(B70:B87,$X70:$X87,$X90)/B69</f>
        <v>1.2814812877579307E-3</v>
      </c>
      <c r="C90" s="135">
        <f t="shared" ref="C90:V90" si="9">SUMIFS(C70:C87,$X70:$X87,$X90)/C69</f>
        <v>1.4388489208633094E-2</v>
      </c>
      <c r="D90" s="135">
        <f t="shared" si="9"/>
        <v>0.65025906735751293</v>
      </c>
      <c r="E90" s="135">
        <f t="shared" si="9"/>
        <v>1.4514218009478672E-2</v>
      </c>
      <c r="F90" s="135">
        <f t="shared" si="9"/>
        <v>1.4514218009478672E-2</v>
      </c>
      <c r="G90" s="135">
        <f t="shared" si="9"/>
        <v>0.91583409022101125</v>
      </c>
      <c r="H90" s="135">
        <f t="shared" si="9"/>
        <v>7.3926642024452656E-3</v>
      </c>
      <c r="I90" s="135">
        <f t="shared" si="9"/>
        <v>2.4825435231838099E-3</v>
      </c>
      <c r="J90" s="136">
        <f t="shared" si="9"/>
        <v>2.7253668763102722E-2</v>
      </c>
      <c r="K90" s="136">
        <f t="shared" si="9"/>
        <v>0.75532938564026642</v>
      </c>
      <c r="L90" s="135">
        <f t="shared" si="9"/>
        <v>4.3362969895492119E-2</v>
      </c>
      <c r="M90" s="136">
        <f t="shared" si="9"/>
        <v>4.3362969895492119E-2</v>
      </c>
      <c r="N90" s="136">
        <f t="shared" si="9"/>
        <v>0.91241330250755825</v>
      </c>
      <c r="O90" s="136">
        <f t="shared" si="9"/>
        <v>1.1818648130894931E-2</v>
      </c>
      <c r="P90" s="135">
        <f t="shared" si="9"/>
        <v>2.3347263558838498E-3</v>
      </c>
      <c r="Q90" s="136">
        <f t="shared" si="9"/>
        <v>2.6751592356687903E-2</v>
      </c>
      <c r="R90" s="136">
        <f t="shared" si="9"/>
        <v>0.74832469775474952</v>
      </c>
      <c r="S90" s="135">
        <f t="shared" si="9"/>
        <v>3.3415082771305948E-2</v>
      </c>
      <c r="T90" s="136">
        <f t="shared" si="9"/>
        <v>3.3415082771305948E-2</v>
      </c>
      <c r="U90" s="136">
        <f t="shared" si="9"/>
        <v>0.91285132777670108</v>
      </c>
      <c r="V90" s="136">
        <f t="shared" si="9"/>
        <v>1.136899262806614E-2</v>
      </c>
      <c r="X90" s="130" t="s">
        <v>167</v>
      </c>
    </row>
    <row r="91" spans="1:24" x14ac:dyDescent="0.25">
      <c r="B91" s="135">
        <f>SUMIFS(B70:B87,$X70:$X87,$X91)/B69</f>
        <v>5.6908230248188925E-2</v>
      </c>
      <c r="C91" s="135">
        <f t="shared" ref="C91:V91" si="10">SUMIFS(C70:C87,$X70:$X87,$X91)/C69</f>
        <v>0.15107913669064749</v>
      </c>
      <c r="D91" s="135">
        <f t="shared" si="10"/>
        <v>4.0932642487046637E-2</v>
      </c>
      <c r="E91" s="135">
        <f t="shared" si="10"/>
        <v>3.9395734597156395E-2</v>
      </c>
      <c r="F91" s="135">
        <f t="shared" si="10"/>
        <v>3.9395734597156395E-2</v>
      </c>
      <c r="G91" s="135">
        <f t="shared" si="10"/>
        <v>4.6927036027853468E-2</v>
      </c>
      <c r="H91" s="135">
        <f t="shared" si="10"/>
        <v>1.5733105866742491E-2</v>
      </c>
      <c r="I91" s="135">
        <f t="shared" si="10"/>
        <v>5.4185883068703526E-2</v>
      </c>
      <c r="J91" s="136">
        <f t="shared" si="10"/>
        <v>0.10482180293501048</v>
      </c>
      <c r="K91" s="136">
        <f t="shared" si="10"/>
        <v>2.076239822353812E-2</v>
      </c>
      <c r="L91" s="135">
        <f t="shared" si="10"/>
        <v>2.3709249727031666E-2</v>
      </c>
      <c r="M91" s="136">
        <f t="shared" si="10"/>
        <v>2.3709249727031666E-2</v>
      </c>
      <c r="N91" s="136">
        <f t="shared" si="10"/>
        <v>1.2982393739996443E-2</v>
      </c>
      <c r="O91" s="136">
        <f t="shared" si="10"/>
        <v>1.2425806316538781E-2</v>
      </c>
      <c r="P91" s="135">
        <f t="shared" si="10"/>
        <v>5.4503677887951643E-2</v>
      </c>
      <c r="Q91" s="136">
        <f t="shared" si="10"/>
        <v>0.1089171974522293</v>
      </c>
      <c r="R91" s="136">
        <f t="shared" si="10"/>
        <v>2.207253886010363E-2</v>
      </c>
      <c r="S91" s="135">
        <f t="shared" si="10"/>
        <v>2.9123237277743717E-2</v>
      </c>
      <c r="T91" s="136">
        <f t="shared" si="10"/>
        <v>2.9123237277743717E-2</v>
      </c>
      <c r="U91" s="136">
        <f t="shared" si="10"/>
        <v>1.732893971699942E-2</v>
      </c>
      <c r="V91" s="136">
        <f t="shared" si="10"/>
        <v>1.2754765361337884E-2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2.2168064699979373E-3</v>
      </c>
      <c r="J92" s="136">
        <f t="shared" si="11"/>
        <v>0.20195667365478684</v>
      </c>
      <c r="K92" s="136">
        <f t="shared" si="11"/>
        <v>6.1954108068097702E-2</v>
      </c>
      <c r="L92" s="135">
        <f t="shared" si="11"/>
        <v>1.9497738262361564E-2</v>
      </c>
      <c r="M92" s="136">
        <f t="shared" si="11"/>
        <v>1.9497738262361564E-2</v>
      </c>
      <c r="N92" s="136">
        <f t="shared" si="11"/>
        <v>7.8694646985594859E-3</v>
      </c>
      <c r="O92" s="136">
        <f t="shared" si="11"/>
        <v>8.793325447255749E-4</v>
      </c>
      <c r="P92" s="135">
        <f t="shared" si="11"/>
        <v>1.9553718753373326E-3</v>
      </c>
      <c r="Q92" s="136">
        <f t="shared" si="11"/>
        <v>0.1840764331210191</v>
      </c>
      <c r="R92" s="136">
        <f t="shared" si="11"/>
        <v>5.7823834196891188E-2</v>
      </c>
      <c r="S92" s="135">
        <f t="shared" si="11"/>
        <v>1.2773349683220926E-2</v>
      </c>
      <c r="T92" s="136">
        <f t="shared" si="11"/>
        <v>1.2773349683220926E-2</v>
      </c>
      <c r="U92" s="136">
        <f t="shared" si="11"/>
        <v>6.8617949214964131E-3</v>
      </c>
      <c r="V92" s="136">
        <f t="shared" si="11"/>
        <v>7.9187013329813909E-4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DD52D-00B2-424B-A61F-D1A6C4514F39}">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194</v>
      </c>
    </row>
    <row r="3" spans="1:24" x14ac:dyDescent="0.25">
      <c r="A3" s="132" t="s">
        <v>217</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3.851</v>
      </c>
      <c r="C7" s="129">
        <v>1.4E-2</v>
      </c>
      <c r="D7" s="129">
        <v>0.19439999999999999</v>
      </c>
      <c r="E7" s="129">
        <v>0.34</v>
      </c>
      <c r="F7" s="129">
        <v>0.34</v>
      </c>
      <c r="G7" s="129">
        <v>0.33260000000000001</v>
      </c>
      <c r="H7" s="129">
        <v>1.0626</v>
      </c>
      <c r="I7" s="129">
        <v>28.803599999999999</v>
      </c>
      <c r="J7" s="129">
        <v>0.1439</v>
      </c>
      <c r="K7" s="129">
        <v>2.7242000000000002</v>
      </c>
      <c r="L7" s="129">
        <v>2.7322000000000002</v>
      </c>
      <c r="M7" s="129">
        <v>2.7322000000000002</v>
      </c>
      <c r="N7" s="129">
        <v>4.1974</v>
      </c>
      <c r="O7" s="129">
        <v>9.6211000000000002</v>
      </c>
      <c r="P7" s="129">
        <v>32.654699999999998</v>
      </c>
      <c r="Q7" s="129">
        <v>0.158</v>
      </c>
      <c r="R7" s="129">
        <v>2.9186000000000001</v>
      </c>
      <c r="S7" s="129">
        <v>3.0722</v>
      </c>
      <c r="T7" s="129">
        <v>3.0722</v>
      </c>
      <c r="U7" s="129">
        <v>4.53</v>
      </c>
      <c r="V7" s="129">
        <v>10.6837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1.15E-2</v>
      </c>
      <c r="E10" s="129">
        <v>2.9999999999999997E-4</v>
      </c>
      <c r="F10" s="129">
        <v>2.9999999999999997E-4</v>
      </c>
      <c r="G10" s="129">
        <v>8.0999999999999996E-3</v>
      </c>
      <c r="H10" s="129">
        <v>5.0000000000000001E-4</v>
      </c>
      <c r="I10" s="129">
        <v>1.77E-2</v>
      </c>
      <c r="J10" s="129">
        <v>1E-3</v>
      </c>
      <c r="K10" s="129">
        <v>0.71060000000000001</v>
      </c>
      <c r="L10" s="129">
        <v>1.7999999999999999E-2</v>
      </c>
      <c r="M10" s="129">
        <v>1.7999999999999999E-2</v>
      </c>
      <c r="N10" s="129">
        <v>0.50229999999999997</v>
      </c>
      <c r="O10" s="129">
        <v>2.81E-2</v>
      </c>
      <c r="P10" s="129">
        <v>1.7999999999999999E-2</v>
      </c>
      <c r="Q10" s="129">
        <v>1E-3</v>
      </c>
      <c r="R10" s="129">
        <v>0.72209999999999996</v>
      </c>
      <c r="S10" s="129">
        <v>1.83E-2</v>
      </c>
      <c r="T10" s="129">
        <v>1.83E-2</v>
      </c>
      <c r="U10" s="129">
        <v>0.51039999999999996</v>
      </c>
      <c r="V10" s="129">
        <v>2.86E-2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0.21890000000000001</v>
      </c>
      <c r="C13" s="129">
        <v>2.0999999999999999E-3</v>
      </c>
      <c r="D13" s="129">
        <v>7.9000000000000008E-3</v>
      </c>
      <c r="E13" s="129">
        <v>1.34E-2</v>
      </c>
      <c r="F13" s="129">
        <v>1.34E-2</v>
      </c>
      <c r="G13" s="129">
        <v>1.5599999999999999E-2</v>
      </c>
      <c r="H13" s="129">
        <v>1.6799999999999999E-2</v>
      </c>
      <c r="I13" s="129">
        <v>1.5563</v>
      </c>
      <c r="J13" s="129">
        <v>1.5100000000000001E-2</v>
      </c>
      <c r="K13" s="129">
        <v>5.6300000000000003E-2</v>
      </c>
      <c r="L13" s="129">
        <v>9.5200000000000007E-2</v>
      </c>
      <c r="M13" s="129">
        <v>9.5200000000000007E-2</v>
      </c>
      <c r="N13" s="129">
        <v>0.1108</v>
      </c>
      <c r="O13" s="129">
        <v>0.1192</v>
      </c>
      <c r="P13" s="129">
        <v>1.7751999999999999</v>
      </c>
      <c r="Q13" s="129">
        <v>1.72E-2</v>
      </c>
      <c r="R13" s="129">
        <v>6.4199999999999993E-2</v>
      </c>
      <c r="S13" s="129">
        <v>0.1086</v>
      </c>
      <c r="T13" s="129">
        <v>0.1086</v>
      </c>
      <c r="U13" s="129">
        <v>0.12640000000000001</v>
      </c>
      <c r="V13" s="129">
        <v>0.13600000000000001</v>
      </c>
      <c r="W13" s="130" t="s">
        <v>180</v>
      </c>
      <c r="X13" s="130" t="s">
        <v>166</v>
      </c>
    </row>
    <row r="14" spans="1:24" x14ac:dyDescent="0.25">
      <c r="A14" s="130">
        <v>2104004000</v>
      </c>
      <c r="B14" s="129">
        <v>4.5999999999999999E-3</v>
      </c>
      <c r="C14" s="129">
        <v>2.9999999999999997E-4</v>
      </c>
      <c r="D14" s="129">
        <v>0.1149</v>
      </c>
      <c r="E14" s="129">
        <v>4.7000000000000002E-3</v>
      </c>
      <c r="F14" s="129">
        <v>4.7000000000000002E-3</v>
      </c>
      <c r="G14" s="129">
        <v>0.29649999999999999</v>
      </c>
      <c r="H14" s="129">
        <v>7.3000000000000001E-3</v>
      </c>
      <c r="I14" s="129">
        <v>5.3900000000000003E-2</v>
      </c>
      <c r="J14" s="129">
        <v>2.8999999999999998E-3</v>
      </c>
      <c r="K14" s="129">
        <v>1.349</v>
      </c>
      <c r="L14" s="129">
        <v>5.4899999999999997E-2</v>
      </c>
      <c r="M14" s="129">
        <v>5.4899999999999997E-2</v>
      </c>
      <c r="N14" s="129">
        <v>3.476</v>
      </c>
      <c r="O14" s="129">
        <v>8.5699999999999998E-2</v>
      </c>
      <c r="P14" s="129">
        <v>5.8500000000000003E-2</v>
      </c>
      <c r="Q14" s="129">
        <v>3.2000000000000002E-3</v>
      </c>
      <c r="R14" s="129">
        <v>1.4639</v>
      </c>
      <c r="S14" s="129">
        <v>5.9499999999999997E-2</v>
      </c>
      <c r="T14" s="129">
        <v>5.9499999999999997E-2</v>
      </c>
      <c r="U14" s="129">
        <v>3.7724000000000002</v>
      </c>
      <c r="V14" s="129">
        <v>9.3100000000000002E-2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0.4219</v>
      </c>
      <c r="C16" s="129">
        <v>3.0000000000000001E-3</v>
      </c>
      <c r="D16" s="129">
        <v>4.3E-3</v>
      </c>
      <c r="E16" s="129">
        <v>5.7799999999999997E-2</v>
      </c>
      <c r="F16" s="129">
        <v>5.7799999999999997E-2</v>
      </c>
      <c r="G16" s="129">
        <v>6.9999999999999999E-4</v>
      </c>
      <c r="H16" s="129">
        <v>0.38250000000000001</v>
      </c>
      <c r="I16" s="129">
        <v>5.0289000000000001</v>
      </c>
      <c r="J16" s="129">
        <v>3.5799999999999998E-2</v>
      </c>
      <c r="K16" s="129">
        <v>5.1799999999999999E-2</v>
      </c>
      <c r="L16" s="129">
        <v>0.68879999999999997</v>
      </c>
      <c r="M16" s="129">
        <v>0.68879999999999997</v>
      </c>
      <c r="N16" s="129">
        <v>8.0000000000000002E-3</v>
      </c>
      <c r="O16" s="129">
        <v>4.5590000000000002</v>
      </c>
      <c r="P16" s="129">
        <v>5.4508000000000001</v>
      </c>
      <c r="Q16" s="129">
        <v>3.8800000000000001E-2</v>
      </c>
      <c r="R16" s="129">
        <v>5.6099999999999997E-2</v>
      </c>
      <c r="S16" s="129">
        <v>0.74660000000000004</v>
      </c>
      <c r="T16" s="129">
        <v>0.74660000000000004</v>
      </c>
      <c r="U16" s="129">
        <v>8.6E-3</v>
      </c>
      <c r="V16" s="129">
        <v>4.9414999999999996</v>
      </c>
      <c r="W16" s="130" t="s">
        <v>183</v>
      </c>
      <c r="X16" s="130" t="s">
        <v>168</v>
      </c>
    </row>
    <row r="17" spans="1:24" x14ac:dyDescent="0.25">
      <c r="A17" s="130">
        <v>2104008210</v>
      </c>
      <c r="B17" s="129">
        <v>6.0400000000000002E-2</v>
      </c>
      <c r="C17" s="129">
        <v>4.0000000000000002E-4</v>
      </c>
      <c r="D17" s="129">
        <v>6.9999999999999999E-4</v>
      </c>
      <c r="E17" s="129">
        <v>8.0000000000000002E-3</v>
      </c>
      <c r="F17" s="129">
        <v>8.0000000000000002E-3</v>
      </c>
      <c r="G17" s="129">
        <v>1E-4</v>
      </c>
      <c r="H17" s="129">
        <v>1.3899999999999999E-2</v>
      </c>
      <c r="I17" s="129">
        <v>0.40550000000000003</v>
      </c>
      <c r="J17" s="129">
        <v>3.0000000000000001E-3</v>
      </c>
      <c r="K17" s="129">
        <v>4.8999999999999998E-3</v>
      </c>
      <c r="L17" s="129">
        <v>5.3800000000000001E-2</v>
      </c>
      <c r="M17" s="129">
        <v>5.3800000000000001E-2</v>
      </c>
      <c r="N17" s="129">
        <v>6.9999999999999999E-4</v>
      </c>
      <c r="O17" s="129">
        <v>9.3100000000000002E-2</v>
      </c>
      <c r="P17" s="129">
        <v>0.46589999999999998</v>
      </c>
      <c r="Q17" s="129">
        <v>3.3999999999999998E-3</v>
      </c>
      <c r="R17" s="129">
        <v>5.7000000000000002E-3</v>
      </c>
      <c r="S17" s="129">
        <v>6.1800000000000001E-2</v>
      </c>
      <c r="T17" s="129">
        <v>6.1800000000000001E-2</v>
      </c>
      <c r="U17" s="129">
        <v>8.0000000000000004E-4</v>
      </c>
      <c r="V17" s="129">
        <v>0.107</v>
      </c>
      <c r="W17" s="130" t="s">
        <v>184</v>
      </c>
      <c r="X17" s="130" t="s">
        <v>168</v>
      </c>
    </row>
    <row r="18" spans="1:24" x14ac:dyDescent="0.25">
      <c r="A18" s="130">
        <v>2104008220</v>
      </c>
      <c r="B18" s="129">
        <v>7.7600000000000002E-2</v>
      </c>
      <c r="C18" s="129">
        <v>5.0000000000000001E-4</v>
      </c>
      <c r="D18" s="129">
        <v>1.1000000000000001E-3</v>
      </c>
      <c r="E18" s="129">
        <v>6.6E-3</v>
      </c>
      <c r="F18" s="129">
        <v>6.6E-3</v>
      </c>
      <c r="G18" s="129">
        <v>2.0000000000000001E-4</v>
      </c>
      <c r="H18" s="129">
        <v>6.6E-3</v>
      </c>
      <c r="I18" s="129">
        <v>0.52080000000000004</v>
      </c>
      <c r="J18" s="129">
        <v>3.3E-3</v>
      </c>
      <c r="K18" s="129">
        <v>7.4000000000000003E-3</v>
      </c>
      <c r="L18" s="129">
        <v>4.4400000000000002E-2</v>
      </c>
      <c r="M18" s="129">
        <v>4.4400000000000002E-2</v>
      </c>
      <c r="N18" s="129">
        <v>1.5E-3</v>
      </c>
      <c r="O18" s="129">
        <v>4.4400000000000002E-2</v>
      </c>
      <c r="P18" s="129">
        <v>0.59840000000000004</v>
      </c>
      <c r="Q18" s="129">
        <v>3.8E-3</v>
      </c>
      <c r="R18" s="129">
        <v>8.5000000000000006E-3</v>
      </c>
      <c r="S18" s="129">
        <v>5.0999999999999997E-2</v>
      </c>
      <c r="T18" s="129">
        <v>5.0999999999999997E-2</v>
      </c>
      <c r="U18" s="129">
        <v>1.6999999999999999E-3</v>
      </c>
      <c r="V18" s="129">
        <v>5.0999999999999997E-2</v>
      </c>
      <c r="W18" s="130" t="s">
        <v>185</v>
      </c>
      <c r="X18" s="130" t="s">
        <v>168</v>
      </c>
    </row>
    <row r="19" spans="1:24" x14ac:dyDescent="0.25">
      <c r="A19" s="130">
        <v>2104008230</v>
      </c>
      <c r="B19" s="129">
        <v>3.5499999999999997E-2</v>
      </c>
      <c r="C19" s="129">
        <v>2.9999999999999997E-4</v>
      </c>
      <c r="D19" s="129">
        <v>6.9999999999999999E-4</v>
      </c>
      <c r="E19" s="129">
        <v>4.3E-3</v>
      </c>
      <c r="F19" s="129">
        <v>4.3E-3</v>
      </c>
      <c r="G19" s="129">
        <v>1E-4</v>
      </c>
      <c r="H19" s="129">
        <v>5.0000000000000001E-3</v>
      </c>
      <c r="I19" s="129">
        <v>0.23830000000000001</v>
      </c>
      <c r="J19" s="129">
        <v>2E-3</v>
      </c>
      <c r="K19" s="129">
        <v>4.4999999999999997E-3</v>
      </c>
      <c r="L19" s="129">
        <v>2.9000000000000001E-2</v>
      </c>
      <c r="M19" s="129">
        <v>2.9000000000000001E-2</v>
      </c>
      <c r="N19" s="129">
        <v>8.9999999999999998E-4</v>
      </c>
      <c r="O19" s="129">
        <v>3.3399999999999999E-2</v>
      </c>
      <c r="P19" s="129">
        <v>0.27379999999999999</v>
      </c>
      <c r="Q19" s="129">
        <v>2.3E-3</v>
      </c>
      <c r="R19" s="129">
        <v>5.1000000000000004E-3</v>
      </c>
      <c r="S19" s="129">
        <v>3.3300000000000003E-2</v>
      </c>
      <c r="T19" s="129">
        <v>3.3300000000000003E-2</v>
      </c>
      <c r="U19" s="129">
        <v>1E-3</v>
      </c>
      <c r="V19" s="129">
        <v>3.8399999999999997E-2</v>
      </c>
      <c r="W19" s="130" t="s">
        <v>186</v>
      </c>
      <c r="X19" s="130" t="s">
        <v>168</v>
      </c>
    </row>
    <row r="20" spans="1:24" x14ac:dyDescent="0.25">
      <c r="A20" s="130">
        <v>2104008310</v>
      </c>
      <c r="B20" s="129">
        <v>0.64339999999999997</v>
      </c>
      <c r="C20" s="129">
        <v>2.0999999999999999E-3</v>
      </c>
      <c r="D20" s="129">
        <v>7.7000000000000002E-3</v>
      </c>
      <c r="E20" s="129">
        <v>6.4500000000000002E-2</v>
      </c>
      <c r="F20" s="129">
        <v>6.4500000000000002E-2</v>
      </c>
      <c r="G20" s="129">
        <v>2.0999999999999999E-3</v>
      </c>
      <c r="H20" s="129">
        <v>0.28139999999999998</v>
      </c>
      <c r="I20" s="129">
        <v>4.3201999999999998</v>
      </c>
      <c r="J20" s="129">
        <v>1.4200000000000001E-2</v>
      </c>
      <c r="K20" s="129">
        <v>5.1799999999999999E-2</v>
      </c>
      <c r="L20" s="129">
        <v>0.43290000000000001</v>
      </c>
      <c r="M20" s="129">
        <v>0.43290000000000001</v>
      </c>
      <c r="N20" s="129">
        <v>1.43E-2</v>
      </c>
      <c r="O20" s="129">
        <v>1.8895999999999999</v>
      </c>
      <c r="P20" s="129">
        <v>4.9635999999999996</v>
      </c>
      <c r="Q20" s="129">
        <v>1.6299999999999999E-2</v>
      </c>
      <c r="R20" s="129">
        <v>5.9499999999999997E-2</v>
      </c>
      <c r="S20" s="129">
        <v>0.49740000000000001</v>
      </c>
      <c r="T20" s="129">
        <v>0.49740000000000001</v>
      </c>
      <c r="U20" s="129">
        <v>1.6400000000000001E-2</v>
      </c>
      <c r="V20" s="129">
        <v>2.1711</v>
      </c>
      <c r="W20" s="130" t="s">
        <v>187</v>
      </c>
      <c r="X20" s="130" t="s">
        <v>168</v>
      </c>
    </row>
    <row r="21" spans="1:24" x14ac:dyDescent="0.25">
      <c r="A21" s="130">
        <v>2104008320</v>
      </c>
      <c r="B21" s="129">
        <v>1.3823000000000001</v>
      </c>
      <c r="C21" s="129">
        <v>2.8E-3</v>
      </c>
      <c r="D21" s="129">
        <v>1.7999999999999999E-2</v>
      </c>
      <c r="E21" s="129">
        <v>8.8599999999999998E-2</v>
      </c>
      <c r="F21" s="129">
        <v>8.8599999999999998E-2</v>
      </c>
      <c r="G21" s="129">
        <v>4.4999999999999997E-3</v>
      </c>
      <c r="H21" s="129">
        <v>0.13420000000000001</v>
      </c>
      <c r="I21" s="129">
        <v>9.2812000000000001</v>
      </c>
      <c r="J21" s="129">
        <v>1.8700000000000001E-2</v>
      </c>
      <c r="K21" s="129">
        <v>0.1208</v>
      </c>
      <c r="L21" s="129">
        <v>0.59489999999999998</v>
      </c>
      <c r="M21" s="129">
        <v>0.59489999999999998</v>
      </c>
      <c r="N21" s="129">
        <v>0.03</v>
      </c>
      <c r="O21" s="129">
        <v>0.90080000000000005</v>
      </c>
      <c r="P21" s="129">
        <v>10.663600000000001</v>
      </c>
      <c r="Q21" s="129">
        <v>2.1499999999999998E-2</v>
      </c>
      <c r="R21" s="129">
        <v>0.13880000000000001</v>
      </c>
      <c r="S21" s="129">
        <v>0.6835</v>
      </c>
      <c r="T21" s="129">
        <v>0.6835</v>
      </c>
      <c r="U21" s="129">
        <v>3.4500000000000003E-2</v>
      </c>
      <c r="V21" s="129">
        <v>1.0349999999999999</v>
      </c>
      <c r="W21" s="130" t="s">
        <v>188</v>
      </c>
      <c r="X21" s="130" t="s">
        <v>168</v>
      </c>
    </row>
    <row r="22" spans="1:24" x14ac:dyDescent="0.25">
      <c r="A22" s="130">
        <v>2104008330</v>
      </c>
      <c r="B22" s="129">
        <v>0.83230000000000004</v>
      </c>
      <c r="C22" s="129">
        <v>1.6999999999999999E-3</v>
      </c>
      <c r="D22" s="129">
        <v>1.0800000000000001E-2</v>
      </c>
      <c r="E22" s="129">
        <v>5.9200000000000003E-2</v>
      </c>
      <c r="F22" s="129">
        <v>5.9200000000000003E-2</v>
      </c>
      <c r="G22" s="129">
        <v>2.7000000000000001E-3</v>
      </c>
      <c r="H22" s="129">
        <v>0.10100000000000001</v>
      </c>
      <c r="I22" s="129">
        <v>5.5880000000000001</v>
      </c>
      <c r="J22" s="129">
        <v>1.1299999999999999E-2</v>
      </c>
      <c r="K22" s="129">
        <v>7.2700000000000001E-2</v>
      </c>
      <c r="L22" s="129">
        <v>0.39739999999999998</v>
      </c>
      <c r="M22" s="129">
        <v>0.39739999999999998</v>
      </c>
      <c r="N22" s="129">
        <v>1.8100000000000002E-2</v>
      </c>
      <c r="O22" s="129">
        <v>0.67789999999999995</v>
      </c>
      <c r="P22" s="129">
        <v>6.4202000000000004</v>
      </c>
      <c r="Q22" s="129">
        <v>1.2999999999999999E-2</v>
      </c>
      <c r="R22" s="129">
        <v>8.3500000000000005E-2</v>
      </c>
      <c r="S22" s="129">
        <v>0.45660000000000001</v>
      </c>
      <c r="T22" s="129">
        <v>0.45660000000000001</v>
      </c>
      <c r="U22" s="129">
        <v>2.0799999999999999E-2</v>
      </c>
      <c r="V22" s="129">
        <v>0.77890000000000004</v>
      </c>
      <c r="W22" s="130" t="s">
        <v>189</v>
      </c>
      <c r="X22" s="130" t="s">
        <v>168</v>
      </c>
    </row>
    <row r="23" spans="1:24" x14ac:dyDescent="0.25">
      <c r="A23" s="130">
        <v>2104008410</v>
      </c>
      <c r="B23" s="129">
        <v>7.3000000000000001E-3</v>
      </c>
      <c r="C23" s="129">
        <v>1E-4</v>
      </c>
      <c r="D23" s="129">
        <v>3.0000000000000001E-3</v>
      </c>
      <c r="E23" s="129">
        <v>2.2000000000000001E-3</v>
      </c>
      <c r="F23" s="129">
        <v>2.2000000000000001E-3</v>
      </c>
      <c r="G23" s="129">
        <v>2.0000000000000001E-4</v>
      </c>
      <c r="H23" s="129">
        <v>1.6999999999999999E-3</v>
      </c>
      <c r="I23" s="129">
        <v>4.9200000000000001E-2</v>
      </c>
      <c r="J23" s="129">
        <v>4.0000000000000002E-4</v>
      </c>
      <c r="K23" s="129">
        <v>1.9800000000000002E-2</v>
      </c>
      <c r="L23" s="129">
        <v>1.47E-2</v>
      </c>
      <c r="M23" s="129">
        <v>1.47E-2</v>
      </c>
      <c r="N23" s="129">
        <v>1.6000000000000001E-3</v>
      </c>
      <c r="O23" s="129">
        <v>1.14E-2</v>
      </c>
      <c r="P23" s="129">
        <v>5.6500000000000002E-2</v>
      </c>
      <c r="Q23" s="129">
        <v>4.0000000000000002E-4</v>
      </c>
      <c r="R23" s="129">
        <v>2.2800000000000001E-2</v>
      </c>
      <c r="S23" s="129">
        <v>1.6799999999999999E-2</v>
      </c>
      <c r="T23" s="129">
        <v>1.6799999999999999E-2</v>
      </c>
      <c r="U23" s="129">
        <v>1.8E-3</v>
      </c>
      <c r="V23" s="129">
        <v>1.3100000000000001E-2</v>
      </c>
      <c r="W23" s="130" t="s">
        <v>190</v>
      </c>
      <c r="X23" s="130" t="s">
        <v>168</v>
      </c>
    </row>
    <row r="24" spans="1:24" x14ac:dyDescent="0.25">
      <c r="A24" s="130">
        <v>2104008420</v>
      </c>
      <c r="B24" s="129">
        <v>2.47E-2</v>
      </c>
      <c r="C24" s="129">
        <v>2.0000000000000001E-4</v>
      </c>
      <c r="D24" s="129">
        <v>0.01</v>
      </c>
      <c r="E24" s="129">
        <v>7.4000000000000003E-3</v>
      </c>
      <c r="F24" s="129">
        <v>7.4000000000000003E-3</v>
      </c>
      <c r="G24" s="129">
        <v>8.0000000000000004E-4</v>
      </c>
      <c r="H24" s="129">
        <v>5.7000000000000002E-3</v>
      </c>
      <c r="I24" s="129">
        <v>0.16600000000000001</v>
      </c>
      <c r="J24" s="129">
        <v>1.1999999999999999E-3</v>
      </c>
      <c r="K24" s="129">
        <v>6.6900000000000001E-2</v>
      </c>
      <c r="L24" s="129">
        <v>4.9500000000000002E-2</v>
      </c>
      <c r="M24" s="129">
        <v>4.9500000000000002E-2</v>
      </c>
      <c r="N24" s="129">
        <v>5.3E-3</v>
      </c>
      <c r="O24" s="129">
        <v>3.8300000000000001E-2</v>
      </c>
      <c r="P24" s="129">
        <v>0.19070000000000001</v>
      </c>
      <c r="Q24" s="129">
        <v>1.4E-3</v>
      </c>
      <c r="R24" s="129">
        <v>7.6899999999999996E-2</v>
      </c>
      <c r="S24" s="129">
        <v>5.6800000000000003E-2</v>
      </c>
      <c r="T24" s="129">
        <v>5.6800000000000003E-2</v>
      </c>
      <c r="U24" s="129">
        <v>6.1000000000000004E-3</v>
      </c>
      <c r="V24" s="129">
        <v>4.3999999999999997E-2</v>
      </c>
      <c r="W24" s="130" t="s">
        <v>191</v>
      </c>
      <c r="X24" s="130" t="s">
        <v>168</v>
      </c>
    </row>
    <row r="25" spans="1:24" x14ac:dyDescent="0.25">
      <c r="A25" s="130">
        <v>2104008610</v>
      </c>
      <c r="B25" s="129">
        <v>0.14130000000000001</v>
      </c>
      <c r="C25" s="129">
        <v>5.9999999999999995E-4</v>
      </c>
      <c r="D25" s="129">
        <v>3.8E-3</v>
      </c>
      <c r="E25" s="129">
        <v>2.3E-2</v>
      </c>
      <c r="F25" s="129">
        <v>2.3E-2</v>
      </c>
      <c r="G25" s="129">
        <v>8.9999999999999998E-4</v>
      </c>
      <c r="H25" s="129">
        <v>0.10589999999999999</v>
      </c>
      <c r="I25" s="129">
        <v>1.5082</v>
      </c>
      <c r="J25" s="129">
        <v>6.1000000000000004E-3</v>
      </c>
      <c r="K25" s="129">
        <v>4.02E-2</v>
      </c>
      <c r="L25" s="129">
        <v>0.24579999999999999</v>
      </c>
      <c r="M25" s="129">
        <v>0.24579999999999999</v>
      </c>
      <c r="N25" s="129">
        <v>0.01</v>
      </c>
      <c r="O25" s="129">
        <v>1.1304000000000001</v>
      </c>
      <c r="P25" s="129">
        <v>1.6495</v>
      </c>
      <c r="Q25" s="129">
        <v>6.6E-3</v>
      </c>
      <c r="R25" s="129">
        <v>4.3900000000000002E-2</v>
      </c>
      <c r="S25" s="129">
        <v>0.26879999999999998</v>
      </c>
      <c r="T25" s="129">
        <v>0.26879999999999998</v>
      </c>
      <c r="U25" s="129">
        <v>1.09E-2</v>
      </c>
      <c r="V25" s="129">
        <v>1.2363</v>
      </c>
      <c r="W25" s="130" t="s">
        <v>192</v>
      </c>
      <c r="X25" s="130" t="s">
        <v>168</v>
      </c>
    </row>
    <row r="26" spans="1:24" x14ac:dyDescent="0.25">
      <c r="X26" s="130"/>
    </row>
    <row r="27" spans="1:24" x14ac:dyDescent="0.25">
      <c r="B27" s="134">
        <f>SUMIFS(B8:B25,$X8:$X25,$X27)/B7</f>
        <v>0.94183329005453142</v>
      </c>
      <c r="C27" s="134">
        <f t="shared" ref="C27:V27" si="0">SUMIFS(C8:C25,$X8:$X25,$X27)/C7</f>
        <v>0.83571428571428574</v>
      </c>
      <c r="D27" s="134">
        <f t="shared" si="0"/>
        <v>0.30915637860082312</v>
      </c>
      <c r="E27" s="134">
        <f t="shared" si="0"/>
        <v>0.94588235294117651</v>
      </c>
      <c r="F27" s="134">
        <f t="shared" si="0"/>
        <v>0.94588235294117651</v>
      </c>
      <c r="G27" s="134">
        <f t="shared" si="0"/>
        <v>3.6981358989777509E-2</v>
      </c>
      <c r="H27" s="134">
        <f t="shared" si="0"/>
        <v>0.97694334650856396</v>
      </c>
      <c r="I27" s="134">
        <f t="shared" si="0"/>
        <v>0.94113930203169038</v>
      </c>
      <c r="J27" s="134">
        <f t="shared" si="0"/>
        <v>0.66712995135510778</v>
      </c>
      <c r="K27" s="134">
        <f t="shared" si="0"/>
        <v>0.16180897144115702</v>
      </c>
      <c r="L27" s="134">
        <f t="shared" si="0"/>
        <v>0.93386282116975317</v>
      </c>
      <c r="M27" s="134">
        <f t="shared" si="0"/>
        <v>0.93386282116975317</v>
      </c>
      <c r="N27" s="134">
        <f t="shared" si="0"/>
        <v>2.1537142040310667E-2</v>
      </c>
      <c r="O27" s="134">
        <f t="shared" si="0"/>
        <v>0.97485734479425423</v>
      </c>
      <c r="P27" s="134">
        <f t="shared" si="0"/>
        <v>0.9412152002621369</v>
      </c>
      <c r="Q27" s="134">
        <f t="shared" si="0"/>
        <v>0.68037974683544289</v>
      </c>
      <c r="R27" s="134">
        <f t="shared" si="0"/>
        <v>0.17158911807030769</v>
      </c>
      <c r="S27" s="134">
        <f t="shared" si="0"/>
        <v>0.93512792135928646</v>
      </c>
      <c r="T27" s="134">
        <f t="shared" si="0"/>
        <v>0.93512792135928646</v>
      </c>
      <c r="U27" s="134">
        <f t="shared" si="0"/>
        <v>2.2649006622516555E-2</v>
      </c>
      <c r="V27" s="134">
        <f t="shared" si="0"/>
        <v>0.97507417842133348</v>
      </c>
      <c r="X27" s="130" t="s">
        <v>168</v>
      </c>
    </row>
    <row r="28" spans="1:24" x14ac:dyDescent="0.25">
      <c r="B28" s="134">
        <f>SUMIFS(B8:B25,$X8:$X25,$X28)/B7</f>
        <v>1.2723967800571279E-3</v>
      </c>
      <c r="C28" s="134">
        <f t="shared" ref="C28:V28" si="1">SUMIFS(C8:C25,$X8:$X25,$X28)/C7</f>
        <v>2.1428571428571425E-2</v>
      </c>
      <c r="D28" s="134">
        <f t="shared" si="1"/>
        <v>0.65020576131687258</v>
      </c>
      <c r="E28" s="134">
        <f t="shared" si="1"/>
        <v>1.4705882352941176E-2</v>
      </c>
      <c r="F28" s="134">
        <f t="shared" si="1"/>
        <v>1.4705882352941176E-2</v>
      </c>
      <c r="G28" s="134">
        <f t="shared" si="1"/>
        <v>0.91581479254359588</v>
      </c>
      <c r="H28" s="134">
        <f t="shared" si="1"/>
        <v>7.3404856013551661E-3</v>
      </c>
      <c r="I28" s="134">
        <f t="shared" si="1"/>
        <v>2.4858003860628534E-3</v>
      </c>
      <c r="J28" s="134">
        <f t="shared" si="1"/>
        <v>2.7102154273801249E-2</v>
      </c>
      <c r="K28" s="134">
        <f t="shared" si="1"/>
        <v>0.75603847000954405</v>
      </c>
      <c r="L28" s="134">
        <f t="shared" si="1"/>
        <v>2.6681794890564377E-2</v>
      </c>
      <c r="M28" s="134">
        <f t="shared" si="1"/>
        <v>2.6681794890564377E-2</v>
      </c>
      <c r="N28" s="134">
        <f t="shared" si="1"/>
        <v>0.94780101967884878</v>
      </c>
      <c r="O28" s="134">
        <f t="shared" si="1"/>
        <v>1.1828169336146594E-2</v>
      </c>
      <c r="P28" s="134">
        <f t="shared" si="1"/>
        <v>2.3426949259984014E-3</v>
      </c>
      <c r="Q28" s="134">
        <f t="shared" si="1"/>
        <v>2.6582278481012661E-2</v>
      </c>
      <c r="R28" s="134">
        <f t="shared" si="1"/>
        <v>0.74898924141711776</v>
      </c>
      <c r="S28" s="134">
        <f t="shared" si="1"/>
        <v>2.5323872143740638E-2</v>
      </c>
      <c r="T28" s="134">
        <f t="shared" si="1"/>
        <v>2.5323872143740638E-2</v>
      </c>
      <c r="U28" s="134">
        <f t="shared" si="1"/>
        <v>0.9454304635761589</v>
      </c>
      <c r="V28" s="134">
        <f t="shared" si="1"/>
        <v>1.1391184701929107E-2</v>
      </c>
      <c r="X28" s="130" t="s">
        <v>167</v>
      </c>
    </row>
    <row r="29" spans="1:24" x14ac:dyDescent="0.25">
      <c r="B29" s="134">
        <f>SUMIFS(B8:B25,$X8:$X25,$X29)/B7</f>
        <v>5.6920280446637238E-2</v>
      </c>
      <c r="C29" s="134">
        <f t="shared" ref="C29:V29" si="2">SUMIFS(C8:C25,$X8:$X25,$X29)/C7</f>
        <v>0.15</v>
      </c>
      <c r="D29" s="134">
        <f t="shared" si="2"/>
        <v>4.0637860082304536E-2</v>
      </c>
      <c r="E29" s="134">
        <f t="shared" si="2"/>
        <v>3.9411764705882354E-2</v>
      </c>
      <c r="F29" s="134">
        <f t="shared" si="2"/>
        <v>3.9411764705882354E-2</v>
      </c>
      <c r="G29" s="134">
        <f t="shared" si="2"/>
        <v>4.6903187011425131E-2</v>
      </c>
      <c r="H29" s="134">
        <f t="shared" si="2"/>
        <v>1.5810276679841896E-2</v>
      </c>
      <c r="I29" s="134">
        <f t="shared" si="2"/>
        <v>5.4180727409073863E-2</v>
      </c>
      <c r="J29" s="134">
        <f t="shared" si="2"/>
        <v>0.10493398193189715</v>
      </c>
      <c r="K29" s="134">
        <f t="shared" si="2"/>
        <v>2.0740033771382425E-2</v>
      </c>
      <c r="L29" s="134">
        <f t="shared" si="2"/>
        <v>3.4953517312056218E-2</v>
      </c>
      <c r="M29" s="134">
        <f t="shared" si="2"/>
        <v>3.4953517312056218E-2</v>
      </c>
      <c r="N29" s="134">
        <f t="shared" si="2"/>
        <v>2.6468766379187113E-2</v>
      </c>
      <c r="O29" s="134">
        <f t="shared" si="2"/>
        <v>1.2420617185145149E-2</v>
      </c>
      <c r="P29" s="134">
        <f t="shared" si="2"/>
        <v>5.450057725227915E-2</v>
      </c>
      <c r="Q29" s="134">
        <f t="shared" si="2"/>
        <v>0.10886075949367088</v>
      </c>
      <c r="R29" s="134">
        <f t="shared" si="2"/>
        <v>2.2065373809360651E-2</v>
      </c>
      <c r="S29" s="134">
        <f t="shared" si="2"/>
        <v>3.5446911008397891E-2</v>
      </c>
      <c r="T29" s="134">
        <f t="shared" si="2"/>
        <v>3.5446911008397891E-2</v>
      </c>
      <c r="U29" s="134">
        <f t="shared" si="2"/>
        <v>2.7969094922737307E-2</v>
      </c>
      <c r="V29" s="134">
        <f t="shared" si="2"/>
        <v>1.2757752464033996E-2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2.2011137496701803E-3</v>
      </c>
      <c r="J30" s="134">
        <f t="shared" si="3"/>
        <v>0.20083391243919388</v>
      </c>
      <c r="K30" s="134">
        <f t="shared" si="3"/>
        <v>6.1449232802290574E-2</v>
      </c>
      <c r="L30" s="134">
        <f t="shared" si="3"/>
        <v>4.5750677110021221E-3</v>
      </c>
      <c r="M30" s="134">
        <f t="shared" si="3"/>
        <v>4.5750677110021221E-3</v>
      </c>
      <c r="N30" s="134">
        <f t="shared" si="3"/>
        <v>4.2168961738218887E-3</v>
      </c>
      <c r="O30" s="134">
        <f t="shared" si="3"/>
        <v>8.7308104062944984E-4</v>
      </c>
      <c r="P30" s="134">
        <f t="shared" si="3"/>
        <v>1.9415275595856033E-3</v>
      </c>
      <c r="Q30" s="134">
        <f t="shared" si="3"/>
        <v>0.18291139240506327</v>
      </c>
      <c r="R30" s="134">
        <f t="shared" si="3"/>
        <v>5.7356266703213865E-2</v>
      </c>
      <c r="S30" s="134">
        <f t="shared" si="3"/>
        <v>4.0687455243799226E-3</v>
      </c>
      <c r="T30" s="134">
        <f t="shared" si="3"/>
        <v>4.0687455243799226E-3</v>
      </c>
      <c r="U30" s="134">
        <f t="shared" si="3"/>
        <v>3.9072847682119199E-3</v>
      </c>
      <c r="V30" s="134">
        <f t="shared" si="3"/>
        <v>7.8624446586856613E-4</v>
      </c>
      <c r="X30" s="130" t="s">
        <v>165</v>
      </c>
    </row>
    <row r="33" spans="1:24" x14ac:dyDescent="0.25">
      <c r="A33" s="129" t="s">
        <v>195</v>
      </c>
    </row>
    <row r="34" spans="1:24" x14ac:dyDescent="0.25">
      <c r="A34" s="132" t="s">
        <v>218</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3.851</v>
      </c>
      <c r="C38" s="129">
        <v>1.4E-2</v>
      </c>
      <c r="D38" s="129">
        <v>0.19439999999999999</v>
      </c>
      <c r="E38" s="129">
        <v>0.34</v>
      </c>
      <c r="F38" s="129">
        <v>0.34</v>
      </c>
      <c r="G38" s="129">
        <v>0.33260000000000001</v>
      </c>
      <c r="H38" s="129">
        <v>1.0626</v>
      </c>
      <c r="I38" s="129">
        <v>28.803599999999999</v>
      </c>
      <c r="J38" s="129">
        <v>0.1439</v>
      </c>
      <c r="K38" s="129">
        <v>2.7242000000000002</v>
      </c>
      <c r="L38" s="129">
        <v>0.71179999999999999</v>
      </c>
      <c r="M38" s="129">
        <v>0.71179999999999999</v>
      </c>
      <c r="N38" s="129">
        <v>2.1695000000000002</v>
      </c>
      <c r="O38" s="129">
        <v>9.6211000000000002</v>
      </c>
      <c r="P38" s="129">
        <v>32.654699999999998</v>
      </c>
      <c r="Q38" s="129">
        <v>0.158</v>
      </c>
      <c r="R38" s="129">
        <v>2.9186000000000001</v>
      </c>
      <c r="S38" s="129">
        <v>1.0518000000000001</v>
      </c>
      <c r="T38" s="129">
        <v>1.0518000000000001</v>
      </c>
      <c r="U38" s="129">
        <v>2.5021</v>
      </c>
      <c r="V38" s="129">
        <v>10.6837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1.15E-2</v>
      </c>
      <c r="E41" s="129">
        <v>2.9999999999999997E-4</v>
      </c>
      <c r="F41" s="129">
        <v>2.9999999999999997E-4</v>
      </c>
      <c r="G41" s="129">
        <v>8.0999999999999996E-3</v>
      </c>
      <c r="H41" s="129">
        <v>5.0000000000000001E-4</v>
      </c>
      <c r="I41" s="129">
        <v>1.77E-2</v>
      </c>
      <c r="J41" s="129">
        <v>1E-3</v>
      </c>
      <c r="K41" s="129">
        <v>0.71060000000000001</v>
      </c>
      <c r="L41" s="129">
        <v>9.4999999999999998E-3</v>
      </c>
      <c r="M41" s="129">
        <v>9.4999999999999998E-3</v>
      </c>
      <c r="N41" s="129">
        <v>0.51539999999999997</v>
      </c>
      <c r="O41" s="129">
        <v>2.81E-2</v>
      </c>
      <c r="P41" s="129">
        <v>1.7999999999999999E-2</v>
      </c>
      <c r="Q41" s="129">
        <v>1E-3</v>
      </c>
      <c r="R41" s="129">
        <v>0.72209999999999996</v>
      </c>
      <c r="S41" s="129">
        <v>9.7999999999999997E-3</v>
      </c>
      <c r="T41" s="129">
        <v>9.7999999999999997E-3</v>
      </c>
      <c r="U41" s="129">
        <v>0.52349999999999997</v>
      </c>
      <c r="V41" s="129">
        <v>2.86E-2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0.21890000000000001</v>
      </c>
      <c r="C44" s="129">
        <v>2.0999999999999999E-3</v>
      </c>
      <c r="D44" s="129">
        <v>7.9000000000000008E-3</v>
      </c>
      <c r="E44" s="129">
        <v>1.34E-2</v>
      </c>
      <c r="F44" s="129">
        <v>1.34E-2</v>
      </c>
      <c r="G44" s="129">
        <v>1.5599999999999999E-2</v>
      </c>
      <c r="H44" s="129">
        <v>1.6799999999999999E-2</v>
      </c>
      <c r="I44" s="129">
        <v>1.5563</v>
      </c>
      <c r="J44" s="129">
        <v>1.5100000000000001E-2</v>
      </c>
      <c r="K44" s="129">
        <v>5.6300000000000003E-2</v>
      </c>
      <c r="L44" s="129">
        <v>7.7000000000000002E-3</v>
      </c>
      <c r="M44" s="129">
        <v>7.7000000000000002E-3</v>
      </c>
      <c r="N44" s="129">
        <v>1.38E-2</v>
      </c>
      <c r="O44" s="129">
        <v>0.1192</v>
      </c>
      <c r="P44" s="129">
        <v>1.7751999999999999</v>
      </c>
      <c r="Q44" s="129">
        <v>1.72E-2</v>
      </c>
      <c r="R44" s="129">
        <v>6.4199999999999993E-2</v>
      </c>
      <c r="S44" s="129">
        <v>2.1100000000000001E-2</v>
      </c>
      <c r="T44" s="129">
        <v>2.1100000000000001E-2</v>
      </c>
      <c r="U44" s="129">
        <v>2.9399999999999999E-2</v>
      </c>
      <c r="V44" s="129">
        <v>0.13600000000000001</v>
      </c>
      <c r="W44" s="130" t="s">
        <v>180</v>
      </c>
      <c r="X44" s="130" t="s">
        <v>166</v>
      </c>
    </row>
    <row r="45" spans="1:24" x14ac:dyDescent="0.25">
      <c r="A45" s="130">
        <v>2104004000</v>
      </c>
      <c r="B45" s="129">
        <v>4.5999999999999999E-3</v>
      </c>
      <c r="C45" s="129">
        <v>2.9999999999999997E-4</v>
      </c>
      <c r="D45" s="129">
        <v>0.1149</v>
      </c>
      <c r="E45" s="129">
        <v>4.7000000000000002E-3</v>
      </c>
      <c r="F45" s="129">
        <v>4.7000000000000002E-3</v>
      </c>
      <c r="G45" s="129">
        <v>0.29649999999999999</v>
      </c>
      <c r="H45" s="129">
        <v>7.3000000000000001E-3</v>
      </c>
      <c r="I45" s="129">
        <v>5.3900000000000003E-2</v>
      </c>
      <c r="J45" s="129">
        <v>2.8999999999999998E-3</v>
      </c>
      <c r="K45" s="129">
        <v>1.349</v>
      </c>
      <c r="L45" s="129">
        <v>1.8700000000000001E-2</v>
      </c>
      <c r="M45" s="129">
        <v>1.8700000000000001E-2</v>
      </c>
      <c r="N45" s="129">
        <v>1.5714999999999999</v>
      </c>
      <c r="O45" s="129">
        <v>8.5699999999999998E-2</v>
      </c>
      <c r="P45" s="129">
        <v>5.8500000000000003E-2</v>
      </c>
      <c r="Q45" s="129">
        <v>3.2000000000000002E-3</v>
      </c>
      <c r="R45" s="129">
        <v>1.4639</v>
      </c>
      <c r="S45" s="129">
        <v>2.3400000000000001E-2</v>
      </c>
      <c r="T45" s="129">
        <v>2.3400000000000001E-2</v>
      </c>
      <c r="U45" s="129">
        <v>1.8680000000000001</v>
      </c>
      <c r="V45" s="129">
        <v>9.3100000000000002E-2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0.4219</v>
      </c>
      <c r="C47" s="129">
        <v>3.0000000000000001E-3</v>
      </c>
      <c r="D47" s="129">
        <v>4.3E-3</v>
      </c>
      <c r="E47" s="129">
        <v>5.7799999999999997E-2</v>
      </c>
      <c r="F47" s="129">
        <v>5.7799999999999997E-2</v>
      </c>
      <c r="G47" s="129">
        <v>6.9999999999999999E-4</v>
      </c>
      <c r="H47" s="129">
        <v>0.38250000000000001</v>
      </c>
      <c r="I47" s="129">
        <v>5.0289000000000001</v>
      </c>
      <c r="J47" s="129">
        <v>3.5799999999999998E-2</v>
      </c>
      <c r="K47" s="129">
        <v>5.1799999999999999E-2</v>
      </c>
      <c r="L47" s="129">
        <v>0.1084</v>
      </c>
      <c r="M47" s="129">
        <v>0.1084</v>
      </c>
      <c r="N47" s="129">
        <v>1.9E-3</v>
      </c>
      <c r="O47" s="129">
        <v>4.5590000000000002</v>
      </c>
      <c r="P47" s="129">
        <v>5.4508000000000001</v>
      </c>
      <c r="Q47" s="129">
        <v>3.8800000000000001E-2</v>
      </c>
      <c r="R47" s="129">
        <v>5.6099999999999997E-2</v>
      </c>
      <c r="S47" s="129">
        <v>0.16619999999999999</v>
      </c>
      <c r="T47" s="129">
        <v>0.16619999999999999</v>
      </c>
      <c r="U47" s="129">
        <v>2.5999999999999999E-3</v>
      </c>
      <c r="V47" s="129">
        <v>4.9414999999999996</v>
      </c>
      <c r="W47" s="130" t="s">
        <v>183</v>
      </c>
      <c r="X47" s="130" t="s">
        <v>168</v>
      </c>
    </row>
    <row r="48" spans="1:24" x14ac:dyDescent="0.25">
      <c r="A48" s="130">
        <v>2104008210</v>
      </c>
      <c r="B48" s="129">
        <v>6.0400000000000002E-2</v>
      </c>
      <c r="C48" s="129">
        <v>4.0000000000000002E-4</v>
      </c>
      <c r="D48" s="129">
        <v>6.9999999999999999E-4</v>
      </c>
      <c r="E48" s="129">
        <v>8.0000000000000002E-3</v>
      </c>
      <c r="F48" s="129">
        <v>8.0000000000000002E-3</v>
      </c>
      <c r="G48" s="129">
        <v>1E-4</v>
      </c>
      <c r="H48" s="129">
        <v>1.3899999999999999E-2</v>
      </c>
      <c r="I48" s="129">
        <v>0.40550000000000003</v>
      </c>
      <c r="J48" s="129">
        <v>3.0000000000000001E-3</v>
      </c>
      <c r="K48" s="129">
        <v>4.8999999999999998E-3</v>
      </c>
      <c r="L48" s="129">
        <v>5.4999999999999997E-3</v>
      </c>
      <c r="M48" s="129">
        <v>5.4999999999999997E-3</v>
      </c>
      <c r="N48" s="129">
        <v>1E-4</v>
      </c>
      <c r="O48" s="129">
        <v>9.3100000000000002E-2</v>
      </c>
      <c r="P48" s="129">
        <v>0.46589999999999998</v>
      </c>
      <c r="Q48" s="129">
        <v>3.3999999999999998E-3</v>
      </c>
      <c r="R48" s="129">
        <v>5.7000000000000002E-3</v>
      </c>
      <c r="S48" s="129">
        <v>1.35E-2</v>
      </c>
      <c r="T48" s="129">
        <v>1.35E-2</v>
      </c>
      <c r="U48" s="129">
        <v>2.0000000000000001E-4</v>
      </c>
      <c r="V48" s="129">
        <v>0.107</v>
      </c>
      <c r="W48" s="130" t="s">
        <v>184</v>
      </c>
      <c r="X48" s="130" t="s">
        <v>168</v>
      </c>
    </row>
    <row r="49" spans="1:24" x14ac:dyDescent="0.25">
      <c r="A49" s="130">
        <v>2104008220</v>
      </c>
      <c r="B49" s="129">
        <v>7.7600000000000002E-2</v>
      </c>
      <c r="C49" s="129">
        <v>5.0000000000000001E-4</v>
      </c>
      <c r="D49" s="129">
        <v>1.1000000000000001E-3</v>
      </c>
      <c r="E49" s="129">
        <v>6.6E-3</v>
      </c>
      <c r="F49" s="129">
        <v>6.6E-3</v>
      </c>
      <c r="G49" s="129">
        <v>2.0000000000000001E-4</v>
      </c>
      <c r="H49" s="129">
        <v>6.6E-3</v>
      </c>
      <c r="I49" s="129">
        <v>0.52080000000000004</v>
      </c>
      <c r="J49" s="129">
        <v>3.3E-3</v>
      </c>
      <c r="K49" s="129">
        <v>7.4000000000000003E-3</v>
      </c>
      <c r="L49" s="129">
        <v>0</v>
      </c>
      <c r="M49" s="129">
        <v>0</v>
      </c>
      <c r="N49" s="129">
        <v>0</v>
      </c>
      <c r="O49" s="129">
        <v>4.4400000000000002E-2</v>
      </c>
      <c r="P49" s="129">
        <v>0.59840000000000004</v>
      </c>
      <c r="Q49" s="129">
        <v>3.8E-3</v>
      </c>
      <c r="R49" s="129">
        <v>8.5000000000000006E-3</v>
      </c>
      <c r="S49" s="129">
        <v>6.6E-3</v>
      </c>
      <c r="T49" s="129">
        <v>6.6E-3</v>
      </c>
      <c r="U49" s="129">
        <v>2.0000000000000001E-4</v>
      </c>
      <c r="V49" s="129">
        <v>5.0999999999999997E-2</v>
      </c>
      <c r="W49" s="130" t="s">
        <v>185</v>
      </c>
      <c r="X49" s="130" t="s">
        <v>168</v>
      </c>
    </row>
    <row r="50" spans="1:24" x14ac:dyDescent="0.25">
      <c r="A50" s="130">
        <v>2104008230</v>
      </c>
      <c r="B50" s="129">
        <v>3.5499999999999997E-2</v>
      </c>
      <c r="C50" s="129">
        <v>2.9999999999999997E-4</v>
      </c>
      <c r="D50" s="129">
        <v>6.9999999999999999E-4</v>
      </c>
      <c r="E50" s="129">
        <v>4.3E-3</v>
      </c>
      <c r="F50" s="129">
        <v>4.3E-3</v>
      </c>
      <c r="G50" s="129">
        <v>1E-4</v>
      </c>
      <c r="H50" s="129">
        <v>5.0000000000000001E-3</v>
      </c>
      <c r="I50" s="129">
        <v>0.23830000000000001</v>
      </c>
      <c r="J50" s="129">
        <v>2E-3</v>
      </c>
      <c r="K50" s="129">
        <v>4.4999999999999997E-3</v>
      </c>
      <c r="L50" s="129">
        <v>0</v>
      </c>
      <c r="M50" s="129">
        <v>0</v>
      </c>
      <c r="N50" s="129">
        <v>0</v>
      </c>
      <c r="O50" s="129">
        <v>3.3399999999999999E-2</v>
      </c>
      <c r="P50" s="129">
        <v>0.27379999999999999</v>
      </c>
      <c r="Q50" s="129">
        <v>2.3E-3</v>
      </c>
      <c r="R50" s="129">
        <v>5.1000000000000004E-3</v>
      </c>
      <c r="S50" s="129">
        <v>4.3E-3</v>
      </c>
      <c r="T50" s="129">
        <v>4.3E-3</v>
      </c>
      <c r="U50" s="129">
        <v>1E-4</v>
      </c>
      <c r="V50" s="129">
        <v>3.8399999999999997E-2</v>
      </c>
      <c r="W50" s="130" t="s">
        <v>186</v>
      </c>
      <c r="X50" s="130" t="s">
        <v>168</v>
      </c>
    </row>
    <row r="51" spans="1:24" x14ac:dyDescent="0.25">
      <c r="A51" s="130">
        <v>2104008310</v>
      </c>
      <c r="B51" s="129">
        <v>0.64339999999999997</v>
      </c>
      <c r="C51" s="129">
        <v>2.0999999999999999E-3</v>
      </c>
      <c r="D51" s="129">
        <v>7.7000000000000002E-3</v>
      </c>
      <c r="E51" s="129">
        <v>6.4500000000000002E-2</v>
      </c>
      <c r="F51" s="129">
        <v>6.4500000000000002E-2</v>
      </c>
      <c r="G51" s="129">
        <v>2.0999999999999999E-3</v>
      </c>
      <c r="H51" s="129">
        <v>0.28139999999999998</v>
      </c>
      <c r="I51" s="129">
        <v>4.3201999999999998</v>
      </c>
      <c r="J51" s="129">
        <v>1.4200000000000001E-2</v>
      </c>
      <c r="K51" s="129">
        <v>5.1799999999999999E-2</v>
      </c>
      <c r="L51" s="129">
        <v>5.8999999999999997E-2</v>
      </c>
      <c r="M51" s="129">
        <v>5.8999999999999997E-2</v>
      </c>
      <c r="N51" s="129">
        <v>3.0000000000000001E-3</v>
      </c>
      <c r="O51" s="129">
        <v>1.8895999999999999</v>
      </c>
      <c r="P51" s="129">
        <v>4.9635999999999996</v>
      </c>
      <c r="Q51" s="129">
        <v>1.6299999999999999E-2</v>
      </c>
      <c r="R51" s="129">
        <v>5.9499999999999997E-2</v>
      </c>
      <c r="S51" s="129">
        <v>0.1235</v>
      </c>
      <c r="T51" s="129">
        <v>0.1235</v>
      </c>
      <c r="U51" s="129">
        <v>5.1000000000000004E-3</v>
      </c>
      <c r="V51" s="129">
        <v>2.1711</v>
      </c>
      <c r="W51" s="130" t="s">
        <v>187</v>
      </c>
      <c r="X51" s="130" t="s">
        <v>168</v>
      </c>
    </row>
    <row r="52" spans="1:24" x14ac:dyDescent="0.25">
      <c r="A52" s="130">
        <v>2104008320</v>
      </c>
      <c r="B52" s="129">
        <v>1.3823000000000001</v>
      </c>
      <c r="C52" s="129">
        <v>2.8E-3</v>
      </c>
      <c r="D52" s="129">
        <v>1.7999999999999999E-2</v>
      </c>
      <c r="E52" s="129">
        <v>8.8599999999999998E-2</v>
      </c>
      <c r="F52" s="129">
        <v>8.8599999999999998E-2</v>
      </c>
      <c r="G52" s="129">
        <v>4.4999999999999997E-3</v>
      </c>
      <c r="H52" s="129">
        <v>0.13420000000000001</v>
      </c>
      <c r="I52" s="129">
        <v>9.2812000000000001</v>
      </c>
      <c r="J52" s="129">
        <v>1.8700000000000001E-2</v>
      </c>
      <c r="K52" s="129">
        <v>0.1208</v>
      </c>
      <c r="L52" s="129">
        <v>0.25650000000000001</v>
      </c>
      <c r="M52" s="129">
        <v>0.25650000000000001</v>
      </c>
      <c r="N52" s="129">
        <v>2.3800000000000002E-2</v>
      </c>
      <c r="O52" s="129">
        <v>0.90080000000000005</v>
      </c>
      <c r="P52" s="129">
        <v>10.663600000000001</v>
      </c>
      <c r="Q52" s="129">
        <v>2.1499999999999998E-2</v>
      </c>
      <c r="R52" s="129">
        <v>0.13880000000000001</v>
      </c>
      <c r="S52" s="129">
        <v>0.34510000000000002</v>
      </c>
      <c r="T52" s="129">
        <v>0.34510000000000002</v>
      </c>
      <c r="U52" s="129">
        <v>2.8299999999999999E-2</v>
      </c>
      <c r="V52" s="129">
        <v>1.0349999999999999</v>
      </c>
      <c r="W52" s="130" t="s">
        <v>188</v>
      </c>
      <c r="X52" s="130" t="s">
        <v>168</v>
      </c>
    </row>
    <row r="53" spans="1:24" x14ac:dyDescent="0.25">
      <c r="A53" s="130">
        <v>2104008330</v>
      </c>
      <c r="B53" s="129">
        <v>0.83230000000000004</v>
      </c>
      <c r="C53" s="129">
        <v>1.6999999999999999E-3</v>
      </c>
      <c r="D53" s="129">
        <v>1.0800000000000001E-2</v>
      </c>
      <c r="E53" s="129">
        <v>5.9200000000000003E-2</v>
      </c>
      <c r="F53" s="129">
        <v>5.9200000000000003E-2</v>
      </c>
      <c r="G53" s="129">
        <v>2.7000000000000001E-3</v>
      </c>
      <c r="H53" s="129">
        <v>0.10100000000000001</v>
      </c>
      <c r="I53" s="129">
        <v>5.5880000000000001</v>
      </c>
      <c r="J53" s="129">
        <v>1.1299999999999999E-2</v>
      </c>
      <c r="K53" s="129">
        <v>7.2700000000000001E-2</v>
      </c>
      <c r="L53" s="129">
        <v>0.1714</v>
      </c>
      <c r="M53" s="129">
        <v>0.1714</v>
      </c>
      <c r="N53" s="129">
        <v>1.4E-2</v>
      </c>
      <c r="O53" s="129">
        <v>0.67789999999999995</v>
      </c>
      <c r="P53" s="129">
        <v>6.4202000000000004</v>
      </c>
      <c r="Q53" s="129">
        <v>1.2999999999999999E-2</v>
      </c>
      <c r="R53" s="129">
        <v>8.3500000000000005E-2</v>
      </c>
      <c r="S53" s="129">
        <v>0.2306</v>
      </c>
      <c r="T53" s="129">
        <v>0.2306</v>
      </c>
      <c r="U53" s="129">
        <v>1.67E-2</v>
      </c>
      <c r="V53" s="129">
        <v>0.77890000000000004</v>
      </c>
      <c r="W53" s="130" t="s">
        <v>189</v>
      </c>
      <c r="X53" s="130" t="s">
        <v>168</v>
      </c>
    </row>
    <row r="54" spans="1:24" x14ac:dyDescent="0.25">
      <c r="A54" s="130">
        <v>2104008410</v>
      </c>
      <c r="B54" s="129">
        <v>7.3000000000000001E-3</v>
      </c>
      <c r="C54" s="129">
        <v>1E-4</v>
      </c>
      <c r="D54" s="129">
        <v>3.0000000000000001E-3</v>
      </c>
      <c r="E54" s="129">
        <v>2.2000000000000001E-3</v>
      </c>
      <c r="F54" s="129">
        <v>2.2000000000000001E-3</v>
      </c>
      <c r="G54" s="129">
        <v>2.0000000000000001E-4</v>
      </c>
      <c r="H54" s="129">
        <v>1.6999999999999999E-3</v>
      </c>
      <c r="I54" s="129">
        <v>4.9200000000000001E-2</v>
      </c>
      <c r="J54" s="129">
        <v>4.0000000000000002E-4</v>
      </c>
      <c r="K54" s="129">
        <v>1.9800000000000002E-2</v>
      </c>
      <c r="L54" s="129">
        <v>7.3000000000000001E-3</v>
      </c>
      <c r="M54" s="129">
        <v>7.3000000000000001E-3</v>
      </c>
      <c r="N54" s="129">
        <v>1.1999999999999999E-3</v>
      </c>
      <c r="O54" s="129">
        <v>1.14E-2</v>
      </c>
      <c r="P54" s="129">
        <v>5.6500000000000002E-2</v>
      </c>
      <c r="Q54" s="129">
        <v>4.0000000000000002E-4</v>
      </c>
      <c r="R54" s="129">
        <v>2.2800000000000001E-2</v>
      </c>
      <c r="S54" s="129">
        <v>9.4999999999999998E-3</v>
      </c>
      <c r="T54" s="129">
        <v>9.4999999999999998E-3</v>
      </c>
      <c r="U54" s="129">
        <v>1.5E-3</v>
      </c>
      <c r="V54" s="129">
        <v>1.3100000000000001E-2</v>
      </c>
      <c r="W54" s="130" t="s">
        <v>190</v>
      </c>
      <c r="X54" s="130" t="s">
        <v>168</v>
      </c>
    </row>
    <row r="55" spans="1:24" x14ac:dyDescent="0.25">
      <c r="A55" s="130">
        <v>2104008420</v>
      </c>
      <c r="B55" s="129">
        <v>2.47E-2</v>
      </c>
      <c r="C55" s="129">
        <v>2.0000000000000001E-4</v>
      </c>
      <c r="D55" s="129">
        <v>0.01</v>
      </c>
      <c r="E55" s="129">
        <v>7.4000000000000003E-3</v>
      </c>
      <c r="F55" s="129">
        <v>7.4000000000000003E-3</v>
      </c>
      <c r="G55" s="129">
        <v>8.0000000000000004E-4</v>
      </c>
      <c r="H55" s="129">
        <v>5.7000000000000002E-3</v>
      </c>
      <c r="I55" s="129">
        <v>0.16600000000000001</v>
      </c>
      <c r="J55" s="129">
        <v>1.1999999999999999E-3</v>
      </c>
      <c r="K55" s="129">
        <v>6.6900000000000001E-2</v>
      </c>
      <c r="L55" s="129">
        <v>2.1499999999999998E-2</v>
      </c>
      <c r="M55" s="129">
        <v>2.1499999999999998E-2</v>
      </c>
      <c r="N55" s="129">
        <v>3.5999999999999999E-3</v>
      </c>
      <c r="O55" s="129">
        <v>3.8300000000000001E-2</v>
      </c>
      <c r="P55" s="129">
        <v>0.19070000000000001</v>
      </c>
      <c r="Q55" s="129">
        <v>1.4E-3</v>
      </c>
      <c r="R55" s="129">
        <v>7.6899999999999996E-2</v>
      </c>
      <c r="S55" s="129">
        <v>2.8899999999999999E-2</v>
      </c>
      <c r="T55" s="129">
        <v>2.8899999999999999E-2</v>
      </c>
      <c r="U55" s="129">
        <v>4.4000000000000003E-3</v>
      </c>
      <c r="V55" s="129">
        <v>4.3999999999999997E-2</v>
      </c>
      <c r="W55" s="130" t="s">
        <v>191</v>
      </c>
      <c r="X55" s="130" t="s">
        <v>168</v>
      </c>
    </row>
    <row r="56" spans="1:24" x14ac:dyDescent="0.25">
      <c r="A56" s="130">
        <v>2104008610</v>
      </c>
      <c r="B56" s="129">
        <v>0.14130000000000001</v>
      </c>
      <c r="C56" s="129">
        <v>5.9999999999999995E-4</v>
      </c>
      <c r="D56" s="129">
        <v>3.8E-3</v>
      </c>
      <c r="E56" s="129">
        <v>2.3E-2</v>
      </c>
      <c r="F56" s="129">
        <v>2.3E-2</v>
      </c>
      <c r="G56" s="129">
        <v>8.9999999999999998E-4</v>
      </c>
      <c r="H56" s="129">
        <v>0.10589999999999999</v>
      </c>
      <c r="I56" s="129">
        <v>1.5082</v>
      </c>
      <c r="J56" s="129">
        <v>6.1000000000000004E-3</v>
      </c>
      <c r="K56" s="129">
        <v>4.02E-2</v>
      </c>
      <c r="L56" s="129">
        <v>3.32E-2</v>
      </c>
      <c r="M56" s="129">
        <v>3.32E-2</v>
      </c>
      <c r="N56" s="129">
        <v>3.2000000000000002E-3</v>
      </c>
      <c r="O56" s="129">
        <v>1.1304000000000001</v>
      </c>
      <c r="P56" s="129">
        <v>1.6495</v>
      </c>
      <c r="Q56" s="129">
        <v>6.6E-3</v>
      </c>
      <c r="R56" s="129">
        <v>4.3900000000000002E-2</v>
      </c>
      <c r="S56" s="129">
        <v>5.62E-2</v>
      </c>
      <c r="T56" s="129">
        <v>5.62E-2</v>
      </c>
      <c r="U56" s="129">
        <v>4.1000000000000003E-3</v>
      </c>
      <c r="V56" s="129">
        <v>1.2363</v>
      </c>
      <c r="W56" s="130" t="s">
        <v>192</v>
      </c>
      <c r="X56" s="130" t="s">
        <v>168</v>
      </c>
    </row>
    <row r="58" spans="1:24" x14ac:dyDescent="0.25">
      <c r="B58" s="134">
        <f>SUMIFS(B39:B56,$X39:$X56,$X58)/B38</f>
        <v>0.94183329005453142</v>
      </c>
      <c r="C58" s="134">
        <f t="shared" ref="C58:V58" si="4">SUMIFS(C39:C56,$X39:$X56,$X58)/C38</f>
        <v>0.83571428571428574</v>
      </c>
      <c r="D58" s="134">
        <f t="shared" si="4"/>
        <v>0.30915637860082312</v>
      </c>
      <c r="E58" s="134">
        <f t="shared" si="4"/>
        <v>0.94588235294117651</v>
      </c>
      <c r="F58" s="134">
        <f t="shared" si="4"/>
        <v>0.94588235294117651</v>
      </c>
      <c r="G58" s="134">
        <f t="shared" si="4"/>
        <v>3.6981358989777509E-2</v>
      </c>
      <c r="H58" s="134">
        <f t="shared" si="4"/>
        <v>0.97694334650856396</v>
      </c>
      <c r="I58" s="134">
        <f t="shared" si="4"/>
        <v>0.94113930203169038</v>
      </c>
      <c r="J58" s="134">
        <f t="shared" si="4"/>
        <v>0.66712995135510778</v>
      </c>
      <c r="K58" s="134">
        <f t="shared" si="4"/>
        <v>0.16180897144115702</v>
      </c>
      <c r="L58" s="134">
        <f t="shared" si="4"/>
        <v>0.93158190502950255</v>
      </c>
      <c r="M58" s="134">
        <f t="shared" si="4"/>
        <v>0.93158190502950255</v>
      </c>
      <c r="N58" s="134">
        <f t="shared" si="4"/>
        <v>2.3415533533072137E-2</v>
      </c>
      <c r="O58" s="134">
        <f t="shared" si="4"/>
        <v>0.97485734479425423</v>
      </c>
      <c r="P58" s="134">
        <f t="shared" si="4"/>
        <v>0.9412152002621369</v>
      </c>
      <c r="Q58" s="134">
        <f t="shared" si="4"/>
        <v>0.68037974683544289</v>
      </c>
      <c r="R58" s="134">
        <f t="shared" si="4"/>
        <v>0.17158911807030769</v>
      </c>
      <c r="S58" s="134">
        <f t="shared" si="4"/>
        <v>0.93620460163529184</v>
      </c>
      <c r="T58" s="134">
        <f t="shared" si="4"/>
        <v>0.93620460163529184</v>
      </c>
      <c r="U58" s="134">
        <f t="shared" si="4"/>
        <v>2.525878262259702E-2</v>
      </c>
      <c r="V58" s="134">
        <f t="shared" si="4"/>
        <v>0.97507417842133348</v>
      </c>
      <c r="X58" s="130" t="s">
        <v>168</v>
      </c>
    </row>
    <row r="59" spans="1:24" x14ac:dyDescent="0.25">
      <c r="B59" s="134">
        <f>SUMIFS(B39:B56,$X39:$X56,$X59)/B38</f>
        <v>1.2723967800571279E-3</v>
      </c>
      <c r="C59" s="134">
        <f t="shared" ref="C59:V59" si="5">SUMIFS(C39:C56,$X39:$X56,$X59)/C38</f>
        <v>2.1428571428571425E-2</v>
      </c>
      <c r="D59" s="134">
        <f t="shared" si="5"/>
        <v>0.65020576131687258</v>
      </c>
      <c r="E59" s="134">
        <f t="shared" si="5"/>
        <v>1.4705882352941176E-2</v>
      </c>
      <c r="F59" s="134">
        <f t="shared" si="5"/>
        <v>1.4705882352941176E-2</v>
      </c>
      <c r="G59" s="134">
        <f t="shared" si="5"/>
        <v>0.91581479254359588</v>
      </c>
      <c r="H59" s="134">
        <f t="shared" si="5"/>
        <v>7.3404856013551661E-3</v>
      </c>
      <c r="I59" s="134">
        <f t="shared" si="5"/>
        <v>2.4858003860628534E-3</v>
      </c>
      <c r="J59" s="134">
        <f t="shared" si="5"/>
        <v>2.7102154273801249E-2</v>
      </c>
      <c r="K59" s="134">
        <f t="shared" si="5"/>
        <v>0.75603847000954405</v>
      </c>
      <c r="L59" s="134">
        <f t="shared" si="5"/>
        <v>3.9617870188255133E-2</v>
      </c>
      <c r="M59" s="134">
        <f t="shared" si="5"/>
        <v>3.9617870188255133E-2</v>
      </c>
      <c r="N59" s="134">
        <f t="shared" si="5"/>
        <v>0.96192671122378415</v>
      </c>
      <c r="O59" s="134">
        <f t="shared" si="5"/>
        <v>1.1828169336146594E-2</v>
      </c>
      <c r="P59" s="134">
        <f t="shared" si="5"/>
        <v>2.3426949259984014E-3</v>
      </c>
      <c r="Q59" s="134">
        <f t="shared" si="5"/>
        <v>2.6582278481012661E-2</v>
      </c>
      <c r="R59" s="134">
        <f t="shared" si="5"/>
        <v>0.74898924141711776</v>
      </c>
      <c r="S59" s="134">
        <f t="shared" si="5"/>
        <v>3.1564936299676744E-2</v>
      </c>
      <c r="T59" s="134">
        <f t="shared" si="5"/>
        <v>3.1564936299676744E-2</v>
      </c>
      <c r="U59" s="134">
        <f t="shared" si="5"/>
        <v>0.95579713041045533</v>
      </c>
      <c r="V59" s="134">
        <f t="shared" si="5"/>
        <v>1.1391184701929107E-2</v>
      </c>
      <c r="X59" s="130" t="s">
        <v>167</v>
      </c>
    </row>
    <row r="60" spans="1:24" x14ac:dyDescent="0.25">
      <c r="B60" s="134">
        <f>SUMIFS(B39:B56,$X39:$X56,$X60)/B38</f>
        <v>5.6920280446637238E-2</v>
      </c>
      <c r="C60" s="134">
        <f t="shared" ref="C60:V60" si="6">SUMIFS(C39:C56,$X39:$X56,$X60)/C38</f>
        <v>0.15</v>
      </c>
      <c r="D60" s="134">
        <f t="shared" si="6"/>
        <v>4.0637860082304536E-2</v>
      </c>
      <c r="E60" s="134">
        <f t="shared" si="6"/>
        <v>3.9411764705882354E-2</v>
      </c>
      <c r="F60" s="134">
        <f t="shared" si="6"/>
        <v>3.9411764705882354E-2</v>
      </c>
      <c r="G60" s="134">
        <f t="shared" si="6"/>
        <v>4.6903187011425131E-2</v>
      </c>
      <c r="H60" s="134">
        <f t="shared" si="6"/>
        <v>1.5810276679841896E-2</v>
      </c>
      <c r="I60" s="134">
        <f t="shared" si="6"/>
        <v>5.4180727409073863E-2</v>
      </c>
      <c r="J60" s="134">
        <f t="shared" si="6"/>
        <v>0.10493398193189715</v>
      </c>
      <c r="K60" s="134">
        <f t="shared" si="6"/>
        <v>2.0740033771382425E-2</v>
      </c>
      <c r="L60" s="134">
        <f t="shared" si="6"/>
        <v>1.12391121101433E-2</v>
      </c>
      <c r="M60" s="134">
        <f t="shared" si="6"/>
        <v>1.12391121101433E-2</v>
      </c>
      <c r="N60" s="134">
        <f t="shared" si="6"/>
        <v>6.4991933625259271E-3</v>
      </c>
      <c r="O60" s="134">
        <f t="shared" si="6"/>
        <v>1.2420617185145149E-2</v>
      </c>
      <c r="P60" s="134">
        <f t="shared" si="6"/>
        <v>5.450057725227915E-2</v>
      </c>
      <c r="Q60" s="134">
        <f t="shared" si="6"/>
        <v>0.10886075949367088</v>
      </c>
      <c r="R60" s="134">
        <f t="shared" si="6"/>
        <v>2.2065373809360651E-2</v>
      </c>
      <c r="S60" s="134">
        <f t="shared" si="6"/>
        <v>2.0346073397984409E-2</v>
      </c>
      <c r="T60" s="134">
        <f t="shared" si="6"/>
        <v>2.0346073397984409E-2</v>
      </c>
      <c r="U60" s="134">
        <f t="shared" si="6"/>
        <v>1.1870029175492586E-2</v>
      </c>
      <c r="V60" s="134">
        <f t="shared" si="6"/>
        <v>1.2757752464033996E-2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2.2011137496701803E-3</v>
      </c>
      <c r="J61" s="134">
        <f t="shared" si="7"/>
        <v>0.20083391243919388</v>
      </c>
      <c r="K61" s="134">
        <f t="shared" si="7"/>
        <v>6.1449232802290574E-2</v>
      </c>
      <c r="L61" s="134">
        <f t="shared" si="7"/>
        <v>1.7561112672098905E-2</v>
      </c>
      <c r="M61" s="134">
        <f t="shared" si="7"/>
        <v>1.7561112672098905E-2</v>
      </c>
      <c r="N61" s="134">
        <f t="shared" si="7"/>
        <v>8.1585618806176517E-3</v>
      </c>
      <c r="O61" s="134">
        <f t="shared" si="7"/>
        <v>8.7308104062944984E-4</v>
      </c>
      <c r="P61" s="134">
        <f t="shared" si="7"/>
        <v>1.9415275595856033E-3</v>
      </c>
      <c r="Q61" s="134">
        <f t="shared" si="7"/>
        <v>0.18291139240506327</v>
      </c>
      <c r="R61" s="134">
        <f t="shared" si="7"/>
        <v>5.7356266703213865E-2</v>
      </c>
      <c r="S61" s="134">
        <f t="shared" si="7"/>
        <v>1.1884388667046965E-2</v>
      </c>
      <c r="T61" s="134">
        <f t="shared" si="7"/>
        <v>1.1884388667046965E-2</v>
      </c>
      <c r="U61" s="134">
        <f t="shared" si="7"/>
        <v>7.0740577914551765E-3</v>
      </c>
      <c r="V61" s="134">
        <f t="shared" si="7"/>
        <v>7.8624446586856613E-4</v>
      </c>
      <c r="X61" s="130" t="s">
        <v>165</v>
      </c>
    </row>
    <row r="64" spans="1:24" x14ac:dyDescent="0.25">
      <c r="A64" s="129" t="s">
        <v>196</v>
      </c>
    </row>
    <row r="65" spans="1:24" x14ac:dyDescent="0.25">
      <c r="A65" s="132" t="s">
        <v>219</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3.851</v>
      </c>
      <c r="C69" s="129">
        <v>1.4E-2</v>
      </c>
      <c r="D69" s="129">
        <v>0.19439999999999999</v>
      </c>
      <c r="E69" s="129">
        <v>0.34</v>
      </c>
      <c r="F69" s="129">
        <v>0.34</v>
      </c>
      <c r="G69" s="129">
        <v>0.33260000000000001</v>
      </c>
      <c r="H69" s="129">
        <v>1.0626</v>
      </c>
      <c r="I69" s="129">
        <v>28.803599999999999</v>
      </c>
      <c r="J69" s="133">
        <v>0.1439</v>
      </c>
      <c r="K69" s="133">
        <v>2.7242000000000002</v>
      </c>
      <c r="L69" s="129">
        <v>0.52029999999999998</v>
      </c>
      <c r="M69" s="166">
        <v>0.52029999999999998</v>
      </c>
      <c r="N69" s="133">
        <v>2.2642000000000002</v>
      </c>
      <c r="O69" s="133">
        <v>9.6211000000000002</v>
      </c>
      <c r="P69" s="129">
        <v>32.654699999999998</v>
      </c>
      <c r="Q69" s="133">
        <v>0.158</v>
      </c>
      <c r="R69" s="133">
        <v>2.9186000000000001</v>
      </c>
      <c r="S69" s="129">
        <v>0.86029999999999995</v>
      </c>
      <c r="T69" s="166">
        <v>0.86029999999999995</v>
      </c>
      <c r="U69" s="133">
        <v>2.5968</v>
      </c>
      <c r="V69" s="133">
        <v>10.6837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1.15E-2</v>
      </c>
      <c r="E72" s="129">
        <v>2.9999999999999997E-4</v>
      </c>
      <c r="F72" s="129">
        <v>2.9999999999999997E-4</v>
      </c>
      <c r="G72" s="129">
        <v>8.0999999999999996E-3</v>
      </c>
      <c r="H72" s="129">
        <v>5.0000000000000001E-4</v>
      </c>
      <c r="I72" s="129">
        <v>1.77E-2</v>
      </c>
      <c r="J72" s="129">
        <v>1E-3</v>
      </c>
      <c r="K72" s="129">
        <v>0.71060000000000001</v>
      </c>
      <c r="L72" s="129">
        <v>9.4999999999999998E-3</v>
      </c>
      <c r="M72" s="129">
        <v>9.4999999999999998E-3</v>
      </c>
      <c r="N72" s="129">
        <v>0.51539999999999997</v>
      </c>
      <c r="O72" s="129">
        <v>2.81E-2</v>
      </c>
      <c r="P72" s="129">
        <v>1.7999999999999999E-2</v>
      </c>
      <c r="Q72" s="129">
        <v>1E-3</v>
      </c>
      <c r="R72" s="129">
        <v>0.72209999999999996</v>
      </c>
      <c r="S72" s="129">
        <v>9.7999999999999997E-3</v>
      </c>
      <c r="T72" s="129">
        <v>9.7999999999999997E-3</v>
      </c>
      <c r="U72" s="129">
        <v>0.52349999999999997</v>
      </c>
      <c r="V72" s="129">
        <v>2.86E-2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0.21890000000000001</v>
      </c>
      <c r="C75" s="129">
        <v>2.0999999999999999E-3</v>
      </c>
      <c r="D75" s="129">
        <v>7.9000000000000008E-3</v>
      </c>
      <c r="E75" s="129">
        <v>1.34E-2</v>
      </c>
      <c r="F75" s="129">
        <v>1.34E-2</v>
      </c>
      <c r="G75" s="129">
        <v>1.5599999999999999E-2</v>
      </c>
      <c r="H75" s="129">
        <v>1.6799999999999999E-2</v>
      </c>
      <c r="I75" s="129">
        <v>1.5563</v>
      </c>
      <c r="J75" s="129">
        <v>1.5100000000000001E-2</v>
      </c>
      <c r="K75" s="129">
        <v>5.6300000000000003E-2</v>
      </c>
      <c r="L75" s="129">
        <v>5.1000000000000004E-3</v>
      </c>
      <c r="M75" s="129">
        <v>5.1000000000000004E-3</v>
      </c>
      <c r="N75" s="129">
        <v>0.01</v>
      </c>
      <c r="O75" s="129">
        <v>0.1192</v>
      </c>
      <c r="P75" s="129">
        <v>1.7751999999999999</v>
      </c>
      <c r="Q75" s="129">
        <v>1.72E-2</v>
      </c>
      <c r="R75" s="129">
        <v>6.4199999999999993E-2</v>
      </c>
      <c r="S75" s="129">
        <v>1.8499999999999999E-2</v>
      </c>
      <c r="T75" s="129">
        <v>1.8499999999999999E-2</v>
      </c>
      <c r="U75" s="129">
        <v>2.5600000000000001E-2</v>
      </c>
      <c r="V75" s="129">
        <v>0.13600000000000001</v>
      </c>
      <c r="W75" s="130" t="s">
        <v>180</v>
      </c>
      <c r="X75" s="130" t="s">
        <v>166</v>
      </c>
    </row>
    <row r="76" spans="1:24" x14ac:dyDescent="0.25">
      <c r="A76" s="130">
        <v>2104004000</v>
      </c>
      <c r="B76" s="129">
        <v>4.5999999999999999E-3</v>
      </c>
      <c r="C76" s="129">
        <v>2.9999999999999997E-4</v>
      </c>
      <c r="D76" s="129">
        <v>0.1149</v>
      </c>
      <c r="E76" s="129">
        <v>4.7000000000000002E-3</v>
      </c>
      <c r="F76" s="129">
        <v>4.7000000000000002E-3</v>
      </c>
      <c r="G76" s="129">
        <v>0.29649999999999999</v>
      </c>
      <c r="H76" s="129">
        <v>7.3000000000000001E-3</v>
      </c>
      <c r="I76" s="129">
        <v>5.3900000000000003E-2</v>
      </c>
      <c r="J76" s="129">
        <v>2.8999999999999998E-3</v>
      </c>
      <c r="K76" s="129">
        <v>1.349</v>
      </c>
      <c r="L76" s="129">
        <v>1.8700000000000001E-2</v>
      </c>
      <c r="M76" s="129">
        <v>1.8700000000000001E-2</v>
      </c>
      <c r="N76" s="129">
        <v>1.5714999999999999</v>
      </c>
      <c r="O76" s="129">
        <v>8.5699999999999998E-2</v>
      </c>
      <c r="P76" s="129">
        <v>5.8500000000000003E-2</v>
      </c>
      <c r="Q76" s="129">
        <v>3.2000000000000002E-3</v>
      </c>
      <c r="R76" s="129">
        <v>1.4639</v>
      </c>
      <c r="S76" s="129">
        <v>2.3400000000000001E-2</v>
      </c>
      <c r="T76" s="129">
        <v>2.3400000000000001E-2</v>
      </c>
      <c r="U76" s="129">
        <v>1.8680000000000001</v>
      </c>
      <c r="V76" s="129">
        <v>9.3100000000000002E-2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0.4219</v>
      </c>
      <c r="C78" s="129">
        <v>3.0000000000000001E-3</v>
      </c>
      <c r="D78" s="129">
        <v>4.3E-3</v>
      </c>
      <c r="E78" s="129">
        <v>5.7799999999999997E-2</v>
      </c>
      <c r="F78" s="129">
        <v>5.7799999999999997E-2</v>
      </c>
      <c r="G78" s="129">
        <v>6.9999999999999999E-4</v>
      </c>
      <c r="H78" s="129">
        <v>0.38250000000000001</v>
      </c>
      <c r="I78" s="129">
        <v>5.0289000000000001</v>
      </c>
      <c r="J78" s="129">
        <v>3.5799999999999998E-2</v>
      </c>
      <c r="K78" s="129">
        <v>5.1799999999999999E-2</v>
      </c>
      <c r="L78" s="129">
        <v>8.1699999999999995E-2</v>
      </c>
      <c r="M78" s="129">
        <v>8.1699999999999995E-2</v>
      </c>
      <c r="N78" s="129">
        <v>1.8E-3</v>
      </c>
      <c r="O78" s="129">
        <v>4.5590000000000002</v>
      </c>
      <c r="P78" s="129">
        <v>5.4508000000000001</v>
      </c>
      <c r="Q78" s="129">
        <v>3.8800000000000001E-2</v>
      </c>
      <c r="R78" s="129">
        <v>5.6099999999999997E-2</v>
      </c>
      <c r="S78" s="129">
        <v>0.13950000000000001</v>
      </c>
      <c r="T78" s="129">
        <v>0.13950000000000001</v>
      </c>
      <c r="U78" s="129">
        <v>2.5000000000000001E-3</v>
      </c>
      <c r="V78" s="129">
        <v>4.9414999999999996</v>
      </c>
      <c r="W78" s="130" t="s">
        <v>183</v>
      </c>
      <c r="X78" s="130" t="s">
        <v>168</v>
      </c>
    </row>
    <row r="79" spans="1:24" x14ac:dyDescent="0.25">
      <c r="A79" s="130">
        <v>2104008210</v>
      </c>
      <c r="B79" s="129">
        <v>6.0400000000000002E-2</v>
      </c>
      <c r="C79" s="129">
        <v>4.0000000000000002E-4</v>
      </c>
      <c r="D79" s="129">
        <v>6.9999999999999999E-4</v>
      </c>
      <c r="E79" s="129">
        <v>8.0000000000000002E-3</v>
      </c>
      <c r="F79" s="129">
        <v>8.0000000000000002E-3</v>
      </c>
      <c r="G79" s="129">
        <v>1E-4</v>
      </c>
      <c r="H79" s="129">
        <v>1.3899999999999999E-2</v>
      </c>
      <c r="I79" s="129">
        <v>0.40550000000000003</v>
      </c>
      <c r="J79" s="129">
        <v>3.0000000000000001E-3</v>
      </c>
      <c r="K79" s="129">
        <v>4.8999999999999998E-3</v>
      </c>
      <c r="L79" s="129">
        <v>3.8E-3</v>
      </c>
      <c r="M79" s="129">
        <v>3.8E-3</v>
      </c>
      <c r="N79" s="129">
        <v>2.0000000000000001E-4</v>
      </c>
      <c r="O79" s="129">
        <v>9.3100000000000002E-2</v>
      </c>
      <c r="P79" s="129">
        <v>0.46589999999999998</v>
      </c>
      <c r="Q79" s="129">
        <v>3.3999999999999998E-3</v>
      </c>
      <c r="R79" s="129">
        <v>5.7000000000000002E-3</v>
      </c>
      <c r="S79" s="129">
        <v>1.18E-2</v>
      </c>
      <c r="T79" s="129">
        <v>1.18E-2</v>
      </c>
      <c r="U79" s="129">
        <v>2.9999999999999997E-4</v>
      </c>
      <c r="V79" s="129">
        <v>0.107</v>
      </c>
      <c r="W79" s="130" t="s">
        <v>184</v>
      </c>
      <c r="X79" s="130" t="s">
        <v>168</v>
      </c>
    </row>
    <row r="80" spans="1:24" x14ac:dyDescent="0.25">
      <c r="A80" s="130">
        <v>2104008220</v>
      </c>
      <c r="B80" s="129">
        <v>7.7600000000000002E-2</v>
      </c>
      <c r="C80" s="129">
        <v>5.0000000000000001E-4</v>
      </c>
      <c r="D80" s="129">
        <v>1.1000000000000001E-3</v>
      </c>
      <c r="E80" s="129">
        <v>6.6E-3</v>
      </c>
      <c r="F80" s="129">
        <v>6.6E-3</v>
      </c>
      <c r="G80" s="129">
        <v>2.0000000000000001E-4</v>
      </c>
      <c r="H80" s="129">
        <v>6.6E-3</v>
      </c>
      <c r="I80" s="129">
        <v>0.52080000000000004</v>
      </c>
      <c r="J80" s="129">
        <v>3.3E-3</v>
      </c>
      <c r="K80" s="129">
        <v>7.4000000000000003E-3</v>
      </c>
      <c r="L80" s="129">
        <v>0</v>
      </c>
      <c r="M80" s="129">
        <v>0</v>
      </c>
      <c r="N80" s="129">
        <v>0</v>
      </c>
      <c r="O80" s="129">
        <v>4.4400000000000002E-2</v>
      </c>
      <c r="P80" s="129">
        <v>0.59840000000000004</v>
      </c>
      <c r="Q80" s="129">
        <v>3.8E-3</v>
      </c>
      <c r="R80" s="129">
        <v>8.5000000000000006E-3</v>
      </c>
      <c r="S80" s="129">
        <v>6.6E-3</v>
      </c>
      <c r="T80" s="129">
        <v>6.6E-3</v>
      </c>
      <c r="U80" s="129">
        <v>2.0000000000000001E-4</v>
      </c>
      <c r="V80" s="129">
        <v>5.0999999999999997E-2</v>
      </c>
      <c r="W80" s="130" t="s">
        <v>185</v>
      </c>
      <c r="X80" s="130" t="s">
        <v>168</v>
      </c>
    </row>
    <row r="81" spans="1:24" x14ac:dyDescent="0.25">
      <c r="A81" s="130">
        <v>2104008230</v>
      </c>
      <c r="B81" s="129">
        <v>3.5499999999999997E-2</v>
      </c>
      <c r="C81" s="129">
        <v>2.9999999999999997E-4</v>
      </c>
      <c r="D81" s="129">
        <v>6.9999999999999999E-4</v>
      </c>
      <c r="E81" s="129">
        <v>4.3E-3</v>
      </c>
      <c r="F81" s="129">
        <v>4.3E-3</v>
      </c>
      <c r="G81" s="129">
        <v>1E-4</v>
      </c>
      <c r="H81" s="129">
        <v>5.0000000000000001E-3</v>
      </c>
      <c r="I81" s="129">
        <v>0.23830000000000001</v>
      </c>
      <c r="J81" s="129">
        <v>2E-3</v>
      </c>
      <c r="K81" s="129">
        <v>4.4999999999999997E-3</v>
      </c>
      <c r="L81" s="129">
        <v>0</v>
      </c>
      <c r="M81" s="129">
        <v>0</v>
      </c>
      <c r="N81" s="129">
        <v>0</v>
      </c>
      <c r="O81" s="129">
        <v>3.3399999999999999E-2</v>
      </c>
      <c r="P81" s="129">
        <v>0.27379999999999999</v>
      </c>
      <c r="Q81" s="129">
        <v>2.3E-3</v>
      </c>
      <c r="R81" s="129">
        <v>5.1000000000000004E-3</v>
      </c>
      <c r="S81" s="129">
        <v>4.3E-3</v>
      </c>
      <c r="T81" s="129">
        <v>4.3E-3</v>
      </c>
      <c r="U81" s="129">
        <v>1E-4</v>
      </c>
      <c r="V81" s="129">
        <v>3.8399999999999997E-2</v>
      </c>
      <c r="W81" s="130" t="s">
        <v>186</v>
      </c>
      <c r="X81" s="130" t="s">
        <v>168</v>
      </c>
    </row>
    <row r="82" spans="1:24" x14ac:dyDescent="0.25">
      <c r="A82" s="130">
        <v>2104008310</v>
      </c>
      <c r="B82" s="129">
        <v>0.64339999999999997</v>
      </c>
      <c r="C82" s="129">
        <v>2.0999999999999999E-3</v>
      </c>
      <c r="D82" s="129">
        <v>7.7000000000000002E-3</v>
      </c>
      <c r="E82" s="129">
        <v>6.4500000000000002E-2</v>
      </c>
      <c r="F82" s="129">
        <v>6.4500000000000002E-2</v>
      </c>
      <c r="G82" s="129">
        <v>2.0999999999999999E-3</v>
      </c>
      <c r="H82" s="129">
        <v>0.28139999999999998</v>
      </c>
      <c r="I82" s="129">
        <v>4.3201999999999998</v>
      </c>
      <c r="J82" s="129">
        <v>1.4200000000000001E-2</v>
      </c>
      <c r="K82" s="129">
        <v>5.1799999999999999E-2</v>
      </c>
      <c r="L82" s="129">
        <v>4.0099999999999997E-2</v>
      </c>
      <c r="M82" s="129">
        <v>4.0099999999999997E-2</v>
      </c>
      <c r="N82" s="129">
        <v>8.0999999999999996E-3</v>
      </c>
      <c r="O82" s="129">
        <v>1.8895999999999999</v>
      </c>
      <c r="P82" s="129">
        <v>4.9635999999999996</v>
      </c>
      <c r="Q82" s="129">
        <v>1.6299999999999999E-2</v>
      </c>
      <c r="R82" s="129">
        <v>5.9499999999999997E-2</v>
      </c>
      <c r="S82" s="129">
        <v>0.1046</v>
      </c>
      <c r="T82" s="129">
        <v>0.1046</v>
      </c>
      <c r="U82" s="129">
        <v>1.0200000000000001E-2</v>
      </c>
      <c r="V82" s="129">
        <v>2.1711</v>
      </c>
      <c r="W82" s="130" t="s">
        <v>187</v>
      </c>
      <c r="X82" s="130" t="s">
        <v>168</v>
      </c>
    </row>
    <row r="83" spans="1:24" x14ac:dyDescent="0.25">
      <c r="A83" s="130">
        <v>2104008320</v>
      </c>
      <c r="B83" s="129">
        <v>1.3823000000000001</v>
      </c>
      <c r="C83" s="129">
        <v>2.8E-3</v>
      </c>
      <c r="D83" s="129">
        <v>1.7999999999999999E-2</v>
      </c>
      <c r="E83" s="129">
        <v>8.8599999999999998E-2</v>
      </c>
      <c r="F83" s="129">
        <v>8.8599999999999998E-2</v>
      </c>
      <c r="G83" s="129">
        <v>4.4999999999999997E-3</v>
      </c>
      <c r="H83" s="129">
        <v>0.13420000000000001</v>
      </c>
      <c r="I83" s="129">
        <v>9.2812000000000001</v>
      </c>
      <c r="J83" s="129">
        <v>1.8700000000000001E-2</v>
      </c>
      <c r="K83" s="129">
        <v>0.1208</v>
      </c>
      <c r="L83" s="129">
        <v>0.1835</v>
      </c>
      <c r="M83" s="129">
        <v>0.1835</v>
      </c>
      <c r="N83" s="129">
        <v>7.0300000000000001E-2</v>
      </c>
      <c r="O83" s="129">
        <v>0.90080000000000005</v>
      </c>
      <c r="P83" s="129">
        <v>10.663600000000001</v>
      </c>
      <c r="Q83" s="129">
        <v>2.1499999999999998E-2</v>
      </c>
      <c r="R83" s="129">
        <v>0.13880000000000001</v>
      </c>
      <c r="S83" s="129">
        <v>0.27210000000000001</v>
      </c>
      <c r="T83" s="129">
        <v>0.27210000000000001</v>
      </c>
      <c r="U83" s="129">
        <v>7.4800000000000005E-2</v>
      </c>
      <c r="V83" s="129">
        <v>1.0349999999999999</v>
      </c>
      <c r="W83" s="130" t="s">
        <v>188</v>
      </c>
      <c r="X83" s="130" t="s">
        <v>168</v>
      </c>
    </row>
    <row r="84" spans="1:24" x14ac:dyDescent="0.25">
      <c r="A84" s="130">
        <v>2104008330</v>
      </c>
      <c r="B84" s="129">
        <v>0.83230000000000004</v>
      </c>
      <c r="C84" s="129">
        <v>1.6999999999999999E-3</v>
      </c>
      <c r="D84" s="129">
        <v>1.0800000000000001E-2</v>
      </c>
      <c r="E84" s="129">
        <v>5.9200000000000003E-2</v>
      </c>
      <c r="F84" s="129">
        <v>5.9200000000000003E-2</v>
      </c>
      <c r="G84" s="129">
        <v>2.7000000000000001E-3</v>
      </c>
      <c r="H84" s="129">
        <v>0.10100000000000001</v>
      </c>
      <c r="I84" s="129">
        <v>5.5880000000000001</v>
      </c>
      <c r="J84" s="129">
        <v>1.1299999999999999E-2</v>
      </c>
      <c r="K84" s="129">
        <v>7.2700000000000001E-2</v>
      </c>
      <c r="L84" s="129">
        <v>0.1225</v>
      </c>
      <c r="M84" s="129">
        <v>0.1225</v>
      </c>
      <c r="N84" s="129">
        <v>4.3099999999999999E-2</v>
      </c>
      <c r="O84" s="129">
        <v>0.67789999999999995</v>
      </c>
      <c r="P84" s="129">
        <v>6.4202000000000004</v>
      </c>
      <c r="Q84" s="129">
        <v>1.2999999999999999E-2</v>
      </c>
      <c r="R84" s="129">
        <v>8.3500000000000005E-2</v>
      </c>
      <c r="S84" s="129">
        <v>0.1817</v>
      </c>
      <c r="T84" s="129">
        <v>0.1817</v>
      </c>
      <c r="U84" s="129">
        <v>4.58E-2</v>
      </c>
      <c r="V84" s="129">
        <v>0.77890000000000004</v>
      </c>
      <c r="W84" s="130" t="s">
        <v>189</v>
      </c>
      <c r="X84" s="130" t="s">
        <v>168</v>
      </c>
    </row>
    <row r="85" spans="1:24" x14ac:dyDescent="0.25">
      <c r="A85" s="130">
        <v>2104008410</v>
      </c>
      <c r="B85" s="129">
        <v>7.3000000000000001E-3</v>
      </c>
      <c r="C85" s="129">
        <v>1E-4</v>
      </c>
      <c r="D85" s="129">
        <v>3.0000000000000001E-3</v>
      </c>
      <c r="E85" s="129">
        <v>2.2000000000000001E-3</v>
      </c>
      <c r="F85" s="129">
        <v>2.2000000000000001E-3</v>
      </c>
      <c r="G85" s="129">
        <v>2.0000000000000001E-4</v>
      </c>
      <c r="H85" s="129">
        <v>1.6999999999999999E-3</v>
      </c>
      <c r="I85" s="129">
        <v>4.9200000000000001E-2</v>
      </c>
      <c r="J85" s="129">
        <v>4.0000000000000002E-4</v>
      </c>
      <c r="K85" s="129">
        <v>1.9800000000000002E-2</v>
      </c>
      <c r="L85" s="129">
        <v>5.0000000000000001E-3</v>
      </c>
      <c r="M85" s="129">
        <v>5.0000000000000001E-3</v>
      </c>
      <c r="N85" s="129">
        <v>3.8E-3</v>
      </c>
      <c r="O85" s="129">
        <v>1.14E-2</v>
      </c>
      <c r="P85" s="129">
        <v>5.6500000000000002E-2</v>
      </c>
      <c r="Q85" s="129">
        <v>4.0000000000000002E-4</v>
      </c>
      <c r="R85" s="129">
        <v>2.2800000000000001E-2</v>
      </c>
      <c r="S85" s="129">
        <v>7.1999999999999998E-3</v>
      </c>
      <c r="T85" s="129">
        <v>7.1999999999999998E-3</v>
      </c>
      <c r="U85" s="129">
        <v>4.1000000000000003E-3</v>
      </c>
      <c r="V85" s="129">
        <v>1.3100000000000001E-2</v>
      </c>
      <c r="W85" s="130" t="s">
        <v>190</v>
      </c>
      <c r="X85" s="130" t="s">
        <v>168</v>
      </c>
    </row>
    <row r="86" spans="1:24" x14ac:dyDescent="0.25">
      <c r="A86" s="130">
        <v>2104008420</v>
      </c>
      <c r="B86" s="129">
        <v>2.47E-2</v>
      </c>
      <c r="C86" s="129">
        <v>2.0000000000000001E-4</v>
      </c>
      <c r="D86" s="129">
        <v>0.01</v>
      </c>
      <c r="E86" s="129">
        <v>7.4000000000000003E-3</v>
      </c>
      <c r="F86" s="129">
        <v>7.4000000000000003E-3</v>
      </c>
      <c r="G86" s="129">
        <v>8.0000000000000004E-4</v>
      </c>
      <c r="H86" s="129">
        <v>5.7000000000000002E-3</v>
      </c>
      <c r="I86" s="129">
        <v>0.16600000000000001</v>
      </c>
      <c r="J86" s="129">
        <v>1.1999999999999999E-3</v>
      </c>
      <c r="K86" s="129">
        <v>6.6900000000000001E-2</v>
      </c>
      <c r="L86" s="129">
        <v>1.47E-2</v>
      </c>
      <c r="M86" s="129">
        <v>1.47E-2</v>
      </c>
      <c r="N86" s="129">
        <v>1.49E-2</v>
      </c>
      <c r="O86" s="129">
        <v>3.8300000000000001E-2</v>
      </c>
      <c r="P86" s="129">
        <v>0.19070000000000001</v>
      </c>
      <c r="Q86" s="129">
        <v>1.4E-3</v>
      </c>
      <c r="R86" s="129">
        <v>7.6899999999999996E-2</v>
      </c>
      <c r="S86" s="129">
        <v>2.2100000000000002E-2</v>
      </c>
      <c r="T86" s="129">
        <v>2.2100000000000002E-2</v>
      </c>
      <c r="U86" s="129">
        <v>1.5599999999999999E-2</v>
      </c>
      <c r="V86" s="129">
        <v>4.3999999999999997E-2</v>
      </c>
      <c r="W86" s="130" t="s">
        <v>191</v>
      </c>
      <c r="X86" s="130" t="s">
        <v>168</v>
      </c>
    </row>
    <row r="87" spans="1:24" x14ac:dyDescent="0.25">
      <c r="A87" s="130">
        <v>2104008610</v>
      </c>
      <c r="B87" s="129">
        <v>0.14130000000000001</v>
      </c>
      <c r="C87" s="129">
        <v>5.9999999999999995E-4</v>
      </c>
      <c r="D87" s="129">
        <v>3.8E-3</v>
      </c>
      <c r="E87" s="129">
        <v>2.3E-2</v>
      </c>
      <c r="F87" s="129">
        <v>2.3E-2</v>
      </c>
      <c r="G87" s="129">
        <v>8.9999999999999998E-4</v>
      </c>
      <c r="H87" s="129">
        <v>0.10589999999999999</v>
      </c>
      <c r="I87" s="129">
        <v>1.5082</v>
      </c>
      <c r="J87" s="129">
        <v>6.1000000000000004E-3</v>
      </c>
      <c r="K87" s="129">
        <v>4.02E-2</v>
      </c>
      <c r="L87" s="129">
        <v>2.2700000000000001E-2</v>
      </c>
      <c r="M87" s="129">
        <v>2.2700000000000001E-2</v>
      </c>
      <c r="N87" s="129">
        <v>7.1000000000000004E-3</v>
      </c>
      <c r="O87" s="129">
        <v>1.1304000000000001</v>
      </c>
      <c r="P87" s="129">
        <v>1.6495</v>
      </c>
      <c r="Q87" s="129">
        <v>6.6E-3</v>
      </c>
      <c r="R87" s="129">
        <v>4.3900000000000002E-2</v>
      </c>
      <c r="S87" s="129">
        <v>4.5699999999999998E-2</v>
      </c>
      <c r="T87" s="129">
        <v>4.5699999999999998E-2</v>
      </c>
      <c r="U87" s="129">
        <v>8.0000000000000002E-3</v>
      </c>
      <c r="V87" s="129">
        <v>1.2363</v>
      </c>
      <c r="W87" s="130" t="s">
        <v>192</v>
      </c>
      <c r="X87" s="130" t="s">
        <v>168</v>
      </c>
    </row>
    <row r="89" spans="1:24" x14ac:dyDescent="0.25">
      <c r="B89" s="135">
        <f>SUMIFS(B70:B87,$X70:$X87,$X89)/B69</f>
        <v>0.94183329005453142</v>
      </c>
      <c r="C89" s="135">
        <f t="shared" ref="C89:V89" si="8">SUMIFS(C70:C87,$X70:$X87,$X89)/C69</f>
        <v>0.83571428571428574</v>
      </c>
      <c r="D89" s="135">
        <f t="shared" si="8"/>
        <v>0.30915637860082312</v>
      </c>
      <c r="E89" s="135">
        <f t="shared" si="8"/>
        <v>0.94588235294117651</v>
      </c>
      <c r="F89" s="135">
        <f t="shared" si="8"/>
        <v>0.94588235294117651</v>
      </c>
      <c r="G89" s="135">
        <f t="shared" si="8"/>
        <v>3.6981358989777509E-2</v>
      </c>
      <c r="H89" s="135">
        <f t="shared" si="8"/>
        <v>0.97694334650856396</v>
      </c>
      <c r="I89" s="135">
        <f t="shared" si="8"/>
        <v>0.94113930203169038</v>
      </c>
      <c r="J89" s="136">
        <f t="shared" si="8"/>
        <v>0.66712995135510778</v>
      </c>
      <c r="K89" s="136">
        <f t="shared" si="8"/>
        <v>0.16180897144115702</v>
      </c>
      <c r="L89" s="135">
        <f t="shared" si="8"/>
        <v>0.91158946761483761</v>
      </c>
      <c r="M89" s="136">
        <f t="shared" si="8"/>
        <v>0.91158946761483761</v>
      </c>
      <c r="N89" s="136">
        <f t="shared" si="8"/>
        <v>6.5939404646232658E-2</v>
      </c>
      <c r="O89" s="136">
        <f t="shared" si="8"/>
        <v>0.97485734479425423</v>
      </c>
      <c r="P89" s="135">
        <f t="shared" si="8"/>
        <v>0.9412152002621369</v>
      </c>
      <c r="Q89" s="136">
        <f t="shared" si="8"/>
        <v>0.68037974683544289</v>
      </c>
      <c r="R89" s="136">
        <f t="shared" si="8"/>
        <v>0.17158911807030769</v>
      </c>
      <c r="S89" s="135">
        <f t="shared" si="8"/>
        <v>0.92514239218877137</v>
      </c>
      <c r="T89" s="136">
        <f t="shared" si="8"/>
        <v>0.92514239218877137</v>
      </c>
      <c r="U89" s="136">
        <f t="shared" si="8"/>
        <v>6.2230437461491074E-2</v>
      </c>
      <c r="V89" s="136">
        <f t="shared" si="8"/>
        <v>0.97507417842133348</v>
      </c>
      <c r="X89" s="130" t="s">
        <v>168</v>
      </c>
    </row>
    <row r="90" spans="1:24" x14ac:dyDescent="0.25">
      <c r="B90" s="135">
        <f>SUMIFS(B70:B87,$X70:$X87,$X90)/B69</f>
        <v>1.2723967800571279E-3</v>
      </c>
      <c r="C90" s="135">
        <f t="shared" ref="C90:V90" si="9">SUMIFS(C70:C87,$X70:$X87,$X90)/C69</f>
        <v>2.1428571428571425E-2</v>
      </c>
      <c r="D90" s="135">
        <f t="shared" si="9"/>
        <v>0.65020576131687258</v>
      </c>
      <c r="E90" s="135">
        <f t="shared" si="9"/>
        <v>1.4705882352941176E-2</v>
      </c>
      <c r="F90" s="135">
        <f t="shared" si="9"/>
        <v>1.4705882352941176E-2</v>
      </c>
      <c r="G90" s="135">
        <f t="shared" si="9"/>
        <v>0.91581479254359588</v>
      </c>
      <c r="H90" s="135">
        <f t="shared" si="9"/>
        <v>7.3404856013551661E-3</v>
      </c>
      <c r="I90" s="135">
        <f t="shared" si="9"/>
        <v>2.4858003860628534E-3</v>
      </c>
      <c r="J90" s="136">
        <f t="shared" si="9"/>
        <v>2.7102154273801249E-2</v>
      </c>
      <c r="K90" s="136">
        <f t="shared" si="9"/>
        <v>0.75603847000954405</v>
      </c>
      <c r="L90" s="135">
        <f t="shared" si="9"/>
        <v>5.4199500288295219E-2</v>
      </c>
      <c r="M90" s="136">
        <f t="shared" si="9"/>
        <v>5.4199500288295219E-2</v>
      </c>
      <c r="N90" s="136">
        <f t="shared" si="9"/>
        <v>0.9216941966257397</v>
      </c>
      <c r="O90" s="136">
        <f t="shared" si="9"/>
        <v>1.1828169336146594E-2</v>
      </c>
      <c r="P90" s="135">
        <f t="shared" si="9"/>
        <v>2.3426949259984014E-3</v>
      </c>
      <c r="Q90" s="136">
        <f t="shared" si="9"/>
        <v>2.6582278481012661E-2</v>
      </c>
      <c r="R90" s="136">
        <f t="shared" si="9"/>
        <v>0.74898924141711776</v>
      </c>
      <c r="S90" s="135">
        <f t="shared" si="9"/>
        <v>3.8591189120074393E-2</v>
      </c>
      <c r="T90" s="136">
        <f t="shared" si="9"/>
        <v>3.8591189120074393E-2</v>
      </c>
      <c r="U90" s="136">
        <f t="shared" si="9"/>
        <v>0.92094115834873702</v>
      </c>
      <c r="V90" s="136">
        <f t="shared" si="9"/>
        <v>1.1391184701929107E-2</v>
      </c>
      <c r="X90" s="130" t="s">
        <v>167</v>
      </c>
    </row>
    <row r="91" spans="1:24" x14ac:dyDescent="0.25">
      <c r="B91" s="135">
        <f>SUMIFS(B70:B87,$X70:$X87,$X91)/B69</f>
        <v>5.6920280446637238E-2</v>
      </c>
      <c r="C91" s="135">
        <f t="shared" ref="C91:V91" si="10">SUMIFS(C70:C87,$X70:$X87,$X91)/C69</f>
        <v>0.15</v>
      </c>
      <c r="D91" s="135">
        <f t="shared" si="10"/>
        <v>4.0637860082304536E-2</v>
      </c>
      <c r="E91" s="135">
        <f t="shared" si="10"/>
        <v>3.9411764705882354E-2</v>
      </c>
      <c r="F91" s="135">
        <f t="shared" si="10"/>
        <v>3.9411764705882354E-2</v>
      </c>
      <c r="G91" s="135">
        <f t="shared" si="10"/>
        <v>4.6903187011425131E-2</v>
      </c>
      <c r="H91" s="135">
        <f t="shared" si="10"/>
        <v>1.5810276679841896E-2</v>
      </c>
      <c r="I91" s="135">
        <f t="shared" si="10"/>
        <v>5.4180727409073863E-2</v>
      </c>
      <c r="J91" s="136">
        <f t="shared" si="10"/>
        <v>0.10493398193189715</v>
      </c>
      <c r="K91" s="136">
        <f t="shared" si="10"/>
        <v>2.0740033771382425E-2</v>
      </c>
      <c r="L91" s="135">
        <f t="shared" si="10"/>
        <v>1.0378627714779936E-2</v>
      </c>
      <c r="M91" s="136">
        <f t="shared" si="10"/>
        <v>1.0378627714779936E-2</v>
      </c>
      <c r="N91" s="136">
        <f t="shared" si="10"/>
        <v>4.5490681035244233E-3</v>
      </c>
      <c r="O91" s="136">
        <f t="shared" si="10"/>
        <v>1.2420617185145149E-2</v>
      </c>
      <c r="P91" s="135">
        <f t="shared" si="10"/>
        <v>5.450057725227915E-2</v>
      </c>
      <c r="Q91" s="136">
        <f t="shared" si="10"/>
        <v>0.10886075949367088</v>
      </c>
      <c r="R91" s="136">
        <f t="shared" si="10"/>
        <v>2.2065373809360651E-2</v>
      </c>
      <c r="S91" s="135">
        <f t="shared" si="10"/>
        <v>2.1852842031849357E-2</v>
      </c>
      <c r="T91" s="136">
        <f t="shared" si="10"/>
        <v>2.1852842031849357E-2</v>
      </c>
      <c r="U91" s="136">
        <f t="shared" si="10"/>
        <v>9.9738139248305626E-3</v>
      </c>
      <c r="V91" s="136">
        <f t="shared" si="10"/>
        <v>1.2757752464033996E-2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2.2011137496701803E-3</v>
      </c>
      <c r="J92" s="136">
        <f t="shared" si="11"/>
        <v>0.20083391243919388</v>
      </c>
      <c r="K92" s="136">
        <f t="shared" si="11"/>
        <v>6.1449232802290574E-2</v>
      </c>
      <c r="L92" s="135">
        <f t="shared" si="11"/>
        <v>2.4024601191620219E-2</v>
      </c>
      <c r="M92" s="136">
        <f t="shared" si="11"/>
        <v>2.4024601191620219E-2</v>
      </c>
      <c r="N92" s="136">
        <f t="shared" si="11"/>
        <v>7.817330624503134E-3</v>
      </c>
      <c r="O92" s="136">
        <f t="shared" si="11"/>
        <v>8.7308104062944984E-4</v>
      </c>
      <c r="P92" s="135">
        <f t="shared" si="11"/>
        <v>1.9415275595856033E-3</v>
      </c>
      <c r="Q92" s="136">
        <f t="shared" si="11"/>
        <v>0.18291139240506327</v>
      </c>
      <c r="R92" s="136">
        <f t="shared" si="11"/>
        <v>5.7356266703213865E-2</v>
      </c>
      <c r="S92" s="135">
        <f t="shared" si="11"/>
        <v>1.45298151807509E-2</v>
      </c>
      <c r="T92" s="136">
        <f t="shared" si="11"/>
        <v>1.45298151807509E-2</v>
      </c>
      <c r="U92" s="136">
        <f t="shared" si="11"/>
        <v>6.8160813308687602E-3</v>
      </c>
      <c r="V92" s="136">
        <f t="shared" si="11"/>
        <v>7.8624446586856613E-4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41533-CCF4-4CAA-8047-55FDFEB80C98}">
  <sheetPr>
    <tabColor rgb="FFFFFFCC"/>
  </sheetPr>
  <dimension ref="A1:L37"/>
  <sheetViews>
    <sheetView workbookViewId="0">
      <selection sqref="A1:L1"/>
    </sheetView>
  </sheetViews>
  <sheetFormatPr defaultRowHeight="15" x14ac:dyDescent="0.25"/>
  <cols>
    <col min="1" max="1" width="28.85546875" customWidth="1"/>
    <col min="3" max="3" width="8.85546875" customWidth="1"/>
  </cols>
  <sheetData>
    <row r="1" spans="1:12" ht="15.75" x14ac:dyDescent="0.25">
      <c r="A1" s="217" t="s">
        <v>232</v>
      </c>
      <c r="B1" s="217"/>
      <c r="C1" s="217"/>
      <c r="D1" s="217"/>
      <c r="E1" s="217"/>
      <c r="F1" s="217"/>
      <c r="G1" s="217"/>
      <c r="H1" s="217"/>
      <c r="I1" s="217"/>
      <c r="J1" s="217"/>
      <c r="K1" s="217"/>
      <c r="L1" s="217"/>
    </row>
    <row r="2" spans="1:12" x14ac:dyDescent="0.25">
      <c r="A2" s="216" t="s">
        <v>282</v>
      </c>
      <c r="B2" s="216"/>
      <c r="C2" s="216"/>
      <c r="D2" s="216"/>
      <c r="E2" s="216"/>
      <c r="F2" s="216"/>
      <c r="G2" s="216"/>
      <c r="H2" s="216"/>
      <c r="I2" s="216"/>
      <c r="J2" s="216"/>
      <c r="K2" s="216"/>
      <c r="L2" s="216"/>
    </row>
    <row r="3" spans="1:12" ht="15.75" thickBot="1" x14ac:dyDescent="0.3"/>
    <row r="4" spans="1:12" x14ac:dyDescent="0.25">
      <c r="A4" s="74"/>
      <c r="B4" s="218" t="s">
        <v>47</v>
      </c>
      <c r="C4" s="219"/>
      <c r="D4" s="219"/>
      <c r="E4" s="219"/>
      <c r="F4" s="219"/>
      <c r="G4" s="219"/>
      <c r="H4" s="219"/>
      <c r="I4" s="219"/>
      <c r="J4" s="219"/>
      <c r="K4" s="219"/>
      <c r="L4" s="220"/>
    </row>
    <row r="5" spans="1:12" ht="15.75" thickBot="1" x14ac:dyDescent="0.3">
      <c r="A5" s="75" t="s">
        <v>2</v>
      </c>
      <c r="B5" s="71">
        <v>2019</v>
      </c>
      <c r="C5" s="69">
        <v>2020</v>
      </c>
      <c r="D5" s="69">
        <v>2021</v>
      </c>
      <c r="E5" s="69">
        <v>2022</v>
      </c>
      <c r="F5" s="69">
        <v>2023</v>
      </c>
      <c r="G5" s="69">
        <v>2024</v>
      </c>
      <c r="H5" s="69">
        <v>2025</v>
      </c>
      <c r="I5" s="69">
        <v>2026</v>
      </c>
      <c r="J5" s="69">
        <v>2027</v>
      </c>
      <c r="K5" s="69">
        <v>2028</v>
      </c>
      <c r="L5" s="70">
        <v>2029</v>
      </c>
    </row>
    <row r="6" spans="1:12" x14ac:dyDescent="0.25">
      <c r="A6" s="76" t="s">
        <v>8</v>
      </c>
      <c r="B6" s="72">
        <f ca="1">IF(B5&lt;2021,OFFSET(Points!$D$4,MATCH(B5,Points!$A$5:$A$26,0),0)-OFFSET(Points!$D$36,MATCH(B5,Points!$A$37:$A$190,0)+3,0),OFFSET(Points!$D$4,MATCH(B5&amp;"CTL",Points!$A$5:$A$26,0),0)-OFFSET(Points!$D$36,MATCH(B5&amp;"CTL",Points!$A$37:$A$190,0)+3,0))</f>
        <v>0.56834850627927591</v>
      </c>
      <c r="C6" s="67">
        <f ca="1">IF(C5&lt;2021,OFFSET(Points!$D$4,MATCH(C5,Points!$A$5:$A$26,0),0)-OFFSET(Points!$D$36,MATCH(C5,Points!$A$37:$A$190,0)+3,0),OFFSET(Points!$D$4,MATCH(C5&amp;"CTL",Points!$A$5:$A$26,0),0)-OFFSET(Points!$D$36,MATCH(C5&amp;"CTL",Points!$A$37:$A$190,0)+3,0))</f>
        <v>0.582632516840624</v>
      </c>
      <c r="D6" s="67">
        <f ca="1">IF(D5&lt;2021,OFFSET(Points!$D$4,MATCH(D5,Points!$A$5:$A$26,0),0)-OFFSET(Points!$D$36,MATCH(D5,Points!$A$37:$A$190,0)+3,0),OFFSET(Points!$D$4,MATCH(D5&amp;"CTL",Points!$A$5:$A$26,0),0)-OFFSET(Points!$D$36,MATCH(D5&amp;"CTL",Points!$A$37:$A$190,0)+3,0))</f>
        <v>0.59965093772475464</v>
      </c>
      <c r="E6" s="67">
        <f ca="1">IF(E5&lt;2021,OFFSET(Points!$D$4,MATCH(E5,Points!$A$5:$A$26,0),0)-OFFSET(Points!$D$36,MATCH(E5,Points!$A$37:$A$190,0)+3,0),OFFSET(Points!$D$4,MATCH(E5&amp;"CTL",Points!$A$5:$A$26,0),0)-OFFSET(Points!$D$36,MATCH(E5&amp;"CTL",Points!$A$37:$A$190,0)+3,0))</f>
        <v>0.60712339127595405</v>
      </c>
      <c r="F6" s="67">
        <f ca="1">IF(F5&lt;2021,OFFSET(Points!$D$4,MATCH(F5,Points!$A$5:$A$26,0),0)-OFFSET(Points!$D$36,MATCH(F5,Points!$A$37:$A$190,0)+3,0),OFFSET(Points!$D$4,MATCH(F5&amp;"CTL",Points!$A$5:$A$26,0),0)-OFFSET(Points!$D$36,MATCH(F5&amp;"CTL",Points!$A$37:$A$190,0)+3,0))</f>
        <v>0.61122693459358435</v>
      </c>
      <c r="G6" s="67">
        <f ca="1">IF(G5&lt;2021,OFFSET(Points!$D$4,MATCH(G5,Points!$A$5:$A$26,0),0)-OFFSET(Points!$D$36,MATCH(G5,Points!$A$37:$A$190,0)+3,0),OFFSET(Points!$D$4,MATCH(G5&amp;"CTL",Points!$A$5:$A$26,0),0)-OFFSET(Points!$D$36,MATCH(G5&amp;"CTL",Points!$A$37:$A$190,0)+3,0))</f>
        <v>0.61547654088309223</v>
      </c>
      <c r="H6" s="67">
        <f ca="1">IF(H5&lt;2021,OFFSET(Points!$D$4,MATCH(H5,Points!$A$5:$A$26,0),0)-OFFSET(Points!$D$36,MATCH(H5,Points!$A$37:$A$190,0)+3,0),OFFSET(Points!$D$4,MATCH(H5&amp;"CTL",Points!$A$5:$A$26,0),0)-OFFSET(Points!$D$36,MATCH(H5&amp;"CTL",Points!$A$37:$A$190,0)+3,0))</f>
        <v>0.619828391252919</v>
      </c>
      <c r="I6" s="67">
        <f ca="1">IF(I5&lt;2021,OFFSET(Points!$D$4,MATCH(I5,Points!$A$5:$A$26,0),0)-OFFSET(Points!$D$36,MATCH(I5,Points!$A$37:$A$190,0)+3,0),OFFSET(Points!$D$4,MATCH(I5&amp;"CTL",Points!$A$5:$A$26,0),0)-OFFSET(Points!$D$36,MATCH(I5&amp;"CTL",Points!$A$37:$A$190,0)+3,0))</f>
        <v>0.62400862474831886</v>
      </c>
      <c r="J6" s="67">
        <f ca="1">IF(J5&lt;2021,OFFSET(Points!$D$4,MATCH(J5,Points!$A$5:$A$26,0),0)-OFFSET(Points!$D$36,MATCH(J5,Points!$A$37:$A$190,0)+3,0),OFFSET(Points!$D$4,MATCH(J5&amp;"CTL",Points!$A$5:$A$26,0),0)-OFFSET(Points!$D$36,MATCH(J5&amp;"CTL",Points!$A$37:$A$190,0)+3,0))</f>
        <v>0.62818885824371928</v>
      </c>
      <c r="K6" s="67">
        <f ca="1">IF(K5&lt;2021,OFFSET(Points!$D$4,MATCH(K5,Points!$A$5:$A$26,0),0)-OFFSET(Points!$D$36,MATCH(K5,Points!$A$37:$A$190,0)+3,0),OFFSET(Points!$D$4,MATCH(K5&amp;"CTL",Points!$A$5:$A$26,0),0)-OFFSET(Points!$D$36,MATCH(K5&amp;"CTL",Points!$A$37:$A$190,0)+3,0))</f>
        <v>0.63236909173911893</v>
      </c>
      <c r="L6" s="68">
        <f ca="1">IF(L5&lt;2021,OFFSET(Points!$D$4,MATCH(L5,Points!$A$5:$A$26,0),0)-OFFSET(Points!$D$36,MATCH(L5,Points!$A$37:$A$190,0)+3,0),OFFSET(Points!$D$4,MATCH(L5&amp;"CTL",Points!$A$5:$A$26,0),0)-OFFSET(Points!$D$36,MATCH(L5&amp;"CTL",Points!$A$37:$A$190,0)+3,0))</f>
        <v>0.63654932523451901</v>
      </c>
    </row>
    <row r="7" spans="1:12" x14ac:dyDescent="0.25">
      <c r="A7" s="77" t="s">
        <v>48</v>
      </c>
      <c r="B7" s="73">
        <f ca="1">OFFSET(SpaceHeat!$D$42,0,MATCH(B$5,SpaceHeat!$E$28:$O$28,0))</f>
        <v>1.9094304713600976</v>
      </c>
      <c r="C7" s="65">
        <f ca="1">OFFSET(SpaceHeat!$D$42,0,MATCH(C$5,SpaceHeat!$E$28:$O$28,0))</f>
        <v>1.5561143898482794</v>
      </c>
      <c r="D7" s="65">
        <f ca="1">OFFSET(SpaceHeat!$D$42,0,MATCH(D$5,SpaceHeat!$E$28:$O$28,0))</f>
        <v>1.3770485764985674</v>
      </c>
      <c r="E7" s="65">
        <f ca="1">OFFSET(SpaceHeat!$D$42,0,MATCH(E$5,SpaceHeat!$E$28:$O$28,0))</f>
        <v>1.0858479751772214</v>
      </c>
      <c r="F7" s="65">
        <f ca="1">OFFSET(SpaceHeat!$D$42,0,MATCH(F$5,SpaceHeat!$E$28:$O$28,0))</f>
        <v>0.88906556807822823</v>
      </c>
      <c r="G7" s="65">
        <f ca="1">OFFSET(SpaceHeat!$D$42,0,MATCH(G$5,SpaceHeat!$E$28:$O$28,0))</f>
        <v>0.73951260659173412</v>
      </c>
      <c r="H7" s="65">
        <f ca="1">OFFSET(SpaceHeat!$D$42,0,MATCH(H$5,SpaceHeat!$E$28:$O$28,0))</f>
        <v>0.62689383957674361</v>
      </c>
      <c r="I7" s="65">
        <f ca="1">OFFSET(SpaceHeat!$D$42,0,MATCH(I$5,SpaceHeat!$E$28:$O$28,0))</f>
        <v>0.50673872347064641</v>
      </c>
      <c r="J7" s="65">
        <f ca="1">OFFSET(SpaceHeat!$D$42,0,MATCH(J$5,SpaceHeat!$E$28:$O$28,0))</f>
        <v>0.40904227825523476</v>
      </c>
      <c r="K7" s="65">
        <f ca="1">OFFSET(SpaceHeat!$D$42,0,MATCH(K$5,SpaceHeat!$E$28:$O$28,0))</f>
        <v>0.33097604850848095</v>
      </c>
      <c r="L7" s="66">
        <f ca="1">OFFSET(SpaceHeat!$D$42,0,MATCH(L$5,SpaceHeat!$E$28:$O$28,0))</f>
        <v>0.27572650638693474</v>
      </c>
    </row>
    <row r="8" spans="1:12" x14ac:dyDescent="0.25">
      <c r="A8" s="77" t="s">
        <v>49</v>
      </c>
      <c r="B8" s="73" cm="1">
        <f t="array" aca="1" ref="B8" ca="1">INDIRECT("'"&amp;B$5&amp;"NRARSummary'!B5")</f>
        <v>0.22413097102002566</v>
      </c>
      <c r="C8" s="73" cm="1">
        <f t="array" aca="1" ref="C8" ca="1">INDIRECT("'"&amp;C$5&amp;"NRARSummary'!B5")</f>
        <v>0.22658341351903982</v>
      </c>
      <c r="D8" s="73" cm="1">
        <f t="array" aca="1" ref="D8" ca="1">INDIRECT("'"&amp;D$5&amp;"NRARSummary'!B5")</f>
        <v>0.2296271341784937</v>
      </c>
      <c r="E8" s="73" cm="1">
        <f t="array" aca="1" ref="E8" ca="1">INDIRECT("'"&amp;E$5&amp;"NRARSummary'!B5")</f>
        <v>0.23322985791979625</v>
      </c>
      <c r="F8" s="73" cm="1">
        <f t="array" aca="1" ref="F8" ca="1">INDIRECT("'"&amp;F$5&amp;"NRARSummary'!B5")</f>
        <v>0.23670179076234138</v>
      </c>
      <c r="G8" s="73" cm="1">
        <f t="array" aca="1" ref="G8" ca="1">INDIRECT("'"&amp;G$5&amp;"NRARSummary'!B5")</f>
        <v>0.23979661599305896</v>
      </c>
      <c r="H8" s="170">
        <f ca="1">AVERAGE(G8,I8)</f>
        <v>0.24269174789109432</v>
      </c>
      <c r="I8" s="171" cm="1">
        <f t="array" aca="1" ref="I8" ca="1">INDIRECT("'"&amp;I$5&amp;"NRARSummary'!B5")</f>
        <v>0.24558687978912971</v>
      </c>
      <c r="J8" s="170">
        <f ca="1">$I8+($L8-$I8)*(J$5-$I$5)/($L$5-$I$5)</f>
        <v>0.23925239103243309</v>
      </c>
      <c r="K8" s="170">
        <f ca="1">$I8+($L8-$I8)*(K$5-$I$5)/($L$5-$I$5)</f>
        <v>0.23291790227573644</v>
      </c>
      <c r="L8" s="66">
        <v>0.22658341351903982</v>
      </c>
    </row>
    <row r="9" spans="1:12" x14ac:dyDescent="0.25">
      <c r="A9" s="77" t="s">
        <v>51</v>
      </c>
      <c r="B9" s="73">
        <f ca="1">OFFSET(OnRoad!$C$6,MATCH(B5,OnRoad!$A$7:$A$17,0),0)</f>
        <v>0.21554490802050713</v>
      </c>
      <c r="C9" s="73">
        <f ca="1">OFFSET(OnRoad!$C$6,MATCH(C5,OnRoad!$A$7:$A$17,0),0)</f>
        <v>0.20311369212954972</v>
      </c>
      <c r="D9" s="73">
        <f ca="1">OFFSET(OnRoad!$C$6,MATCH(D5,OnRoad!$A$7:$A$17,0),0)</f>
        <v>0.19054574007651448</v>
      </c>
      <c r="E9" s="73">
        <f ca="1">OFFSET(OnRoad!$C$6,MATCH(E5,OnRoad!$A$7:$A$17,0),0)</f>
        <v>0.18068519137235634</v>
      </c>
      <c r="F9" s="73">
        <f ca="1">OFFSET(OnRoad!$C$6,MATCH(F5,OnRoad!$A$7:$A$17,0),0)</f>
        <v>0.17258761095396644</v>
      </c>
      <c r="G9" s="73">
        <f ca="1">OFFSET(OnRoad!$C$6,MATCH(G5,OnRoad!$A$7:$A$17,0),0)</f>
        <v>0.16280045236631813</v>
      </c>
      <c r="H9" s="171">
        <f ca="1">OFFSET(OnRoad!$C$6,MATCH(H5,OnRoad!$A$7:$A$17,0),0)</f>
        <v>0.15888478173070195</v>
      </c>
      <c r="I9" s="171">
        <f ca="1">OFFSET(OnRoad!$C$6,MATCH(I5,OnRoad!$A$7:$A$17,0),0)</f>
        <v>0.14561866773161886</v>
      </c>
      <c r="J9" s="171">
        <f ca="1">OFFSET(OnRoad!$C$6,MATCH(J5,OnRoad!$A$7:$A$17,0),0)</f>
        <v>0.13707332596246249</v>
      </c>
      <c r="K9" s="171">
        <f ca="1">OFFSET(OnRoad!$C$6,MATCH(K5,OnRoad!$A$7:$A$17,0),0)</f>
        <v>0.12952419791980024</v>
      </c>
      <c r="L9" s="66">
        <f ca="1">OFFSET(OnRoad!$C$6,MATCH(L5,OnRoad!$A$7:$A$17,0),0)</f>
        <v>0.12396382075344352</v>
      </c>
    </row>
    <row r="10" spans="1:12" ht="15.75" thickBot="1" x14ac:dyDescent="0.3">
      <c r="A10" s="81" t="s">
        <v>50</v>
      </c>
      <c r="B10" s="82" cm="1">
        <f t="array" aca="1" ref="B10" ca="1">INDIRECT("'"&amp;B$5&amp;"NRARSummary'!B9")</f>
        <v>0.24763507181116445</v>
      </c>
      <c r="C10" s="118" cm="1">
        <f t="array" aca="1" ref="C10" ca="1">INDIRECT("'"&amp;C$5&amp;"NRARSummary'!B9")</f>
        <v>0.2467877620331039</v>
      </c>
      <c r="D10" s="118" cm="1">
        <f t="array" aca="1" ref="D10" ca="1">INDIRECT("'"&amp;D$5&amp;"NRARSummary'!B9")</f>
        <v>0.24380242524276349</v>
      </c>
      <c r="E10" s="118" cm="1">
        <f t="array" aca="1" ref="E10" ca="1">INDIRECT("'"&amp;E$5&amp;"NRARSummary'!B9")</f>
        <v>0.24067478831748998</v>
      </c>
      <c r="F10" s="118" cm="1">
        <f t="array" aca="1" ref="F10" ca="1">INDIRECT("'"&amp;F$5&amp;"NRARSummary'!B9")</f>
        <v>0.23766401211875365</v>
      </c>
      <c r="G10" s="118" cm="1">
        <f t="array" aca="1" ref="G10" ca="1">INDIRECT("'"&amp;G$5&amp;"NRARSummary'!B9")</f>
        <v>0.23581445443578641</v>
      </c>
      <c r="H10" s="172">
        <f ca="1">AVERAGE(G10,I10)</f>
        <v>0.23585966809088865</v>
      </c>
      <c r="I10" s="172" cm="1">
        <f t="array" aca="1" ref="I10" ca="1">INDIRECT("'"&amp;I$5&amp;"NRARSummary'!B9")</f>
        <v>0.23590488174599089</v>
      </c>
      <c r="J10" s="172">
        <f ca="1">$I10+($L10-$I10)*(J$5-$I$5)/($L$5-$I$5)</f>
        <v>0.23555235411378264</v>
      </c>
      <c r="K10" s="172">
        <f ca="1">$I10+($L10-$I10)*(K$5-$I$5)/($L$5-$I$5)</f>
        <v>0.23519982648157442</v>
      </c>
      <c r="L10" s="100" cm="1">
        <f t="array" aca="1" ref="L10" ca="1">INDIRECT("'"&amp;L$5&amp;"NRARSummary'!B9")</f>
        <v>0.23484729884936617</v>
      </c>
    </row>
    <row r="11" spans="1:12" ht="15.75" thickBot="1" x14ac:dyDescent="0.3">
      <c r="A11" s="78" t="s">
        <v>17</v>
      </c>
      <c r="B11" s="88">
        <f ca="1">SUM(B6:B10)</f>
        <v>3.1650899284910712</v>
      </c>
      <c r="C11" s="89">
        <f t="shared" ref="C11:L11" ca="1" si="0">SUM(C6:C10)</f>
        <v>2.8152317743705968</v>
      </c>
      <c r="D11" s="89">
        <f t="shared" ca="1" si="0"/>
        <v>2.6406748137210938</v>
      </c>
      <c r="E11" s="89">
        <f t="shared" ca="1" si="0"/>
        <v>2.3475612040628175</v>
      </c>
      <c r="F11" s="89">
        <f t="shared" ca="1" si="0"/>
        <v>2.1472459165068738</v>
      </c>
      <c r="G11" s="89">
        <f t="shared" ca="1" si="0"/>
        <v>1.9934006702699896</v>
      </c>
      <c r="H11" s="89">
        <f t="shared" ca="1" si="0"/>
        <v>1.8841584285423476</v>
      </c>
      <c r="I11" s="89">
        <f t="shared" ca="1" si="0"/>
        <v>1.7578577774857047</v>
      </c>
      <c r="J11" s="89">
        <f t="shared" ca="1" si="0"/>
        <v>1.6491092076076326</v>
      </c>
      <c r="K11" s="89">
        <f t="shared" ca="1" si="0"/>
        <v>1.560987066924711</v>
      </c>
      <c r="L11" s="90">
        <f t="shared" ca="1" si="0"/>
        <v>1.4976703647433032</v>
      </c>
    </row>
    <row r="12" spans="1:12" ht="15.75" thickBot="1" x14ac:dyDescent="0.3">
      <c r="A12" s="87" t="s">
        <v>139</v>
      </c>
      <c r="B12" s="91"/>
      <c r="C12" s="92">
        <f ca="1">-(C11-B11)</f>
        <v>0.34985815412047438</v>
      </c>
      <c r="D12" s="92">
        <f t="shared" ref="D12:L12" ca="1" si="1">-(D11-C11)</f>
        <v>0.17455696064950299</v>
      </c>
      <c r="E12" s="92">
        <f t="shared" ca="1" si="1"/>
        <v>0.29311360965827626</v>
      </c>
      <c r="F12" s="92">
        <f t="shared" ca="1" si="1"/>
        <v>0.20031528755594374</v>
      </c>
      <c r="G12" s="92">
        <f t="shared" ca="1" si="1"/>
        <v>0.15384524623688423</v>
      </c>
      <c r="H12" s="92">
        <f t="shared" ca="1" si="1"/>
        <v>0.10924224172764196</v>
      </c>
      <c r="I12" s="92">
        <f t="shared" ca="1" si="1"/>
        <v>0.1263006510566429</v>
      </c>
      <c r="J12" s="92">
        <f t="shared" ca="1" si="1"/>
        <v>0.10874856987807213</v>
      </c>
      <c r="K12" s="92">
        <f t="shared" ca="1" si="1"/>
        <v>8.8122140682921568E-2</v>
      </c>
      <c r="L12" s="93">
        <f t="shared" ca="1" si="1"/>
        <v>6.3316702181407836E-2</v>
      </c>
    </row>
    <row r="13" spans="1:12" ht="15.75" thickBot="1" x14ac:dyDescent="0.3">
      <c r="A13" s="124" t="s">
        <v>148</v>
      </c>
      <c r="B13" s="125"/>
      <c r="C13" s="126">
        <f ca="1">1-C11/$B11</f>
        <v>0.11053656042160742</v>
      </c>
      <c r="D13" s="126">
        <f t="shared" ref="D13:L13" ca="1" si="2">1-D11/$B11</f>
        <v>0.16568727164728225</v>
      </c>
      <c r="E13" s="126">
        <f t="shared" ca="1" si="2"/>
        <v>0.25829557544925852</v>
      </c>
      <c r="F13" s="126">
        <f t="shared" ca="1" si="2"/>
        <v>0.32158454735263886</v>
      </c>
      <c r="G13" s="126">
        <f t="shared" ca="1" si="2"/>
        <v>0.37019145891367267</v>
      </c>
      <c r="H13" s="126">
        <f t="shared" ca="1" si="2"/>
        <v>0.40470619441748257</v>
      </c>
      <c r="I13" s="126">
        <f t="shared" ca="1" si="2"/>
        <v>0.44461047957529976</v>
      </c>
      <c r="J13" s="126">
        <f t="shared" ca="1" si="2"/>
        <v>0.47896924104338767</v>
      </c>
      <c r="K13" s="126">
        <f t="shared" ca="1" si="2"/>
        <v>0.50681114843744801</v>
      </c>
      <c r="L13" s="127">
        <f t="shared" ca="1" si="2"/>
        <v>0.52681585718567425</v>
      </c>
    </row>
    <row r="15" spans="1:12" x14ac:dyDescent="0.25">
      <c r="A15" s="120" t="s">
        <v>141</v>
      </c>
      <c r="B15" s="6">
        <f ca="1">5%*B11</f>
        <v>0.15825449642455358</v>
      </c>
    </row>
    <row r="16" spans="1:12" x14ac:dyDescent="0.25">
      <c r="A16" s="120" t="s">
        <v>143</v>
      </c>
      <c r="B16" s="121"/>
      <c r="C16" s="6">
        <f ca="1">$B15</f>
        <v>0.15825449642455358</v>
      </c>
      <c r="D16" s="6">
        <f ca="1">C16+$B15</f>
        <v>0.31650899284910716</v>
      </c>
      <c r="E16" s="6">
        <f t="shared" ref="E16:L16" ca="1" si="3">D16+$B15</f>
        <v>0.47476348927366074</v>
      </c>
      <c r="F16" s="6">
        <f t="shared" ca="1" si="3"/>
        <v>0.63301798569821432</v>
      </c>
      <c r="G16" s="6">
        <f t="shared" ca="1" si="3"/>
        <v>0.79127248212276791</v>
      </c>
      <c r="H16" s="6">
        <f t="shared" ca="1" si="3"/>
        <v>0.94952697854732149</v>
      </c>
      <c r="I16" s="6">
        <f t="shared" ca="1" si="3"/>
        <v>1.1077814749718751</v>
      </c>
      <c r="J16" s="6">
        <f t="shared" ca="1" si="3"/>
        <v>1.2660359713964286</v>
      </c>
      <c r="K16" s="6">
        <f t="shared" ca="1" si="3"/>
        <v>1.4242904678209822</v>
      </c>
      <c r="L16" s="6">
        <f t="shared" ca="1" si="3"/>
        <v>1.5825449642455358</v>
      </c>
    </row>
    <row r="17" spans="1:12" x14ac:dyDescent="0.25">
      <c r="A17" s="120" t="s">
        <v>144</v>
      </c>
      <c r="B17" s="121"/>
      <c r="C17" s="122">
        <f ca="1">C12</f>
        <v>0.34985815412047438</v>
      </c>
      <c r="D17" s="122">
        <f t="shared" ref="D17:L17" ca="1" si="4">C17+D12</f>
        <v>0.52441511476997738</v>
      </c>
      <c r="E17" s="122">
        <f t="shared" ca="1" si="4"/>
        <v>0.81752872442825364</v>
      </c>
      <c r="F17" s="122">
        <f t="shared" ca="1" si="4"/>
        <v>1.0178440119841974</v>
      </c>
      <c r="G17" s="122">
        <f t="shared" ca="1" si="4"/>
        <v>1.1716892582210816</v>
      </c>
      <c r="H17" s="122">
        <f t="shared" ca="1" si="4"/>
        <v>1.2809314999487236</v>
      </c>
      <c r="I17" s="122">
        <f t="shared" ca="1" si="4"/>
        <v>1.4072321510053665</v>
      </c>
      <c r="J17" s="122">
        <f t="shared" ca="1" si="4"/>
        <v>1.5159807208834386</v>
      </c>
      <c r="K17" s="122">
        <f t="shared" ca="1" si="4"/>
        <v>1.6041028615663602</v>
      </c>
      <c r="L17" s="122">
        <f t="shared" ca="1" si="4"/>
        <v>1.667419563747768</v>
      </c>
    </row>
    <row r="18" spans="1:12" x14ac:dyDescent="0.25">
      <c r="A18" s="120" t="s">
        <v>145</v>
      </c>
      <c r="B18" s="121"/>
      <c r="C18" s="123">
        <f ca="1">C17-C16</f>
        <v>0.1916036576959208</v>
      </c>
      <c r="D18" s="123">
        <f t="shared" ref="D18:L18" ca="1" si="5">D17-D16</f>
        <v>0.20790612192087021</v>
      </c>
      <c r="E18" s="123">
        <f t="shared" ca="1" si="5"/>
        <v>0.3427652351545929</v>
      </c>
      <c r="F18" s="123">
        <f t="shared" ca="1" si="5"/>
        <v>0.38482602628598306</v>
      </c>
      <c r="G18" s="123">
        <f t="shared" ca="1" si="5"/>
        <v>0.3804167760983137</v>
      </c>
      <c r="H18" s="123">
        <f t="shared" ca="1" si="5"/>
        <v>0.33140452140140209</v>
      </c>
      <c r="I18" s="123">
        <f t="shared" ca="1" si="5"/>
        <v>0.2994506760334914</v>
      </c>
      <c r="J18" s="123">
        <f t="shared" ca="1" si="5"/>
        <v>0.24994474948700995</v>
      </c>
      <c r="K18" s="123">
        <f t="shared" ca="1" si="5"/>
        <v>0.17981239374537794</v>
      </c>
      <c r="L18" s="123">
        <f t="shared" ca="1" si="5"/>
        <v>8.4874599502232195E-2</v>
      </c>
    </row>
    <row r="20" spans="1:12" ht="15.75" thickBot="1" x14ac:dyDescent="0.3"/>
    <row r="21" spans="1:12" x14ac:dyDescent="0.25">
      <c r="A21" s="74"/>
      <c r="B21" s="221" t="s">
        <v>97</v>
      </c>
      <c r="C21" s="219"/>
      <c r="D21" s="219"/>
      <c r="E21" s="219"/>
      <c r="F21" s="219"/>
      <c r="G21" s="219"/>
      <c r="H21" s="219"/>
      <c r="I21" s="219"/>
      <c r="J21" s="219"/>
      <c r="K21" s="219"/>
      <c r="L21" s="220"/>
    </row>
    <row r="22" spans="1:12" ht="15.75" thickBot="1" x14ac:dyDescent="0.3">
      <c r="A22" s="75" t="s">
        <v>2</v>
      </c>
      <c r="B22" s="84">
        <v>2019</v>
      </c>
      <c r="C22" s="69">
        <v>2020</v>
      </c>
      <c r="D22" s="69">
        <v>2021</v>
      </c>
      <c r="E22" s="69">
        <v>2022</v>
      </c>
      <c r="F22" s="69">
        <v>2023</v>
      </c>
      <c r="G22" s="69">
        <v>2024</v>
      </c>
      <c r="H22" s="69">
        <v>2025</v>
      </c>
      <c r="I22" s="69">
        <v>2026</v>
      </c>
      <c r="J22" s="69">
        <v>2027</v>
      </c>
      <c r="K22" s="69">
        <v>2028</v>
      </c>
      <c r="L22" s="70">
        <v>2029</v>
      </c>
    </row>
    <row r="23" spans="1:12" x14ac:dyDescent="0.25">
      <c r="A23" s="76" t="s">
        <v>8</v>
      </c>
      <c r="B23" s="72">
        <f ca="1">IF(B22&lt;2021,OFFSET(Points!$F$4,MATCH(B22,Points!$A$5:$A$26,0),0)-OFFSET(Points!$F$36,MATCH(B22,Points!$A$37:$A$190,0)+3,0),OFFSET(Points!$F$4,MATCH(B22&amp;"CTL",Points!$A$5:$A$26,0),0)-OFFSET(Points!$F$36,MATCH(B22&amp;"CTL",Points!$A$37:$A$190,0)+3,0))</f>
        <v>5.6844999367542286</v>
      </c>
      <c r="C23" s="67">
        <f ca="1">IF(C22&lt;2021,OFFSET(Points!$F$4,MATCH(C22,Points!$A$5:$A$26,0),0)-OFFSET(Points!$F$36,MATCH(C22,Points!$A$37:$A$190,0)+3,0),OFFSET(Points!$F$4,MATCH(C22&amp;"CTL",Points!$A$5:$A$26,0),0)-OFFSET(Points!$F$36,MATCH(C22&amp;"CTL",Points!$A$37:$A$190,0)+3,0))</f>
        <v>5.827365548672776</v>
      </c>
      <c r="D23" s="67">
        <f ca="1">IF(D22&lt;2021,OFFSET(Points!$F$4,MATCH(D22,Points!$A$5:$A$26,0),0)-OFFSET(Points!$F$36,MATCH(D22,Points!$A$37:$A$190,0)+3,0),OFFSET(Points!$F$4,MATCH(D22&amp;"CTL",Points!$A$5:$A$26,0),0)-OFFSET(Points!$F$36,MATCH(D22&amp;"CTL",Points!$A$37:$A$190,0)+3,0))</f>
        <v>4.7652120974280905</v>
      </c>
      <c r="E23" s="67">
        <f ca="1">IF(E22&lt;2021,OFFSET(Points!$F$4,MATCH(E22,Points!$A$5:$A$26,0),0)-OFFSET(Points!$F$36,MATCH(E22,Points!$A$37:$A$190,0)+3,0),OFFSET(Points!$F$4,MATCH(E22&amp;"CTL",Points!$A$5:$A$26,0),0)-OFFSET(Points!$F$36,MATCH(E22&amp;"CTL",Points!$A$37:$A$190,0)+3,0))</f>
        <v>4.8245930202608829</v>
      </c>
      <c r="F23" s="67">
        <f ca="1">IF(F22&lt;2021,OFFSET(Points!$F$4,MATCH(F22,Points!$A$5:$A$26,0),0)-OFFSET(Points!$F$36,MATCH(F22,Points!$A$37:$A$190,0)+3,0),OFFSET(Points!$F$4,MATCH(F22&amp;"CTL",Points!$A$5:$A$26,0),0)-OFFSET(Points!$F$36,MATCH(F22&amp;"CTL",Points!$A$37:$A$190,0)+3,0))</f>
        <v>4.727708081200543</v>
      </c>
      <c r="G23" s="67">
        <f ca="1">IF(G22&lt;2021,OFFSET(Points!$F$4,MATCH(G22,Points!$A$5:$A$26,0),0)-OFFSET(Points!$F$36,MATCH(G22,Points!$A$37:$A$190,0)+3,0),OFFSET(Points!$F$4,MATCH(G22&amp;"CTL",Points!$A$5:$A$26,0),0)-OFFSET(Points!$F$36,MATCH(G22&amp;"CTL",Points!$A$37:$A$190,0)+3,0))</f>
        <v>2.8141240384872148</v>
      </c>
      <c r="H23" s="67">
        <f ca="1">IF(H22&lt;2021,OFFSET(Points!$F$4,MATCH(H22,Points!$A$5:$A$26,0),0)-OFFSET(Points!$F$36,MATCH(H22,Points!$A$37:$A$190,0)+3,0),OFFSET(Points!$F$4,MATCH(H22&amp;"CTL",Points!$A$5:$A$26,0),0)-OFFSET(Points!$F$36,MATCH(H22&amp;"CTL",Points!$A$37:$A$190,0)+3,0))</f>
        <v>2.8340218671194117</v>
      </c>
      <c r="I23" s="67">
        <f ca="1">IF(I22&lt;2021,OFFSET(Points!$F$4,MATCH(I22,Points!$A$5:$A$26,0),0)-OFFSET(Points!$F$36,MATCH(I22,Points!$A$37:$A$190,0)+3,0),OFFSET(Points!$F$4,MATCH(I22&amp;"CTL",Points!$A$5:$A$26,0),0)-OFFSET(Points!$F$36,MATCH(I22&amp;"CTL",Points!$A$37:$A$190,0)+3,0))</f>
        <v>2.8531350173119696</v>
      </c>
      <c r="J23" s="67">
        <f ca="1">IF(J22&lt;2021,OFFSET(Points!$F$4,MATCH(J22,Points!$A$5:$A$26,0),0)-OFFSET(Points!$F$36,MATCH(J22,Points!$A$37:$A$190,0)+3,0),OFFSET(Points!$F$4,MATCH(J22&amp;"CTL",Points!$A$5:$A$26,0),0)-OFFSET(Points!$F$36,MATCH(J22&amp;"CTL",Points!$A$37:$A$190,0)+3,0))</f>
        <v>2.8722481675045284</v>
      </c>
      <c r="K23" s="67">
        <f ca="1">IF(K22&lt;2021,OFFSET(Points!$F$4,MATCH(K22,Points!$A$5:$A$26,0),0)-OFFSET(Points!$F$36,MATCH(K22,Points!$A$37:$A$190,0)+3,0),OFFSET(Points!$F$4,MATCH(K22&amp;"CTL",Points!$A$5:$A$26,0),0)-OFFSET(Points!$F$36,MATCH(K22&amp;"CTL",Points!$A$37:$A$190,0)+3,0))</f>
        <v>2.8913613176970849</v>
      </c>
      <c r="L23" s="68">
        <f ca="1">IF(L22&lt;2021,OFFSET(Points!$F$4,MATCH(L22,Points!$A$5:$A$26,0),0)-OFFSET(Points!$F$36,MATCH(L22,Points!$A$37:$A$190,0)+3,0),OFFSET(Points!$F$4,MATCH(L22&amp;"CTL",Points!$A$5:$A$26,0),0)-OFFSET(Points!$F$36,MATCH(L22&amp;"CTL",Points!$A$37:$A$190,0)+3,0))</f>
        <v>2.9104744678896437</v>
      </c>
    </row>
    <row r="24" spans="1:12" x14ac:dyDescent="0.25">
      <c r="A24" s="77" t="s">
        <v>48</v>
      </c>
      <c r="B24" s="85">
        <f ca="1">OFFSET(SpaceHeat!$D$59,0,MATCH(B$5,SpaceHeat!$E$28:$O$28,0))</f>
        <v>3.8812668552980054</v>
      </c>
      <c r="C24" s="65">
        <f ca="1">OFFSET(SpaceHeat!$D$59,0,MATCH(C$5,SpaceHeat!$E$28:$O$28,0))</f>
        <v>3.9767728100251256</v>
      </c>
      <c r="D24" s="65">
        <f ca="1">OFFSET(SpaceHeat!$D$59,0,MATCH(D$5,SpaceHeat!$E$28:$O$28,0))</f>
        <v>4.1094801337356985</v>
      </c>
      <c r="E24" s="65">
        <f ca="1">OFFSET(SpaceHeat!$D$59,0,MATCH(E$5,SpaceHeat!$E$28:$O$28,0))</f>
        <v>4.1719041807461679</v>
      </c>
      <c r="F24" s="65">
        <f ca="1">OFFSET(SpaceHeat!$D$59,0,MATCH(F$5,SpaceHeat!$E$28:$O$28,0))</f>
        <v>2.2781940123463409</v>
      </c>
      <c r="G24" s="65">
        <f ca="1">OFFSET(SpaceHeat!$D$59,0,MATCH(G$5,SpaceHeat!$E$28:$O$28,0))</f>
        <v>2.2692728502185142</v>
      </c>
      <c r="H24" s="65">
        <f ca="1">OFFSET(SpaceHeat!$D$59,0,MATCH(H$5,SpaceHeat!$E$28:$O$28,0))</f>
        <v>2.2697842745983352</v>
      </c>
      <c r="I24" s="65">
        <f ca="1">OFFSET(SpaceHeat!$D$59,0,MATCH(I$5,SpaceHeat!$E$28:$O$28,0))</f>
        <v>2.2855415163930388</v>
      </c>
      <c r="J24" s="65">
        <f ca="1">OFFSET(SpaceHeat!$D$59,0,MATCH(J$5,SpaceHeat!$E$28:$O$28,0))</f>
        <v>2.1978715114981182</v>
      </c>
      <c r="K24" s="65">
        <f ca="1">OFFSET(SpaceHeat!$D$59,0,MATCH(K$5,SpaceHeat!$E$28:$O$28,0))</f>
        <v>2.1094220318171115</v>
      </c>
      <c r="L24" s="66">
        <f ca="1">OFFSET(SpaceHeat!$D$59,0,MATCH(L$5,SpaceHeat!$E$28:$O$28,0))</f>
        <v>1.9797911548991758</v>
      </c>
    </row>
    <row r="25" spans="1:12" x14ac:dyDescent="0.25">
      <c r="A25" s="77" t="s">
        <v>49</v>
      </c>
      <c r="B25" s="73" cm="1">
        <f t="array" aca="1" ref="B25" ca="1">INDIRECT("'"&amp;B$22&amp;"NRARSummary'!D5")</f>
        <v>2.8155322517431434E-2</v>
      </c>
      <c r="C25" s="73" cm="1">
        <f t="array" aca="1" ref="C25" ca="1">INDIRECT("'"&amp;C$22&amp;"NRARSummary'!D5")</f>
        <v>2.8463398234057986E-2</v>
      </c>
      <c r="D25" s="73" cm="1">
        <f t="array" aca="1" ref="D25" ca="1">INDIRECT("'"&amp;D$22&amp;"NRARSummary'!D5")</f>
        <v>2.8845750286654218E-2</v>
      </c>
      <c r="E25" s="73" cm="1">
        <f t="array" aca="1" ref="E25" ca="1">INDIRECT("'"&amp;E$22&amp;"NRARSummary'!D5")</f>
        <v>2.9298324281296476E-2</v>
      </c>
      <c r="F25" s="73" cm="1">
        <f t="array" aca="1" ref="F25" ca="1">INDIRECT("'"&amp;F$22&amp;"NRARSummary'!D5")</f>
        <v>2.9734468329108525E-2</v>
      </c>
      <c r="G25" s="73" cm="1">
        <f t="array" aca="1" ref="G25" ca="1">INDIRECT("'"&amp;G$22&amp;"NRARSummary'!D5")</f>
        <v>3.0123240135652627E-2</v>
      </c>
      <c r="H25" s="170">
        <f ca="1">AVERAGE(G25,I25)</f>
        <v>3.0486926474710185E-2</v>
      </c>
      <c r="I25" s="171" cm="1">
        <f t="array" aca="1" ref="I25" ca="1">INDIRECT("'"&amp;I$22&amp;"NRARSummary'!D5")</f>
        <v>3.085061281376774E-2</v>
      </c>
      <c r="J25" s="170">
        <f ca="1">$I25+($L25-$I25)*(J$5-$I$5)/($L$5-$I$5)</f>
        <v>3.1196602421940344E-2</v>
      </c>
      <c r="K25" s="170">
        <f ca="1">$I25+($L25-$I25)*(K$5-$I$5)/($L$5-$I$5)</f>
        <v>3.1542592030112948E-2</v>
      </c>
      <c r="L25" s="66" cm="1">
        <f t="array" aca="1" ref="L25" ca="1">INDIRECT("'"&amp;L$22&amp;"NRARSummary'!D5")</f>
        <v>3.1888581638285549E-2</v>
      </c>
    </row>
    <row r="26" spans="1:12" x14ac:dyDescent="0.25">
      <c r="A26" s="77" t="s">
        <v>51</v>
      </c>
      <c r="B26" s="73">
        <f ca="1">OFFSET(OnRoad!$E$6,MATCH(B22,OnRoad!$A$7:$A$17,0),0)</f>
        <v>6.8616235596738713E-3</v>
      </c>
      <c r="C26" s="73">
        <f ca="1">OFFSET(OnRoad!$E$6,MATCH(C22,OnRoad!$A$7:$A$17,0),0)</f>
        <v>6.880424023629146E-3</v>
      </c>
      <c r="D26" s="73">
        <f ca="1">OFFSET(OnRoad!$E$6,MATCH(D22,OnRoad!$A$7:$A$17,0),0)</f>
        <v>6.8826212376879763E-3</v>
      </c>
      <c r="E26" s="73">
        <f ca="1">OFFSET(OnRoad!$E$6,MATCH(E22,OnRoad!$A$7:$A$17,0),0)</f>
        <v>6.8769364654461393E-3</v>
      </c>
      <c r="F26" s="73">
        <f ca="1">OFFSET(OnRoad!$E$6,MATCH(F22,OnRoad!$A$7:$A$17,0),0)</f>
        <v>6.8634541707886625E-3</v>
      </c>
      <c r="G26" s="73">
        <f ca="1">OFFSET(OnRoad!$E$6,MATCH(G22,OnRoad!$A$7:$A$17,0),0)</f>
        <v>6.8440027384484908E-3</v>
      </c>
      <c r="H26" s="171">
        <f ca="1">OFFSET(OnRoad!$E$6,MATCH(H22,OnRoad!$A$7:$A$17,0),0)</f>
        <v>7.0525778741141274E-3</v>
      </c>
      <c r="I26" s="171">
        <f ca="1">OFFSET(OnRoad!$E$6,MATCH(I22,OnRoad!$A$7:$A$17,0),0)</f>
        <v>6.7162490917116796E-3</v>
      </c>
      <c r="J26" s="171">
        <f ca="1">OFFSET(OnRoad!$E$6,MATCH(J22,OnRoad!$A$7:$A$17,0),0)</f>
        <v>6.6685156906709881E-3</v>
      </c>
      <c r="K26" s="171">
        <f ca="1">OFFSET(OnRoad!$E$6,MATCH(K22,OnRoad!$A$7:$A$17,0),0)</f>
        <v>6.6276919578522626E-3</v>
      </c>
      <c r="L26" s="66">
        <f ca="1">OFFSET(OnRoad!$E$6,MATCH(L22,OnRoad!$A$7:$A$17,0),0)</f>
        <v>6.5997177600011165E-3</v>
      </c>
    </row>
    <row r="27" spans="1:12" ht="15.75" thickBot="1" x14ac:dyDescent="0.3">
      <c r="A27" s="81" t="s">
        <v>50</v>
      </c>
      <c r="B27" s="119" cm="1">
        <f t="array" aca="1" ref="B27" ca="1">INDIRECT("'"&amp;B$22&amp;"NRARSummary'!D9")</f>
        <v>5.4086762159334674</v>
      </c>
      <c r="C27" s="83" cm="1">
        <f t="array" aca="1" ref="C27" ca="1">INDIRECT("'"&amp;C$22&amp;"NRARSummary'!D9")</f>
        <v>5.4432895925045406</v>
      </c>
      <c r="D27" s="83" cm="1">
        <f t="array" aca="1" ref="D27" ca="1">INDIRECT("'"&amp;D$22&amp;"NRARSummary'!D9")</f>
        <v>5.4783191222722634</v>
      </c>
      <c r="E27" s="83" cm="1">
        <f t="array" aca="1" ref="E27" ca="1">INDIRECT("'"&amp;E$22&amp;"NRARSummary'!D9")</f>
        <v>5.5137666145396897</v>
      </c>
      <c r="F27" s="83" cm="1">
        <f t="array" aca="1" ref="F27" ca="1">INDIRECT("'"&amp;F$22&amp;"NRARSummary'!D9")</f>
        <v>5.5496418877032472</v>
      </c>
      <c r="G27" s="83" cm="1">
        <f t="array" aca="1" ref="G27" ca="1">INDIRECT("'"&amp;G$22&amp;"NRARSummary'!D9")</f>
        <v>5.5859451031974858</v>
      </c>
      <c r="H27" s="172">
        <f ca="1">AVERAGE(G27,I27)</f>
        <v>5.6229049426803748</v>
      </c>
      <c r="I27" s="172" cm="1">
        <f t="array" aca="1" ref="I27" ca="1">INDIRECT("'"&amp;I$22&amp;"NRARSummary'!D9")</f>
        <v>5.6598647821632628</v>
      </c>
      <c r="J27" s="172">
        <f ca="1">$I27+($L27-$I27)*(J$5-$I$5)/($L$5-$I$5)</f>
        <v>5.697944837855486</v>
      </c>
      <c r="K27" s="172">
        <f ca="1">$I27+($L27-$I27)*(K$5-$I$5)/($L$5-$I$5)</f>
        <v>5.7360248935477083</v>
      </c>
      <c r="L27" s="100" cm="1">
        <f t="array" aca="1" ref="L27" ca="1">INDIRECT("'"&amp;L$22&amp;"NRARSummary'!D9")</f>
        <v>5.7741049492399315</v>
      </c>
    </row>
    <row r="28" spans="1:12" ht="15.75" thickBot="1" x14ac:dyDescent="0.3">
      <c r="A28" s="78" t="s">
        <v>17</v>
      </c>
      <c r="B28" s="86">
        <f ca="1">SUM(B23:B27)</f>
        <v>15.009459954062805</v>
      </c>
      <c r="C28" s="79">
        <f t="shared" ref="C28" ca="1" si="6">SUM(C23:C27)</f>
        <v>15.28277177346013</v>
      </c>
      <c r="D28" s="79">
        <f t="shared" ref="D28" ca="1" si="7">SUM(D23:D27)</f>
        <v>14.388739724960395</v>
      </c>
      <c r="E28" s="79">
        <f t="shared" ref="E28" ca="1" si="8">SUM(E23:E27)</f>
        <v>14.546439076293481</v>
      </c>
      <c r="F28" s="79">
        <f t="shared" ref="F28" ca="1" si="9">SUM(F23:F27)</f>
        <v>12.592141903750029</v>
      </c>
      <c r="G28" s="79">
        <f t="shared" ref="G28" ca="1" si="10">SUM(G23:G27)</f>
        <v>10.706309234777315</v>
      </c>
      <c r="H28" s="79">
        <f t="shared" ref="H28" ca="1" si="11">SUM(H23:H27)</f>
        <v>10.764250588746947</v>
      </c>
      <c r="I28" s="79">
        <f t="shared" ref="I28" ca="1" si="12">SUM(I23:I27)</f>
        <v>10.836108177773751</v>
      </c>
      <c r="J28" s="79">
        <f t="shared" ref="J28" ca="1" si="13">SUM(J23:J27)</f>
        <v>10.805929634970743</v>
      </c>
      <c r="K28" s="79">
        <f t="shared" ref="K28" ca="1" si="14">SUM(K23:K27)</f>
        <v>10.774978527049869</v>
      </c>
      <c r="L28" s="80">
        <f t="shared" ref="L28" ca="1" si="15">SUM(L23:L27)</f>
        <v>10.702858871427036</v>
      </c>
    </row>
    <row r="29" spans="1:12" ht="15.75" thickBot="1" x14ac:dyDescent="0.3">
      <c r="A29" s="87" t="s">
        <v>139</v>
      </c>
      <c r="B29" s="91"/>
      <c r="C29" s="92">
        <f t="shared" ref="C29:L29" ca="1" si="16">-(C28-B28)</f>
        <v>-0.27331181939732474</v>
      </c>
      <c r="D29" s="92">
        <f t="shared" ca="1" si="16"/>
        <v>0.89403204849973505</v>
      </c>
      <c r="E29" s="92">
        <f t="shared" ca="1" si="16"/>
        <v>-0.15769935133308621</v>
      </c>
      <c r="F29" s="92">
        <f t="shared" ca="1" si="16"/>
        <v>1.9542971725434519</v>
      </c>
      <c r="G29" s="92">
        <f t="shared" ca="1" si="16"/>
        <v>1.8858326689727143</v>
      </c>
      <c r="H29" s="92">
        <f t="shared" ca="1" si="16"/>
        <v>-5.7941353969631848E-2</v>
      </c>
      <c r="I29" s="92">
        <f t="shared" ca="1" si="16"/>
        <v>-7.1857589026803836E-2</v>
      </c>
      <c r="J29" s="92">
        <f t="shared" ca="1" si="16"/>
        <v>3.0178542803007247E-2</v>
      </c>
      <c r="K29" s="92">
        <f t="shared" ca="1" si="16"/>
        <v>3.0951107920873966E-2</v>
      </c>
      <c r="L29" s="93">
        <f t="shared" ca="1" si="16"/>
        <v>7.2119655622833179E-2</v>
      </c>
    </row>
    <row r="30" spans="1:12" ht="15.75" thickBot="1" x14ac:dyDescent="0.3">
      <c r="A30" s="124" t="s">
        <v>148</v>
      </c>
      <c r="B30" s="125"/>
      <c r="C30" s="126">
        <f ca="1">1-C28/$B28</f>
        <v>-1.8209304014522143E-2</v>
      </c>
      <c r="D30" s="126">
        <f t="shared" ref="D30:L30" ca="1" si="17">1-D28/$B28</f>
        <v>4.1355267344871494E-2</v>
      </c>
      <c r="E30" s="126">
        <f t="shared" ca="1" si="17"/>
        <v>3.0848603426533838E-2</v>
      </c>
      <c r="F30" s="126">
        <f t="shared" ca="1" si="17"/>
        <v>0.1610529664432363</v>
      </c>
      <c r="G30" s="126">
        <f t="shared" ca="1" si="17"/>
        <v>0.28669590594568328</v>
      </c>
      <c r="H30" s="126">
        <f t="shared" ca="1" si="17"/>
        <v>0.28283558357919147</v>
      </c>
      <c r="I30" s="126">
        <f t="shared" ca="1" si="17"/>
        <v>0.27804809693765165</v>
      </c>
      <c r="J30" s="126">
        <f t="shared" ca="1" si="17"/>
        <v>0.28005873175698359</v>
      </c>
      <c r="K30" s="126">
        <f t="shared" ca="1" si="17"/>
        <v>0.28212083845606539</v>
      </c>
      <c r="L30" s="127">
        <f t="shared" ca="1" si="17"/>
        <v>0.28692578519256084</v>
      </c>
    </row>
    <row r="32" spans="1:12" x14ac:dyDescent="0.25">
      <c r="A32" s="120" t="s">
        <v>140</v>
      </c>
      <c r="B32" s="6">
        <f ca="1">5%*B28</f>
        <v>0.75047299770314035</v>
      </c>
    </row>
    <row r="33" spans="1:12" x14ac:dyDescent="0.25">
      <c r="A33" s="120" t="s">
        <v>146</v>
      </c>
      <c r="B33" s="121"/>
      <c r="C33" s="6">
        <f ca="1">$B32</f>
        <v>0.75047299770314035</v>
      </c>
      <c r="D33" s="6">
        <f ca="1">C33+$B32</f>
        <v>1.5009459954062807</v>
      </c>
      <c r="E33" s="6">
        <f t="shared" ref="E33" ca="1" si="18">D33+$B32</f>
        <v>2.2514189931094211</v>
      </c>
      <c r="F33" s="6">
        <f t="shared" ref="F33" ca="1" si="19">E33+$B32</f>
        <v>3.0018919908125614</v>
      </c>
      <c r="G33" s="6">
        <f t="shared" ref="G33" ca="1" si="20">F33+$B32</f>
        <v>3.7523649885157018</v>
      </c>
      <c r="H33" s="6">
        <f t="shared" ref="H33" ca="1" si="21">G33+$B32</f>
        <v>4.5028379862188421</v>
      </c>
      <c r="I33" s="6">
        <f t="shared" ref="I33" ca="1" si="22">H33+$B32</f>
        <v>5.2533109839219829</v>
      </c>
      <c r="J33" s="6">
        <f t="shared" ref="J33" ca="1" si="23">I33+$B32</f>
        <v>6.0037839816251228</v>
      </c>
      <c r="K33" s="6">
        <f t="shared" ref="K33" ca="1" si="24">J33+$B32</f>
        <v>6.7542569793282627</v>
      </c>
      <c r="L33" s="6">
        <f t="shared" ref="L33" ca="1" si="25">K33+$B32</f>
        <v>7.5047299770314027</v>
      </c>
    </row>
    <row r="34" spans="1:12" x14ac:dyDescent="0.25">
      <c r="A34" s="120" t="s">
        <v>142</v>
      </c>
      <c r="B34" s="121"/>
      <c r="C34" s="122">
        <f ca="1">C29</f>
        <v>-0.27331181939732474</v>
      </c>
      <c r="D34" s="122">
        <f ca="1">C34+D29</f>
        <v>0.62072022910241031</v>
      </c>
      <c r="E34" s="122">
        <f t="shared" ref="E34:L34" ca="1" si="26">D34+E29</f>
        <v>0.4630208777693241</v>
      </c>
      <c r="F34" s="122">
        <f t="shared" ca="1" si="26"/>
        <v>2.417318050312776</v>
      </c>
      <c r="G34" s="122">
        <f t="shared" ca="1" si="26"/>
        <v>4.3031507192854903</v>
      </c>
      <c r="H34" s="122">
        <f t="shared" ca="1" si="26"/>
        <v>4.2452093653158585</v>
      </c>
      <c r="I34" s="122">
        <f t="shared" ca="1" si="26"/>
        <v>4.1733517762890546</v>
      </c>
      <c r="J34" s="122">
        <f t="shared" ca="1" si="26"/>
        <v>4.2035303190920619</v>
      </c>
      <c r="K34" s="122">
        <f t="shared" ca="1" si="26"/>
        <v>4.2344814270129358</v>
      </c>
      <c r="L34" s="122">
        <f t="shared" ca="1" si="26"/>
        <v>4.306601082635769</v>
      </c>
    </row>
    <row r="35" spans="1:12" x14ac:dyDescent="0.25">
      <c r="A35" s="120" t="s">
        <v>147</v>
      </c>
      <c r="B35" s="121"/>
      <c r="C35" s="123">
        <f ca="1">C34-C33</f>
        <v>-1.0237848171004651</v>
      </c>
      <c r="D35" s="123">
        <f t="shared" ref="D35" ca="1" si="27">D34-D33</f>
        <v>-0.88022576630387039</v>
      </c>
      <c r="E35" s="123">
        <f t="shared" ref="E35" ca="1" si="28">E34-E33</f>
        <v>-1.788398115340097</v>
      </c>
      <c r="F35" s="123">
        <f t="shared" ref="F35" ca="1" si="29">F34-F33</f>
        <v>-0.58457394049978539</v>
      </c>
      <c r="G35" s="123">
        <f t="shared" ref="G35" ca="1" si="30">G34-G33</f>
        <v>0.55078573076978854</v>
      </c>
      <c r="H35" s="123">
        <f t="shared" ref="H35" ca="1" si="31">H34-H33</f>
        <v>-0.25762862090298366</v>
      </c>
      <c r="I35" s="123">
        <f t="shared" ref="I35" ca="1" si="32">I34-I33</f>
        <v>-1.0799592076329283</v>
      </c>
      <c r="J35" s="123">
        <f t="shared" ref="J35" ca="1" si="33">J34-J33</f>
        <v>-1.800253662533061</v>
      </c>
      <c r="K35" s="123">
        <f t="shared" ref="K35" ca="1" si="34">K34-K33</f>
        <v>-2.5197755523153269</v>
      </c>
      <c r="L35" s="123">
        <f t="shared" ref="L35" ca="1" si="35">L34-L33</f>
        <v>-3.1981288943956336</v>
      </c>
    </row>
    <row r="37" spans="1:12" x14ac:dyDescent="0.25">
      <c r="A37" s="128"/>
    </row>
  </sheetData>
  <mergeCells count="4">
    <mergeCell ref="B4:L4"/>
    <mergeCell ref="A1:L1"/>
    <mergeCell ref="A2:L2"/>
    <mergeCell ref="B21:L21"/>
  </mergeCells>
  <conditionalFormatting sqref="C18">
    <cfRule type="cellIs" dxfId="29" priority="10" operator="lessThan">
      <formula>0</formula>
    </cfRule>
    <cfRule type="cellIs" dxfId="28" priority="11" operator="greaterThan">
      <formula>0</formula>
    </cfRule>
    <cfRule type="cellIs" dxfId="27" priority="12" operator="greaterThan">
      <formula>"="</formula>
    </cfRule>
  </conditionalFormatting>
  <conditionalFormatting sqref="D18:L18">
    <cfRule type="cellIs" dxfId="26" priority="7" operator="lessThan">
      <formula>0</formula>
    </cfRule>
    <cfRule type="cellIs" dxfId="25" priority="8" operator="greaterThan">
      <formula>0</formula>
    </cfRule>
    <cfRule type="cellIs" dxfId="24" priority="9" operator="greaterThan">
      <formula>"="</formula>
    </cfRule>
  </conditionalFormatting>
  <conditionalFormatting sqref="C35">
    <cfRule type="cellIs" dxfId="23" priority="4" operator="lessThan">
      <formula>0</formula>
    </cfRule>
    <cfRule type="cellIs" dxfId="22" priority="5" operator="greaterThan">
      <formula>0</formula>
    </cfRule>
    <cfRule type="cellIs" dxfId="21" priority="6" operator="greaterThan">
      <formula>"="</formula>
    </cfRule>
  </conditionalFormatting>
  <conditionalFormatting sqref="D35:L35">
    <cfRule type="cellIs" dxfId="20" priority="1" operator="lessThan">
      <formula>0</formula>
    </cfRule>
    <cfRule type="cellIs" dxfId="19" priority="2" operator="greaterThan">
      <formula>0</formula>
    </cfRule>
    <cfRule type="cellIs" dxfId="18" priority="3" operator="greaterThan">
      <formula>"="</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C3537-902D-4173-85F5-C9FCD7739F67}">
  <dimension ref="A1:BF35"/>
  <sheetViews>
    <sheetView workbookViewId="0"/>
  </sheetViews>
  <sheetFormatPr defaultRowHeight="15" x14ac:dyDescent="0.25"/>
  <cols>
    <col min="2" max="2" width="22.7109375" customWidth="1"/>
    <col min="3" max="17" width="8.7109375" customWidth="1"/>
  </cols>
  <sheetData>
    <row r="1" spans="1:17" x14ac:dyDescent="0.25">
      <c r="A1" s="168">
        <v>2019</v>
      </c>
      <c r="B1" s="137"/>
      <c r="C1" s="224" t="s">
        <v>0</v>
      </c>
      <c r="D1" s="224"/>
      <c r="E1" s="224"/>
      <c r="F1" s="224"/>
      <c r="G1" s="224"/>
      <c r="H1" s="224" t="s">
        <v>1</v>
      </c>
      <c r="I1" s="224"/>
      <c r="J1" s="224"/>
      <c r="K1" s="224"/>
      <c r="L1" s="224"/>
      <c r="M1" s="163"/>
      <c r="N1" s="163"/>
      <c r="O1" s="163"/>
      <c r="P1" s="163"/>
      <c r="Q1" s="163"/>
    </row>
    <row r="2" spans="1:17" x14ac:dyDescent="0.25">
      <c r="B2" s="138" t="s">
        <v>2</v>
      </c>
      <c r="C2" s="139" t="s">
        <v>3</v>
      </c>
      <c r="D2" s="139" t="s">
        <v>4</v>
      </c>
      <c r="E2" s="139" t="s">
        <v>5</v>
      </c>
      <c r="F2" s="139" t="s">
        <v>6</v>
      </c>
      <c r="G2" s="140" t="s">
        <v>7</v>
      </c>
      <c r="H2" s="139" t="s">
        <v>3</v>
      </c>
      <c r="I2" s="139" t="s">
        <v>4</v>
      </c>
      <c r="J2" s="139" t="s">
        <v>5</v>
      </c>
      <c r="K2" s="139" t="s">
        <v>6</v>
      </c>
      <c r="L2" s="140" t="s">
        <v>7</v>
      </c>
      <c r="M2" s="163"/>
      <c r="N2" s="163"/>
      <c r="O2" s="163"/>
      <c r="P2" s="163"/>
      <c r="Q2" s="163"/>
    </row>
    <row r="3" spans="1:17" x14ac:dyDescent="0.25">
      <c r="A3" s="2"/>
      <c r="B3" s="141" t="s">
        <v>8</v>
      </c>
      <c r="C3" s="3">
        <f ca="1">OFFSET(Points!$D$4,MATCH(IF($A$1&gt;2020,$A$1&amp;"CTL",$A$1),Points!$A$5:$A$26,0),0)</f>
        <v>0.5868864424193051</v>
      </c>
      <c r="D3" s="3">
        <f ca="1">OFFSET(Points!$G$4,MATCH(IF($A$1&gt;2020,$A$1&amp;"CTL",$A$1),Points!$A$5:$A$26,0),0)</f>
        <v>10.355866759878028</v>
      </c>
      <c r="E3" s="3">
        <f ca="1">OFFSET(Points!$F$4,MATCH(IF($A$1&gt;2020,$A$1&amp;"CTL",$A$1),Points!$A$5:$A$26,0),0)</f>
        <v>5.8668279022743048</v>
      </c>
      <c r="F3" s="3">
        <f ca="1">OFFSET(Points!$H$4,MATCH(IF($A$1&gt;2020,$A$1&amp;"CTL",$A$1),Points!$A$5:$A$26,0),0)</f>
        <v>3.2667369532411478E-2</v>
      </c>
      <c r="G3" s="143">
        <f ca="1">OFFSET(Points!$J$4,MATCH(IF($A$1&gt;2020,$A$1&amp;"CTL",$A$1),Points!$A$5:$A$26,0),0)</f>
        <v>7.3144326516053029E-2</v>
      </c>
      <c r="H3" s="144">
        <f t="shared" ref="H3:L12" ca="1" si="0">C3/C$12</f>
        <v>0.16037801195148832</v>
      </c>
      <c r="I3" s="4">
        <f t="shared" ca="1" si="0"/>
        <v>0.59512713563422526</v>
      </c>
      <c r="J3" s="4">
        <f t="shared" ca="1" si="0"/>
        <v>0.32874738494124045</v>
      </c>
      <c r="K3" s="4">
        <f t="shared" ca="1" si="0"/>
        <v>1.4849950455473281E-3</v>
      </c>
      <c r="L3" s="145">
        <f t="shared" ca="1" si="0"/>
        <v>0.22489215661366957</v>
      </c>
      <c r="M3" s="163"/>
      <c r="N3" s="163"/>
      <c r="O3" s="163"/>
      <c r="P3" s="163"/>
      <c r="Q3" s="163"/>
    </row>
    <row r="4" spans="1:17" x14ac:dyDescent="0.25">
      <c r="A4" s="2"/>
      <c r="B4" s="141" t="s">
        <v>9</v>
      </c>
      <c r="C4" s="142">
        <f>TabSpHt2019!$T$69</f>
        <v>2.2092999999999998</v>
      </c>
      <c r="D4" s="142">
        <f>TabSpHt2019!$R$69</f>
        <v>2.6086</v>
      </c>
      <c r="E4" s="142">
        <f>TabSpHt2019!$U$69</f>
        <v>4.1586999999999996</v>
      </c>
      <c r="F4" s="142">
        <f>TabSpHt2019!$V$69</f>
        <v>9.5526999999999997</v>
      </c>
      <c r="G4" s="143">
        <f>TabSpHt2019!$Q$69</f>
        <v>0.14449999999999999</v>
      </c>
      <c r="H4" s="4">
        <f t="shared" ca="1" si="0"/>
        <v>0.60373373142478304</v>
      </c>
      <c r="I4" s="4">
        <f t="shared" ca="1" si="0"/>
        <v>0.14991006373605806</v>
      </c>
      <c r="J4" s="4">
        <f t="shared" ca="1" si="0"/>
        <v>0.23303253010458164</v>
      </c>
      <c r="K4" s="4">
        <f t="shared" ca="1" si="0"/>
        <v>0.43424715165772282</v>
      </c>
      <c r="L4" s="145">
        <f t="shared" ca="1" si="0"/>
        <v>0.44428485678302243</v>
      </c>
      <c r="M4" s="163"/>
      <c r="N4" s="163"/>
      <c r="O4" s="163"/>
      <c r="P4" s="163"/>
      <c r="Q4" s="163"/>
    </row>
    <row r="5" spans="1:17" x14ac:dyDescent="0.25">
      <c r="A5" s="2"/>
      <c r="B5" s="146" t="s">
        <v>10</v>
      </c>
      <c r="C5" s="3">
        <f>C$4*TabSpHt2019!T89</f>
        <v>2.0529000000000002</v>
      </c>
      <c r="D5" s="3">
        <f>D$4*TabSpHt2019!R89</f>
        <v>0.44769999999999999</v>
      </c>
      <c r="E5" s="3">
        <f>E$4*TabSpHt2019!U89</f>
        <v>0.17059999999999997</v>
      </c>
      <c r="F5" s="3">
        <f>F$4*TabSpHt2019!V89</f>
        <v>9.3116000000000003</v>
      </c>
      <c r="G5" s="143">
        <f>G$4*TabSpHt2019!Q89</f>
        <v>9.6200000000000008E-2</v>
      </c>
      <c r="H5" s="4">
        <f t="shared" ca="1" si="0"/>
        <v>0.56099442232468988</v>
      </c>
      <c r="I5" s="4">
        <f t="shared" ca="1" si="0"/>
        <v>2.5728258657760173E-2</v>
      </c>
      <c r="J5" s="4">
        <f t="shared" ca="1" si="0"/>
        <v>9.5595617947535575E-3</v>
      </c>
      <c r="K5" s="4">
        <f t="shared" ca="1" si="0"/>
        <v>0.42328721485821308</v>
      </c>
      <c r="L5" s="145">
        <f t="shared" ca="1" si="0"/>
        <v>0.295779953097071</v>
      </c>
      <c r="M5" s="163"/>
      <c r="N5" s="163"/>
      <c r="O5" s="163"/>
      <c r="P5" s="163"/>
      <c r="Q5" s="163"/>
    </row>
    <row r="6" spans="1:17" x14ac:dyDescent="0.25">
      <c r="A6" s="2"/>
      <c r="B6" s="146" t="s">
        <v>11</v>
      </c>
      <c r="C6" s="3">
        <f>C$4*TabSpHt2019!T90</f>
        <v>6.5500000000000003E-2</v>
      </c>
      <c r="D6" s="3">
        <f>D$4*TabSpHt2019!R90</f>
        <v>1.9350000000000003</v>
      </c>
      <c r="E6" s="3">
        <f>E$4*TabSpHt2019!U90</f>
        <v>3.8693999999999997</v>
      </c>
      <c r="F6" s="3">
        <f>F$4*TabSpHt2019!V90</f>
        <v>0.10869999999999999</v>
      </c>
      <c r="G6" s="143">
        <f>G$4*TabSpHt2019!Q90</f>
        <v>3.6999999999999997E-3</v>
      </c>
      <c r="H6" s="4">
        <f t="shared" ca="1" si="0"/>
        <v>1.7899135204962339E-2</v>
      </c>
      <c r="I6" s="4">
        <f t="shared" ca="1" si="0"/>
        <v>0.11119986710468158</v>
      </c>
      <c r="J6" s="4">
        <f t="shared" ca="1" si="0"/>
        <v>0.21682162021465076</v>
      </c>
      <c r="K6" s="4">
        <f t="shared" ca="1" si="0"/>
        <v>4.9412904608324842E-3</v>
      </c>
      <c r="L6" s="145">
        <f t="shared" ca="1" si="0"/>
        <v>1.1376152042195038E-2</v>
      </c>
      <c r="M6" s="163"/>
      <c r="N6" s="163"/>
      <c r="O6" s="163"/>
      <c r="P6" s="163"/>
      <c r="Q6" s="163"/>
    </row>
    <row r="7" spans="1:17" x14ac:dyDescent="0.25">
      <c r="A7" s="2"/>
      <c r="B7" s="146" t="s">
        <v>12</v>
      </c>
      <c r="C7" s="3">
        <f>C$4*TabSpHt2019!T91</f>
        <v>7.8399999999999997E-2</v>
      </c>
      <c r="D7" s="3">
        <f>D$4*TabSpHt2019!R91</f>
        <v>5.849999999999999E-2</v>
      </c>
      <c r="E7" s="3">
        <f>E$4*TabSpHt2019!U91</f>
        <v>0.10099999999999999</v>
      </c>
      <c r="F7" s="3">
        <f>F$4*TabSpHt2019!V91</f>
        <v>0.1239</v>
      </c>
      <c r="G7" s="143">
        <f>G$4*TabSpHt2019!Q91</f>
        <v>1.5599999999999999E-2</v>
      </c>
      <c r="H7" s="4">
        <f t="shared" ca="1" si="0"/>
        <v>2.1424308398000722E-2</v>
      </c>
      <c r="I7" s="4">
        <f t="shared" ca="1" si="0"/>
        <v>3.3618564473508372E-3</v>
      </c>
      <c r="J7" s="4">
        <f t="shared" ca="1" si="0"/>
        <v>5.6595295502351083E-3</v>
      </c>
      <c r="K7" s="4">
        <f t="shared" ca="1" si="0"/>
        <v>5.6322528803785165E-3</v>
      </c>
      <c r="L7" s="145">
        <f t="shared" ca="1" si="0"/>
        <v>4.7964316718443943E-2</v>
      </c>
      <c r="M7" s="163"/>
      <c r="N7" s="163"/>
      <c r="O7" s="163"/>
      <c r="P7" s="163"/>
      <c r="Q7" s="163"/>
    </row>
    <row r="8" spans="1:17" x14ac:dyDescent="0.25">
      <c r="A8" s="2"/>
      <c r="B8" s="146" t="s">
        <v>13</v>
      </c>
      <c r="C8" s="3">
        <f>C$4*TabSpHt2019!T92</f>
        <v>1.2499999999999999E-2</v>
      </c>
      <c r="D8" s="3">
        <f>D$4*TabSpHt2019!R92</f>
        <v>0.16739999999999999</v>
      </c>
      <c r="E8" s="3">
        <f>E$4*TabSpHt2019!U92</f>
        <v>1.7699999999999997E-2</v>
      </c>
      <c r="F8" s="3">
        <f>F$4*TabSpHt2019!V92</f>
        <v>8.3999999999999995E-3</v>
      </c>
      <c r="G8" s="143">
        <f>G$4*TabSpHt2019!Q92</f>
        <v>2.8899999999999999E-2</v>
      </c>
      <c r="H8" s="4">
        <f t="shared" ca="1" si="0"/>
        <v>3.4158654971302169E-3</v>
      </c>
      <c r="I8" s="4">
        <f t="shared" ca="1" si="0"/>
        <v>9.6200815262654747E-3</v>
      </c>
      <c r="J8" s="4">
        <f t="shared" ca="1" si="0"/>
        <v>9.9181854494219206E-4</v>
      </c>
      <c r="K8" s="4">
        <f t="shared" ca="1" si="0"/>
        <v>3.818476529070181E-4</v>
      </c>
      <c r="L8" s="145">
        <f t="shared" ca="1" si="0"/>
        <v>8.8856971356604489E-2</v>
      </c>
      <c r="M8" s="163"/>
      <c r="N8" s="163"/>
      <c r="O8" s="163"/>
      <c r="P8" s="163"/>
      <c r="Q8" s="163"/>
    </row>
    <row r="9" spans="1:17" x14ac:dyDescent="0.25">
      <c r="A9" s="1"/>
      <c r="B9" s="141" t="s">
        <v>14</v>
      </c>
      <c r="C9" s="3" cm="1">
        <f t="array" aca="1" ref="C9" ca="1">INDIRECT("'"&amp;$A$1&amp;"NRARSummary'!G5")</f>
        <v>0.24101051978850074</v>
      </c>
      <c r="D9" s="3" cm="1">
        <f t="array" aca="1" ref="D9" ca="1">INDIRECT("'"&amp;$A$1&amp;"NRARSummary'!H5")</f>
        <v>0.38390815993455096</v>
      </c>
      <c r="E9" s="3" cm="1">
        <f t="array" aca="1" ref="E9" ca="1">INDIRECT("'"&amp;$A$1&amp;"NRARSummary'!I5")</f>
        <v>3.0275730675939191E-2</v>
      </c>
      <c r="F9" s="3" cm="1">
        <f t="array" aca="1" ref="F9" ca="1">INDIRECT("'"&amp;$A$1&amp;"NRARSummary'!J5")</f>
        <v>2.2546836824224923</v>
      </c>
      <c r="G9" s="143" cm="1">
        <f t="array" aca="1" ref="G9" ca="1">INDIRECT("'"&amp;$A$1&amp;"NRARSummary'!K5")</f>
        <v>4.9750668661734124E-2</v>
      </c>
      <c r="H9" s="4">
        <f t="shared" ca="1" si="0"/>
        <v>6.5860761519276723E-2</v>
      </c>
      <c r="I9" s="4">
        <f t="shared" ca="1" si="0"/>
        <v>2.2062292695154986E-2</v>
      </c>
      <c r="J9" s="4">
        <f t="shared" ca="1" si="0"/>
        <v>1.696498934806311E-3</v>
      </c>
      <c r="K9" s="4">
        <f t="shared" ca="1" si="0"/>
        <v>0.10249353240247396</v>
      </c>
      <c r="L9" s="145">
        <f t="shared" ca="1" si="0"/>
        <v>0.15296518132344739</v>
      </c>
      <c r="M9" s="163"/>
      <c r="N9" s="163"/>
      <c r="O9" s="163"/>
      <c r="P9" s="163"/>
      <c r="Q9" s="163"/>
    </row>
    <row r="10" spans="1:17" x14ac:dyDescent="0.25">
      <c r="A10" s="5"/>
      <c r="B10" s="141" t="s">
        <v>15</v>
      </c>
      <c r="C10" s="3">
        <f ca="1">OFFSET(OnRoad!$L$6,MATCH($A$1,OnRoad!$A$7:$A$17,0),MATCH(C2,OnRoad!$C$6:$G$6,0))</f>
        <v>0.27231048618162906</v>
      </c>
      <c r="D10" s="3">
        <f ca="1">OFFSET(OnRoad!$L$6,MATCH($A$1,OnRoad!$A$7:$A$17,0),MATCH(D2,OnRoad!$C$6:$G$6,0))</f>
        <v>2.2978944962828831</v>
      </c>
      <c r="E10" s="3">
        <f ca="1">OFFSET(OnRoad!$L$6,MATCH($A$1,OnRoad!$A$7:$A$17,0),MATCH(E2,OnRoad!$C$6:$G$6,0))</f>
        <v>9.1099406926983054E-3</v>
      </c>
      <c r="F10" s="3">
        <f ca="1">OFFSET(OnRoad!$L$6,MATCH($A$1,OnRoad!$A$7:$A$17,0),MATCH(F2,OnRoad!$C$6:$G$6,0))</f>
        <v>4.8953308993950069</v>
      </c>
      <c r="G10" s="143">
        <f ca="1">OFFSET(OnRoad!$L$6,MATCH($A$1,OnRoad!$A$7:$A$17,0),MATCH(G2,OnRoad!$C$6:$G$6,0))</f>
        <v>5.4768161479629651E-2</v>
      </c>
      <c r="H10" s="4">
        <f t="shared" ca="1" si="0"/>
        <v>7.4414079540366523E-2</v>
      </c>
      <c r="I10" s="4">
        <f t="shared" ca="1" si="0"/>
        <v>0.13205455431898488</v>
      </c>
      <c r="J10" s="4">
        <f t="shared" ca="1" si="0"/>
        <v>5.1047503516054812E-4</v>
      </c>
      <c r="K10" s="4">
        <f t="shared" ca="1" si="0"/>
        <v>0.22253221596871253</v>
      </c>
      <c r="L10" s="145">
        <f t="shared" ca="1" si="0"/>
        <v>0.16839214380101528</v>
      </c>
      <c r="M10" s="163"/>
      <c r="N10" s="163"/>
      <c r="O10" s="163"/>
      <c r="P10" s="163"/>
      <c r="Q10" s="163"/>
    </row>
    <row r="11" spans="1:17" x14ac:dyDescent="0.25">
      <c r="A11" s="2"/>
      <c r="B11" s="147" t="s">
        <v>16</v>
      </c>
      <c r="C11" s="148" cm="1">
        <f t="array" aca="1" ref="C11" ca="1">INDIRECT("'"&amp;$A$1&amp;"NRARSummary'!G9")</f>
        <v>0.34988722347386542</v>
      </c>
      <c r="D11" s="148" cm="1">
        <f t="array" aca="1" ref="D11" ca="1">INDIRECT("'"&amp;$A$1&amp;"NRARSummary'!H9")</f>
        <v>1.7548305166807676</v>
      </c>
      <c r="E11" s="148" cm="1">
        <f t="array" aca="1" ref="E11" ca="1">INDIRECT("'"&amp;$A$1&amp;"NRARSummary'!I9")</f>
        <v>7.7810927248495263</v>
      </c>
      <c r="F11" s="148" cm="1">
        <f t="array" aca="1" ref="F11" ca="1">INDIRECT("'"&amp;$A$1&amp;"NRARSummary'!J9")</f>
        <v>5.2629200836384857</v>
      </c>
      <c r="G11" s="149" cm="1">
        <f t="array" aca="1" ref="G11" ca="1">INDIRECT("'"&amp;$A$1&amp;"NRARSummary'!K9")</f>
        <v>3.0786286383853783E-3</v>
      </c>
      <c r="H11" s="150">
        <f t="shared" ca="1" si="0"/>
        <v>9.5613415564085327E-2</v>
      </c>
      <c r="I11" s="150">
        <f t="shared" ca="1" si="0"/>
        <v>0.10084595361557676</v>
      </c>
      <c r="J11" s="150">
        <f t="shared" ca="1" si="0"/>
        <v>0.43601311098421103</v>
      </c>
      <c r="K11" s="150">
        <f t="shared" ca="1" si="0"/>
        <v>0.23924210492554324</v>
      </c>
      <c r="L11" s="151">
        <f t="shared" ca="1" si="0"/>
        <v>9.4656614788453924E-3</v>
      </c>
      <c r="M11" s="163"/>
      <c r="N11" s="163"/>
      <c r="O11" s="163"/>
      <c r="P11" s="163"/>
      <c r="Q11" s="163"/>
    </row>
    <row r="12" spans="1:17" x14ac:dyDescent="0.25">
      <c r="A12" s="2"/>
      <c r="B12" s="152" t="s">
        <v>17</v>
      </c>
      <c r="C12" s="153">
        <f ca="1">SUM(C3:C4,C9:C11)</f>
        <v>3.6593946718633004</v>
      </c>
      <c r="D12" s="153">
        <f ca="1">SUM(D3:D4,D9:D11)</f>
        <v>17.40109993277623</v>
      </c>
      <c r="E12" s="153">
        <f ca="1">SUM(E3:E4,E9:E11)</f>
        <v>17.846006298492469</v>
      </c>
      <c r="F12" s="153">
        <f ca="1">SUM(F3:F4,F9:F11)</f>
        <v>21.998302034988399</v>
      </c>
      <c r="G12" s="154">
        <f ca="1">SUM(G3:G4,G9:G11)</f>
        <v>0.32524178529580217</v>
      </c>
      <c r="H12" s="155">
        <f t="shared" ca="1" si="0"/>
        <v>1</v>
      </c>
      <c r="I12" s="155">
        <f t="shared" ca="1" si="0"/>
        <v>1</v>
      </c>
      <c r="J12" s="155">
        <f t="shared" ca="1" si="0"/>
        <v>1</v>
      </c>
      <c r="K12" s="155">
        <f t="shared" ca="1" si="0"/>
        <v>1</v>
      </c>
      <c r="L12" s="156">
        <f t="shared" ca="1" si="0"/>
        <v>1</v>
      </c>
      <c r="M12" s="163"/>
      <c r="N12" s="163"/>
      <c r="O12" s="163"/>
      <c r="P12" s="163"/>
      <c r="Q12" s="163"/>
    </row>
    <row r="13" spans="1:17" x14ac:dyDescent="0.25">
      <c r="A13" s="2"/>
      <c r="B13" s="137"/>
      <c r="C13" s="137"/>
      <c r="D13" s="137"/>
      <c r="E13" s="137"/>
      <c r="F13" s="137"/>
      <c r="G13" s="137"/>
      <c r="H13" s="137"/>
      <c r="I13" s="137"/>
      <c r="J13" s="137"/>
      <c r="K13" s="137"/>
      <c r="L13" s="137"/>
      <c r="M13" s="163"/>
      <c r="N13" s="163"/>
      <c r="O13" s="163"/>
      <c r="P13" s="163"/>
      <c r="Q13" s="163"/>
    </row>
    <row r="14" spans="1:17" x14ac:dyDescent="0.25">
      <c r="A14" s="2"/>
      <c r="B14" s="137"/>
      <c r="C14" s="137"/>
      <c r="D14" s="137"/>
      <c r="E14" s="137"/>
      <c r="F14" s="137"/>
      <c r="G14" s="137"/>
      <c r="H14" s="137"/>
      <c r="I14" s="137"/>
      <c r="J14" s="137"/>
      <c r="K14" s="137"/>
      <c r="L14" s="137"/>
      <c r="M14" s="163"/>
      <c r="N14" s="163"/>
      <c r="O14" s="163"/>
      <c r="P14" s="163"/>
      <c r="Q14" s="163"/>
    </row>
    <row r="15" spans="1:17" x14ac:dyDescent="0.25">
      <c r="A15" s="2"/>
      <c r="B15" s="137"/>
      <c r="C15" s="137"/>
      <c r="D15" s="137"/>
      <c r="E15" s="137"/>
      <c r="F15" s="137"/>
      <c r="G15" s="137"/>
      <c r="H15" s="137"/>
      <c r="I15" s="137"/>
      <c r="J15" s="137"/>
      <c r="K15" s="137"/>
      <c r="L15" s="137"/>
      <c r="M15" s="163"/>
      <c r="N15" s="163"/>
      <c r="O15" s="163"/>
      <c r="P15" s="163"/>
      <c r="Q15" s="163"/>
    </row>
    <row r="16" spans="1:17" x14ac:dyDescent="0.25">
      <c r="A16" s="2"/>
      <c r="B16" s="137"/>
      <c r="C16" s="137"/>
      <c r="D16" s="137"/>
      <c r="E16" s="137"/>
      <c r="F16" s="137"/>
      <c r="G16" s="137"/>
      <c r="H16" s="137"/>
      <c r="I16" s="137"/>
      <c r="J16" s="137"/>
      <c r="K16" s="137"/>
      <c r="L16" s="137"/>
      <c r="M16" s="163"/>
      <c r="N16" s="163"/>
      <c r="O16" s="163"/>
      <c r="P16" s="163"/>
      <c r="Q16" s="163"/>
    </row>
    <row r="17" spans="1:58" x14ac:dyDescent="0.25">
      <c r="B17" s="137"/>
      <c r="C17" s="137"/>
      <c r="D17" s="137"/>
      <c r="E17" s="137"/>
      <c r="F17" s="137"/>
      <c r="G17" s="137"/>
      <c r="H17" s="137"/>
      <c r="I17" s="137"/>
      <c r="J17" s="137"/>
      <c r="K17" s="137"/>
      <c r="L17" s="137"/>
      <c r="M17" s="163"/>
      <c r="N17" s="163"/>
      <c r="O17" s="163"/>
      <c r="P17" s="163"/>
      <c r="Q17" s="163"/>
    </row>
    <row r="18" spans="1:58" x14ac:dyDescent="0.25">
      <c r="B18" s="137"/>
      <c r="C18" s="137"/>
      <c r="D18" s="137"/>
      <c r="E18" s="137"/>
      <c r="F18" s="137"/>
      <c r="G18" s="137"/>
      <c r="H18" s="137"/>
      <c r="I18" s="137"/>
      <c r="J18" s="137"/>
      <c r="K18" s="137"/>
      <c r="L18" s="137"/>
      <c r="M18" s="163"/>
      <c r="N18" s="163"/>
      <c r="O18" s="163"/>
      <c r="P18" s="163"/>
      <c r="Q18" s="163"/>
    </row>
    <row r="19" spans="1:58" x14ac:dyDescent="0.25">
      <c r="B19" s="137"/>
      <c r="C19" s="137"/>
      <c r="D19" s="137"/>
      <c r="E19" s="137"/>
      <c r="F19" s="137"/>
      <c r="G19" s="137"/>
      <c r="H19" s="137"/>
      <c r="I19" s="137"/>
      <c r="J19" s="137"/>
      <c r="K19" s="137"/>
      <c r="L19" s="137"/>
      <c r="M19" s="163"/>
      <c r="N19" s="163"/>
      <c r="O19" s="163"/>
      <c r="P19" s="163"/>
      <c r="Q19" s="163"/>
    </row>
    <row r="20" spans="1:58" x14ac:dyDescent="0.25">
      <c r="B20" s="137"/>
      <c r="C20" s="224" t="s">
        <v>18</v>
      </c>
      <c r="D20" s="224"/>
      <c r="E20" s="224"/>
      <c r="F20" s="224"/>
      <c r="G20" s="224"/>
      <c r="H20" s="224" t="s">
        <v>1</v>
      </c>
      <c r="I20" s="224"/>
      <c r="J20" s="224"/>
      <c r="K20" s="224"/>
      <c r="L20" s="224"/>
      <c r="M20" s="163"/>
      <c r="N20" s="163"/>
      <c r="O20" s="163"/>
      <c r="P20" s="163"/>
      <c r="Q20" s="163"/>
      <c r="S20" s="223" t="s">
        <v>151</v>
      </c>
      <c r="T20" s="223"/>
      <c r="U20" s="223"/>
      <c r="V20" s="223"/>
      <c r="W20" s="223"/>
      <c r="X20" s="223"/>
      <c r="Y20" s="223"/>
      <c r="Z20" s="223"/>
      <c r="AA20" s="223" t="s">
        <v>152</v>
      </c>
      <c r="AB20" s="223"/>
      <c r="AC20" s="223"/>
      <c r="AD20" s="223"/>
      <c r="AE20" s="223"/>
      <c r="AF20" s="223"/>
      <c r="AG20" s="223"/>
      <c r="AH20" s="223"/>
      <c r="AI20" s="223" t="s">
        <v>153</v>
      </c>
      <c r="AJ20" s="223"/>
      <c r="AK20" s="223"/>
      <c r="AL20" s="223"/>
      <c r="AM20" s="223"/>
      <c r="AN20" s="223"/>
      <c r="AO20" s="223"/>
      <c r="AP20" s="223"/>
      <c r="AQ20" s="223" t="s">
        <v>154</v>
      </c>
      <c r="AR20" s="223"/>
      <c r="AS20" s="223"/>
      <c r="AT20" s="223"/>
      <c r="AU20" s="223"/>
      <c r="AV20" s="223"/>
      <c r="AW20" s="223"/>
      <c r="AX20" s="223"/>
      <c r="AY20" s="223" t="s">
        <v>155</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3"/>
      <c r="N21" s="163"/>
      <c r="O21" s="163"/>
      <c r="P21" s="163"/>
      <c r="Q21" s="163"/>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0.56834850627927591</v>
      </c>
      <c r="D22" s="3">
        <f ca="1">D3-OFFSET(Points!$G$36,MATCH(IF($A$1&gt;2020,$A$1&amp;"CTL",$A$1),Points!$A$37:$A$190,0)+3,0)</f>
        <v>10.305655853791327</v>
      </c>
      <c r="E22" s="3">
        <f ca="1">E3-OFFSET(Points!$F$36,MATCH(IF($A$1&gt;2020,$A$1&amp;"CTL",$A$1),Points!$A$37:$A$190,0)+3,0)</f>
        <v>5.6844999367542286</v>
      </c>
      <c r="F22" s="3">
        <f ca="1">F3-OFFSET(Points!$H$36,MATCH(IF($A$1&gt;2020,$A$1&amp;"CTL",$A$1),Points!$A$37:$A$190,0)+3,0)</f>
        <v>3.1925040173372145E-2</v>
      </c>
      <c r="G22" s="143">
        <f ca="1">G3-OFFSET(Points!$J$36,MATCH(IF($A$1&gt;2020,$A$1&amp;"CTL",$A$1),Points!$A$37:$A$190,0)+3,0)</f>
        <v>7.3143216183863574E-2</v>
      </c>
      <c r="H22" s="144">
        <f t="shared" ref="H22:L31" ca="1" si="1">C22/C$31</f>
        <v>0.17956788562725959</v>
      </c>
      <c r="I22" s="4">
        <f t="shared" ca="1" si="1"/>
        <v>0.65513254946554522</v>
      </c>
      <c r="J22" s="4">
        <f t="shared" ca="1" si="1"/>
        <v>0.37872781260297983</v>
      </c>
      <c r="K22" s="4">
        <f t="shared" ca="1" si="1"/>
        <v>1.7055888955861021E-3</v>
      </c>
      <c r="L22" s="145">
        <f t="shared" ca="1" si="1"/>
        <v>0.2495832298077186</v>
      </c>
      <c r="M22" s="163"/>
      <c r="N22" s="163"/>
      <c r="O22" s="163"/>
      <c r="P22" s="163"/>
      <c r="Q22" s="163"/>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1.9094304713600976</v>
      </c>
      <c r="D23" s="142">
        <f>TabSpHt2019!$K$69</f>
        <v>2.4317000000000002</v>
      </c>
      <c r="E23" s="142">
        <f ca="1">OFFSET(SpaceHeat!$D$59,0,MATCH($A$1,SpaceHeat!$E$28:$O$28,0))</f>
        <v>3.8812668552980054</v>
      </c>
      <c r="F23" s="142">
        <f>TabSpHt2019!$O$69</f>
        <v>8.6022999999999996</v>
      </c>
      <c r="G23" s="143">
        <f>TabSpHt2019!$J$69</f>
        <v>0.13189999999999999</v>
      </c>
      <c r="H23" s="4">
        <f t="shared" ca="1" si="1"/>
        <v>0.603278426363829</v>
      </c>
      <c r="I23" s="4">
        <f t="shared" ca="1" si="1"/>
        <v>0.1545836425295814</v>
      </c>
      <c r="J23" s="4">
        <f t="shared" ca="1" si="1"/>
        <v>0.25858804162020582</v>
      </c>
      <c r="K23" s="4">
        <f t="shared" ca="1" si="1"/>
        <v>0.45957615955446324</v>
      </c>
      <c r="L23" s="145">
        <f t="shared" ca="1" si="1"/>
        <v>0.45007629865339044</v>
      </c>
      <c r="M23" s="163"/>
      <c r="N23" s="163"/>
      <c r="O23" s="163"/>
      <c r="P23" s="163"/>
      <c r="Q23" s="163"/>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C$23*TabSpHt2019!M89</f>
        <v>1.7695058026976989</v>
      </c>
      <c r="D24" s="3">
        <f>D$23*TabSpHt2019!K89</f>
        <v>0.39399999999999996</v>
      </c>
      <c r="E24" s="3">
        <f ca="1">E$23*TabSpHt2019!N89</f>
        <v>0.16061178482254876</v>
      </c>
      <c r="F24" s="3">
        <f>F$23*TabSpHt2019!O89</f>
        <v>8.383799999999999</v>
      </c>
      <c r="G24" s="143">
        <f>G$23*TabSpHt2019!J89</f>
        <v>8.5900000000000004E-2</v>
      </c>
      <c r="H24" s="4">
        <f t="shared" ca="1" si="1"/>
        <v>0.55906967658934581</v>
      </c>
      <c r="I24" s="4">
        <f t="shared" ca="1" si="1"/>
        <v>2.5046656724371862E-2</v>
      </c>
      <c r="J24" s="4">
        <f t="shared" ca="1" si="1"/>
        <v>1.0700703777091852E-2</v>
      </c>
      <c r="K24" s="4">
        <f t="shared" ca="1" si="1"/>
        <v>0.44790284069059538</v>
      </c>
      <c r="L24" s="145">
        <f t="shared" ca="1" si="1"/>
        <v>0.29311261602976685</v>
      </c>
      <c r="M24" s="163"/>
      <c r="N24" s="163"/>
      <c r="O24" s="163"/>
      <c r="P24" s="163"/>
      <c r="Q24" s="163"/>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C$23*TabSpHt2019!M90</f>
        <v>6.1041635541118071E-2</v>
      </c>
      <c r="D25" s="3">
        <f>D$23*TabSpHt2019!K90</f>
        <v>1.819</v>
      </c>
      <c r="E25" s="3">
        <f ca="1">E$23*TabSpHt2019!N90</f>
        <v>3.6153259626858731</v>
      </c>
      <c r="F25" s="3">
        <f>F$23*TabSpHt2019!O90</f>
        <v>0.1016</v>
      </c>
      <c r="G25" s="143">
        <f>G$23*TabSpHt2019!J90</f>
        <v>3.5000000000000001E-3</v>
      </c>
      <c r="H25" s="4">
        <f t="shared" ca="1" si="1"/>
        <v>1.928590874832398E-2</v>
      </c>
      <c r="I25" s="4">
        <f t="shared" ca="1" si="1"/>
        <v>0.11563418421734117</v>
      </c>
      <c r="J25" s="4">
        <f t="shared" ca="1" si="1"/>
        <v>0.24086982301500234</v>
      </c>
      <c r="K25" s="4">
        <f t="shared" ca="1" si="1"/>
        <v>5.4279597096978088E-3</v>
      </c>
      <c r="L25" s="145">
        <f t="shared" ca="1" si="1"/>
        <v>1.1942888895275713E-2</v>
      </c>
      <c r="M25" s="163"/>
      <c r="N25" s="163"/>
      <c r="O25" s="163"/>
      <c r="P25" s="163"/>
      <c r="Q25" s="163"/>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C$23*TabSpHt2019!M91</f>
        <v>6.6353961786896815E-2</v>
      </c>
      <c r="D26" s="3">
        <f>D$23*TabSpHt2019!K91</f>
        <v>5.1299999999999998E-2</v>
      </c>
      <c r="E26" s="3">
        <f ca="1">E$23*TabSpHt2019!N91</f>
        <v>8.7505731041250687E-2</v>
      </c>
      <c r="F26" s="3">
        <f>F$23*TabSpHt2019!O91</f>
        <v>0.10859999999999999</v>
      </c>
      <c r="G26" s="143">
        <f>G$23*TabSpHt2019!J91</f>
        <v>1.37E-2</v>
      </c>
      <c r="H26" s="4">
        <f t="shared" ca="1" si="1"/>
        <v>2.0964321168128856E-2</v>
      </c>
      <c r="I26" s="4">
        <f t="shared" ca="1" si="1"/>
        <v>3.2611509897468951E-3</v>
      </c>
      <c r="J26" s="4">
        <f t="shared" ca="1" si="1"/>
        <v>5.8300386095879739E-3</v>
      </c>
      <c r="K26" s="4">
        <f t="shared" ca="1" si="1"/>
        <v>5.8019333117439176E-3</v>
      </c>
      <c r="L26" s="145">
        <f t="shared" ca="1" si="1"/>
        <v>4.6747879390079225E-2</v>
      </c>
      <c r="M26" s="163"/>
      <c r="N26" s="163"/>
      <c r="O26" s="163"/>
      <c r="P26" s="163"/>
      <c r="Q26" s="163"/>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C$23*TabSpHt2019!M92</f>
        <v>1.2529071334383841E-2</v>
      </c>
      <c r="D27" s="3">
        <f>D$23*TabSpHt2019!K92</f>
        <v>0.16739999999999999</v>
      </c>
      <c r="E27" s="3">
        <f ca="1">E$23*TabSpHt2019!N92</f>
        <v>1.7823376748332991E-2</v>
      </c>
      <c r="F27" s="3">
        <f>F$23*TabSpHt2019!O92</f>
        <v>8.3999999999999995E-3</v>
      </c>
      <c r="G27" s="143">
        <f>G$23*TabSpHt2019!J92</f>
        <v>2.8899999999999999E-2</v>
      </c>
      <c r="H27" s="4">
        <f t="shared" ca="1" si="1"/>
        <v>3.9585198580303739E-3</v>
      </c>
      <c r="I27" s="4">
        <f t="shared" ca="1" si="1"/>
        <v>1.0641650598121447E-2</v>
      </c>
      <c r="J27" s="4">
        <f t="shared" ca="1" si="1"/>
        <v>1.1874762185236723E-3</v>
      </c>
      <c r="K27" s="4">
        <f t="shared" ca="1" si="1"/>
        <v>4.4876832245533066E-4</v>
      </c>
      <c r="L27" s="145">
        <f t="shared" ca="1" si="1"/>
        <v>9.8614139735276607E-2</v>
      </c>
      <c r="M27" s="163"/>
      <c r="N27" s="163"/>
      <c r="O27" s="163"/>
      <c r="P27" s="163"/>
      <c r="Q27" s="163"/>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0.22413097102002566</v>
      </c>
      <c r="D28" s="3" cm="1">
        <f t="array" aca="1" ref="D28" ca="1">INDIRECT("'"&amp;$A$1&amp;"NRARSummary'!C5")</f>
        <v>0.3570205514022865</v>
      </c>
      <c r="E28" s="3" cm="1">
        <f t="array" aca="1" ref="E28" ca="1">INDIRECT("'"&amp;$A$1&amp;"NRARSummary'!D5")</f>
        <v>2.8155322517431434E-2</v>
      </c>
      <c r="F28" s="3" cm="1">
        <f t="array" aca="1" ref="F28" ca="1">INDIRECT("'"&amp;$A$1&amp;"NRARSummary'!E5")</f>
        <v>2.0967733837005387</v>
      </c>
      <c r="G28" s="143" cm="1">
        <f t="array" aca="1" ref="G28" ca="1">INDIRECT("'"&amp;$A$1&amp;"NRARSummary'!F5")</f>
        <v>4.6266302756557347E-2</v>
      </c>
      <c r="H28" s="4">
        <f t="shared" ca="1" si="1"/>
        <v>7.0813460623179864E-2</v>
      </c>
      <c r="I28" s="4">
        <f t="shared" ca="1" si="1"/>
        <v>2.2695865975936626E-2</v>
      </c>
      <c r="J28" s="4">
        <f t="shared" ca="1" si="1"/>
        <v>1.8758384781066202E-3</v>
      </c>
      <c r="K28" s="4">
        <f t="shared" ca="1" si="1"/>
        <v>0.11201969928241406</v>
      </c>
      <c r="L28" s="145">
        <f t="shared" ca="1" si="1"/>
        <v>0.1578723752619294</v>
      </c>
      <c r="M28" s="163"/>
      <c r="N28" s="163"/>
      <c r="O28" s="163"/>
      <c r="P28" s="163"/>
      <c r="Q28" s="163"/>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5"/>
      <c r="B29" s="141" t="s">
        <v>15</v>
      </c>
      <c r="C29" s="3">
        <f ca="1">OFFSET(OnRoad!$B$6,MATCH($A$1,OnRoad!$A$7:$A$17,0),MATCH(C21,OnRoad!$C$6:$G$6,0))</f>
        <v>0.21554490802050713</v>
      </c>
      <c r="D29" s="3">
        <f ca="1">OFFSET(OnRoad!$B$6,MATCH($A$1,OnRoad!$A$7:$A$17,0),MATCH(D21,OnRoad!$C$6:$G$6,0))</f>
        <v>1.6967672422689866</v>
      </c>
      <c r="E29" s="3">
        <f ca="1">OFFSET(OnRoad!$B$6,MATCH($A$1,OnRoad!$A$7:$A$17,0),MATCH(E21,OnRoad!$C$6:$G$6,0))</f>
        <v>6.8616235596738713E-3</v>
      </c>
      <c r="F29" s="3">
        <f ca="1">OFFSET(OnRoad!$B$6,MATCH($A$1,OnRoad!$A$7:$A$17,0),MATCH(F21,OnRoad!$C$6:$G$6,0))</f>
        <v>3.8293404353943652</v>
      </c>
      <c r="G29" s="143">
        <f ca="1">OFFSET(OnRoad!$B$6,MATCH($A$1,OnRoad!$A$7:$A$17,0),MATCH(G21,OnRoad!$C$6:$G$6,0))</f>
        <v>3.9598171685311323E-2</v>
      </c>
      <c r="H29" s="4">
        <f t="shared" ca="1" si="1"/>
        <v>6.8100721587795857E-2</v>
      </c>
      <c r="I29" s="4">
        <f t="shared" ca="1" si="1"/>
        <v>0.10786382400576248</v>
      </c>
      <c r="J29" s="4">
        <f t="shared" ca="1" si="1"/>
        <v>4.5715326072185206E-4</v>
      </c>
      <c r="K29" s="4">
        <f t="shared" ca="1" si="1"/>
        <v>0.20458174801217796</v>
      </c>
      <c r="L29" s="145">
        <f t="shared" ca="1" si="1"/>
        <v>0.13511901854106451</v>
      </c>
      <c r="M29" s="163"/>
      <c r="N29" s="163"/>
      <c r="O29" s="163"/>
      <c r="P29" s="163"/>
      <c r="Q29" s="163"/>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0.24763507181116445</v>
      </c>
      <c r="D30" s="148" cm="1">
        <f t="array" aca="1" ref="D30" ca="1">INDIRECT("'"&amp;$A$1&amp;"NRARSummary'!C9")</f>
        <v>0.93949874268981004</v>
      </c>
      <c r="E30" s="148" cm="1">
        <f t="array" aca="1" ref="E30" ca="1">INDIRECT("'"&amp;$A$1&amp;"NRARSummary'!D9")</f>
        <v>5.4086762159334674</v>
      </c>
      <c r="F30" s="148" cm="1">
        <f t="array" aca="1" ref="F30" ca="1">INDIRECT("'"&amp;$A$1&amp;"NRARSummary'!E9")</f>
        <v>4.1575598418730388</v>
      </c>
      <c r="G30" s="149" cm="1">
        <f t="array" aca="1" ref="G30" ca="1">INDIRECT("'"&amp;$A$1&amp;"NRARSummary'!F9")</f>
        <v>2.1537311701706132E-3</v>
      </c>
      <c r="H30" s="150">
        <f t="shared" ca="1" si="1"/>
        <v>7.823950579793551E-2</v>
      </c>
      <c r="I30" s="150">
        <f t="shared" ca="1" si="1"/>
        <v>5.9724118023174219E-2</v>
      </c>
      <c r="J30" s="150">
        <f t="shared" ca="1" si="1"/>
        <v>0.36035115403798595</v>
      </c>
      <c r="K30" s="150">
        <f t="shared" ca="1" si="1"/>
        <v>0.22211680425535876</v>
      </c>
      <c r="L30" s="151">
        <f t="shared" ca="1" si="1"/>
        <v>7.349077735897081E-3</v>
      </c>
      <c r="M30" s="163"/>
      <c r="N30" s="163"/>
      <c r="O30" s="163"/>
      <c r="P30" s="163"/>
      <c r="Q30" s="163"/>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3.1650899284910712</v>
      </c>
      <c r="D31" s="153">
        <f ca="1">SUM(D22:D23,D28:D30)</f>
        <v>15.730642390152411</v>
      </c>
      <c r="E31" s="153">
        <f ca="1">SUM(E22:E23,E28:E30)</f>
        <v>15.009459954062805</v>
      </c>
      <c r="F31" s="153">
        <f ca="1">SUM(F22:F23,F28:F30)</f>
        <v>18.717898701141312</v>
      </c>
      <c r="G31" s="154">
        <f ca="1">SUM(G22:G23,G28:G30)</f>
        <v>0.29306142179590283</v>
      </c>
      <c r="H31" s="155">
        <f t="shared" ca="1" si="1"/>
        <v>1</v>
      </c>
      <c r="I31" s="155">
        <f t="shared" ca="1" si="1"/>
        <v>1</v>
      </c>
      <c r="J31" s="155">
        <f t="shared" ca="1" si="1"/>
        <v>1</v>
      </c>
      <c r="K31" s="155">
        <f t="shared" ca="1" si="1"/>
        <v>1</v>
      </c>
      <c r="L31" s="156">
        <f t="shared" ca="1" si="1"/>
        <v>1</v>
      </c>
      <c r="M31" s="163"/>
      <c r="N31" s="163"/>
      <c r="O31" s="163"/>
      <c r="P31" s="163"/>
      <c r="Q31" s="163"/>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M32" s="163"/>
      <c r="N32" s="163"/>
      <c r="O32" s="163"/>
      <c r="P32" s="163"/>
      <c r="Q32" s="163"/>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5:58" x14ac:dyDescent="0.25">
      <c r="E33" s="1"/>
      <c r="M33" s="163"/>
      <c r="N33" s="163"/>
      <c r="O33" s="163"/>
      <c r="P33" s="163"/>
      <c r="Q33" s="163"/>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5:58" x14ac:dyDescent="0.25">
      <c r="M34" s="163"/>
      <c r="N34" s="163"/>
      <c r="O34" s="163"/>
      <c r="P34" s="163"/>
      <c r="Q34" s="163"/>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5:58" x14ac:dyDescent="0.25">
      <c r="M35" s="163"/>
      <c r="N35" s="163"/>
      <c r="O35" s="163"/>
      <c r="P35" s="163"/>
      <c r="Q35" s="163"/>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9">
    <mergeCell ref="AA20:AH20"/>
    <mergeCell ref="AI20:AP20"/>
    <mergeCell ref="AQ20:AX20"/>
    <mergeCell ref="AY20:BF20"/>
    <mergeCell ref="C1:G1"/>
    <mergeCell ref="H1:L1"/>
    <mergeCell ref="C20:G20"/>
    <mergeCell ref="H20:L20"/>
    <mergeCell ref="S20:Z2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F3969-A31A-44F5-8D6A-3BE206E2525D}">
  <dimension ref="A1:BF35"/>
  <sheetViews>
    <sheetView workbookViewId="0"/>
  </sheetViews>
  <sheetFormatPr defaultColWidth="9.140625" defaultRowHeight="15" x14ac:dyDescent="0.25"/>
  <cols>
    <col min="2" max="2" width="22.7109375" customWidth="1"/>
    <col min="3" max="17" width="8.7109375" customWidth="1"/>
  </cols>
  <sheetData>
    <row r="1" spans="1:58" x14ac:dyDescent="0.25">
      <c r="A1" s="168">
        <v>2023</v>
      </c>
      <c r="B1" s="137"/>
      <c r="C1" s="224" t="s">
        <v>0</v>
      </c>
      <c r="D1" s="224"/>
      <c r="E1" s="224"/>
      <c r="F1" s="224"/>
      <c r="G1" s="224"/>
      <c r="H1" s="224" t="s">
        <v>1</v>
      </c>
      <c r="I1" s="224"/>
      <c r="J1" s="224"/>
      <c r="K1" s="224"/>
      <c r="L1" s="224"/>
      <c r="M1" s="224" t="s">
        <v>230</v>
      </c>
      <c r="N1" s="224"/>
      <c r="O1" s="224"/>
      <c r="P1" s="224"/>
      <c r="Q1" s="224"/>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58" x14ac:dyDescent="0.25">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row>
    <row r="3" spans="1:58" x14ac:dyDescent="0.25">
      <c r="A3" s="2"/>
      <c r="B3" s="141" t="s">
        <v>8</v>
      </c>
      <c r="C3" s="3">
        <f ca="1">OFFSET(Points!$D$4,MATCH(IF($A$1&gt;2020,$A$1&amp;"CTL",$A$1),Points!$A$5:$A$26,0),0)</f>
        <v>0.63116344494836629</v>
      </c>
      <c r="D3" s="3">
        <f ca="1">OFFSET(Points!$G$4,MATCH(IF($A$1&gt;2020,$A$1&amp;"CTL",$A$1),Points!$A$5:$A$26,0),0)</f>
        <v>11.137153744166794</v>
      </c>
      <c r="E3" s="3">
        <f ca="1">OFFSET(Points!$F$4,MATCH(IF($A$1&gt;2020,$A$1&amp;"CTL",$A$1),Points!$A$5:$A$26,0),0)</f>
        <v>4.9237915796601293</v>
      </c>
      <c r="F3" s="3">
        <f ca="1">OFFSET(Points!$H$4,MATCH(IF($A$1&gt;2020,$A$1&amp;"CTL",$A$1),Points!$A$5:$A$26,0),0)</f>
        <v>3.5131923318049901E-2</v>
      </c>
      <c r="G3" s="143">
        <f ca="1">OFFSET(Points!$J$4,MATCH(IF($A$1&gt;2020,$A$1&amp;"CTL",$A$1),Points!$A$5:$A$26,0),0)</f>
        <v>7.8662619828107308E-2</v>
      </c>
      <c r="H3" s="144">
        <f t="shared" ref="H3:L12" ca="1" si="0">C3/C$12</f>
        <v>0.23378159419040362</v>
      </c>
      <c r="I3" s="4">
        <f t="shared" ca="1" si="0"/>
        <v>0.62016264218394934</v>
      </c>
      <c r="J3" s="4">
        <f t="shared" ca="1" si="0"/>
        <v>0.30034533438609984</v>
      </c>
      <c r="K3" s="4">
        <f t="shared" ca="1" si="0"/>
        <v>1.596979809520768E-3</v>
      </c>
      <c r="L3" s="145">
        <f t="shared" ca="1" si="0"/>
        <v>0.22727803993765611</v>
      </c>
      <c r="M3" s="157">
        <f ca="1">C3/SectorSum2019!C3-1</f>
        <v>7.5443900776680728E-2</v>
      </c>
      <c r="N3" s="163">
        <f ca="1">D3/SectorSum2019!D3-1</f>
        <v>7.544390077668095E-2</v>
      </c>
      <c r="O3" s="163">
        <f ca="1">E3/SectorSum2019!E3-1</f>
        <v>-0.16074041003462924</v>
      </c>
      <c r="P3" s="163">
        <f ca="1">F3/SectorSum2019!F3-1</f>
        <v>7.544390077668095E-2</v>
      </c>
      <c r="Q3" s="158">
        <f ca="1">G3/SectorSum2019!G3-1</f>
        <v>7.5443900776681172E-2</v>
      </c>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row>
    <row r="4" spans="1:58" x14ac:dyDescent="0.25">
      <c r="A4" s="2"/>
      <c r="B4" s="141" t="s">
        <v>9</v>
      </c>
      <c r="C4" s="142">
        <f>TabSpHt2023!$T$69</f>
        <v>1.2382</v>
      </c>
      <c r="D4" s="142">
        <f>TabSpHt2023!$R$69</f>
        <v>2.8437999999999999</v>
      </c>
      <c r="E4" s="142">
        <f>TabSpHt2023!$U$69</f>
        <v>2.5834999999999999</v>
      </c>
      <c r="F4" s="142">
        <f>TabSpHt2023!$V$69</f>
        <v>10.3644</v>
      </c>
      <c r="G4" s="143">
        <f>TabSpHt2023!$Q$69</f>
        <v>0.1542</v>
      </c>
      <c r="H4" s="4">
        <f t="shared" ca="1" si="0"/>
        <v>0.45862663980839125</v>
      </c>
      <c r="I4" s="4">
        <f t="shared" ca="1" si="0"/>
        <v>0.15835450981059049</v>
      </c>
      <c r="J4" s="4">
        <f t="shared" ca="1" si="0"/>
        <v>0.15759037701592749</v>
      </c>
      <c r="K4" s="4">
        <f t="shared" ca="1" si="0"/>
        <v>0.4711309821541475</v>
      </c>
      <c r="L4" s="145">
        <f t="shared" ca="1" si="0"/>
        <v>0.44552639913302283</v>
      </c>
      <c r="M4" s="163">
        <f>C4/SectorSum2019!C4-1</f>
        <v>-0.43955098900104106</v>
      </c>
      <c r="N4" s="163">
        <f>D4/SectorSum2019!D4-1</f>
        <v>9.0163305987886133E-2</v>
      </c>
      <c r="O4" s="163">
        <f>E4/SectorSum2019!E4-1</f>
        <v>-0.37877221247024306</v>
      </c>
      <c r="P4" s="163">
        <f>F4/SectorSum2019!F4-1</f>
        <v>8.4970741256398696E-2</v>
      </c>
      <c r="Q4" s="158">
        <f>G4/SectorSum2019!G4-1</f>
        <v>6.712802768166104E-2</v>
      </c>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row>
    <row r="5" spans="1:58" x14ac:dyDescent="0.25">
      <c r="A5" s="2"/>
      <c r="B5" s="146" t="s">
        <v>10</v>
      </c>
      <c r="C5" s="3">
        <f>C$4*TabSpHt2023!T89</f>
        <v>1.1348</v>
      </c>
      <c r="D5" s="3">
        <f>D$4*TabSpHt2023!R89</f>
        <v>0.48570000000000008</v>
      </c>
      <c r="E5" s="3">
        <f>E$4*TabSpHt2023!U89</f>
        <v>0.1794</v>
      </c>
      <c r="F5" s="3">
        <f>F$4*TabSpHt2023!V89</f>
        <v>10.104200000000001</v>
      </c>
      <c r="G5" s="143">
        <f>G$4*TabSpHt2023!Q89</f>
        <v>0.1043</v>
      </c>
      <c r="H5" s="4">
        <f t="shared" ca="1" si="0"/>
        <v>0.42032750028635307</v>
      </c>
      <c r="I5" s="4">
        <f t="shared" ca="1" si="0"/>
        <v>2.7045778681694849E-2</v>
      </c>
      <c r="J5" s="4">
        <f t="shared" ca="1" si="0"/>
        <v>1.0943183137858484E-2</v>
      </c>
      <c r="K5" s="4">
        <f t="shared" ca="1" si="0"/>
        <v>0.45930315984349673</v>
      </c>
      <c r="L5" s="145">
        <f t="shared" ca="1" si="0"/>
        <v>0.30135151381046876</v>
      </c>
      <c r="M5" s="163">
        <f>C5/SectorSum2019!C5-1</f>
        <v>-0.4472210044327537</v>
      </c>
      <c r="N5" s="163">
        <f>D5/SectorSum2019!D5-1</f>
        <v>8.4878266696448712E-2</v>
      </c>
      <c r="O5" s="163">
        <f>E5/SectorSum2019!E5-1</f>
        <v>5.1582649472450282E-2</v>
      </c>
      <c r="P5" s="163">
        <f>F5/SectorSum2019!F5-1</f>
        <v>8.5119635723184039E-2</v>
      </c>
      <c r="Q5" s="158">
        <f>G5/SectorSum2019!G5-1</f>
        <v>8.4199584199584177E-2</v>
      </c>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row>
    <row r="6" spans="1:58" x14ac:dyDescent="0.25">
      <c r="A6" s="2"/>
      <c r="B6" s="146" t="s">
        <v>11</v>
      </c>
      <c r="C6" s="3">
        <f>C$4*TabSpHt2023!T90</f>
        <v>3.2899999999999999E-2</v>
      </c>
      <c r="D6" s="3">
        <f>D$4*TabSpHt2023!R90</f>
        <v>2.1277999999999997</v>
      </c>
      <c r="E6" s="3">
        <f>E$4*TabSpHt2023!U90</f>
        <v>2.2894999999999999</v>
      </c>
      <c r="F6" s="3">
        <f>F$4*TabSpHt2023!V90</f>
        <v>0.1187</v>
      </c>
      <c r="G6" s="143">
        <f>G$4*TabSpHt2023!Q90</f>
        <v>4.0000000000000001E-3</v>
      </c>
      <c r="H6" s="4">
        <f t="shared" ca="1" si="0"/>
        <v>1.2186089847921234E-2</v>
      </c>
      <c r="I6" s="4">
        <f t="shared" ca="1" si="0"/>
        <v>0.11848467753533103</v>
      </c>
      <c r="J6" s="4">
        <f t="shared" ca="1" si="0"/>
        <v>0.13965673240873466</v>
      </c>
      <c r="K6" s="4">
        <f t="shared" ca="1" si="0"/>
        <v>5.3957052585482338E-3</v>
      </c>
      <c r="L6" s="145">
        <f t="shared" ca="1" si="0"/>
        <v>1.1557105035876078E-2</v>
      </c>
      <c r="M6" s="163">
        <f>C6/SectorSum2019!C6-1</f>
        <v>-0.49770992366412214</v>
      </c>
      <c r="N6" s="163">
        <f>D6/SectorSum2019!D6-1</f>
        <v>9.9638242894056539E-2</v>
      </c>
      <c r="O6" s="163">
        <f>E6/SectorSum2019!E6-1</f>
        <v>-0.40830619734325735</v>
      </c>
      <c r="P6" s="163">
        <f>F6/SectorSum2019!F6-1</f>
        <v>9.1996320147194277E-2</v>
      </c>
      <c r="Q6" s="158">
        <f>G6/SectorSum2019!G6-1</f>
        <v>8.1081081081081141E-2</v>
      </c>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row>
    <row r="7" spans="1:58" x14ac:dyDescent="0.25">
      <c r="A7" s="2"/>
      <c r="B7" s="146" t="s">
        <v>12</v>
      </c>
      <c r="C7" s="3">
        <f>C$4*TabSpHt2023!T91</f>
        <v>5.8099999999999999E-2</v>
      </c>
      <c r="D7" s="3">
        <f>D$4*TabSpHt2023!R91</f>
        <v>6.2900000000000011E-2</v>
      </c>
      <c r="E7" s="3">
        <f>E$4*TabSpHt2023!U91</f>
        <v>9.69E-2</v>
      </c>
      <c r="F7" s="3">
        <f>F$4*TabSpHt2023!V91</f>
        <v>0.13319999999999999</v>
      </c>
      <c r="G7" s="143">
        <f>G$4*TabSpHt2023!Q91</f>
        <v>1.6799999999999999E-2</v>
      </c>
      <c r="H7" s="4">
        <f t="shared" ca="1" si="0"/>
        <v>2.1520116114414092E-2</v>
      </c>
      <c r="I7" s="4">
        <f t="shared" ca="1" si="0"/>
        <v>3.5025313549075687E-3</v>
      </c>
      <c r="J7" s="4">
        <f t="shared" ca="1" si="0"/>
        <v>5.9107828654319239E-3</v>
      </c>
      <c r="K7" s="4">
        <f t="shared" ca="1" si="0"/>
        <v>6.0548267939227012E-3</v>
      </c>
      <c r="L7" s="145">
        <f t="shared" ca="1" si="0"/>
        <v>4.8539841150679525E-2</v>
      </c>
      <c r="M7" s="163">
        <f>C7/SectorSum2019!C7-1</f>
        <v>-0.2589285714285714</v>
      </c>
      <c r="N7" s="163">
        <f>D7/SectorSum2019!D7-1</f>
        <v>7.5213675213675613E-2</v>
      </c>
      <c r="O7" s="163">
        <f>E7/SectorSum2019!E7-1</f>
        <v>-4.0594059405940519E-2</v>
      </c>
      <c r="P7" s="163">
        <f>F7/SectorSum2019!F7-1</f>
        <v>7.5060532687651227E-2</v>
      </c>
      <c r="Q7" s="158">
        <f>G7/SectorSum2019!G7-1</f>
        <v>7.6923076923076872E-2</v>
      </c>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row>
    <row r="8" spans="1:58" x14ac:dyDescent="0.25">
      <c r="A8" s="2"/>
      <c r="B8" s="146" t="s">
        <v>13</v>
      </c>
      <c r="C8" s="3">
        <f>C$4*TabSpHt2023!T92</f>
        <v>1.2499999999999999E-2</v>
      </c>
      <c r="D8" s="3">
        <f>D$4*TabSpHt2023!R92</f>
        <v>0.16739999999999999</v>
      </c>
      <c r="E8" s="3">
        <f>E$4*TabSpHt2023!U92</f>
        <v>1.7699999999999997E-2</v>
      </c>
      <c r="F8" s="3">
        <f>F$4*TabSpHt2023!V92</f>
        <v>8.3999999999999995E-3</v>
      </c>
      <c r="G8" s="143">
        <f>G$4*TabSpHt2023!Q92</f>
        <v>2.8900000000000002E-2</v>
      </c>
      <c r="H8" s="4">
        <f t="shared" ca="1" si="0"/>
        <v>4.6299733464746327E-3</v>
      </c>
      <c r="I8" s="4">
        <f t="shared" ca="1" si="0"/>
        <v>9.3215222386570252E-3</v>
      </c>
      <c r="J8" s="4">
        <f t="shared" ca="1" si="0"/>
        <v>1.0796786039024254E-3</v>
      </c>
      <c r="K8" s="4">
        <f t="shared" ca="1" si="0"/>
        <v>3.8183592394107124E-4</v>
      </c>
      <c r="L8" s="145">
        <f t="shared" ca="1" si="0"/>
        <v>8.3500083884204671E-2</v>
      </c>
      <c r="M8" s="163">
        <f>C8/SectorSum2019!C8-1</f>
        <v>0</v>
      </c>
      <c r="N8" s="163">
        <f>D8/SectorSum2019!D8-1</f>
        <v>0</v>
      </c>
      <c r="O8" s="163">
        <f>E8/SectorSum2019!E8-1</f>
        <v>0</v>
      </c>
      <c r="P8" s="163">
        <f>F8/SectorSum2019!F8-1</f>
        <v>0</v>
      </c>
      <c r="Q8" s="158">
        <f>G8/SectorSum2019!G8-1</f>
        <v>0</v>
      </c>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row>
    <row r="9" spans="1:58" x14ac:dyDescent="0.25">
      <c r="A9" s="1"/>
      <c r="B9" s="141" t="s">
        <v>14</v>
      </c>
      <c r="C9" s="3" cm="1">
        <f t="array" aca="1" ref="C9" ca="1">INDIRECT("'"&amp;$A$1&amp;"NRARSummary'!G5")</f>
        <v>0.2547097565790693</v>
      </c>
      <c r="D9" s="3" cm="1">
        <f t="array" aca="1" ref="D9" ca="1">INDIRECT("'"&amp;$A$1&amp;"NRARSummary'!H5")</f>
        <v>0.40572981648875495</v>
      </c>
      <c r="E9" s="3" cm="1">
        <f t="array" aca="1" ref="E9" ca="1">INDIRECT("'"&amp;$A$1&amp;"NRARSummary'!I5")</f>
        <v>3.1996628186558809E-2</v>
      </c>
      <c r="F9" s="3" cm="1">
        <f t="array" aca="1" ref="F9" ca="1">INDIRECT("'"&amp;$A$1&amp;"NRARSummary'!J5")</f>
        <v>2.3828417631587269</v>
      </c>
      <c r="G9" s="143" cm="1">
        <f t="array" aca="1" ref="G9" ca="1">INDIRECT("'"&amp;$A$1&amp;"NRARSummary'!K5")</f>
        <v>5.2578537715268825E-2</v>
      </c>
      <c r="H9" s="4">
        <f t="shared" ca="1" si="0"/>
        <v>9.4343950723850614E-2</v>
      </c>
      <c r="I9" s="4">
        <f t="shared" ca="1" si="0"/>
        <v>2.2592709123573255E-2</v>
      </c>
      <c r="J9" s="4">
        <f t="shared" ca="1" si="0"/>
        <v>1.951755641245696E-3</v>
      </c>
      <c r="K9" s="4">
        <f t="shared" ca="1" si="0"/>
        <v>0.1083160221715576</v>
      </c>
      <c r="L9" s="145">
        <f t="shared" ca="1" si="0"/>
        <v>0.15191392075203342</v>
      </c>
      <c r="M9" s="163">
        <f ca="1">C9/SectorSum2019!C9-1</f>
        <v>5.6840825050252342E-2</v>
      </c>
      <c r="N9" s="163">
        <f ca="1">D9/SectorSum2019!D9-1</f>
        <v>5.684082505025212E-2</v>
      </c>
      <c r="O9" s="163">
        <f ca="1">E9/SectorSum2019!E9-1</f>
        <v>5.6840825050252342E-2</v>
      </c>
      <c r="P9" s="163">
        <f ca="1">F9/SectorSum2019!F9-1</f>
        <v>5.6840825050251897E-2</v>
      </c>
      <c r="Q9" s="158">
        <f ca="1">G9/SectorSum2019!G9-1</f>
        <v>5.6840825050252342E-2</v>
      </c>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row>
    <row r="10" spans="1:58" x14ac:dyDescent="0.25">
      <c r="A10" s="5"/>
      <c r="B10" s="141" t="s">
        <v>15</v>
      </c>
      <c r="C10" s="3">
        <f ca="1">OFFSET(OnRoad!$L$6,MATCH($A$1,OnRoad!$A$7:$A$17,0),MATCH(C2,OnRoad!$C$6:$G$6,0))</f>
        <v>0.21517879996108633</v>
      </c>
      <c r="D10" s="3">
        <f ca="1">OFFSET(OnRoad!$L$6,MATCH($A$1,OnRoad!$A$7:$A$17,0),MATCH(D2,OnRoad!$C$6:$G$6,0))</f>
        <v>1.763491944266335</v>
      </c>
      <c r="E10" s="3">
        <f ca="1">OFFSET(OnRoad!$L$6,MATCH($A$1,OnRoad!$A$7:$A$17,0),MATCH(E2,OnRoad!$C$6:$G$6,0))</f>
        <v>8.9725820204671538E-3</v>
      </c>
      <c r="F10" s="3">
        <f ca="1">OFFSET(OnRoad!$L$6,MATCH($A$1,OnRoad!$A$7:$A$17,0),MATCH(F2,OnRoad!$C$6:$G$6,0))</f>
        <v>4.5058522487243309</v>
      </c>
      <c r="G10" s="143">
        <f ca="1">OFFSET(OnRoad!$L$6,MATCH($A$1,OnRoad!$A$7:$A$17,0),MATCH(G2,OnRoad!$C$6:$G$6,0))</f>
        <v>5.7505973042814136E-2</v>
      </c>
      <c r="H10" s="4">
        <f t="shared" ca="1" si="0"/>
        <v>7.9701768683698118E-2</v>
      </c>
      <c r="I10" s="4">
        <f t="shared" ca="1" si="0"/>
        <v>9.8198502844511093E-2</v>
      </c>
      <c r="J10" s="4">
        <f t="shared" ca="1" si="0"/>
        <v>5.4731665702022496E-4</v>
      </c>
      <c r="K10" s="4">
        <f t="shared" ca="1" si="0"/>
        <v>0.20482098292066769</v>
      </c>
      <c r="L10" s="145">
        <f t="shared" ca="1" si="0"/>
        <v>0.1661506426615153</v>
      </c>
      <c r="M10" s="163">
        <f ca="1">C10/SectorSum2019!C10-1</f>
        <v>-0.20980347478222461</v>
      </c>
      <c r="N10" s="163">
        <f ca="1">D10/SectorSum2019!D10-1</f>
        <v>-0.23256183122463092</v>
      </c>
      <c r="O10" s="163">
        <f ca="1">E10/SectorSum2019!E10-1</f>
        <v>-1.5077888744242429E-2</v>
      </c>
      <c r="P10" s="163">
        <f ca="1">F10/SectorSum2019!F10-1</f>
        <v>-7.956125105226497E-2</v>
      </c>
      <c r="Q10" s="158">
        <f ca="1">G10/SectorSum2019!G10-1</f>
        <v>4.9989108438536434E-2</v>
      </c>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row>
    <row r="11" spans="1:58" x14ac:dyDescent="0.25">
      <c r="A11" s="2"/>
      <c r="B11" s="147" t="s">
        <v>16</v>
      </c>
      <c r="C11" s="148" cm="1">
        <f t="array" aca="1" ref="C11" ca="1">INDIRECT("'"&amp;$A$1&amp;"NRARSummary'!G9")</f>
        <v>0.36054755772876479</v>
      </c>
      <c r="D11" s="148" cm="1">
        <f t="array" aca="1" ref="D11" ca="1">INDIRECT("'"&amp;$A$1&amp;"NRARSummary'!H9")</f>
        <v>1.808264727702368</v>
      </c>
      <c r="E11" s="148" cm="1">
        <f t="array" aca="1" ref="E11" ca="1">INDIRECT("'"&amp;$A$1&amp;"NRARSummary'!I9")</f>
        <v>8.8455067035559249</v>
      </c>
      <c r="F11" s="148" cm="1">
        <f t="array" aca="1" ref="F11" ca="1">INDIRECT("'"&amp;$A$1&amp;"NRARSummary'!J9")</f>
        <v>4.7107518280760132</v>
      </c>
      <c r="G11" s="149" cm="1">
        <f t="array" aca="1" ref="G11" ca="1">INDIRECT("'"&amp;$A$1&amp;"NRARSummary'!K9")</f>
        <v>3.160306144982708E-3</v>
      </c>
      <c r="H11" s="150">
        <f t="shared" ca="1" si="0"/>
        <v>0.1335460465936564</v>
      </c>
      <c r="I11" s="150">
        <f t="shared" ca="1" si="0"/>
        <v>0.10069163603737583</v>
      </c>
      <c r="J11" s="150">
        <f t="shared" ca="1" si="0"/>
        <v>0.53956521629970666</v>
      </c>
      <c r="K11" s="150">
        <f t="shared" ca="1" si="0"/>
        <v>0.21413503294410655</v>
      </c>
      <c r="L11" s="151">
        <f t="shared" ca="1" si="0"/>
        <v>9.1309975157724422E-3</v>
      </c>
      <c r="M11" s="159">
        <f ca="1">C11/SectorSum2019!C11-1</f>
        <v>3.0467915201526807E-2</v>
      </c>
      <c r="N11" s="159">
        <f ca="1">D11/SectorSum2019!D11-1</f>
        <v>3.0449784474155583E-2</v>
      </c>
      <c r="O11" s="159">
        <f ca="1">E11/SectorSum2019!E11-1</f>
        <v>0.13679492281426109</v>
      </c>
      <c r="P11" s="159">
        <f ca="1">F11/SectorSum2019!F11-1</f>
        <v>-0.10491670912485807</v>
      </c>
      <c r="Q11" s="160">
        <f ca="1">G11/SectorSum2019!G11-1</f>
        <v>2.6530483598751431E-2</v>
      </c>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row>
    <row r="12" spans="1:58" x14ac:dyDescent="0.25">
      <c r="A12" s="2"/>
      <c r="B12" s="152" t="s">
        <v>17</v>
      </c>
      <c r="C12" s="153">
        <f ca="1">SUM(C3:C4,C9:C11)</f>
        <v>2.6997995592172868</v>
      </c>
      <c r="D12" s="153">
        <f ca="1">SUM(D3:D4,D9:D11)</f>
        <v>17.958440232624252</v>
      </c>
      <c r="E12" s="153">
        <f ca="1">SUM(E3:E4,E9:E11)</f>
        <v>16.393767493423081</v>
      </c>
      <c r="F12" s="153">
        <f ca="1">SUM(F3:F4,F9:F11)</f>
        <v>21.998977763277118</v>
      </c>
      <c r="G12" s="154">
        <f ca="1">SUM(G3:G4,G9:G11)</f>
        <v>0.34610743673117295</v>
      </c>
      <c r="H12" s="155">
        <f t="shared" ca="1" si="0"/>
        <v>1</v>
      </c>
      <c r="I12" s="155">
        <f t="shared" ca="1" si="0"/>
        <v>1</v>
      </c>
      <c r="J12" s="155">
        <f t="shared" ca="1" si="0"/>
        <v>1</v>
      </c>
      <c r="K12" s="155">
        <f t="shared" ca="1" si="0"/>
        <v>1</v>
      </c>
      <c r="L12" s="156">
        <f t="shared" ca="1" si="0"/>
        <v>1</v>
      </c>
      <c r="M12" s="161">
        <f ca="1">C12/SectorSum2019!C12-1</f>
        <v>-0.2622278269201842</v>
      </c>
      <c r="N12" s="161">
        <f ca="1">D12/SectorSum2019!D12-1</f>
        <v>3.2029027015598732E-2</v>
      </c>
      <c r="O12" s="161">
        <f ca="1">E12/SectorSum2019!E12-1</f>
        <v>-8.1376123082062657E-2</v>
      </c>
      <c r="P12" s="161">
        <f ca="1">F12/SectorSum2019!F12-1</f>
        <v>3.0717292982096467E-5</v>
      </c>
      <c r="Q12" s="162">
        <f ca="1">G12/SectorSum2019!G12-1</f>
        <v>6.4154276537357502E-2</v>
      </c>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row>
    <row r="13" spans="1:58" x14ac:dyDescent="0.25">
      <c r="A13" s="2"/>
      <c r="B13" s="137"/>
      <c r="C13" s="137"/>
      <c r="D13" s="137"/>
      <c r="E13" s="137"/>
      <c r="F13" s="137"/>
      <c r="G13" s="137"/>
      <c r="H13" s="137"/>
      <c r="I13" s="137"/>
      <c r="J13" s="137"/>
      <c r="K13" s="137"/>
      <c r="L13" s="137"/>
      <c r="M13" s="163"/>
      <c r="N13" s="163"/>
      <c r="O13" s="163"/>
      <c r="P13" s="163"/>
      <c r="Q13" s="163"/>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row>
    <row r="14" spans="1:58" x14ac:dyDescent="0.25">
      <c r="A14" s="2"/>
      <c r="B14" s="137"/>
      <c r="C14" s="137"/>
      <c r="D14" s="137"/>
      <c r="E14" s="137"/>
      <c r="F14" s="137"/>
      <c r="G14" s="137"/>
      <c r="H14" s="137"/>
      <c r="I14" s="137"/>
      <c r="J14" s="137"/>
      <c r="K14" s="137"/>
      <c r="L14" s="137"/>
      <c r="M14" s="163"/>
      <c r="N14" s="163"/>
      <c r="O14" s="163"/>
      <c r="P14" s="163"/>
      <c r="Q14" s="163"/>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row>
    <row r="15" spans="1:58" x14ac:dyDescent="0.25">
      <c r="A15" s="2"/>
      <c r="B15" s="137"/>
      <c r="C15" s="137"/>
      <c r="D15" s="137"/>
      <c r="E15" s="137"/>
      <c r="F15" s="137"/>
      <c r="G15" s="137"/>
      <c r="H15" s="137"/>
      <c r="I15" s="137"/>
      <c r="J15" s="137"/>
      <c r="K15" s="137"/>
      <c r="L15" s="137"/>
      <c r="M15" s="163"/>
      <c r="N15" s="163"/>
      <c r="O15" s="163"/>
      <c r="P15" s="163"/>
      <c r="Q15" s="163"/>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row>
    <row r="16" spans="1:58" x14ac:dyDescent="0.25">
      <c r="A16" s="2"/>
      <c r="B16" s="137"/>
      <c r="C16" s="137"/>
      <c r="D16" s="137"/>
      <c r="E16" s="137"/>
      <c r="F16" s="137"/>
      <c r="G16" s="137"/>
      <c r="H16" s="137"/>
      <c r="I16" s="137"/>
      <c r="J16" s="137"/>
      <c r="K16" s="137"/>
      <c r="L16" s="137"/>
      <c r="M16" s="163"/>
      <c r="N16" s="163"/>
      <c r="O16" s="163"/>
      <c r="P16" s="163"/>
      <c r="Q16" s="163"/>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row>
    <row r="17" spans="1:58" x14ac:dyDescent="0.25">
      <c r="B17" s="137"/>
      <c r="C17" s="137"/>
      <c r="D17" s="137"/>
      <c r="E17" s="137"/>
      <c r="F17" s="137"/>
      <c r="G17" s="137"/>
      <c r="H17" s="137"/>
      <c r="I17" s="137"/>
      <c r="J17" s="137"/>
      <c r="K17" s="137"/>
      <c r="L17" s="137"/>
      <c r="M17" s="163"/>
      <c r="N17" s="163"/>
      <c r="O17" s="163"/>
      <c r="P17" s="163"/>
      <c r="Q17" s="163"/>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row>
    <row r="18" spans="1:58" x14ac:dyDescent="0.25">
      <c r="B18" s="137"/>
      <c r="C18" s="137"/>
      <c r="D18" s="137"/>
      <c r="E18" s="137"/>
      <c r="F18" s="137"/>
      <c r="G18" s="137"/>
      <c r="H18" s="137"/>
      <c r="I18" s="137"/>
      <c r="J18" s="137"/>
      <c r="K18" s="137"/>
      <c r="L18" s="137"/>
      <c r="M18" s="163"/>
      <c r="N18" s="163"/>
      <c r="O18" s="163"/>
      <c r="P18" s="163"/>
      <c r="Q18" s="163"/>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row>
    <row r="19" spans="1:58" x14ac:dyDescent="0.25">
      <c r="B19" s="137"/>
      <c r="C19" s="137"/>
      <c r="D19" s="137"/>
      <c r="E19" s="137"/>
      <c r="F19" s="137"/>
      <c r="G19" s="137"/>
      <c r="H19" s="137"/>
      <c r="I19" s="137"/>
      <c r="J19" s="137"/>
      <c r="K19" s="137"/>
      <c r="L19" s="137"/>
      <c r="M19" s="163"/>
      <c r="N19" s="163"/>
      <c r="O19" s="163"/>
      <c r="P19" s="163"/>
      <c r="Q19" s="163"/>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row>
    <row r="20" spans="1:58" x14ac:dyDescent="0.25">
      <c r="B20" s="137"/>
      <c r="C20" s="224" t="s">
        <v>18</v>
      </c>
      <c r="D20" s="224"/>
      <c r="E20" s="224"/>
      <c r="F20" s="224"/>
      <c r="G20" s="224"/>
      <c r="H20" s="224" t="s">
        <v>1</v>
      </c>
      <c r="I20" s="224"/>
      <c r="J20" s="224"/>
      <c r="K20" s="224"/>
      <c r="L20" s="224"/>
      <c r="M20" s="224" t="s">
        <v>230</v>
      </c>
      <c r="N20" s="224"/>
      <c r="O20" s="224"/>
      <c r="P20" s="224"/>
      <c r="Q20" s="224"/>
      <c r="R20" s="129"/>
      <c r="S20" s="223" t="s">
        <v>220</v>
      </c>
      <c r="T20" s="223"/>
      <c r="U20" s="223"/>
      <c r="V20" s="223"/>
      <c r="W20" s="223"/>
      <c r="X20" s="223"/>
      <c r="Y20" s="223"/>
      <c r="Z20" s="223"/>
      <c r="AA20" s="223" t="s">
        <v>221</v>
      </c>
      <c r="AB20" s="223"/>
      <c r="AC20" s="223"/>
      <c r="AD20" s="223"/>
      <c r="AE20" s="223"/>
      <c r="AF20" s="223"/>
      <c r="AG20" s="223"/>
      <c r="AH20" s="223"/>
      <c r="AI20" s="223" t="s">
        <v>222</v>
      </c>
      <c r="AJ20" s="223"/>
      <c r="AK20" s="223"/>
      <c r="AL20" s="223"/>
      <c r="AM20" s="223"/>
      <c r="AN20" s="223"/>
      <c r="AO20" s="223"/>
      <c r="AP20" s="223"/>
      <c r="AQ20" s="223" t="s">
        <v>223</v>
      </c>
      <c r="AR20" s="223"/>
      <c r="AS20" s="223"/>
      <c r="AT20" s="223"/>
      <c r="AU20" s="223"/>
      <c r="AV20" s="223"/>
      <c r="AW20" s="223"/>
      <c r="AX20" s="223"/>
      <c r="AY20" s="223" t="s">
        <v>224</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0.61122693459358435</v>
      </c>
      <c r="D22" s="3">
        <f ca="1">D3-OFFSET(Points!$G$36,MATCH(IF($A$1&gt;2020,$A$1&amp;"CTL",$A$1),Points!$A$37:$A$190,0)+3,0)</f>
        <v>11.083154731463381</v>
      </c>
      <c r="E22" s="3">
        <f ca="1">E3-OFFSET(Points!$F$36,MATCH(IF($A$1&gt;2020,$A$1&amp;"CTL",$A$1),Points!$A$37:$A$190,0)+3,0)</f>
        <v>4.727708081200543</v>
      </c>
      <c r="F22" s="3">
        <f ca="1">F3-OFFSET(Points!$H$36,MATCH(IF($A$1&gt;2020,$A$1&amp;"CTL",$A$1),Points!$A$37:$A$190,0)+3,0)</f>
        <v>3.4333589736503585E-2</v>
      </c>
      <c r="G22" s="143">
        <f ca="1">G3-OFFSET(Points!$J$36,MATCH(IF($A$1&gt;2020,$A$1&amp;"CTL",$A$1),Points!$A$37:$A$190,0)+3,0)</f>
        <v>7.866142572812633E-2</v>
      </c>
      <c r="H22" s="144">
        <f t="shared" ref="H22:L31" ca="1" si="1">C22/C$31</f>
        <v>0.28465623331487083</v>
      </c>
      <c r="I22" s="4">
        <f t="shared" ca="1" si="1"/>
        <v>0.68328290411639114</v>
      </c>
      <c r="J22" s="4">
        <f t="shared" ca="1" si="1"/>
        <v>0.37544907906355457</v>
      </c>
      <c r="K22" s="4">
        <f t="shared" ca="1" si="1"/>
        <v>1.8907941716102452E-3</v>
      </c>
      <c r="L22" s="145">
        <f t="shared" ca="1" si="1"/>
        <v>0.2588169857071152</v>
      </c>
      <c r="M22" s="157">
        <f ca="1">C22/SectorSum2019!C22-1</f>
        <v>7.5443900776680728E-2</v>
      </c>
      <c r="N22" s="163">
        <f ca="1">D22/SectorSum2019!D22-1</f>
        <v>7.544390077668095E-2</v>
      </c>
      <c r="O22" s="163">
        <f ca="1">E22/SectorSum2019!E22-1</f>
        <v>-0.16831592333520207</v>
      </c>
      <c r="P22" s="163">
        <f ca="1">F22/SectorSum2019!F22-1</f>
        <v>7.544390077668095E-2</v>
      </c>
      <c r="Q22" s="158">
        <f ca="1">G22/SectorSum2019!G22-1</f>
        <v>7.5443900776681394E-2</v>
      </c>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0.88906556807822823</v>
      </c>
      <c r="D23" s="142">
        <f>TabSpHt2019!$K$69</f>
        <v>2.4317000000000002</v>
      </c>
      <c r="E23" s="142">
        <f ca="1">OFFSET(SpaceHeat!$D$59,0,MATCH($A$1,SpaceHeat!$E$28:$O$28,0))</f>
        <v>2.2781940123463409</v>
      </c>
      <c r="F23" s="142">
        <f>TabSpHt2019!$O$69</f>
        <v>8.6022999999999996</v>
      </c>
      <c r="G23" s="143">
        <f>TabSpHt2019!$J$69</f>
        <v>0.13189999999999999</v>
      </c>
      <c r="H23" s="4">
        <f t="shared" ca="1" si="1"/>
        <v>0.41404925315892765</v>
      </c>
      <c r="I23" s="4">
        <f t="shared" ca="1" si="1"/>
        <v>0.14991571246614227</v>
      </c>
      <c r="J23" s="4">
        <f t="shared" ca="1" si="1"/>
        <v>0.18092188205629087</v>
      </c>
      <c r="K23" s="4">
        <f t="shared" ca="1" si="1"/>
        <v>0.47373953109102424</v>
      </c>
      <c r="L23" s="145">
        <f t="shared" ca="1" si="1"/>
        <v>0.43398603697774141</v>
      </c>
      <c r="M23" s="163">
        <f ca="1">C23/SectorSum2019!C23-1</f>
        <v>-0.53438180577219863</v>
      </c>
      <c r="N23" s="163">
        <f>D23/SectorSum2019!D23-1</f>
        <v>0</v>
      </c>
      <c r="O23" s="163">
        <f ca="1">E23/SectorSum2019!E23-1</f>
        <v>-0.4130282463735877</v>
      </c>
      <c r="P23" s="163">
        <f>F23/SectorSum2019!F23-1</f>
        <v>0</v>
      </c>
      <c r="Q23" s="158">
        <f>G23/SectorSum2019!G23-1</f>
        <v>0</v>
      </c>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C$23*TabSpHt2023!M89</f>
        <v>0.80547402396958512</v>
      </c>
      <c r="D24" s="3">
        <f>D$23*TabSpHt2023!K89</f>
        <v>0.39153870299193611</v>
      </c>
      <c r="E24" s="3">
        <f ca="1">E$23*TabSpHt2023!N89</f>
        <v>0.1689420030418966</v>
      </c>
      <c r="F24" s="3">
        <f>F$23*TabSpHt2023!O89</f>
        <v>8.3845120865698828</v>
      </c>
      <c r="G24" s="143">
        <f>G$23*TabSpHt2023!J89</f>
        <v>8.7245376955903259E-2</v>
      </c>
      <c r="H24" s="4">
        <f t="shared" ca="1" si="1"/>
        <v>0.37511959751676938</v>
      </c>
      <c r="I24" s="4">
        <f t="shared" ca="1" si="1"/>
        <v>2.4138587661761468E-2</v>
      </c>
      <c r="J24" s="4">
        <f t="shared" ca="1" si="1"/>
        <v>1.3416462769656724E-2</v>
      </c>
      <c r="K24" s="4">
        <f t="shared" ca="1" si="1"/>
        <v>0.46174567549593037</v>
      </c>
      <c r="L24" s="145">
        <f t="shared" ca="1" si="1"/>
        <v>0.2870604654262443</v>
      </c>
      <c r="M24" s="163">
        <f ca="1">C24/SectorSum2019!C24-1</f>
        <v>-0.54480283549135566</v>
      </c>
      <c r="N24" s="163">
        <f>D24/SectorSum2019!D24-1</f>
        <v>-6.2469467209742557E-3</v>
      </c>
      <c r="O24" s="163">
        <f ca="1">E24/SectorSum2019!E24-1</f>
        <v>5.1865547902051112E-2</v>
      </c>
      <c r="P24" s="163">
        <f>F24/SectorSum2019!F24-1</f>
        <v>8.4936015873893211E-5</v>
      </c>
      <c r="Q24" s="158">
        <f>G24/SectorSum2019!G24-1</f>
        <v>1.5662129870817942E-2</v>
      </c>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C$23*TabSpHt2023!M90</f>
        <v>2.7407063642178126E-2</v>
      </c>
      <c r="D25" s="3">
        <f>D$23*TabSpHt2023!K90</f>
        <v>1.8360077210038437</v>
      </c>
      <c r="E25" s="3">
        <f ca="1">E$23*TabSpHt2023!N90</f>
        <v>2.0090373085752904</v>
      </c>
      <c r="F25" s="3">
        <f>F$23*TabSpHt2023!O90</f>
        <v>0.10230409814110461</v>
      </c>
      <c r="G25" s="143">
        <f>G$23*TabSpHt2023!J90</f>
        <v>3.5648648648648642E-3</v>
      </c>
      <c r="H25" s="4">
        <f t="shared" ca="1" si="1"/>
        <v>1.2763821522019129E-2</v>
      </c>
      <c r="I25" s="4">
        <f t="shared" ca="1" si="1"/>
        <v>0.11319093867978343</v>
      </c>
      <c r="J25" s="4">
        <f t="shared" ca="1" si="1"/>
        <v>0.15954690821717826</v>
      </c>
      <c r="K25" s="4">
        <f t="shared" ca="1" si="1"/>
        <v>5.634015958761846E-3</v>
      </c>
      <c r="L25" s="145">
        <f t="shared" ca="1" si="1"/>
        <v>1.1729352350749766E-2</v>
      </c>
      <c r="M25" s="163">
        <f ca="1">C25/SectorSum2019!C25-1</f>
        <v>-0.55101033255053378</v>
      </c>
      <c r="N25" s="163">
        <f>D25/SectorSum2019!D25-1</f>
        <v>9.3500390345484519E-3</v>
      </c>
      <c r="O25" s="163">
        <f ca="1">E25/SectorSum2019!E25-1</f>
        <v>-0.44429981437061061</v>
      </c>
      <c r="P25" s="163">
        <f>F25/SectorSum2019!F25-1</f>
        <v>6.9300998140218173E-3</v>
      </c>
      <c r="Q25" s="158">
        <f>G25/SectorSum2019!G25-1</f>
        <v>1.8532818532818407E-2</v>
      </c>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C$23*TabSpHt2023!M91</f>
        <v>4.4047066567786265E-2</v>
      </c>
      <c r="D26" s="3">
        <f>D$23*TabSpHt2023!K91</f>
        <v>5.0580239656341848E-2</v>
      </c>
      <c r="E26" s="3">
        <f ca="1">E$23*TabSpHt2023!N91</f>
        <v>8.2452578545537364E-2</v>
      </c>
      <c r="F26" s="3">
        <f>F$23*TabSpHt2023!O91</f>
        <v>0.10764971768361277</v>
      </c>
      <c r="G26" s="143">
        <f>G$23*TabSpHt2023!J91</f>
        <v>1.3884210526315789E-2</v>
      </c>
      <c r="H26" s="4">
        <f t="shared" ca="1" si="1"/>
        <v>2.0513284588959312E-2</v>
      </c>
      <c r="I26" s="4">
        <f t="shared" ca="1" si="1"/>
        <v>3.1183010506183784E-3</v>
      </c>
      <c r="J26" s="4">
        <f t="shared" ca="1" si="1"/>
        <v>6.5479391175684255E-3</v>
      </c>
      <c r="K26" s="4">
        <f t="shared" ca="1" si="1"/>
        <v>5.9284059818322842E-3</v>
      </c>
      <c r="L26" s="145">
        <f t="shared" ca="1" si="1"/>
        <v>4.5682740734499093E-2</v>
      </c>
      <c r="M26" s="163">
        <f ca="1">C26/SectorSum2019!C26-1</f>
        <v>-0.33618030662210707</v>
      </c>
      <c r="N26" s="163">
        <f>D26/SectorSum2019!D26-1</f>
        <v>-1.4030416055714423E-2</v>
      </c>
      <c r="O26" s="163">
        <f ca="1">E26/SectorSum2019!E26-1</f>
        <v>-5.7746531976645477E-2</v>
      </c>
      <c r="P26" s="163">
        <f>F26/SectorSum2019!F26-1</f>
        <v>-8.7502975726263532E-3</v>
      </c>
      <c r="Q26" s="158">
        <f>G26/SectorSum2019!G26-1</f>
        <v>1.344602381867066E-2</v>
      </c>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C$23*TabSpHt2023!M92</f>
        <v>1.2235296268829519E-2</v>
      </c>
      <c r="D27" s="3">
        <f>D$23*TabSpHt2023!K92</f>
        <v>0.15339007460999321</v>
      </c>
      <c r="E27" s="3">
        <f ca="1">E$23*TabSpHt2023!N92</f>
        <v>1.7863043332386915E-2</v>
      </c>
      <c r="F27" s="3">
        <f>F$23*TabSpHt2023!O92</f>
        <v>7.7419317512187266E-3</v>
      </c>
      <c r="G27" s="143">
        <f>G$23*TabSpHt2023!J92</f>
        <v>2.7111735419630155E-2</v>
      </c>
      <c r="H27" s="4">
        <f t="shared" ca="1" si="1"/>
        <v>5.6981346080442535E-3</v>
      </c>
      <c r="I27" s="4">
        <f t="shared" ca="1" si="1"/>
        <v>9.4565868817666036E-3</v>
      </c>
      <c r="J27" s="4">
        <f t="shared" ca="1" si="1"/>
        <v>1.418586565250442E-3</v>
      </c>
      <c r="K27" s="4">
        <f t="shared" ca="1" si="1"/>
        <v>4.2635796444684236E-4</v>
      </c>
      <c r="L27" s="145">
        <f t="shared" ca="1" si="1"/>
        <v>8.9204811299123235E-2</v>
      </c>
      <c r="M27" s="163">
        <f ca="1">C27/SectorSum2019!C27-1</f>
        <v>-2.3447473297410926E-2</v>
      </c>
      <c r="N27" s="163">
        <f>D27/SectorSum2019!D27-1</f>
        <v>-8.3691310573517197E-2</v>
      </c>
      <c r="O27" s="163">
        <f ca="1">E27/SectorSum2019!E27-1</f>
        <v>2.2255369795531887E-3</v>
      </c>
      <c r="P27" s="163">
        <f>F27/SectorSum2019!F27-1</f>
        <v>-7.8341458188246782E-2</v>
      </c>
      <c r="Q27" s="158">
        <f>G27/SectorSum2019!G27-1</f>
        <v>-6.1877667140825099E-2</v>
      </c>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0.23670179076234138</v>
      </c>
      <c r="D28" s="3" cm="1">
        <f t="array" aca="1" ref="D28" ca="1">INDIRECT("'"&amp;$A$1&amp;"NRARSummary'!C5")</f>
        <v>0.37704474072139349</v>
      </c>
      <c r="E28" s="3" cm="1">
        <f t="array" aca="1" ref="E28" ca="1">INDIRECT("'"&amp;$A$1&amp;"NRARSummary'!D5")</f>
        <v>2.9734468329108525E-2</v>
      </c>
      <c r="F28" s="3" cm="1">
        <f t="array" aca="1" ref="F28" ca="1">INDIRECT("'"&amp;$A$1&amp;"NRARSummary'!E5")</f>
        <v>2.2143749812264319</v>
      </c>
      <c r="G28" s="143" cm="1">
        <f t="array" aca="1" ref="G28" ca="1">INDIRECT("'"&amp;$A$1&amp;"NRARSummary'!F5")</f>
        <v>4.8861237983265131E-2</v>
      </c>
      <c r="H28" s="4">
        <f t="shared" ca="1" si="1"/>
        <v>0.11023506387540667</v>
      </c>
      <c r="I28" s="4">
        <f t="shared" ca="1" si="1"/>
        <v>2.3245026498687989E-2</v>
      </c>
      <c r="J28" s="4">
        <f t="shared" ca="1" si="1"/>
        <v>2.3613511153534085E-3</v>
      </c>
      <c r="K28" s="4">
        <f t="shared" ca="1" si="1"/>
        <v>0.1219484283582188</v>
      </c>
      <c r="L28" s="145">
        <f t="shared" ca="1" si="1"/>
        <v>0.16076645211663021</v>
      </c>
      <c r="M28" s="163">
        <f ca="1">C28/SectorSum2019!C28-1</f>
        <v>5.6086937405864123E-2</v>
      </c>
      <c r="N28" s="163">
        <f ca="1">D28/SectorSum2019!D28-1</f>
        <v>5.6086937405863679E-2</v>
      </c>
      <c r="O28" s="163">
        <f ca="1">E28/SectorSum2019!E28-1</f>
        <v>5.6086937405864123E-2</v>
      </c>
      <c r="P28" s="163">
        <f ca="1">F28/SectorSum2019!F28-1</f>
        <v>5.6086937405863679E-2</v>
      </c>
      <c r="Q28" s="158">
        <f ca="1">G28/SectorSum2019!G28-1</f>
        <v>5.6086937405863901E-2</v>
      </c>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5"/>
      <c r="B29" s="141" t="s">
        <v>15</v>
      </c>
      <c r="C29" s="3">
        <f ca="1">OFFSET(OnRoad!$B$6,MATCH($A$1,OnRoad!$A$7:$A$17,0),MATCH(C21,OnRoad!$C$6:$G$6,0))</f>
        <v>0.17258761095396644</v>
      </c>
      <c r="D29" s="3">
        <f ca="1">OFFSET(OnRoad!$B$6,MATCH($A$1,OnRoad!$A$7:$A$17,0),MATCH(D21,OnRoad!$C$6:$G$6,0))</f>
        <v>1.3184063619118556</v>
      </c>
      <c r="E29" s="3">
        <f ca="1">OFFSET(OnRoad!$B$6,MATCH($A$1,OnRoad!$A$7:$A$17,0),MATCH(E21,OnRoad!$C$6:$G$6,0))</f>
        <v>6.8634541707886625E-3</v>
      </c>
      <c r="F29" s="3">
        <f ca="1">OFFSET(OnRoad!$B$6,MATCH($A$1,OnRoad!$A$7:$A$17,0),MATCH(F21,OnRoad!$C$6:$G$6,0))</f>
        <v>3.5829354317294158</v>
      </c>
      <c r="G29" s="143">
        <f ca="1">OFFSET(OnRoad!$B$6,MATCH($A$1,OnRoad!$A$7:$A$17,0),MATCH(G21,OnRoad!$C$6:$G$6,0))</f>
        <v>4.2265270018920061E-2</v>
      </c>
      <c r="H29" s="4">
        <f t="shared" ca="1" si="1"/>
        <v>8.037626693207589E-2</v>
      </c>
      <c r="I29" s="4">
        <f t="shared" ca="1" si="1"/>
        <v>8.1280515304482631E-2</v>
      </c>
      <c r="J29" s="4">
        <f t="shared" ca="1" si="1"/>
        <v>5.4505851532253438E-4</v>
      </c>
      <c r="K29" s="4">
        <f t="shared" ca="1" si="1"/>
        <v>0.19731678171615849</v>
      </c>
      <c r="L29" s="145">
        <f t="shared" ca="1" si="1"/>
        <v>0.13906396540792471</v>
      </c>
      <c r="M29" s="163">
        <f ca="1">C29/SectorSum2019!C29-1</f>
        <v>-0.1992962740852765</v>
      </c>
      <c r="N29" s="163">
        <f ca="1">D29/SectorSum2019!D29-1</f>
        <v>-0.22298926507513861</v>
      </c>
      <c r="O29" s="163">
        <f ca="1">E29/SectorSum2019!E29-1</f>
        <v>2.6678979091032673E-4</v>
      </c>
      <c r="P29" s="163">
        <f ca="1">F29/SectorSum2019!F29-1</f>
        <v>-6.4346591226897121E-2</v>
      </c>
      <c r="Q29" s="158">
        <f ca="1">G29/SectorSum2019!G29-1</f>
        <v>6.7354077728747352E-2</v>
      </c>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0.23766401211875365</v>
      </c>
      <c r="D30" s="148" cm="1">
        <f t="array" aca="1" ref="D30" ca="1">INDIRECT("'"&amp;$A$1&amp;"NRARSummary'!C9")</f>
        <v>1.0101420429008381</v>
      </c>
      <c r="E30" s="148" cm="1">
        <f t="array" aca="1" ref="E30" ca="1">INDIRECT("'"&amp;$A$1&amp;"NRARSummary'!D9")</f>
        <v>5.5496418877032472</v>
      </c>
      <c r="F30" s="148" cm="1">
        <f t="array" aca="1" ref="F30" ca="1">INDIRECT("'"&amp;$A$1&amp;"NRARSummary'!E9")</f>
        <v>3.7243464405578952</v>
      </c>
      <c r="G30" s="149" cm="1">
        <f t="array" aca="1" ref="G30" ca="1">INDIRECT("'"&amp;$A$1&amp;"NRARSummary'!F9")</f>
        <v>2.2388951569620908E-3</v>
      </c>
      <c r="H30" s="150">
        <f t="shared" ca="1" si="1"/>
        <v>0.11068318271871905</v>
      </c>
      <c r="I30" s="150">
        <f t="shared" ca="1" si="1"/>
        <v>6.2275841614295994E-2</v>
      </c>
      <c r="J30" s="150">
        <f t="shared" ca="1" si="1"/>
        <v>0.44072262924947853</v>
      </c>
      <c r="K30" s="150">
        <f t="shared" ca="1" si="1"/>
        <v>0.20510446466298812</v>
      </c>
      <c r="L30" s="151">
        <f t="shared" ca="1" si="1"/>
        <v>7.366559790588598E-3</v>
      </c>
      <c r="M30" s="159">
        <f ca="1">C30/SectorSum2019!C30-1</f>
        <v>-4.026513538443488E-2</v>
      </c>
      <c r="N30" s="159">
        <f ca="1">D30/SectorSum2019!D30-1</f>
        <v>7.519254364170247E-2</v>
      </c>
      <c r="O30" s="159">
        <f ca="1">E30/SectorSum2019!E30-1</f>
        <v>2.6062878630912945E-2</v>
      </c>
      <c r="P30" s="159">
        <f ca="1">F30/SectorSum2019!F30-1</f>
        <v>-0.10419895751157127</v>
      </c>
      <c r="Q30" s="160">
        <f ca="1">G30/SectorSum2019!G30-1</f>
        <v>3.9542533428037485E-2</v>
      </c>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2.1472459165068738</v>
      </c>
      <c r="D31" s="153">
        <f ca="1">SUM(D22:D23,D28:D30)</f>
        <v>16.220447876997468</v>
      </c>
      <c r="E31" s="153">
        <f ca="1">SUM(E22:E23,E28:E30)</f>
        <v>12.592141903750029</v>
      </c>
      <c r="F31" s="153">
        <f ca="1">SUM(F22:F23,F28:F30)</f>
        <v>18.158290443250248</v>
      </c>
      <c r="G31" s="154">
        <f ca="1">SUM(G22:G23,G28:G30)</f>
        <v>0.30392682888727357</v>
      </c>
      <c r="H31" s="155">
        <f t="shared" ca="1" si="1"/>
        <v>1</v>
      </c>
      <c r="I31" s="155">
        <f t="shared" ca="1" si="1"/>
        <v>1</v>
      </c>
      <c r="J31" s="155">
        <f t="shared" ca="1" si="1"/>
        <v>1</v>
      </c>
      <c r="K31" s="155">
        <f t="shared" ca="1" si="1"/>
        <v>1</v>
      </c>
      <c r="L31" s="156">
        <f t="shared" ca="1" si="1"/>
        <v>1</v>
      </c>
      <c r="M31" s="161">
        <f ca="1">C31/SectorSum2019!C31-1</f>
        <v>-0.32158454735263886</v>
      </c>
      <c r="N31" s="161">
        <f ca="1">D31/SectorSum2019!D31-1</f>
        <v>3.1137030179497538E-2</v>
      </c>
      <c r="O31" s="161">
        <f ca="1">E31/SectorSum2019!E31-1</f>
        <v>-0.1610529664432363</v>
      </c>
      <c r="P31" s="161">
        <f ca="1">F31/SectorSum2019!F31-1</f>
        <v>-2.9896959419752678E-2</v>
      </c>
      <c r="Q31" s="162">
        <f ca="1">G31/SectorSum2019!G31-1</f>
        <v>3.7075528484051823E-2</v>
      </c>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2:58" x14ac:dyDescent="0.2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2:58" x14ac:dyDescent="0.25">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2:58" x14ac:dyDescent="0.25">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11">
    <mergeCell ref="S20:Z20"/>
    <mergeCell ref="AA20:AH20"/>
    <mergeCell ref="AI20:AP20"/>
    <mergeCell ref="AQ20:AX20"/>
    <mergeCell ref="AY20:BF20"/>
    <mergeCell ref="C1:G1"/>
    <mergeCell ref="H1:L1"/>
    <mergeCell ref="M1:Q1"/>
    <mergeCell ref="C20:G20"/>
    <mergeCell ref="H20:L20"/>
    <mergeCell ref="M20:Q20"/>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092B8-F138-4364-B2B5-593846A80862}">
  <dimension ref="A1:BF35"/>
  <sheetViews>
    <sheetView workbookViewId="0"/>
  </sheetViews>
  <sheetFormatPr defaultColWidth="8.7109375" defaultRowHeight="15" x14ac:dyDescent="0.25"/>
  <cols>
    <col min="2" max="2" width="22.7109375" customWidth="1"/>
    <col min="3" max="17" width="8.7109375" customWidth="1"/>
  </cols>
  <sheetData>
    <row r="1" spans="1:58" x14ac:dyDescent="0.25">
      <c r="A1" s="168">
        <v>2024</v>
      </c>
      <c r="B1" s="137"/>
      <c r="C1" s="224" t="s">
        <v>0</v>
      </c>
      <c r="D1" s="224"/>
      <c r="E1" s="224"/>
      <c r="F1" s="224"/>
      <c r="G1" s="224"/>
      <c r="H1" s="224" t="s">
        <v>1</v>
      </c>
      <c r="I1" s="224"/>
      <c r="J1" s="224"/>
      <c r="K1" s="224"/>
      <c r="L1" s="224"/>
      <c r="M1" s="224" t="s">
        <v>230</v>
      </c>
      <c r="N1" s="224"/>
      <c r="O1" s="224"/>
      <c r="P1" s="224"/>
      <c r="Q1" s="224"/>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58" x14ac:dyDescent="0.25">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row>
    <row r="3" spans="1:58" x14ac:dyDescent="0.25">
      <c r="A3" s="2"/>
      <c r="B3" s="141" t="s">
        <v>8</v>
      </c>
      <c r="C3" s="3">
        <f ca="1">OFFSET(Points!$D$4,MATCH(IF($A$1&gt;2020,$A$1&amp;"CTL",$A$1),Points!$A$5:$A$26,0),0)</f>
        <v>0.63555166149046527</v>
      </c>
      <c r="D3" s="3">
        <f ca="1">OFFSET(Points!$G$4,MATCH(IF($A$1&gt;2020,$A$1&amp;"CTL",$A$1),Points!$A$5:$A$26,0),0)</f>
        <v>11.214585735330431</v>
      </c>
      <c r="E3" s="3">
        <f ca="1">OFFSET(Points!$F$4,MATCH(IF($A$1&gt;2020,$A$1&amp;"CTL",$A$1),Points!$A$5:$A$26,0),0)</f>
        <v>3.0115708238393801</v>
      </c>
      <c r="F3" s="3">
        <f ca="1">OFFSET(Points!$H$4,MATCH(IF($A$1&gt;2020,$A$1&amp;"CTL",$A$1),Points!$A$5:$A$26,0),0)</f>
        <v>3.5376180947819053E-2</v>
      </c>
      <c r="G3" s="143">
        <f ca="1">OFFSET(Points!$J$4,MATCH(IF($A$1&gt;2020,$A$1&amp;"CTL",$A$1),Points!$A$5:$A$26,0),0)</f>
        <v>7.9209528259413506E-2</v>
      </c>
      <c r="H3" s="144">
        <f t="shared" ref="H3:L12" ca="1" si="0">C3/C$12</f>
        <v>0.2497519676303622</v>
      </c>
      <c r="I3" s="4">
        <f t="shared" ca="1" si="0"/>
        <v>0.62460410614553119</v>
      </c>
      <c r="J3" s="4">
        <f t="shared" ca="1" si="0"/>
        <v>0.20753783227942735</v>
      </c>
      <c r="K3" s="4">
        <f t="shared" ca="1" si="0"/>
        <v>1.6063606337483108E-3</v>
      </c>
      <c r="L3" s="145">
        <f t="shared" ca="1" si="0"/>
        <v>0.22642009796666751</v>
      </c>
      <c r="M3" s="157">
        <f ca="1">C3/SectorSum2019!C3-1</f>
        <v>8.2921014277564487E-2</v>
      </c>
      <c r="N3" s="163">
        <f ca="1">D3/SectorSum2019!D3-1</f>
        <v>8.2921014277564709E-2</v>
      </c>
      <c r="O3" s="163">
        <f ca="1">E3/SectorSum2019!E3-1</f>
        <v>-0.48667817191775309</v>
      </c>
      <c r="P3" s="163">
        <f ca="1">F3/SectorSum2019!F3-1</f>
        <v>8.2921014277564709E-2</v>
      </c>
      <c r="Q3" s="158">
        <f ca="1">G3/SectorSum2019!G3-1</f>
        <v>8.2921014277564487E-2</v>
      </c>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row>
    <row r="4" spans="1:58" x14ac:dyDescent="0.25">
      <c r="A4" s="2"/>
      <c r="B4" s="141" t="s">
        <v>9</v>
      </c>
      <c r="C4" s="142">
        <f>TabSpHt2024!$T$69</f>
        <v>1.0908</v>
      </c>
      <c r="D4" s="142">
        <f>TabSpHt2024!$R$69</f>
        <v>2.8694000000000002</v>
      </c>
      <c r="E4" s="142">
        <f>TabSpHt2024!$U$69</f>
        <v>2.5762</v>
      </c>
      <c r="F4" s="142">
        <f>TabSpHt2024!$V$69</f>
        <v>10.5243</v>
      </c>
      <c r="G4" s="143">
        <f>TabSpHt2024!$Q$69</f>
        <v>0.156</v>
      </c>
      <c r="H4" s="4">
        <f t="shared" ca="1" si="0"/>
        <v>0.42865035653012157</v>
      </c>
      <c r="I4" s="4">
        <f t="shared" ca="1" si="0"/>
        <v>0.15981321686522201</v>
      </c>
      <c r="J4" s="4">
        <f t="shared" ca="1" si="0"/>
        <v>0.17753491277241049</v>
      </c>
      <c r="K4" s="4">
        <f t="shared" ca="1" si="0"/>
        <v>0.47788711966093655</v>
      </c>
      <c r="L4" s="145">
        <f t="shared" ca="1" si="0"/>
        <v>0.44592533321396738</v>
      </c>
      <c r="M4" s="163">
        <f>C4/SectorSum2019!C4-1</f>
        <v>-0.50626895396731997</v>
      </c>
      <c r="N4" s="163">
        <f>D4/SectorSum2019!D4-1</f>
        <v>9.9976999156635715E-2</v>
      </c>
      <c r="O4" s="163">
        <f>E4/SectorSum2019!E4-1</f>
        <v>-0.38052756871137605</v>
      </c>
      <c r="P4" s="163">
        <f>F4/SectorSum2019!F4-1</f>
        <v>0.10170946433992478</v>
      </c>
      <c r="Q4" s="158">
        <f>G4/SectorSum2019!G4-1</f>
        <v>7.9584775086505299E-2</v>
      </c>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row>
    <row r="5" spans="1:58" x14ac:dyDescent="0.25">
      <c r="A5" s="2"/>
      <c r="B5" s="146" t="s">
        <v>10</v>
      </c>
      <c r="C5" s="3">
        <f>C$4*TabSpHt2024!T89</f>
        <v>1.0047999999999999</v>
      </c>
      <c r="D5" s="3">
        <f>D$4*TabSpHt2024!R89</f>
        <v>0.49340000000000001</v>
      </c>
      <c r="E5" s="3">
        <f>E$4*TabSpHt2024!U89</f>
        <v>0.17099999999999999</v>
      </c>
      <c r="F5" s="3">
        <f>F$4*TabSpHt2024!V89</f>
        <v>10.262100000000002</v>
      </c>
      <c r="G5" s="143">
        <f>G$4*TabSpHt2024!Q89</f>
        <v>0.1061</v>
      </c>
      <c r="H5" s="4">
        <f t="shared" ca="1" si="0"/>
        <v>0.39485504055873316</v>
      </c>
      <c r="I5" s="4">
        <f t="shared" ca="1" si="0"/>
        <v>2.7480254130236473E-2</v>
      </c>
      <c r="J5" s="4">
        <f t="shared" ca="1" si="0"/>
        <v>1.178420545147201E-2</v>
      </c>
      <c r="K5" s="4">
        <f t="shared" ca="1" si="0"/>
        <v>0.46598114940399815</v>
      </c>
      <c r="L5" s="145">
        <f t="shared" ca="1" si="0"/>
        <v>0.30328639650001243</v>
      </c>
      <c r="M5" s="163">
        <f>C5/SectorSum2019!C5-1</f>
        <v>-0.51054605679770093</v>
      </c>
      <c r="N5" s="163">
        <f>D5/SectorSum2019!D5-1</f>
        <v>0.10207728389546578</v>
      </c>
      <c r="O5" s="163">
        <f>E5/SectorSum2019!E5-1</f>
        <v>2.3446658851113966E-3</v>
      </c>
      <c r="P5" s="163">
        <f>F5/SectorSum2019!F5-1</f>
        <v>0.10207697925168624</v>
      </c>
      <c r="Q5" s="158">
        <f>G5/SectorSum2019!G5-1</f>
        <v>0.10291060291060283</v>
      </c>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row>
    <row r="6" spans="1:58" x14ac:dyDescent="0.25">
      <c r="A6" s="2"/>
      <c r="B6" s="146" t="s">
        <v>11</v>
      </c>
      <c r="C6" s="3">
        <f>C$4*TabSpHt2024!T90</f>
        <v>3.2500000000000001E-2</v>
      </c>
      <c r="D6" s="3">
        <f>D$4*TabSpHt2024!R90</f>
        <v>2.1452</v>
      </c>
      <c r="E6" s="3">
        <f>E$4*TabSpHt2024!U90</f>
        <v>2.3193999999999999</v>
      </c>
      <c r="F6" s="3">
        <f>F$4*TabSpHt2024!V90</f>
        <v>0.11960000000000001</v>
      </c>
      <c r="G6" s="143">
        <f>G$4*TabSpHt2024!Q90</f>
        <v>4.0999999999999995E-3</v>
      </c>
      <c r="H6" s="4">
        <f t="shared" ca="1" si="0"/>
        <v>1.2771485686861891E-2</v>
      </c>
      <c r="I6" s="4">
        <f t="shared" ca="1" si="0"/>
        <v>0.11947839716291707</v>
      </c>
      <c r="J6" s="4">
        <f t="shared" ca="1" si="0"/>
        <v>0.15983793055055076</v>
      </c>
      <c r="K6" s="4">
        <f t="shared" ca="1" si="0"/>
        <v>5.4307934505333387E-3</v>
      </c>
      <c r="L6" s="145">
        <f t="shared" ca="1" si="0"/>
        <v>1.1719832475495295E-2</v>
      </c>
      <c r="M6" s="163">
        <f>C6/SectorSum2019!C6-1</f>
        <v>-0.50381679389312972</v>
      </c>
      <c r="N6" s="163">
        <f>D6/SectorSum2019!D6-1</f>
        <v>0.10863049095607225</v>
      </c>
      <c r="O6" s="163">
        <f>E6/SectorSum2019!E6-1</f>
        <v>-0.40057890112162087</v>
      </c>
      <c r="P6" s="163">
        <f>F6/SectorSum2019!F6-1</f>
        <v>0.10027598896044188</v>
      </c>
      <c r="Q6" s="158">
        <f>G6/SectorSum2019!G6-1</f>
        <v>0.10810810810810811</v>
      </c>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row>
    <row r="7" spans="1:58" x14ac:dyDescent="0.25">
      <c r="A7" s="2"/>
      <c r="B7" s="146" t="s">
        <v>12</v>
      </c>
      <c r="C7" s="3">
        <f>C$4*TabSpHt2024!T91</f>
        <v>4.0899999999999999E-2</v>
      </c>
      <c r="D7" s="3">
        <f>D$4*TabSpHt2024!R91</f>
        <v>6.3400000000000012E-2</v>
      </c>
      <c r="E7" s="3">
        <f>E$4*TabSpHt2024!U91</f>
        <v>6.7899999999999988E-2</v>
      </c>
      <c r="F7" s="3">
        <f>F$4*TabSpHt2024!V91</f>
        <v>0.13419999999999999</v>
      </c>
      <c r="G7" s="143">
        <f>G$4*TabSpHt2024!Q91</f>
        <v>1.7000000000000001E-2</v>
      </c>
      <c r="H7" s="4">
        <f t="shared" ca="1" si="0"/>
        <v>1.6072423525927734E-2</v>
      </c>
      <c r="I7" s="4">
        <f t="shared" ca="1" si="0"/>
        <v>3.5311068339217524E-3</v>
      </c>
      <c r="J7" s="4">
        <f t="shared" ca="1" si="0"/>
        <v>4.6792254395026283E-3</v>
      </c>
      <c r="K7" s="4">
        <f t="shared" ca="1" si="0"/>
        <v>6.0937498416519555E-3</v>
      </c>
      <c r="L7" s="145">
        <f t="shared" ca="1" si="0"/>
        <v>4.8594427337419525E-2</v>
      </c>
      <c r="M7" s="163">
        <f>C7/SectorSum2019!C7-1</f>
        <v>-0.47831632653061229</v>
      </c>
      <c r="N7" s="163">
        <f>D7/SectorSum2019!D7-1</f>
        <v>8.3760683760684129E-2</v>
      </c>
      <c r="O7" s="163">
        <f>E7/SectorSum2019!E7-1</f>
        <v>-0.32772277227722779</v>
      </c>
      <c r="P7" s="163">
        <f>F7/SectorSum2019!F7-1</f>
        <v>8.3131557707828874E-2</v>
      </c>
      <c r="Q7" s="158">
        <f>G7/SectorSum2019!G7-1</f>
        <v>8.9743589743589869E-2</v>
      </c>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row>
    <row r="8" spans="1:58" x14ac:dyDescent="0.25">
      <c r="A8" s="2"/>
      <c r="B8" s="146" t="s">
        <v>13</v>
      </c>
      <c r="C8" s="3">
        <f>C$4*TabSpHt2024!T92</f>
        <v>1.2499999999999999E-2</v>
      </c>
      <c r="D8" s="3">
        <f>D$4*TabSpHt2024!R92</f>
        <v>0.16739999999999999</v>
      </c>
      <c r="E8" s="3">
        <f>E$4*TabSpHt2024!U92</f>
        <v>1.7699999999999997E-2</v>
      </c>
      <c r="F8" s="3">
        <f>F$4*TabSpHt2024!V92</f>
        <v>8.3999999999999995E-3</v>
      </c>
      <c r="G8" s="143">
        <f>G$4*TabSpHt2024!Q92</f>
        <v>2.8899999999999995E-2</v>
      </c>
      <c r="H8" s="4">
        <f t="shared" ca="1" si="0"/>
        <v>4.9121098795622655E-3</v>
      </c>
      <c r="I8" s="4">
        <f t="shared" ca="1" si="0"/>
        <v>9.3234587381467067E-3</v>
      </c>
      <c r="J8" s="4">
        <f t="shared" ca="1" si="0"/>
        <v>1.2197686344506114E-3</v>
      </c>
      <c r="K8" s="4">
        <f t="shared" ca="1" si="0"/>
        <v>3.8142696475317755E-4</v>
      </c>
      <c r="L8" s="145">
        <f t="shared" ca="1" si="0"/>
        <v>8.261052647361318E-2</v>
      </c>
      <c r="M8" s="163">
        <f>C8/SectorSum2019!C8-1</f>
        <v>0</v>
      </c>
      <c r="N8" s="163">
        <f>D8/SectorSum2019!D8-1</f>
        <v>0</v>
      </c>
      <c r="O8" s="163">
        <f>E8/SectorSum2019!E8-1</f>
        <v>0</v>
      </c>
      <c r="P8" s="163">
        <f>F8/SectorSum2019!F8-1</f>
        <v>0</v>
      </c>
      <c r="Q8" s="158">
        <f>G8/SectorSum2019!G8-1</f>
        <v>0</v>
      </c>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row>
    <row r="9" spans="1:58" x14ac:dyDescent="0.25">
      <c r="A9" s="1"/>
      <c r="B9" s="141" t="s">
        <v>14</v>
      </c>
      <c r="C9" s="3" cm="1">
        <f t="array" aca="1" ref="C9" ca="1">INDIRECT("'"&amp;$A$1&amp;"NRARSummary'!G5")</f>
        <v>0.25829337515917988</v>
      </c>
      <c r="D9" s="3" cm="1">
        <f t="array" aca="1" ref="D9" ca="1">INDIRECT("'"&amp;$A$1&amp;"NRARSummary'!H5")</f>
        <v>0.41143819974192108</v>
      </c>
      <c r="E9" s="3" cm="1">
        <f t="array" aca="1" ref="E9" ca="1">INDIRECT("'"&amp;$A$1&amp;"NRARSummary'!I5")</f>
        <v>3.2446802191709839E-2</v>
      </c>
      <c r="F9" s="3" cm="1">
        <f t="array" aca="1" ref="F9" ca="1">INDIRECT("'"&amp;$A$1&amp;"NRARSummary'!J5")</f>
        <v>2.4163669650614992</v>
      </c>
      <c r="G9" s="143" cm="1">
        <f t="array" aca="1" ref="G9" ca="1">INDIRECT("'"&amp;$A$1&amp;"NRARSummary'!K5")</f>
        <v>5.3318287252946996E-2</v>
      </c>
      <c r="H9" s="4">
        <f t="shared" ca="1" si="0"/>
        <v>0.10150123519559122</v>
      </c>
      <c r="I9" s="4">
        <f t="shared" ca="1" si="0"/>
        <v>2.2915334997557733E-2</v>
      </c>
      <c r="J9" s="4">
        <f t="shared" ca="1" si="0"/>
        <v>2.2360221243881932E-3</v>
      </c>
      <c r="K9" s="4">
        <f t="shared" ca="1" si="0"/>
        <v>0.10972232347776847</v>
      </c>
      <c r="L9" s="145">
        <f t="shared" ca="1" si="0"/>
        <v>0.15241009621582319</v>
      </c>
      <c r="M9" s="163">
        <f ca="1">C9/SectorSum2019!C9-1</f>
        <v>7.1709962643314196E-2</v>
      </c>
      <c r="N9" s="163">
        <f ca="1">D9/SectorSum2019!D9-1</f>
        <v>7.1709962643314196E-2</v>
      </c>
      <c r="O9" s="163">
        <f ca="1">E9/SectorSum2019!E9-1</f>
        <v>7.1709962643314418E-2</v>
      </c>
      <c r="P9" s="163">
        <f ca="1">F9/SectorSum2019!F9-1</f>
        <v>7.1709962643314196E-2</v>
      </c>
      <c r="Q9" s="158">
        <f ca="1">G9/SectorSum2019!G9-1</f>
        <v>7.1709962643314418E-2</v>
      </c>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row>
    <row r="10" spans="1:58" x14ac:dyDescent="0.25">
      <c r="A10" s="167"/>
      <c r="B10" s="141" t="s">
        <v>15</v>
      </c>
      <c r="C10" s="3">
        <f ca="1">OFFSET(OnRoad!$L$6,MATCH($A$1,OnRoad!$A$7:$A$17,0),MATCH(C2,OnRoad!$C$6:$G$6,0))</f>
        <v>0.2029646671180699</v>
      </c>
      <c r="D10" s="3">
        <f ca="1">OFFSET(OnRoad!$L$6,MATCH($A$1,OnRoad!$A$7:$A$17,0),MATCH(D2,OnRoad!$C$6:$G$6,0))</f>
        <v>1.6666259014452456</v>
      </c>
      <c r="E10" s="3">
        <f ca="1">OFFSET(OnRoad!$L$6,MATCH($A$1,OnRoad!$A$7:$A$17,0),MATCH(E2,OnRoad!$C$6:$G$6,0))</f>
        <v>8.9189348031002303E-3</v>
      </c>
      <c r="F10" s="3">
        <f ca="1">OFFSET(OnRoad!$L$6,MATCH($A$1,OnRoad!$A$7:$A$17,0),MATCH(F2,OnRoad!$C$6:$G$6,0))</f>
        <v>4.4462330944812587</v>
      </c>
      <c r="G10" s="143">
        <f ca="1">OFFSET(OnRoad!$L$6,MATCH($A$1,OnRoad!$A$7:$A$17,0),MATCH(G2,OnRoad!$C$6:$G$6,0))</f>
        <v>5.8142756937343359E-2</v>
      </c>
      <c r="H10" s="4">
        <f t="shared" ca="1" si="0"/>
        <v>7.975877972421902E-2</v>
      </c>
      <c r="I10" s="4">
        <f t="shared" ca="1" si="0"/>
        <v>9.2823881864105784E-2</v>
      </c>
      <c r="J10" s="4">
        <f t="shared" ca="1" si="0"/>
        <v>6.1463485454980806E-4</v>
      </c>
      <c r="K10" s="4">
        <f t="shared" ca="1" si="0"/>
        <v>0.20189442783489461</v>
      </c>
      <c r="L10" s="145">
        <f t="shared" ca="1" si="0"/>
        <v>0.16620082218758686</v>
      </c>
      <c r="M10" s="163">
        <f ca="1">C10/SectorSum2019!C10-1</f>
        <v>-0.25465717474172489</v>
      </c>
      <c r="N10" s="163">
        <f ca="1">D10/SectorSum2019!D10-1</f>
        <v>-0.27471609156068277</v>
      </c>
      <c r="O10" s="163">
        <f ca="1">E10/SectorSum2019!E10-1</f>
        <v>-2.0966754454413539E-2</v>
      </c>
      <c r="P10" s="163">
        <f ca="1">F10/SectorSum2019!F10-1</f>
        <v>-9.1740030274409134E-2</v>
      </c>
      <c r="Q10" s="158">
        <f ca="1">G10/SectorSum2019!G10-1</f>
        <v>6.1616007668412465E-2</v>
      </c>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row>
    <row r="11" spans="1:58" x14ac:dyDescent="0.25">
      <c r="A11" s="2"/>
      <c r="B11" s="147" t="s">
        <v>16</v>
      </c>
      <c r="C11" s="148" cm="1">
        <f t="array" aca="1" ref="C11" ca="1">INDIRECT("'"&amp;$A$1&amp;"NRARSummary'!G9")</f>
        <v>0.3571216451804311</v>
      </c>
      <c r="D11" s="148" cm="1">
        <f t="array" aca="1" ref="D11" ca="1">INDIRECT("'"&amp;$A$1&amp;"NRARSummary'!H9")</f>
        <v>1.792660395114245</v>
      </c>
      <c r="E11" s="148" cm="1">
        <f t="array" aca="1" ref="E11" ca="1">INDIRECT("'"&amp;$A$1&amp;"NRARSummary'!I9")</f>
        <v>8.8818120732665271</v>
      </c>
      <c r="F11" s="148" cm="1">
        <f t="array" aca="1" ref="F11" ca="1">INDIRECT("'"&amp;$A$1&amp;"NRARSummary'!J9")</f>
        <v>4.6002884343369139</v>
      </c>
      <c r="G11" s="149" cm="1">
        <f t="array" aca="1" ref="G11" ca="1">INDIRECT("'"&amp;$A$1&amp;"NRARSummary'!K9")</f>
        <v>3.1637795832783993E-3</v>
      </c>
      <c r="H11" s="150">
        <f t="shared" ca="1" si="0"/>
        <v>0.14033766091970606</v>
      </c>
      <c r="I11" s="150">
        <f t="shared" ca="1" si="0"/>
        <v>9.9843460127583258E-2</v>
      </c>
      <c r="J11" s="150">
        <f t="shared" ca="1" si="0"/>
        <v>0.61207659796922409</v>
      </c>
      <c r="K11" s="150">
        <f t="shared" ca="1" si="0"/>
        <v>0.20888976839265197</v>
      </c>
      <c r="L11" s="151">
        <f t="shared" ca="1" si="0"/>
        <v>9.0436504159549166E-3</v>
      </c>
      <c r="M11" s="159">
        <f ca="1">C11/SectorSum2019!C11-1</f>
        <v>2.0676438638537631E-2</v>
      </c>
      <c r="N11" s="159">
        <f ca="1">D11/SectorSum2019!D11-1</f>
        <v>2.1557568137709371E-2</v>
      </c>
      <c r="O11" s="159">
        <f ca="1">E11/SectorSum2019!E11-1</f>
        <v>0.14146076744488179</v>
      </c>
      <c r="P11" s="159">
        <f ca="1">F11/SectorSum2019!F11-1</f>
        <v>-0.12590570230423592</v>
      </c>
      <c r="Q11" s="160">
        <f ca="1">G11/SectorSum2019!G11-1</f>
        <v>2.7658725651847238E-2</v>
      </c>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row>
    <row r="12" spans="1:58" x14ac:dyDescent="0.25">
      <c r="A12" s="2"/>
      <c r="B12" s="152" t="s">
        <v>17</v>
      </c>
      <c r="C12" s="153">
        <f ca="1">SUM(C3:C4,C9:C11)</f>
        <v>2.544731348948146</v>
      </c>
      <c r="D12" s="153">
        <f ca="1">SUM(D3:D4,D9:D11)</f>
        <v>17.954710231631843</v>
      </c>
      <c r="E12" s="153">
        <f ca="1">SUM(E3:E4,E9:E11)</f>
        <v>14.510948634100718</v>
      </c>
      <c r="F12" s="153">
        <f ca="1">SUM(F3:F4,F9:F11)</f>
        <v>22.022564674827493</v>
      </c>
      <c r="G12" s="154">
        <f ca="1">SUM(G3:G4,G9:G11)</f>
        <v>0.3498343520329823</v>
      </c>
      <c r="H12" s="155">
        <f t="shared" ca="1" si="0"/>
        <v>1</v>
      </c>
      <c r="I12" s="155">
        <f t="shared" ca="1" si="0"/>
        <v>1</v>
      </c>
      <c r="J12" s="155">
        <f t="shared" ca="1" si="0"/>
        <v>1</v>
      </c>
      <c r="K12" s="155">
        <f t="shared" ca="1" si="0"/>
        <v>1</v>
      </c>
      <c r="L12" s="156">
        <f t="shared" ca="1" si="0"/>
        <v>1</v>
      </c>
      <c r="M12" s="161">
        <f ca="1">C12/SectorSum2019!C12-1</f>
        <v>-0.30460319885299147</v>
      </c>
      <c r="N12" s="161">
        <f ca="1">D12/SectorSum2019!D12-1</f>
        <v>3.1814672692778823E-2</v>
      </c>
      <c r="O12" s="161">
        <f ca="1">E12/SectorSum2019!E12-1</f>
        <v>-0.18687977627092278</v>
      </c>
      <c r="P12" s="161">
        <f ca="1">F12/SectorSum2019!F12-1</f>
        <v>1.1029323899864885E-3</v>
      </c>
      <c r="Q12" s="162">
        <f ca="1">G12/SectorSum2019!G12-1</f>
        <v>7.5613183327024158E-2</v>
      </c>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row>
    <row r="13" spans="1:58" x14ac:dyDescent="0.25">
      <c r="A13" s="2"/>
      <c r="B13" s="137"/>
      <c r="C13" s="137"/>
      <c r="D13" s="137"/>
      <c r="E13" s="137"/>
      <c r="F13" s="137"/>
      <c r="G13" s="137"/>
      <c r="H13" s="137"/>
      <c r="I13" s="137"/>
      <c r="J13" s="137"/>
      <c r="K13" s="137"/>
      <c r="L13" s="137"/>
      <c r="M13" s="163"/>
      <c r="N13" s="163"/>
      <c r="O13" s="163"/>
      <c r="P13" s="163"/>
      <c r="Q13" s="163"/>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row>
    <row r="14" spans="1:58" x14ac:dyDescent="0.25">
      <c r="A14" s="2"/>
      <c r="B14" s="137"/>
      <c r="C14" s="137"/>
      <c r="D14" s="137"/>
      <c r="E14" s="137"/>
      <c r="F14" s="137"/>
      <c r="G14" s="137"/>
      <c r="H14" s="137"/>
      <c r="I14" s="137"/>
      <c r="J14" s="137"/>
      <c r="K14" s="137"/>
      <c r="L14" s="137"/>
      <c r="M14" s="163"/>
      <c r="N14" s="163"/>
      <c r="O14" s="163"/>
      <c r="P14" s="163"/>
      <c r="Q14" s="163"/>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row>
    <row r="15" spans="1:58" x14ac:dyDescent="0.25">
      <c r="A15" s="2"/>
      <c r="B15" s="137"/>
      <c r="C15" s="137"/>
      <c r="D15" s="137"/>
      <c r="E15" s="137"/>
      <c r="F15" s="137"/>
      <c r="G15" s="137"/>
      <c r="H15" s="137"/>
      <c r="I15" s="137"/>
      <c r="J15" s="137"/>
      <c r="K15" s="137"/>
      <c r="L15" s="137"/>
      <c r="M15" s="163"/>
      <c r="N15" s="163"/>
      <c r="O15" s="163"/>
      <c r="P15" s="163"/>
      <c r="Q15" s="163"/>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row>
    <row r="16" spans="1:58" x14ac:dyDescent="0.25">
      <c r="A16" s="2"/>
      <c r="B16" s="137"/>
      <c r="C16" s="137"/>
      <c r="D16" s="137"/>
      <c r="E16" s="137"/>
      <c r="F16" s="137"/>
      <c r="G16" s="137"/>
      <c r="H16" s="137"/>
      <c r="I16" s="137"/>
      <c r="J16" s="137"/>
      <c r="K16" s="137"/>
      <c r="L16" s="137"/>
      <c r="M16" s="163"/>
      <c r="N16" s="163"/>
      <c r="O16" s="163"/>
      <c r="P16" s="163"/>
      <c r="Q16" s="163"/>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row>
    <row r="17" spans="1:58" x14ac:dyDescent="0.25">
      <c r="B17" s="137"/>
      <c r="C17" s="137"/>
      <c r="D17" s="137"/>
      <c r="E17" s="137"/>
      <c r="F17" s="137"/>
      <c r="G17" s="137"/>
      <c r="H17" s="137"/>
      <c r="I17" s="137"/>
      <c r="J17" s="137"/>
      <c r="K17" s="137"/>
      <c r="L17" s="137"/>
      <c r="M17" s="163"/>
      <c r="N17" s="163"/>
      <c r="O17" s="163"/>
      <c r="P17" s="163"/>
      <c r="Q17" s="163"/>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row>
    <row r="18" spans="1:58" x14ac:dyDescent="0.25">
      <c r="B18" s="137"/>
      <c r="C18" s="137"/>
      <c r="D18" s="137"/>
      <c r="E18" s="137"/>
      <c r="F18" s="137"/>
      <c r="G18" s="137"/>
      <c r="H18" s="137"/>
      <c r="I18" s="137"/>
      <c r="J18" s="137"/>
      <c r="K18" s="137"/>
      <c r="L18" s="137"/>
      <c r="M18" s="163"/>
      <c r="N18" s="163"/>
      <c r="O18" s="163"/>
      <c r="P18" s="163"/>
      <c r="Q18" s="163"/>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row>
    <row r="19" spans="1:58" x14ac:dyDescent="0.25">
      <c r="B19" s="137"/>
      <c r="C19" s="137"/>
      <c r="D19" s="137"/>
      <c r="E19" s="137"/>
      <c r="F19" s="137"/>
      <c r="G19" s="137"/>
      <c r="H19" s="137"/>
      <c r="I19" s="137"/>
      <c r="J19" s="137"/>
      <c r="K19" s="137"/>
      <c r="L19" s="137"/>
      <c r="M19" s="163"/>
      <c r="N19" s="163"/>
      <c r="O19" s="163"/>
      <c r="P19" s="163"/>
      <c r="Q19" s="163"/>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row>
    <row r="20" spans="1:58" x14ac:dyDescent="0.25">
      <c r="B20" s="137"/>
      <c r="C20" s="224" t="s">
        <v>18</v>
      </c>
      <c r="D20" s="224"/>
      <c r="E20" s="224"/>
      <c r="F20" s="224"/>
      <c r="G20" s="224"/>
      <c r="H20" s="224" t="s">
        <v>1</v>
      </c>
      <c r="I20" s="224"/>
      <c r="J20" s="224"/>
      <c r="K20" s="224"/>
      <c r="L20" s="224"/>
      <c r="M20" s="224" t="s">
        <v>230</v>
      </c>
      <c r="N20" s="224"/>
      <c r="O20" s="224"/>
      <c r="P20" s="224"/>
      <c r="Q20" s="224"/>
      <c r="R20" s="129"/>
      <c r="S20" s="223" t="s">
        <v>225</v>
      </c>
      <c r="T20" s="223"/>
      <c r="U20" s="223"/>
      <c r="V20" s="223"/>
      <c r="W20" s="223"/>
      <c r="X20" s="223"/>
      <c r="Y20" s="223"/>
      <c r="Z20" s="223"/>
      <c r="AA20" s="223" t="s">
        <v>226</v>
      </c>
      <c r="AB20" s="223"/>
      <c r="AC20" s="223"/>
      <c r="AD20" s="223"/>
      <c r="AE20" s="223"/>
      <c r="AF20" s="223"/>
      <c r="AG20" s="223"/>
      <c r="AH20" s="223"/>
      <c r="AI20" s="223" t="s">
        <v>227</v>
      </c>
      <c r="AJ20" s="223"/>
      <c r="AK20" s="223"/>
      <c r="AL20" s="223"/>
      <c r="AM20" s="223"/>
      <c r="AN20" s="223"/>
      <c r="AO20" s="223"/>
      <c r="AP20" s="223"/>
      <c r="AQ20" s="223" t="s">
        <v>228</v>
      </c>
      <c r="AR20" s="223"/>
      <c r="AS20" s="223"/>
      <c r="AT20" s="223"/>
      <c r="AU20" s="223"/>
      <c r="AV20" s="223"/>
      <c r="AW20" s="223"/>
      <c r="AX20" s="223"/>
      <c r="AY20" s="223" t="s">
        <v>229</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0.61547654088309223</v>
      </c>
      <c r="D22" s="3">
        <f ca="1">D3-OFFSET(Points!$G$36,MATCH(IF($A$1&gt;2020,$A$1&amp;"CTL",$A$1),Points!$A$37:$A$190,0)+3,0)</f>
        <v>11.160211289983225</v>
      </c>
      <c r="E22" s="3">
        <f ca="1">E3-OFFSET(Points!$F$36,MATCH(IF($A$1&gt;2020,$A$1&amp;"CTL",$A$1),Points!$A$37:$A$190,0)+3,0)</f>
        <v>2.8141240384872148</v>
      </c>
      <c r="F22" s="3">
        <f ca="1">F3-OFFSET(Points!$H$36,MATCH(IF($A$1&gt;2020,$A$1&amp;"CTL",$A$1),Points!$A$37:$A$190,0)+3,0)</f>
        <v>3.4572296885400165E-2</v>
      </c>
      <c r="G22" s="143">
        <f ca="1">G3-OFFSET(Points!$J$36,MATCH(IF($A$1&gt;2020,$A$1&amp;"CTL",$A$1),Points!$A$37:$A$190,0)+3,0)</f>
        <v>7.9208325857352713E-2</v>
      </c>
      <c r="H22" s="144">
        <f t="shared" ref="H22:L31" ca="1" si="1">C22/C$31</f>
        <v>0.30875706528167818</v>
      </c>
      <c r="I22" s="4">
        <f t="shared" ca="1" si="1"/>
        <v>0.68714835942453811</v>
      </c>
      <c r="J22" s="4">
        <f t="shared" ca="1" si="1"/>
        <v>0.26284725919797769</v>
      </c>
      <c r="K22" s="4">
        <f t="shared" ca="1" si="1"/>
        <v>1.9139904352351868E-3</v>
      </c>
      <c r="L22" s="145">
        <f t="shared" ca="1" si="1"/>
        <v>0.25908050177014591</v>
      </c>
      <c r="M22" s="157">
        <f ca="1">C22/SectorSum2019!C22-1</f>
        <v>8.2921014277564487E-2</v>
      </c>
      <c r="N22" s="163">
        <f ca="1">D22/SectorSum2019!D22-1</f>
        <v>8.2921014277564709E-2</v>
      </c>
      <c r="O22" s="163">
        <f ca="1">E22/SectorSum2019!E22-1</f>
        <v>-0.50494782834072105</v>
      </c>
      <c r="P22" s="163">
        <f ca="1">F22/SectorSum2019!F22-1</f>
        <v>8.2921014277564709E-2</v>
      </c>
      <c r="Q22" s="158">
        <f ca="1">G22/SectorSum2019!G22-1</f>
        <v>8.2921014277564487E-2</v>
      </c>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0.73951260659173412</v>
      </c>
      <c r="D23" s="142">
        <f>TabSpHt2019!$K$69</f>
        <v>2.4317000000000002</v>
      </c>
      <c r="E23" s="142">
        <f ca="1">OFFSET(SpaceHeat!$D$59,0,MATCH($A$1,SpaceHeat!$E$28:$O$28,0))</f>
        <v>2.2692728502185142</v>
      </c>
      <c r="F23" s="142">
        <f>TabSpHt2019!$O$69</f>
        <v>8.6022999999999996</v>
      </c>
      <c r="G23" s="143">
        <f>TabSpHt2019!$J$69</f>
        <v>0.13189999999999999</v>
      </c>
      <c r="H23" s="4">
        <f t="shared" ca="1" si="1"/>
        <v>0.37098041433465218</v>
      </c>
      <c r="I23" s="4">
        <f t="shared" ca="1" si="1"/>
        <v>0.14972285221090656</v>
      </c>
      <c r="J23" s="4">
        <f t="shared" ca="1" si="1"/>
        <v>0.21195659498113811</v>
      </c>
      <c r="K23" s="4">
        <f t="shared" ca="1" si="1"/>
        <v>0.47624026762238864</v>
      </c>
      <c r="L23" s="145">
        <f t="shared" ca="1" si="1"/>
        <v>0.43142836076379554</v>
      </c>
      <c r="M23" s="163">
        <f ca="1">C23/SectorSum2019!C23-1</f>
        <v>-0.61270514025840628</v>
      </c>
      <c r="N23" s="163">
        <f>D23/SectorSum2019!D23-1</f>
        <v>0</v>
      </c>
      <c r="O23" s="163">
        <f ca="1">E23/SectorSum2019!E23-1</f>
        <v>-0.41532676447616268</v>
      </c>
      <c r="P23" s="163">
        <f>F23/SectorSum2019!F23-1</f>
        <v>0</v>
      </c>
      <c r="Q23" s="158">
        <f>G23/SectorSum2019!G23-1</f>
        <v>0</v>
      </c>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C$23*TabSpHt2024!M89</f>
        <v>0.6731824640769577</v>
      </c>
      <c r="D24" s="3">
        <f>D$23*TabSpHt2024!K89</f>
        <v>0.39418983905298932</v>
      </c>
      <c r="E24" s="3">
        <f ca="1">E$23*TabSpHt2024!N89</f>
        <v>0.16026707965963974</v>
      </c>
      <c r="F24" s="3">
        <f>F$23*TabSpHt2024!O89</f>
        <v>8.386278116591928</v>
      </c>
      <c r="G24" s="143">
        <f>G$23*TabSpHt2024!J89</f>
        <v>8.7747819971870603E-2</v>
      </c>
      <c r="H24" s="4">
        <f t="shared" ca="1" si="1"/>
        <v>0.33770554716718376</v>
      </c>
      <c r="I24" s="4">
        <f t="shared" ca="1" si="1"/>
        <v>2.4270768193268809E-2</v>
      </c>
      <c r="J24" s="4">
        <f t="shared" ca="1" si="1"/>
        <v>1.4969405062488204E-2</v>
      </c>
      <c r="K24" s="4">
        <f t="shared" ca="1" si="1"/>
        <v>0.46428087076729729</v>
      </c>
      <c r="L24" s="145">
        <f t="shared" ca="1" si="1"/>
        <v>0.28701211623245471</v>
      </c>
      <c r="M24" s="163">
        <f ca="1">C24/SectorSum2019!C24-1</f>
        <v>-0.61956470385649043</v>
      </c>
      <c r="N24" s="163">
        <f>D24/SectorSum2019!D24-1</f>
        <v>4.8182500758731095E-4</v>
      </c>
      <c r="O24" s="163">
        <f ca="1">E24/SectorSum2019!E24-1</f>
        <v>-2.146200935939202E-3</v>
      </c>
      <c r="P24" s="163">
        <f>F24/SectorSum2019!F24-1</f>
        <v>2.9558393472273181E-4</v>
      </c>
      <c r="Q24" s="158">
        <f>G24/SectorSum2019!G24-1</f>
        <v>2.1511291872766014E-2</v>
      </c>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C$23*TabSpHt2024!M90</f>
        <v>2.7001650935218759E-2</v>
      </c>
      <c r="D25" s="3">
        <f>D$23*TabSpHt2024!K90</f>
        <v>1.8348306583516936</v>
      </c>
      <c r="E25" s="3">
        <f ca="1">E$23*TabSpHt2024!N90</f>
        <v>2.0380563014148398</v>
      </c>
      <c r="F25" s="3">
        <f>F$23*TabSpHt2024!O90</f>
        <v>0.10156659140068584</v>
      </c>
      <c r="G25" s="143">
        <f>G$23*TabSpHt2024!J90</f>
        <v>3.5247538677918417E-3</v>
      </c>
      <c r="H25" s="4">
        <f t="shared" ca="1" si="1"/>
        <v>1.3545521147819022E-2</v>
      </c>
      <c r="I25" s="4">
        <f t="shared" ca="1" si="1"/>
        <v>0.11297285006062877</v>
      </c>
      <c r="J25" s="4">
        <f t="shared" ca="1" si="1"/>
        <v>0.19036030593947534</v>
      </c>
      <c r="K25" s="4">
        <f t="shared" ca="1" si="1"/>
        <v>5.6229265045576677E-3</v>
      </c>
      <c r="L25" s="145">
        <f t="shared" ca="1" si="1"/>
        <v>1.1529027924770906E-2</v>
      </c>
      <c r="M25" s="163">
        <f ca="1">C25/SectorSum2019!C25-1</f>
        <v>-0.55765190929344843</v>
      </c>
      <c r="N25" s="163">
        <f>D25/SectorSum2019!D25-1</f>
        <v>8.7029457678360345E-3</v>
      </c>
      <c r="O25" s="163">
        <f ca="1">E25/SectorSum2019!E25-1</f>
        <v>-0.43627315421906221</v>
      </c>
      <c r="P25" s="163">
        <f>F25/SectorSum2019!F25-1</f>
        <v>-3.2882479639917417E-4</v>
      </c>
      <c r="Q25" s="158">
        <f>G25/SectorSum2019!G25-1</f>
        <v>7.0725336548118634E-3</v>
      </c>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C$23*TabSpHt2024!M91</f>
        <v>2.7099483003824629E-2</v>
      </c>
      <c r="D26" s="3">
        <f>D$23*TabSpHt2024!K91</f>
        <v>5.0488263191306615E-2</v>
      </c>
      <c r="E26" s="3">
        <f ca="1">E$23*TabSpHt2024!N91</f>
        <v>5.3085947040913434E-2</v>
      </c>
      <c r="F26" s="3">
        <f>F$23*TabSpHt2024!O91</f>
        <v>0.10683099024004221</v>
      </c>
      <c r="G26" s="143">
        <f>G$23*TabSpHt2024!J91</f>
        <v>1.3820745428973276E-2</v>
      </c>
      <c r="H26" s="4">
        <f t="shared" ca="1" si="1"/>
        <v>1.3594599122992282E-2</v>
      </c>
      <c r="I26" s="4">
        <f t="shared" ca="1" si="1"/>
        <v>3.1086263799717699E-3</v>
      </c>
      <c r="J26" s="4">
        <f t="shared" ca="1" si="1"/>
        <v>4.9583797625118373E-3</v>
      </c>
      <c r="K26" s="4">
        <f t="shared" ca="1" si="1"/>
        <v>5.9143739909422472E-3</v>
      </c>
      <c r="L26" s="145">
        <f t="shared" ca="1" si="1"/>
        <v>4.520592528397014E-2</v>
      </c>
      <c r="M26" s="163">
        <f ca="1">C26/SectorSum2019!C26-1</f>
        <v>-0.5915920877361075</v>
      </c>
      <c r="N26" s="163">
        <f>D26/SectorSum2019!D26-1</f>
        <v>-1.5823329604159553E-2</v>
      </c>
      <c r="O26" s="163">
        <f ca="1">E26/SectorSum2019!E26-1</f>
        <v>-0.39334319696285469</v>
      </c>
      <c r="P26" s="163">
        <f>F26/SectorSum2019!F26-1</f>
        <v>-1.6289224309003481E-2</v>
      </c>
      <c r="Q26" s="158">
        <f>G26/SectorSum2019!G26-1</f>
        <v>8.8135349615530156E-3</v>
      </c>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C$23*TabSpHt2024!M92</f>
        <v>1.2229008575733134E-2</v>
      </c>
      <c r="D27" s="3">
        <f>D$23*TabSpHt2024!K92</f>
        <v>0.1520096269464879</v>
      </c>
      <c r="E27" s="3">
        <f ca="1">E$23*TabSpHt2024!N92</f>
        <v>1.7863522103121057E-2</v>
      </c>
      <c r="F27" s="3">
        <f>F$23*TabSpHt2024!O92</f>
        <v>7.6243017673437085E-3</v>
      </c>
      <c r="G27" s="143">
        <f>G$23*TabSpHt2024!J92</f>
        <v>2.6806680731364274E-2</v>
      </c>
      <c r="H27" s="4">
        <f t="shared" ca="1" si="1"/>
        <v>6.1347468966571669E-3</v>
      </c>
      <c r="I27" s="4">
        <f t="shared" ca="1" si="1"/>
        <v>9.359425467756732E-3</v>
      </c>
      <c r="J27" s="4">
        <f t="shared" ca="1" si="1"/>
        <v>1.6685042166627282E-3</v>
      </c>
      <c r="K27" s="4">
        <f t="shared" ca="1" si="1"/>
        <v>4.2209635959146024E-4</v>
      </c>
      <c r="L27" s="145">
        <f t="shared" ca="1" si="1"/>
        <v>8.7681291322599803E-2</v>
      </c>
      <c r="M27" s="163">
        <f ca="1">C27/SectorSum2019!C27-1</f>
        <v>-2.3949321593152439E-2</v>
      </c>
      <c r="N27" s="163">
        <f>D27/SectorSum2019!D27-1</f>
        <v>-9.1937712386571668E-2</v>
      </c>
      <c r="O27" s="163">
        <f ca="1">E27/SectorSum2019!E27-1</f>
        <v>2.2523989339910955E-3</v>
      </c>
      <c r="P27" s="163">
        <f>F27/SectorSum2019!F27-1</f>
        <v>-9.2345027697177451E-2</v>
      </c>
      <c r="Q27" s="158">
        <f>G27/SectorSum2019!G27-1</f>
        <v>-7.2433192686357284E-2</v>
      </c>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0.23979661599305896</v>
      </c>
      <c r="D28" s="3" cm="1">
        <f t="array" aca="1" ref="D28" ca="1">INDIRECT("'"&amp;$A$1&amp;"NRARSummary'!C5")</f>
        <v>0.38197451997205228</v>
      </c>
      <c r="E28" s="3" cm="1">
        <f t="array" aca="1" ref="E28" ca="1">INDIRECT("'"&amp;$A$1&amp;"NRARSummary'!D5")</f>
        <v>3.0123240135652627E-2</v>
      </c>
      <c r="F28" s="3" cm="1">
        <f t="array" aca="1" ref="F28" ca="1">INDIRECT("'"&amp;$A$1&amp;"NRARSummary'!E5")</f>
        <v>2.2433274599554598</v>
      </c>
      <c r="G28" s="143" cm="1">
        <f t="array" aca="1" ref="G28" ca="1">INDIRECT("'"&amp;$A$1&amp;"NRARSummary'!F5")</f>
        <v>4.9500088207539678E-2</v>
      </c>
      <c r="H28" s="4">
        <f t="shared" ca="1" si="1"/>
        <v>0.12029524197991792</v>
      </c>
      <c r="I28" s="4">
        <f t="shared" ca="1" si="1"/>
        <v>2.3518655509358704E-2</v>
      </c>
      <c r="J28" s="4">
        <f t="shared" ca="1" si="1"/>
        <v>2.8135970552581532E-3</v>
      </c>
      <c r="K28" s="4">
        <f t="shared" ca="1" si="1"/>
        <v>0.1241950257365869</v>
      </c>
      <c r="L28" s="145">
        <f t="shared" ca="1" si="1"/>
        <v>0.16190858160001617</v>
      </c>
      <c r="M28" s="163">
        <f ca="1">C28/SectorSum2019!C28-1</f>
        <v>6.9895047979039004E-2</v>
      </c>
      <c r="N28" s="163">
        <f ca="1">D28/SectorSum2019!D28-1</f>
        <v>6.9895047979039004E-2</v>
      </c>
      <c r="O28" s="163">
        <f ca="1">E28/SectorSum2019!E28-1</f>
        <v>6.9895047979039227E-2</v>
      </c>
      <c r="P28" s="163">
        <f ca="1">F28/SectorSum2019!F28-1</f>
        <v>6.9895047979039004E-2</v>
      </c>
      <c r="Q28" s="158">
        <f ca="1">G28/SectorSum2019!G28-1</f>
        <v>6.9895047979039227E-2</v>
      </c>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167"/>
      <c r="B29" s="141" t="s">
        <v>15</v>
      </c>
      <c r="C29" s="3">
        <f ca="1">OFFSET(OnRoad!$B$6,MATCH($A$1,OnRoad!$A$7:$A$17,0),MATCH(C21,OnRoad!$C$6:$G$6,0))</f>
        <v>0.16280045236631813</v>
      </c>
      <c r="D29" s="3">
        <f ca="1">OFFSET(OnRoad!$B$6,MATCH($A$1,OnRoad!$A$7:$A$17,0),MATCH(D21,OnRoad!$C$6:$G$6,0))</f>
        <v>1.2491944125433669</v>
      </c>
      <c r="E29" s="3">
        <f ca="1">OFFSET(OnRoad!$B$6,MATCH($A$1,OnRoad!$A$7:$A$17,0),MATCH(E21,OnRoad!$C$6:$G$6,0))</f>
        <v>6.8440027384484908E-3</v>
      </c>
      <c r="F29" s="3">
        <f ca="1">OFFSET(OnRoad!$B$6,MATCH($A$1,OnRoad!$A$7:$A$17,0),MATCH(F21,OnRoad!$C$6:$G$6,0))</f>
        <v>3.5474968351114198</v>
      </c>
      <c r="G29" s="143">
        <f ca="1">OFFSET(OnRoad!$B$6,MATCH($A$1,OnRoad!$A$7:$A$17,0),MATCH(G21,OnRoad!$C$6:$G$6,0))</f>
        <v>4.2878566709918041E-2</v>
      </c>
      <c r="H29" s="4">
        <f t="shared" ca="1" si="1"/>
        <v>8.1669708851993192E-2</v>
      </c>
      <c r="I29" s="4">
        <f t="shared" ca="1" si="1"/>
        <v>7.6914483863930891E-2</v>
      </c>
      <c r="J29" s="4">
        <f t="shared" ca="1" si="1"/>
        <v>6.3924949189932882E-4</v>
      </c>
      <c r="K29" s="4">
        <f t="shared" ca="1" si="1"/>
        <v>0.19639641051149567</v>
      </c>
      <c r="L29" s="145">
        <f t="shared" ca="1" si="1"/>
        <v>0.14025041506869595</v>
      </c>
      <c r="M29" s="163">
        <f ca="1">C29/SectorSum2019!C29-1</f>
        <v>-0.24470286094242066</v>
      </c>
      <c r="N29" s="163">
        <f ca="1">D29/SectorSum2019!D29-1</f>
        <v>-0.26377974454946862</v>
      </c>
      <c r="O29" s="163">
        <f ca="1">E29/SectorSum2019!E29-1</f>
        <v>-2.5680250558977047E-3</v>
      </c>
      <c r="P29" s="163">
        <f ca="1">F29/SectorSum2019!F29-1</f>
        <v>-7.3601082232825799E-2</v>
      </c>
      <c r="Q29" s="158">
        <f ca="1">G29/SectorSum2019!G29-1</f>
        <v>8.2842082979895704E-2</v>
      </c>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0.23581445443578641</v>
      </c>
      <c r="D30" s="148" cm="1">
        <f t="array" aca="1" ref="D30" ca="1">INDIRECT("'"&amp;$A$1&amp;"NRARSummary'!C9")</f>
        <v>1.0182614570907491</v>
      </c>
      <c r="E30" s="148" cm="1">
        <f t="array" aca="1" ref="E30" ca="1">INDIRECT("'"&amp;$A$1&amp;"NRARSummary'!D9")</f>
        <v>5.5859451031974858</v>
      </c>
      <c r="F30" s="148" cm="1">
        <f t="array" aca="1" ref="F30" ca="1">INDIRECT("'"&amp;$A$1&amp;"NRARSummary'!E9")</f>
        <v>3.6352447106525054</v>
      </c>
      <c r="G30" s="149" cm="1">
        <f t="array" aca="1" ref="G30" ca="1">INDIRECT("'"&amp;$A$1&amp;"NRARSummary'!F9")</f>
        <v>2.2416453323973557E-3</v>
      </c>
      <c r="H30" s="150">
        <f t="shared" ca="1" si="1"/>
        <v>0.11829756955175866</v>
      </c>
      <c r="I30" s="150">
        <f t="shared" ca="1" si="1"/>
        <v>6.2695648991265618E-2</v>
      </c>
      <c r="J30" s="150">
        <f t="shared" ca="1" si="1"/>
        <v>0.52174329927372687</v>
      </c>
      <c r="K30" s="150">
        <f t="shared" ca="1" si="1"/>
        <v>0.20125430569429362</v>
      </c>
      <c r="L30" s="151">
        <f t="shared" ca="1" si="1"/>
        <v>7.3321407973465117E-3</v>
      </c>
      <c r="M30" s="159">
        <f ca="1">C30/SectorSum2019!C30-1</f>
        <v>-4.7734019615734868E-2</v>
      </c>
      <c r="N30" s="159">
        <f ca="1">D30/SectorSum2019!D30-1</f>
        <v>8.3834826830570641E-2</v>
      </c>
      <c r="O30" s="159">
        <f ca="1">E30/SectorSum2019!E30-1</f>
        <v>3.2774912046278581E-2</v>
      </c>
      <c r="P30" s="159">
        <f ca="1">F30/SectorSum2019!F30-1</f>
        <v>-0.12563021365561944</v>
      </c>
      <c r="Q30" s="160">
        <f ca="1">G30/SectorSum2019!G30-1</f>
        <v>4.0819468763958255E-2</v>
      </c>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1.9934006702699896</v>
      </c>
      <c r="D31" s="153">
        <f ca="1">SUM(D22:D23,D28:D30)</f>
        <v>16.241341679589397</v>
      </c>
      <c r="E31" s="153">
        <f ca="1">SUM(E22:E23,E28:E30)</f>
        <v>10.706309234777315</v>
      </c>
      <c r="F31" s="153">
        <f ca="1">SUM(F22:F23,F28:F30)</f>
        <v>18.062941302604784</v>
      </c>
      <c r="G31" s="154">
        <f ca="1">SUM(G22:G23,G28:G30)</f>
        <v>0.30572862610720775</v>
      </c>
      <c r="H31" s="155">
        <f t="shared" ca="1" si="1"/>
        <v>1</v>
      </c>
      <c r="I31" s="155">
        <f t="shared" ca="1" si="1"/>
        <v>1</v>
      </c>
      <c r="J31" s="155">
        <f t="shared" ca="1" si="1"/>
        <v>1</v>
      </c>
      <c r="K31" s="155">
        <f t="shared" ca="1" si="1"/>
        <v>1</v>
      </c>
      <c r="L31" s="156">
        <f t="shared" ca="1" si="1"/>
        <v>1</v>
      </c>
      <c r="M31" s="161">
        <f ca="1">C31/SectorSum2019!C31-1</f>
        <v>-0.37019145891367267</v>
      </c>
      <c r="N31" s="161">
        <f ca="1">D31/SectorSum2019!D31-1</f>
        <v>3.2465253278956441E-2</v>
      </c>
      <c r="O31" s="161">
        <f ca="1">E31/SectorSum2019!E31-1</f>
        <v>-0.28669590594568328</v>
      </c>
      <c r="P31" s="161">
        <f ca="1">F31/SectorSum2019!F31-1</f>
        <v>-3.4990968216779161E-2</v>
      </c>
      <c r="Q31" s="162">
        <f ca="1">G31/SectorSum2019!G31-1</f>
        <v>4.3223718201049088E-2</v>
      </c>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2:58" x14ac:dyDescent="0.2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2:58" x14ac:dyDescent="0.25">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2:58" x14ac:dyDescent="0.25">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11">
    <mergeCell ref="S20:Z20"/>
    <mergeCell ref="AA20:AH20"/>
    <mergeCell ref="AI20:AP20"/>
    <mergeCell ref="AQ20:AX20"/>
    <mergeCell ref="AY20:BF20"/>
    <mergeCell ref="C1:G1"/>
    <mergeCell ref="H1:L1"/>
    <mergeCell ref="M1:Q1"/>
    <mergeCell ref="C20:G20"/>
    <mergeCell ref="H20:L20"/>
    <mergeCell ref="M20:Q20"/>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883D7-583B-4A0A-B3CD-E7EBAF1F4148}">
  <dimension ref="A1:BF31"/>
  <sheetViews>
    <sheetView workbookViewId="0"/>
  </sheetViews>
  <sheetFormatPr defaultColWidth="8.7109375" defaultRowHeight="15" x14ac:dyDescent="0.25"/>
  <cols>
    <col min="1" max="1" width="8.7109375" style="129"/>
    <col min="2" max="2" width="22.7109375" style="129" customWidth="1"/>
    <col min="3" max="17" width="8.7109375" style="129" customWidth="1"/>
    <col min="18" max="16384" width="8.7109375" style="129"/>
  </cols>
  <sheetData>
    <row r="1" spans="1:17" x14ac:dyDescent="0.25">
      <c r="A1" s="168">
        <v>2024</v>
      </c>
      <c r="B1" s="137"/>
      <c r="C1" s="224" t="s">
        <v>0</v>
      </c>
      <c r="D1" s="224"/>
      <c r="E1" s="224"/>
      <c r="F1" s="224"/>
      <c r="G1" s="224"/>
      <c r="H1" s="224" t="s">
        <v>1</v>
      </c>
      <c r="I1" s="224"/>
      <c r="J1" s="224"/>
      <c r="K1" s="224"/>
      <c r="L1" s="224"/>
      <c r="M1" s="224" t="s">
        <v>230</v>
      </c>
      <c r="N1" s="224"/>
      <c r="O1" s="224"/>
      <c r="P1" s="224"/>
      <c r="Q1" s="224"/>
    </row>
    <row r="2" spans="1:17" x14ac:dyDescent="0.25">
      <c r="A2" s="168" t="s">
        <v>231</v>
      </c>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row>
    <row r="3" spans="1:17" x14ac:dyDescent="0.25">
      <c r="A3" s="2"/>
      <c r="B3" s="141" t="s">
        <v>8</v>
      </c>
      <c r="C3" s="3">
        <f ca="1">OFFSET(Points!$D$4,MATCH($A$1,Points!$A$5:$A$26,0),0)</f>
        <v>0.63555166149046527</v>
      </c>
      <c r="D3" s="3">
        <f ca="1">OFFSET(Points!$G$4,MATCH($A$1,Points!$A$5:$A$26,0),0)</f>
        <v>11.214585735330431</v>
      </c>
      <c r="E3" s="3">
        <f ca="1">OFFSET(Points!$F$4,MATCH($A$1,Points!$A$5:$A$26,0),0)</f>
        <v>6.353311222522807</v>
      </c>
      <c r="F3" s="3">
        <f ca="1">OFFSET(Points!$H$4,MATCH($A$1,Points!$A$5:$A$26,0),0)</f>
        <v>3.5376180947819053E-2</v>
      </c>
      <c r="G3" s="143">
        <f ca="1">OFFSET(Points!$J$4,MATCH($A$1,Points!$A$5:$A$26,0),0)</f>
        <v>7.9209528259413506E-2</v>
      </c>
      <c r="H3" s="144">
        <f t="shared" ref="H3:L12" ca="1" si="0">C3/C$12</f>
        <v>0.16170662925738408</v>
      </c>
      <c r="I3" s="4">
        <f t="shared" ca="1" si="0"/>
        <v>0.62460410614553119</v>
      </c>
      <c r="J3" s="4">
        <f t="shared" ca="1" si="0"/>
        <v>0.32081736669083721</v>
      </c>
      <c r="K3" s="4">
        <f t="shared" ca="1" si="0"/>
        <v>1.6063606337483108E-3</v>
      </c>
      <c r="L3" s="145">
        <f t="shared" ca="1" si="0"/>
        <v>0.22642009796666751</v>
      </c>
      <c r="M3" s="157">
        <f ca="1">C3/SectorSum2019!C3-1</f>
        <v>8.2921014277564487E-2</v>
      </c>
      <c r="N3" s="163">
        <f ca="1">D3/SectorSum2019!D3-1</f>
        <v>8.2921014277564709E-2</v>
      </c>
      <c r="O3" s="163">
        <f ca="1">E3/SectorSum2019!E3-1</f>
        <v>8.2921014277564709E-2</v>
      </c>
      <c r="P3" s="163">
        <f ca="1">F3/SectorSum2019!F3-1</f>
        <v>8.2921014277564709E-2</v>
      </c>
      <c r="Q3" s="158">
        <f ca="1">G3/SectorSum2019!G3-1</f>
        <v>8.2921014277564487E-2</v>
      </c>
    </row>
    <row r="4" spans="1:17" x14ac:dyDescent="0.25">
      <c r="A4" s="2"/>
      <c r="B4" s="141" t="s">
        <v>9</v>
      </c>
      <c r="C4" s="142">
        <f>TabSpHt2024!$T$7-(SpaceHeat!$E$29-SpaceHeat!$E$42)</f>
        <v>2.4763445117828002</v>
      </c>
      <c r="D4" s="142">
        <f>TabSpHt2024!$R$7</f>
        <v>2.8694000000000002</v>
      </c>
      <c r="E4" s="142">
        <f>TabSpHt2024!$U$7-(SpaceHeat!$E$46-SpaceHeat!$E$59)</f>
        <v>4.527024997817934</v>
      </c>
      <c r="F4" s="142">
        <f>TabSpHt2024!$V$7</f>
        <v>10.5243</v>
      </c>
      <c r="G4" s="143">
        <f>TabSpHt2024!$Q$7</f>
        <v>0.156</v>
      </c>
      <c r="H4" s="4">
        <f t="shared" ca="1" si="0"/>
        <v>0.63006888053966104</v>
      </c>
      <c r="I4" s="4">
        <f t="shared" ca="1" si="0"/>
        <v>0.15981321686522201</v>
      </c>
      <c r="J4" s="4">
        <f t="shared" ca="1" si="0"/>
        <v>0.22859705559439544</v>
      </c>
      <c r="K4" s="4">
        <f t="shared" ca="1" si="0"/>
        <v>0.47788711966093655</v>
      </c>
      <c r="L4" s="145">
        <f t="shared" ca="1" si="0"/>
        <v>0.44592533321396738</v>
      </c>
      <c r="M4" s="163">
        <f>C4/SectorSum2019!C4-1</f>
        <v>0.12087290625211633</v>
      </c>
      <c r="N4" s="163">
        <f>D4/SectorSum2019!D4-1</f>
        <v>9.9976999156635715E-2</v>
      </c>
      <c r="O4" s="163">
        <f>E4/SectorSum2019!E4-1</f>
        <v>8.8567340230825575E-2</v>
      </c>
      <c r="P4" s="163">
        <f>F4/SectorSum2019!F4-1</f>
        <v>0.10170946433992478</v>
      </c>
      <c r="Q4" s="158">
        <f>G4/SectorSum2019!G4-1</f>
        <v>7.9584775086505299E-2</v>
      </c>
    </row>
    <row r="5" spans="1:17" x14ac:dyDescent="0.25">
      <c r="A5" s="2"/>
      <c r="B5" s="146" t="s">
        <v>10</v>
      </c>
      <c r="C5" s="3">
        <f>C$4*TabSpHt2019!T89</f>
        <v>2.3010399892449698</v>
      </c>
      <c r="D5" s="3">
        <f>D$4*TabSpHt2019!R89</f>
        <v>0.49245970252242582</v>
      </c>
      <c r="E5" s="3">
        <f>E$4*TabSpHt2019!U89</f>
        <v>0.18570958824337883</v>
      </c>
      <c r="F5" s="3">
        <f>F$4*TabSpHt2019!V89</f>
        <v>10.258677848147645</v>
      </c>
      <c r="G5" s="143">
        <f>G$4*TabSpHt2019!Q89</f>
        <v>0.10385605536332182</v>
      </c>
      <c r="H5" s="4">
        <f t="shared" ca="1" si="0"/>
        <v>0.58546526268948107</v>
      </c>
      <c r="I5" s="4">
        <f t="shared" ca="1" si="0"/>
        <v>2.7427883612113735E-2</v>
      </c>
      <c r="J5" s="4">
        <f t="shared" ca="1" si="0"/>
        <v>9.3776078304287063E-3</v>
      </c>
      <c r="K5" s="4">
        <f t="shared" ca="1" si="0"/>
        <v>0.46582575642852564</v>
      </c>
      <c r="L5" s="145">
        <f t="shared" ca="1" si="0"/>
        <v>0.29687209034729184</v>
      </c>
      <c r="M5" s="163">
        <f>C5/SectorSum2019!C5-1</f>
        <v>0.12087290625211633</v>
      </c>
      <c r="N5" s="163">
        <f>D5/SectorSum2019!D5-1</f>
        <v>9.9976999156635715E-2</v>
      </c>
      <c r="O5" s="163">
        <f>E5/SectorSum2019!E5-1</f>
        <v>8.8567340230825575E-2</v>
      </c>
      <c r="P5" s="163">
        <f>F5/SectorSum2019!F5-1</f>
        <v>0.101709464339925</v>
      </c>
      <c r="Q5" s="158">
        <f>G5/SectorSum2019!G5-1</f>
        <v>7.9584775086505299E-2</v>
      </c>
    </row>
    <row r="6" spans="1:17" x14ac:dyDescent="0.25">
      <c r="A6" s="2"/>
      <c r="B6" s="146" t="s">
        <v>11</v>
      </c>
      <c r="C6" s="3">
        <f>C$4*TabSpHt2019!T90</f>
        <v>7.3417175359513615E-2</v>
      </c>
      <c r="D6" s="3">
        <f>D$4*TabSpHt2019!R90</f>
        <v>2.1284554933680906</v>
      </c>
      <c r="E6" s="3">
        <f>E$4*TabSpHt2019!U90</f>
        <v>4.2121024662891564</v>
      </c>
      <c r="F6" s="3">
        <f>F$4*TabSpHt2019!V90</f>
        <v>0.11975581877374983</v>
      </c>
      <c r="G6" s="143">
        <f>G$4*TabSpHt2019!Q90</f>
        <v>3.9944636678200694E-3</v>
      </c>
      <c r="H6" s="4">
        <f t="shared" ca="1" si="0"/>
        <v>1.8679903895056263E-2</v>
      </c>
      <c r="I6" s="4">
        <f t="shared" ca="1" si="0"/>
        <v>0.11854580028912237</v>
      </c>
      <c r="J6" s="4">
        <f t="shared" ca="1" si="0"/>
        <v>0.21269469952556178</v>
      </c>
      <c r="K6" s="4">
        <f t="shared" ca="1" si="0"/>
        <v>5.4378688650479762E-3</v>
      </c>
      <c r="L6" s="145">
        <f t="shared" ca="1" si="0"/>
        <v>1.1418157321049685E-2</v>
      </c>
      <c r="M6" s="163">
        <f>C6/SectorSum2019!C6-1</f>
        <v>0.12087290625211611</v>
      </c>
      <c r="N6" s="163">
        <f>D6/SectorSum2019!D6-1</f>
        <v>9.9976999156635715E-2</v>
      </c>
      <c r="O6" s="163">
        <f>E6/SectorSum2019!E6-1</f>
        <v>8.8567340230825575E-2</v>
      </c>
      <c r="P6" s="163">
        <f>F6/SectorSum2019!F6-1</f>
        <v>0.101709464339925</v>
      </c>
      <c r="Q6" s="158">
        <f>G6/SectorSum2019!G6-1</f>
        <v>7.9584775086505299E-2</v>
      </c>
    </row>
    <row r="7" spans="1:17" x14ac:dyDescent="0.25">
      <c r="A7" s="2"/>
      <c r="B7" s="146" t="s">
        <v>12</v>
      </c>
      <c r="C7" s="3">
        <f>C$4*TabSpHt2019!T91</f>
        <v>8.7876435850165899E-2</v>
      </c>
      <c r="D7" s="3">
        <f>D$4*TabSpHt2019!R91</f>
        <v>6.4348654450663192E-2</v>
      </c>
      <c r="E7" s="3">
        <f>E$4*TabSpHt2019!U91</f>
        <v>0.10994530136331337</v>
      </c>
      <c r="F7" s="3">
        <f>F$4*TabSpHt2019!V91</f>
        <v>0.13650180263171668</v>
      </c>
      <c r="G7" s="143">
        <f>G$4*TabSpHt2019!Q91</f>
        <v>1.6841522491349483E-2</v>
      </c>
      <c r="H7" s="4">
        <f t="shared" ca="1" si="0"/>
        <v>2.235884679957879E-2</v>
      </c>
      <c r="I7" s="4">
        <f t="shared" ca="1" si="0"/>
        <v>3.5839427994385827E-3</v>
      </c>
      <c r="J7" s="4">
        <f t="shared" ca="1" si="0"/>
        <v>5.5518076838997621E-3</v>
      </c>
      <c r="K7" s="4">
        <f t="shared" ca="1" si="0"/>
        <v>6.1982700310896435E-3</v>
      </c>
      <c r="L7" s="145">
        <f t="shared" ca="1" si="0"/>
        <v>4.8141420056317594E-2</v>
      </c>
      <c r="M7" s="163">
        <f>C7/SectorSum2019!C7-1</f>
        <v>0.12087290625211611</v>
      </c>
      <c r="N7" s="163">
        <f>D7/SectorSum2019!D7-1</f>
        <v>9.9976999156635937E-2</v>
      </c>
      <c r="O7" s="163">
        <f>E7/SectorSum2019!E7-1</f>
        <v>8.8567340230825575E-2</v>
      </c>
      <c r="P7" s="163">
        <f>F7/SectorSum2019!F7-1</f>
        <v>0.10170946433992478</v>
      </c>
      <c r="Q7" s="158">
        <f>G7/SectorSum2019!G7-1</f>
        <v>7.9584775086505299E-2</v>
      </c>
    </row>
    <row r="8" spans="1:17" x14ac:dyDescent="0.25">
      <c r="A8" s="2"/>
      <c r="B8" s="146" t="s">
        <v>13</v>
      </c>
      <c r="C8" s="3">
        <f>C$4*TabSpHt2019!T92</f>
        <v>1.4010911328151451E-2</v>
      </c>
      <c r="D8" s="3">
        <f>D$4*TabSpHt2019!R92</f>
        <v>0.18413614965882083</v>
      </c>
      <c r="E8" s="3">
        <f>E$4*TabSpHt2019!U92</f>
        <v>1.9267641922085608E-2</v>
      </c>
      <c r="F8" s="3">
        <f>F$4*TabSpHt2019!V92</f>
        <v>9.2543595004553683E-3</v>
      </c>
      <c r="G8" s="143">
        <f>G$4*TabSpHt2019!Q92</f>
        <v>3.1200000000000002E-2</v>
      </c>
      <c r="H8" s="4">
        <f t="shared" ca="1" si="0"/>
        <v>3.5648671555450879E-3</v>
      </c>
      <c r="I8" s="4">
        <f t="shared" ca="1" si="0"/>
        <v>1.0255590164547329E-2</v>
      </c>
      <c r="J8" s="4">
        <f t="shared" ca="1" si="0"/>
        <v>9.7294055450520558E-4</v>
      </c>
      <c r="K8" s="4">
        <f t="shared" ca="1" si="0"/>
        <v>4.2022169702302667E-4</v>
      </c>
      <c r="L8" s="145">
        <f t="shared" ca="1" si="0"/>
        <v>8.9185066642793479E-2</v>
      </c>
      <c r="M8" s="163">
        <f>C8/SectorSum2019!C8-1</f>
        <v>0.12087290625211611</v>
      </c>
      <c r="N8" s="163">
        <f>D8/SectorSum2019!D8-1</f>
        <v>9.9976999156635937E-2</v>
      </c>
      <c r="O8" s="163">
        <f>E8/SectorSum2019!E8-1</f>
        <v>8.8567340230825575E-2</v>
      </c>
      <c r="P8" s="163">
        <f>F8/SectorSum2019!F8-1</f>
        <v>0.10170946433992478</v>
      </c>
      <c r="Q8" s="158">
        <f>G8/SectorSum2019!G8-1</f>
        <v>7.9584775086505299E-2</v>
      </c>
    </row>
    <row r="9" spans="1:17" x14ac:dyDescent="0.25">
      <c r="A9" s="1"/>
      <c r="B9" s="141" t="s">
        <v>14</v>
      </c>
      <c r="C9" s="3" cm="1">
        <f t="array" aca="1" ref="C9" ca="1">INDIRECT("'"&amp;$A$1&amp;"NRARSummary'!G5")</f>
        <v>0.25829337515917988</v>
      </c>
      <c r="D9" s="3" cm="1">
        <f t="array" aca="1" ref="D9" ca="1">INDIRECT("'"&amp;$A$1&amp;"NRARSummary'!H5")</f>
        <v>0.41143819974192108</v>
      </c>
      <c r="E9" s="3" cm="1">
        <f t="array" aca="1" ref="E9" ca="1">INDIRECT("'"&amp;$A$1&amp;"NRARSummary'!I5")</f>
        <v>3.2446802191709839E-2</v>
      </c>
      <c r="F9" s="3" cm="1">
        <f t="array" aca="1" ref="F9" ca="1">INDIRECT("'"&amp;$A$1&amp;"NRARSummary'!J5")</f>
        <v>2.4163669650614992</v>
      </c>
      <c r="G9" s="143" cm="1">
        <f t="array" aca="1" ref="G9" ca="1">INDIRECT("'"&amp;$A$1&amp;"NRARSummary'!K5")</f>
        <v>5.3318287252946996E-2</v>
      </c>
      <c r="H9" s="4">
        <f t="shared" ca="1" si="0"/>
        <v>6.5718892085896208E-2</v>
      </c>
      <c r="I9" s="4">
        <f t="shared" ca="1" si="0"/>
        <v>2.2915334997557733E-2</v>
      </c>
      <c r="J9" s="4">
        <f t="shared" ca="1" si="0"/>
        <v>1.6384365997655905E-3</v>
      </c>
      <c r="K9" s="4">
        <f t="shared" ca="1" si="0"/>
        <v>0.10972232347776847</v>
      </c>
      <c r="L9" s="145">
        <f t="shared" ca="1" si="0"/>
        <v>0.15241009621582319</v>
      </c>
      <c r="M9" s="163">
        <f ca="1">C9/SectorSum2019!C9-1</f>
        <v>7.1709962643314196E-2</v>
      </c>
      <c r="N9" s="163">
        <f ca="1">D9/SectorSum2019!D9-1</f>
        <v>7.1709962643314196E-2</v>
      </c>
      <c r="O9" s="163">
        <f ca="1">E9/SectorSum2019!E9-1</f>
        <v>7.1709962643314418E-2</v>
      </c>
      <c r="P9" s="163">
        <f ca="1">F9/SectorSum2019!F9-1</f>
        <v>7.1709962643314196E-2</v>
      </c>
      <c r="Q9" s="158">
        <f ca="1">G9/SectorSum2019!G9-1</f>
        <v>7.1709962643314418E-2</v>
      </c>
    </row>
    <row r="10" spans="1:17" x14ac:dyDescent="0.25">
      <c r="A10" s="167"/>
      <c r="B10" s="141" t="s">
        <v>15</v>
      </c>
      <c r="C10" s="3">
        <f ca="1">OFFSET(OnRoad!$L$6,MATCH($A$1,OnRoad!$A$7:$A$17,0),MATCH(C2,OnRoad!$C$6:$G$6,0))</f>
        <v>0.2029646671180699</v>
      </c>
      <c r="D10" s="3">
        <f ca="1">OFFSET(OnRoad!$L$6,MATCH($A$1,OnRoad!$A$7:$A$17,0),MATCH(D2,OnRoad!$C$6:$G$6,0))</f>
        <v>1.6666259014452456</v>
      </c>
      <c r="E10" s="3">
        <f ca="1">OFFSET(OnRoad!$L$6,MATCH($A$1,OnRoad!$A$7:$A$17,0),MATCH(E2,OnRoad!$C$6:$G$6,0))</f>
        <v>8.9189348031002303E-3</v>
      </c>
      <c r="F10" s="3">
        <f ca="1">OFFSET(OnRoad!$L$6,MATCH($A$1,OnRoad!$A$7:$A$17,0),MATCH(F2,OnRoad!$C$6:$G$6,0))</f>
        <v>4.4462330944812587</v>
      </c>
      <c r="G10" s="143">
        <f ca="1">OFFSET(OnRoad!$L$6,MATCH($A$1,OnRoad!$A$7:$A$17,0),MATCH(G2,OnRoad!$C$6:$G$6,0))</f>
        <v>5.8142756937343359E-2</v>
      </c>
      <c r="H10" s="4">
        <f t="shared" ca="1" si="0"/>
        <v>5.1641328575934328E-2</v>
      </c>
      <c r="I10" s="4">
        <f t="shared" ca="1" si="0"/>
        <v>9.2823881864105784E-2</v>
      </c>
      <c r="J10" s="4">
        <f t="shared" ca="1" si="0"/>
        <v>4.5037132244903256E-4</v>
      </c>
      <c r="K10" s="4">
        <f t="shared" ca="1" si="0"/>
        <v>0.20189442783489461</v>
      </c>
      <c r="L10" s="145">
        <f t="shared" ca="1" si="0"/>
        <v>0.16620082218758686</v>
      </c>
      <c r="M10" s="163">
        <f ca="1">C10/SectorSum2019!C10-1</f>
        <v>-0.25465717474172489</v>
      </c>
      <c r="N10" s="163">
        <f ca="1">D10/SectorSum2019!D10-1</f>
        <v>-0.27471609156068277</v>
      </c>
      <c r="O10" s="163">
        <f ca="1">E10/SectorSum2019!E10-1</f>
        <v>-2.0966754454413539E-2</v>
      </c>
      <c r="P10" s="163">
        <f ca="1">F10/SectorSum2019!F10-1</f>
        <v>-9.1740030274409134E-2</v>
      </c>
      <c r="Q10" s="158">
        <f ca="1">G10/SectorSum2019!G10-1</f>
        <v>6.1616007668412465E-2</v>
      </c>
    </row>
    <row r="11" spans="1:17" x14ac:dyDescent="0.25">
      <c r="A11" s="2"/>
      <c r="B11" s="147" t="s">
        <v>16</v>
      </c>
      <c r="C11" s="148" cm="1">
        <f t="array" aca="1" ref="C11" ca="1">INDIRECT("'"&amp;$A$1&amp;"NRARSummary'!G9")</f>
        <v>0.3571216451804311</v>
      </c>
      <c r="D11" s="148" cm="1">
        <f t="array" aca="1" ref="D11" ca="1">INDIRECT("'"&amp;$A$1&amp;"NRARSummary'!H9")</f>
        <v>1.792660395114245</v>
      </c>
      <c r="E11" s="148" cm="1">
        <f t="array" aca="1" ref="E11" ca="1">INDIRECT("'"&amp;$A$1&amp;"NRARSummary'!I9")</f>
        <v>8.8818120732665271</v>
      </c>
      <c r="F11" s="148" cm="1">
        <f t="array" aca="1" ref="F11" ca="1">INDIRECT("'"&amp;$A$1&amp;"NRARSummary'!J9")</f>
        <v>4.6002884343369139</v>
      </c>
      <c r="G11" s="149" cm="1">
        <f t="array" aca="1" ref="G11" ca="1">INDIRECT("'"&amp;$A$1&amp;"NRARSummary'!K9")</f>
        <v>3.1637795832783993E-3</v>
      </c>
      <c r="H11" s="150">
        <f t="shared" ca="1" si="0"/>
        <v>9.0864269541124323E-2</v>
      </c>
      <c r="I11" s="150">
        <f t="shared" ca="1" si="0"/>
        <v>9.9843460127583258E-2</v>
      </c>
      <c r="J11" s="150">
        <f t="shared" ca="1" si="0"/>
        <v>0.4484967697925526</v>
      </c>
      <c r="K11" s="150">
        <f t="shared" ca="1" si="0"/>
        <v>0.20888976839265197</v>
      </c>
      <c r="L11" s="151">
        <f t="shared" ca="1" si="0"/>
        <v>9.0436504159549166E-3</v>
      </c>
      <c r="M11" s="159">
        <f ca="1">C11/SectorSum2019!C11-1</f>
        <v>2.0676438638537631E-2</v>
      </c>
      <c r="N11" s="159">
        <f ca="1">D11/SectorSum2019!D11-1</f>
        <v>2.1557568137709371E-2</v>
      </c>
      <c r="O11" s="159">
        <f ca="1">E11/SectorSum2019!E11-1</f>
        <v>0.14146076744488179</v>
      </c>
      <c r="P11" s="159">
        <f ca="1">F11/SectorSum2019!F11-1</f>
        <v>-0.12590570230423592</v>
      </c>
      <c r="Q11" s="160">
        <f ca="1">G11/SectorSum2019!G11-1</f>
        <v>2.7658725651847238E-2</v>
      </c>
    </row>
    <row r="12" spans="1:17" x14ac:dyDescent="0.25">
      <c r="A12" s="2"/>
      <c r="B12" s="152" t="s">
        <v>17</v>
      </c>
      <c r="C12" s="153">
        <f ca="1">SUM(C3:C4,C9:C11)</f>
        <v>3.9302758607309465</v>
      </c>
      <c r="D12" s="153">
        <f ca="1">SUM(D3:D4,D9:D11)</f>
        <v>17.954710231631843</v>
      </c>
      <c r="E12" s="153">
        <f ca="1">SUM(E3:E4,E9:E11)</f>
        <v>19.803514030602081</v>
      </c>
      <c r="F12" s="153">
        <f ca="1">SUM(F3:F4,F9:F11)</f>
        <v>22.022564674827493</v>
      </c>
      <c r="G12" s="154">
        <f ca="1">SUM(G3:G4,G9:G11)</f>
        <v>0.3498343520329823</v>
      </c>
      <c r="H12" s="155">
        <f t="shared" ca="1" si="0"/>
        <v>1</v>
      </c>
      <c r="I12" s="155">
        <f t="shared" ca="1" si="0"/>
        <v>1</v>
      </c>
      <c r="J12" s="155">
        <f t="shared" ca="1" si="0"/>
        <v>1</v>
      </c>
      <c r="K12" s="155">
        <f t="shared" ca="1" si="0"/>
        <v>1</v>
      </c>
      <c r="L12" s="156">
        <f t="shared" ca="1" si="0"/>
        <v>1</v>
      </c>
      <c r="M12" s="161">
        <f ca="1">C12/SectorSum2019!C12-1</f>
        <v>7.4023496549968426E-2</v>
      </c>
      <c r="N12" s="161">
        <f ca="1">D12/SectorSum2019!D12-1</f>
        <v>3.1814672692778823E-2</v>
      </c>
      <c r="O12" s="161">
        <f ca="1">E12/SectorSum2019!E12-1</f>
        <v>0.10968884014542635</v>
      </c>
      <c r="P12" s="161">
        <f ca="1">F12/SectorSum2019!F12-1</f>
        <v>1.1029323899864885E-3</v>
      </c>
      <c r="Q12" s="162">
        <f ca="1">G12/SectorSum2019!G12-1</f>
        <v>7.5613183327024158E-2</v>
      </c>
    </row>
    <row r="13" spans="1:17" x14ac:dyDescent="0.25">
      <c r="A13" s="2"/>
      <c r="B13" s="137"/>
      <c r="C13" s="137"/>
      <c r="D13" s="137"/>
      <c r="E13" s="137"/>
      <c r="F13" s="137"/>
      <c r="G13" s="137"/>
      <c r="H13" s="137"/>
      <c r="I13" s="137"/>
      <c r="J13" s="137"/>
      <c r="K13" s="137"/>
      <c r="L13" s="137"/>
      <c r="M13" s="163"/>
      <c r="N13" s="163"/>
      <c r="O13" s="163"/>
      <c r="P13" s="163"/>
      <c r="Q13" s="163"/>
    </row>
    <row r="14" spans="1:17" x14ac:dyDescent="0.25">
      <c r="A14" s="2"/>
      <c r="B14" s="137"/>
      <c r="C14" s="137"/>
      <c r="D14" s="137"/>
      <c r="E14" s="137"/>
      <c r="F14" s="137"/>
      <c r="G14" s="137"/>
      <c r="H14" s="137"/>
      <c r="I14" s="137"/>
      <c r="J14" s="137"/>
      <c r="K14" s="137"/>
      <c r="L14" s="137"/>
      <c r="M14" s="163"/>
      <c r="N14" s="163"/>
      <c r="O14" s="163"/>
      <c r="P14" s="163"/>
      <c r="Q14" s="163"/>
    </row>
    <row r="15" spans="1:17" x14ac:dyDescent="0.25">
      <c r="A15" s="2"/>
      <c r="B15" s="137"/>
      <c r="C15" s="137"/>
      <c r="D15" s="137"/>
      <c r="E15" s="137"/>
      <c r="F15" s="137"/>
      <c r="G15" s="137"/>
      <c r="H15" s="137"/>
      <c r="I15" s="137"/>
      <c r="J15" s="137"/>
      <c r="K15" s="137"/>
      <c r="L15" s="137"/>
      <c r="M15" s="163"/>
      <c r="N15" s="163"/>
      <c r="O15" s="163"/>
      <c r="P15" s="163"/>
      <c r="Q15" s="163"/>
    </row>
    <row r="16" spans="1:17" x14ac:dyDescent="0.25">
      <c r="A16" s="2"/>
      <c r="B16" s="137"/>
      <c r="C16" s="137"/>
      <c r="D16" s="137"/>
      <c r="E16" s="137"/>
      <c r="F16" s="137"/>
      <c r="G16" s="137"/>
      <c r="H16" s="137"/>
      <c r="I16" s="137"/>
      <c r="J16" s="137"/>
      <c r="K16" s="137"/>
      <c r="L16" s="137"/>
      <c r="M16" s="163"/>
      <c r="N16" s="163"/>
      <c r="O16" s="163"/>
      <c r="P16" s="163"/>
      <c r="Q16" s="163"/>
    </row>
    <row r="17" spans="1:58" x14ac:dyDescent="0.25">
      <c r="B17" s="137"/>
      <c r="C17" s="137"/>
      <c r="D17" s="137"/>
      <c r="E17" s="137"/>
      <c r="F17" s="137"/>
      <c r="G17" s="137"/>
      <c r="H17" s="137"/>
      <c r="I17" s="137"/>
      <c r="J17" s="137"/>
      <c r="K17" s="137"/>
      <c r="L17" s="137"/>
      <c r="M17" s="163"/>
      <c r="N17" s="163"/>
      <c r="O17" s="163"/>
      <c r="P17" s="163"/>
      <c r="Q17" s="163"/>
    </row>
    <row r="18" spans="1:58" x14ac:dyDescent="0.25">
      <c r="B18" s="137"/>
      <c r="C18" s="137"/>
      <c r="D18" s="137"/>
      <c r="E18" s="137"/>
      <c r="F18" s="137"/>
      <c r="G18" s="137"/>
      <c r="H18" s="137"/>
      <c r="I18" s="137"/>
      <c r="J18" s="137"/>
      <c r="K18" s="137"/>
      <c r="L18" s="137"/>
      <c r="M18" s="163"/>
      <c r="N18" s="163"/>
      <c r="O18" s="163"/>
      <c r="P18" s="163"/>
      <c r="Q18" s="163"/>
    </row>
    <row r="19" spans="1:58" x14ac:dyDescent="0.25">
      <c r="B19" s="137"/>
      <c r="C19" s="137"/>
      <c r="D19" s="137"/>
      <c r="E19" s="137"/>
      <c r="F19" s="137"/>
      <c r="G19" s="137"/>
      <c r="H19" s="137"/>
      <c r="I19" s="137"/>
      <c r="J19" s="137"/>
      <c r="K19" s="137"/>
      <c r="L19" s="137"/>
      <c r="M19" s="163"/>
      <c r="N19" s="163"/>
      <c r="O19" s="163"/>
      <c r="P19" s="163"/>
      <c r="Q19" s="163"/>
    </row>
    <row r="20" spans="1:58" x14ac:dyDescent="0.25">
      <c r="B20" s="137"/>
      <c r="C20" s="224" t="s">
        <v>18</v>
      </c>
      <c r="D20" s="224"/>
      <c r="E20" s="224"/>
      <c r="F20" s="224"/>
      <c r="G20" s="224"/>
      <c r="H20" s="224" t="s">
        <v>1</v>
      </c>
      <c r="I20" s="224"/>
      <c r="J20" s="224"/>
      <c r="K20" s="224"/>
      <c r="L20" s="224"/>
      <c r="M20" s="224" t="s">
        <v>230</v>
      </c>
      <c r="N20" s="224"/>
      <c r="O20" s="224"/>
      <c r="P20" s="224"/>
      <c r="Q20" s="224"/>
      <c r="S20" s="223" t="s">
        <v>225</v>
      </c>
      <c r="T20" s="223"/>
      <c r="U20" s="223"/>
      <c r="V20" s="223"/>
      <c r="W20" s="223"/>
      <c r="X20" s="223"/>
      <c r="Y20" s="223"/>
      <c r="Z20" s="223"/>
      <c r="AA20" s="223" t="s">
        <v>226</v>
      </c>
      <c r="AB20" s="223"/>
      <c r="AC20" s="223"/>
      <c r="AD20" s="223"/>
      <c r="AE20" s="223"/>
      <c r="AF20" s="223"/>
      <c r="AG20" s="223"/>
      <c r="AH20" s="223"/>
      <c r="AI20" s="223" t="s">
        <v>227</v>
      </c>
      <c r="AJ20" s="223"/>
      <c r="AK20" s="223"/>
      <c r="AL20" s="223"/>
      <c r="AM20" s="223"/>
      <c r="AN20" s="223"/>
      <c r="AO20" s="223"/>
      <c r="AP20" s="223"/>
      <c r="AQ20" s="223" t="s">
        <v>228</v>
      </c>
      <c r="AR20" s="223"/>
      <c r="AS20" s="223"/>
      <c r="AT20" s="223"/>
      <c r="AU20" s="223"/>
      <c r="AV20" s="223"/>
      <c r="AW20" s="223"/>
      <c r="AX20" s="223"/>
      <c r="AY20" s="223" t="s">
        <v>229</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row>
    <row r="22" spans="1:58" x14ac:dyDescent="0.25">
      <c r="B22" s="141" t="s">
        <v>8</v>
      </c>
      <c r="C22" s="3">
        <f ca="1">C3-OFFSET(Points!$D$36,MATCH($A$1,Points!$A$37:$A$190,0)+3,0)</f>
        <v>0.61547654088309223</v>
      </c>
      <c r="D22" s="3">
        <f ca="1">D3-OFFSET(Points!$G$36,MATCH($A$1,Points!$A$37:$A$190,0)+3,0)</f>
        <v>11.160211289983225</v>
      </c>
      <c r="E22" s="3">
        <f ca="1">E3-OFFSET(Points!$F$36,MATCH($A$1,Points!$A$37:$A$190,0)+3,0)</f>
        <v>6.1558644371706412</v>
      </c>
      <c r="F22" s="3">
        <f ca="1">F3-OFFSET(Points!$H$36,MATCH($A$1,Points!$A$37:$A$190,0)+3,0)</f>
        <v>3.4572296885400165E-2</v>
      </c>
      <c r="G22" s="143">
        <f ca="1">G3-OFFSET(Points!$J$36,MATCH($A$1,Points!$A$37:$A$190,0)+3,0)</f>
        <v>7.9208325857352713E-2</v>
      </c>
      <c r="H22" s="144">
        <f t="shared" ref="H22:L31" ca="1" si="1">C22/C$31</f>
        <v>0.1812766952495187</v>
      </c>
      <c r="I22" s="4">
        <f t="shared" ca="1" si="1"/>
        <v>0.68714835942453811</v>
      </c>
      <c r="J22" s="4">
        <f t="shared" ca="1" si="1"/>
        <v>0.38526882113540978</v>
      </c>
      <c r="K22" s="4">
        <f t="shared" ca="1" si="1"/>
        <v>1.9139904352351868E-3</v>
      </c>
      <c r="L22" s="145">
        <f t="shared" ca="1" si="1"/>
        <v>0.25908050177014591</v>
      </c>
      <c r="M22" s="157">
        <f ca="1">C22/SectorSum2019!C22-1</f>
        <v>8.2921014277564487E-2</v>
      </c>
      <c r="N22" s="163">
        <f ca="1">D22/SectorSum2019!D22-1</f>
        <v>8.2921014277564709E-2</v>
      </c>
      <c r="O22" s="163">
        <f ca="1">E22/SectorSum2019!E22-1</f>
        <v>8.2921014277564709E-2</v>
      </c>
      <c r="P22" s="163">
        <f ca="1">F22/SectorSum2019!F22-1</f>
        <v>8.2921014277564709E-2</v>
      </c>
      <c r="Q22" s="158">
        <f ca="1">G22/SectorSum2019!G22-1</f>
        <v>8.2921014277564487E-2</v>
      </c>
    </row>
    <row r="23" spans="1:58" x14ac:dyDescent="0.25">
      <c r="B23" s="141" t="s">
        <v>9</v>
      </c>
      <c r="C23" s="142">
        <f>TabSpHt2024!$M$7-(SpaceHeat!$E$29-SpaceHeat!$E$42)</f>
        <v>2.1413445117827998</v>
      </c>
      <c r="D23" s="142">
        <f>TabSpHt2019!$K$69</f>
        <v>2.4317000000000002</v>
      </c>
      <c r="E23" s="142">
        <f>TabSpHt2024!$N$7-(SpaceHeat!$E$46-SpaceHeat!$E$59)</f>
        <v>4.1993249978179357</v>
      </c>
      <c r="F23" s="142">
        <f>TabSpHt2019!$O$69</f>
        <v>8.6022999999999996</v>
      </c>
      <c r="G23" s="143">
        <f>TabSpHt2019!$J$69</f>
        <v>0.13189999999999999</v>
      </c>
      <c r="H23" s="4">
        <f t="shared" ca="1" si="1"/>
        <v>0.63069155475807603</v>
      </c>
      <c r="I23" s="4">
        <f t="shared" ca="1" si="1"/>
        <v>0.14972285221090656</v>
      </c>
      <c r="J23" s="4">
        <f t="shared" ca="1" si="1"/>
        <v>0.26281751458084063</v>
      </c>
      <c r="K23" s="4">
        <f t="shared" ca="1" si="1"/>
        <v>0.47624026762238864</v>
      </c>
      <c r="L23" s="145">
        <f t="shared" ca="1" si="1"/>
        <v>0.43142836076379554</v>
      </c>
      <c r="M23" s="163">
        <f ca="1">C23/SectorSum2019!C23-1</f>
        <v>0.12145717998179251</v>
      </c>
      <c r="N23" s="163">
        <f>D23/SectorSum2019!D23-1</f>
        <v>0</v>
      </c>
      <c r="O23" s="163">
        <f ca="1">E23/SectorSum2019!E23-1</f>
        <v>8.1946991633871979E-2</v>
      </c>
      <c r="P23" s="163">
        <f>F23/SectorSum2019!F23-1</f>
        <v>0</v>
      </c>
      <c r="Q23" s="158">
        <f>G23/SectorSum2019!G23-1</f>
        <v>0</v>
      </c>
    </row>
    <row r="24" spans="1:58" x14ac:dyDescent="0.25">
      <c r="B24" s="146" t="s">
        <v>10</v>
      </c>
      <c r="C24" s="3">
        <f>C$23*TabSpHt2019!M89</f>
        <v>1.9844249874547795</v>
      </c>
      <c r="D24" s="3">
        <f>D$23*TabSpHt2019!K89</f>
        <v>0.39399999999999996</v>
      </c>
      <c r="E24" s="3">
        <f>E$23*TabSpHt2019!N89</f>
        <v>0.17377343740970341</v>
      </c>
      <c r="F24" s="3">
        <f>F$23*TabSpHt2019!O89</f>
        <v>8.383799999999999</v>
      </c>
      <c r="G24" s="143">
        <f>G$23*TabSpHt2019!J89</f>
        <v>8.5900000000000004E-2</v>
      </c>
      <c r="H24" s="4">
        <f t="shared" ca="1" si="1"/>
        <v>0.58447394791071261</v>
      </c>
      <c r="I24" s="4">
        <f t="shared" ca="1" si="1"/>
        <v>2.4259079562074751E-2</v>
      </c>
      <c r="J24" s="4">
        <f t="shared" ca="1" si="1"/>
        <v>1.0875724775748259E-2</v>
      </c>
      <c r="K24" s="4">
        <f t="shared" ca="1" si="1"/>
        <v>0.4641436773528686</v>
      </c>
      <c r="L24" s="145">
        <f t="shared" ca="1" si="1"/>
        <v>0.28096812880674787</v>
      </c>
      <c r="M24" s="163">
        <f ca="1">C24/SectorSum2019!C24-1</f>
        <v>0.12145717998179251</v>
      </c>
      <c r="N24" s="163">
        <f>D24/SectorSum2019!D24-1</f>
        <v>0</v>
      </c>
      <c r="O24" s="163">
        <f ca="1">E24/SectorSum2019!E24-1</f>
        <v>8.1946991633871979E-2</v>
      </c>
      <c r="P24" s="163">
        <f>F24/SectorSum2019!F24-1</f>
        <v>0</v>
      </c>
      <c r="Q24" s="158">
        <f>G24/SectorSum2019!G24-1</f>
        <v>0</v>
      </c>
    </row>
    <row r="25" spans="1:58" x14ac:dyDescent="0.25">
      <c r="B25" s="146" t="s">
        <v>11</v>
      </c>
      <c r="C25" s="3">
        <f>C$23*TabSpHt2019!M90</f>
        <v>6.8455580455418635E-2</v>
      </c>
      <c r="D25" s="3">
        <f>D$23*TabSpHt2019!K90</f>
        <v>1.819</v>
      </c>
      <c r="E25" s="3">
        <f>E$23*TabSpHt2019!N90</f>
        <v>3.9115910491038126</v>
      </c>
      <c r="F25" s="3">
        <f>F$23*TabSpHt2019!O90</f>
        <v>0.1016</v>
      </c>
      <c r="G25" s="143">
        <f>G$23*TabSpHt2019!J90</f>
        <v>3.5000000000000001E-3</v>
      </c>
      <c r="H25" s="4">
        <f t="shared" ca="1" si="1"/>
        <v>2.016226545132117E-2</v>
      </c>
      <c r="I25" s="4">
        <f t="shared" ca="1" si="1"/>
        <v>0.11199813635384258</v>
      </c>
      <c r="J25" s="4">
        <f t="shared" ca="1" si="1"/>
        <v>0.24480949631579291</v>
      </c>
      <c r="K25" s="4">
        <f t="shared" ca="1" si="1"/>
        <v>5.6247760704038093E-3</v>
      </c>
      <c r="L25" s="145">
        <f t="shared" ca="1" si="1"/>
        <v>1.1448061127166677E-2</v>
      </c>
      <c r="M25" s="163">
        <f ca="1">C25/SectorSum2019!C25-1</f>
        <v>0.12145717998179251</v>
      </c>
      <c r="N25" s="163">
        <f>D25/SectorSum2019!D25-1</f>
        <v>0</v>
      </c>
      <c r="O25" s="163">
        <f ca="1">E25/SectorSum2019!E25-1</f>
        <v>8.1946991633871979E-2</v>
      </c>
      <c r="P25" s="163">
        <f>F25/SectorSum2019!F25-1</f>
        <v>0</v>
      </c>
      <c r="Q25" s="158">
        <f>G25/SectorSum2019!G25-1</f>
        <v>0</v>
      </c>
    </row>
    <row r="26" spans="1:58" x14ac:dyDescent="0.25">
      <c r="B26" s="146" t="s">
        <v>12</v>
      </c>
      <c r="C26" s="3">
        <f>C$23*TabSpHt2019!M91</f>
        <v>7.4413126866152923E-2</v>
      </c>
      <c r="D26" s="3">
        <f>D$23*TabSpHt2019!K91</f>
        <v>5.1299999999999998E-2</v>
      </c>
      <c r="E26" s="3">
        <f>E$23*TabSpHt2019!N91</f>
        <v>9.4676562450803914E-2</v>
      </c>
      <c r="F26" s="3">
        <f>F$23*TabSpHt2019!O91</f>
        <v>0.10859999999999999</v>
      </c>
      <c r="G26" s="143">
        <f>G$23*TabSpHt2019!J91</f>
        <v>1.37E-2</v>
      </c>
      <c r="H26" s="4">
        <f t="shared" ca="1" si="1"/>
        <v>2.1916945367445997E-2</v>
      </c>
      <c r="I26" s="4">
        <f t="shared" ca="1" si="1"/>
        <v>3.1586060445036417E-3</v>
      </c>
      <c r="J26" s="4">
        <f t="shared" ca="1" si="1"/>
        <v>5.9253948778214644E-3</v>
      </c>
      <c r="K26" s="4">
        <f t="shared" ca="1" si="1"/>
        <v>6.0123098547820233E-3</v>
      </c>
      <c r="L26" s="145">
        <f t="shared" ca="1" si="1"/>
        <v>4.4810982126338134E-2</v>
      </c>
      <c r="M26" s="163">
        <f ca="1">C26/SectorSum2019!C26-1</f>
        <v>0.12145717998179251</v>
      </c>
      <c r="N26" s="163">
        <f>D26/SectorSum2019!D26-1</f>
        <v>0</v>
      </c>
      <c r="O26" s="163">
        <f ca="1">E26/SectorSum2019!E26-1</f>
        <v>8.1946991633871979E-2</v>
      </c>
      <c r="P26" s="163">
        <f>F26/SectorSum2019!F26-1</f>
        <v>0</v>
      </c>
      <c r="Q26" s="158">
        <f>G26/SectorSum2019!G26-1</f>
        <v>0</v>
      </c>
    </row>
    <row r="27" spans="1:58" x14ac:dyDescent="0.25">
      <c r="B27" s="146" t="s">
        <v>13</v>
      </c>
      <c r="C27" s="3">
        <f>C$23*TabSpHt2019!M92</f>
        <v>1.4050817006448816E-2</v>
      </c>
      <c r="D27" s="3">
        <f>D$23*TabSpHt2019!K92</f>
        <v>0.16739999999999999</v>
      </c>
      <c r="E27" s="3">
        <f>E$23*TabSpHt2019!N92</f>
        <v>1.9283948853615986E-2</v>
      </c>
      <c r="F27" s="3">
        <f>F$23*TabSpHt2019!O92</f>
        <v>8.3999999999999995E-3</v>
      </c>
      <c r="G27" s="143">
        <f>G$23*TabSpHt2019!J92</f>
        <v>2.8899999999999999E-2</v>
      </c>
      <c r="H27" s="4">
        <f t="shared" ca="1" si="1"/>
        <v>4.1383960285962989E-3</v>
      </c>
      <c r="I27" s="4">
        <f t="shared" ca="1" si="1"/>
        <v>1.0307030250485568E-2</v>
      </c>
      <c r="J27" s="4">
        <f t="shared" ca="1" si="1"/>
        <v>1.2068986114780196E-3</v>
      </c>
      <c r="K27" s="4">
        <f t="shared" ca="1" si="1"/>
        <v>4.650405412538582E-4</v>
      </c>
      <c r="L27" s="145">
        <f t="shared" ca="1" si="1"/>
        <v>9.4528276164319122E-2</v>
      </c>
      <c r="M27" s="163">
        <f ca="1">C27/SectorSum2019!C27-1</f>
        <v>0.12145717998179251</v>
      </c>
      <c r="N27" s="163">
        <f>D27/SectorSum2019!D27-1</f>
        <v>0</v>
      </c>
      <c r="O27" s="163">
        <f ca="1">E27/SectorSum2019!E27-1</f>
        <v>8.1946991633872202E-2</v>
      </c>
      <c r="P27" s="163">
        <f>F27/SectorSum2019!F27-1</f>
        <v>0</v>
      </c>
      <c r="Q27" s="158">
        <f>G27/SectorSum2019!G27-1</f>
        <v>0</v>
      </c>
    </row>
    <row r="28" spans="1:58" x14ac:dyDescent="0.25">
      <c r="B28" s="141" t="s">
        <v>14</v>
      </c>
      <c r="C28" s="3" cm="1">
        <f t="array" aca="1" ref="C28" ca="1">INDIRECT("'"&amp;$A$1&amp;"NRARSummary'!B5")</f>
        <v>0.23979661599305896</v>
      </c>
      <c r="D28" s="3" cm="1">
        <f t="array" aca="1" ref="D28" ca="1">INDIRECT("'"&amp;$A$1&amp;"NRARSummary'!C5")</f>
        <v>0.38197451997205228</v>
      </c>
      <c r="E28" s="3" cm="1">
        <f t="array" aca="1" ref="E28" ca="1">INDIRECT("'"&amp;$A$1&amp;"NRARSummary'!D5")</f>
        <v>3.0123240135652627E-2</v>
      </c>
      <c r="F28" s="3" cm="1">
        <f t="array" aca="1" ref="F28" ca="1">INDIRECT("'"&amp;$A$1&amp;"NRARSummary'!E5")</f>
        <v>2.2433274599554598</v>
      </c>
      <c r="G28" s="143" cm="1">
        <f t="array" aca="1" ref="G28" ca="1">INDIRECT("'"&amp;$A$1&amp;"NRARSummary'!F5")</f>
        <v>4.9500088207539678E-2</v>
      </c>
      <c r="H28" s="4">
        <f t="shared" ca="1" si="1"/>
        <v>7.0627449125630459E-2</v>
      </c>
      <c r="I28" s="4">
        <f t="shared" ca="1" si="1"/>
        <v>2.3518655509358704E-2</v>
      </c>
      <c r="J28" s="4">
        <f t="shared" ca="1" si="1"/>
        <v>1.8852827794199917E-3</v>
      </c>
      <c r="K28" s="4">
        <f t="shared" ca="1" si="1"/>
        <v>0.1241950257365869</v>
      </c>
      <c r="L28" s="145">
        <f t="shared" ca="1" si="1"/>
        <v>0.16190858160001617</v>
      </c>
      <c r="M28" s="163">
        <f ca="1">C28/SectorSum2019!C28-1</f>
        <v>6.9895047979039004E-2</v>
      </c>
      <c r="N28" s="163">
        <f ca="1">D28/SectorSum2019!D28-1</f>
        <v>6.9895047979039004E-2</v>
      </c>
      <c r="O28" s="163">
        <f ca="1">E28/SectorSum2019!E28-1</f>
        <v>6.9895047979039227E-2</v>
      </c>
      <c r="P28" s="163">
        <f ca="1">F28/SectorSum2019!F28-1</f>
        <v>6.9895047979039004E-2</v>
      </c>
      <c r="Q28" s="158">
        <f ca="1">G28/SectorSum2019!G28-1</f>
        <v>6.9895047979039227E-2</v>
      </c>
    </row>
    <row r="29" spans="1:58" x14ac:dyDescent="0.25">
      <c r="A29" s="167"/>
      <c r="B29" s="141" t="s">
        <v>15</v>
      </c>
      <c r="C29" s="3">
        <f ca="1">OFFSET(OnRoad!$B$6,MATCH($A$1,OnRoad!$A$7:$A$17,0),MATCH(C21,OnRoad!$C$6:$G$6,0))</f>
        <v>0.16280045236631813</v>
      </c>
      <c r="D29" s="3">
        <f ca="1">OFFSET(OnRoad!$B$6,MATCH($A$1,OnRoad!$A$7:$A$17,0),MATCH(D21,OnRoad!$C$6:$G$6,0))</f>
        <v>1.2491944125433669</v>
      </c>
      <c r="E29" s="3">
        <f ca="1">OFFSET(OnRoad!$B$6,MATCH($A$1,OnRoad!$A$7:$A$17,0),MATCH(E21,OnRoad!$C$6:$G$6,0))</f>
        <v>6.8440027384484908E-3</v>
      </c>
      <c r="F29" s="3">
        <f ca="1">OFFSET(OnRoad!$B$6,MATCH($A$1,OnRoad!$A$7:$A$17,0),MATCH(F21,OnRoad!$C$6:$G$6,0))</f>
        <v>3.5474968351114198</v>
      </c>
      <c r="G29" s="143">
        <f ca="1">OFFSET(OnRoad!$B$6,MATCH($A$1,OnRoad!$A$7:$A$17,0),MATCH(G21,OnRoad!$C$6:$G$6,0))</f>
        <v>4.2878566709918041E-2</v>
      </c>
      <c r="H29" s="4">
        <f t="shared" ca="1" si="1"/>
        <v>4.7949720305746846E-2</v>
      </c>
      <c r="I29" s="4">
        <f t="shared" ca="1" si="1"/>
        <v>7.6914483863930891E-2</v>
      </c>
      <c r="J29" s="4">
        <f t="shared" ca="1" si="1"/>
        <v>4.2833640893194909E-4</v>
      </c>
      <c r="K29" s="4">
        <f t="shared" ca="1" si="1"/>
        <v>0.19639641051149567</v>
      </c>
      <c r="L29" s="145">
        <f t="shared" ca="1" si="1"/>
        <v>0.14025041506869595</v>
      </c>
      <c r="M29" s="163">
        <f ca="1">C29/SectorSum2019!C29-1</f>
        <v>-0.24470286094242066</v>
      </c>
      <c r="N29" s="163">
        <f ca="1">D29/SectorSum2019!D29-1</f>
        <v>-0.26377974454946862</v>
      </c>
      <c r="O29" s="163">
        <f ca="1">E29/SectorSum2019!E29-1</f>
        <v>-2.5680250558977047E-3</v>
      </c>
      <c r="P29" s="163">
        <f ca="1">F29/SectorSum2019!F29-1</f>
        <v>-7.3601082232825799E-2</v>
      </c>
      <c r="Q29" s="158">
        <f ca="1">G29/SectorSum2019!G29-1</f>
        <v>8.2842082979895704E-2</v>
      </c>
    </row>
    <row r="30" spans="1:58" x14ac:dyDescent="0.25">
      <c r="B30" s="147" t="s">
        <v>16</v>
      </c>
      <c r="C30" s="148" cm="1">
        <f t="array" aca="1" ref="C30" ca="1">INDIRECT("'"&amp;$A$1&amp;"NRARSummary'!B9")</f>
        <v>0.23581445443578641</v>
      </c>
      <c r="D30" s="148" cm="1">
        <f t="array" aca="1" ref="D30" ca="1">INDIRECT("'"&amp;$A$1&amp;"NRARSummary'!C9")</f>
        <v>1.0182614570907491</v>
      </c>
      <c r="E30" s="148" cm="1">
        <f t="array" aca="1" ref="E30" ca="1">INDIRECT("'"&amp;$A$1&amp;"NRARSummary'!D9")</f>
        <v>5.5859451031974858</v>
      </c>
      <c r="F30" s="148" cm="1">
        <f t="array" aca="1" ref="F30" ca="1">INDIRECT("'"&amp;$A$1&amp;"NRARSummary'!E9")</f>
        <v>3.6352447106525054</v>
      </c>
      <c r="G30" s="149" cm="1">
        <f t="array" aca="1" ref="G30" ca="1">INDIRECT("'"&amp;$A$1&amp;"NRARSummary'!F9")</f>
        <v>2.2416453323973557E-3</v>
      </c>
      <c r="H30" s="150">
        <f t="shared" ca="1" si="1"/>
        <v>6.945458056102799E-2</v>
      </c>
      <c r="I30" s="150">
        <f t="shared" ca="1" si="1"/>
        <v>6.2695648991265618E-2</v>
      </c>
      <c r="J30" s="150">
        <f t="shared" ca="1" si="1"/>
        <v>0.34960004509539755</v>
      </c>
      <c r="K30" s="150">
        <f t="shared" ca="1" si="1"/>
        <v>0.20125430569429362</v>
      </c>
      <c r="L30" s="151">
        <f t="shared" ca="1" si="1"/>
        <v>7.3321407973465117E-3</v>
      </c>
      <c r="M30" s="159">
        <f ca="1">C30/SectorSum2019!C30-1</f>
        <v>-4.7734019615734868E-2</v>
      </c>
      <c r="N30" s="159">
        <f ca="1">D30/SectorSum2019!D30-1</f>
        <v>8.3834826830570641E-2</v>
      </c>
      <c r="O30" s="159">
        <f ca="1">E30/SectorSum2019!E30-1</f>
        <v>3.2774912046278581E-2</v>
      </c>
      <c r="P30" s="159">
        <f ca="1">F30/SectorSum2019!F30-1</f>
        <v>-0.12563021365561944</v>
      </c>
      <c r="Q30" s="160">
        <f ca="1">G30/SectorSum2019!G30-1</f>
        <v>4.0819468763958255E-2</v>
      </c>
    </row>
    <row r="31" spans="1:58" x14ac:dyDescent="0.25">
      <c r="B31" s="152" t="s">
        <v>17</v>
      </c>
      <c r="C31" s="153">
        <f ca="1">SUM(C22:C23,C28:C30)</f>
        <v>3.3952325754610553</v>
      </c>
      <c r="D31" s="153">
        <f ca="1">SUM(D22:D23,D28:D30)</f>
        <v>16.241341679589397</v>
      </c>
      <c r="E31" s="153">
        <f ca="1">SUM(E22:E23,E28:E30)</f>
        <v>15.978101781060165</v>
      </c>
      <c r="F31" s="153">
        <f ca="1">SUM(F22:F23,F28:F30)</f>
        <v>18.062941302604784</v>
      </c>
      <c r="G31" s="154">
        <f ca="1">SUM(G22:G23,G28:G30)</f>
        <v>0.30572862610720775</v>
      </c>
      <c r="H31" s="155">
        <f t="shared" ca="1" si="1"/>
        <v>1</v>
      </c>
      <c r="I31" s="155">
        <f t="shared" ca="1" si="1"/>
        <v>1</v>
      </c>
      <c r="J31" s="155">
        <f t="shared" ca="1" si="1"/>
        <v>1</v>
      </c>
      <c r="K31" s="155">
        <f t="shared" ca="1" si="1"/>
        <v>1</v>
      </c>
      <c r="L31" s="156">
        <f t="shared" ca="1" si="1"/>
        <v>1</v>
      </c>
      <c r="M31" s="161">
        <f ca="1">C31/SectorSum2019!C31-1</f>
        <v>7.2712830336451928E-2</v>
      </c>
      <c r="N31" s="161">
        <f ca="1">D31/SectorSum2019!D31-1</f>
        <v>3.2465253278956441E-2</v>
      </c>
      <c r="O31" s="161">
        <f ca="1">E31/SectorSum2019!E31-1</f>
        <v>6.4535421658203251E-2</v>
      </c>
      <c r="P31" s="161">
        <f ca="1">F31/SectorSum2019!F31-1</f>
        <v>-3.4990968216779161E-2</v>
      </c>
      <c r="Q31" s="162">
        <f ca="1">G31/SectorSum2019!G31-1</f>
        <v>4.3223718201049088E-2</v>
      </c>
    </row>
  </sheetData>
  <mergeCells count="11">
    <mergeCell ref="C1:G1"/>
    <mergeCell ref="H1:L1"/>
    <mergeCell ref="M1:Q1"/>
    <mergeCell ref="C20:G20"/>
    <mergeCell ref="H20:L20"/>
    <mergeCell ref="M20:Q20"/>
    <mergeCell ref="S20:Z20"/>
    <mergeCell ref="AA20:AH20"/>
    <mergeCell ref="AI20:AP20"/>
    <mergeCell ref="AQ20:AX20"/>
    <mergeCell ref="AY20:BF2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53D56-48A1-4BDC-9365-AFB5D132F380}">
  <dimension ref="A1:AQ190"/>
  <sheetViews>
    <sheetView workbookViewId="0">
      <selection sqref="A1:AE1"/>
    </sheetView>
  </sheetViews>
  <sheetFormatPr defaultRowHeight="15" x14ac:dyDescent="0.25"/>
  <cols>
    <col min="1" max="1" width="10.85546875" customWidth="1"/>
    <col min="3" max="3" width="40.7109375" customWidth="1"/>
  </cols>
  <sheetData>
    <row r="1" spans="1:43" ht="18.75" x14ac:dyDescent="0.3">
      <c r="A1" s="226" t="s">
        <v>302</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9"/>
      <c r="AG1" s="9"/>
    </row>
    <row r="3" spans="1:43" x14ac:dyDescent="0.25">
      <c r="A3" s="7" t="s">
        <v>20</v>
      </c>
      <c r="D3" s="223" t="s">
        <v>21</v>
      </c>
      <c r="E3" s="223"/>
      <c r="F3" s="223"/>
      <c r="G3" s="223"/>
      <c r="H3" s="223"/>
      <c r="I3" s="223"/>
      <c r="J3" s="223"/>
      <c r="K3" s="225" t="s">
        <v>22</v>
      </c>
      <c r="L3" s="225"/>
      <c r="M3" s="225"/>
      <c r="N3" s="225"/>
      <c r="O3" s="225"/>
      <c r="P3" s="225"/>
      <c r="Q3" s="225"/>
      <c r="R3" s="225" t="s">
        <v>23</v>
      </c>
      <c r="S3" s="225"/>
      <c r="T3" s="225"/>
      <c r="U3" s="225"/>
      <c r="V3" s="225"/>
      <c r="W3" s="225"/>
      <c r="X3" s="225"/>
      <c r="Y3" s="223" t="s">
        <v>24</v>
      </c>
      <c r="Z3" s="223"/>
      <c r="AA3" s="223"/>
      <c r="AB3" s="223"/>
      <c r="AC3" s="223"/>
      <c r="AD3" s="223"/>
      <c r="AE3" s="223"/>
      <c r="AF3" s="7"/>
      <c r="AG3" s="7"/>
      <c r="AI3" s="223" t="s">
        <v>25</v>
      </c>
      <c r="AJ3" s="223"/>
      <c r="AK3" s="223"/>
      <c r="AL3" s="223"/>
      <c r="AM3" s="223"/>
      <c r="AN3" s="223"/>
      <c r="AO3" s="223"/>
      <c r="AP3" s="223"/>
      <c r="AQ3" s="10" t="s">
        <v>26</v>
      </c>
    </row>
    <row r="4" spans="1:43" ht="15.75" thickBot="1" x14ac:dyDescent="0.3">
      <c r="A4" s="11" t="s">
        <v>27</v>
      </c>
      <c r="B4" s="12"/>
      <c r="C4" s="12"/>
      <c r="D4" s="34" t="s">
        <v>28</v>
      </c>
      <c r="E4" s="13" t="s">
        <v>29</v>
      </c>
      <c r="F4" s="14" t="s">
        <v>5</v>
      </c>
      <c r="G4" s="13" t="s">
        <v>4</v>
      </c>
      <c r="H4" s="13" t="s">
        <v>6</v>
      </c>
      <c r="I4" s="13" t="s">
        <v>30</v>
      </c>
      <c r="J4" s="13" t="s">
        <v>7</v>
      </c>
      <c r="K4" s="11" t="s">
        <v>28</v>
      </c>
      <c r="L4" s="11" t="s">
        <v>29</v>
      </c>
      <c r="M4" s="11" t="s">
        <v>5</v>
      </c>
      <c r="N4" s="11" t="s">
        <v>4</v>
      </c>
      <c r="O4" s="11" t="s">
        <v>6</v>
      </c>
      <c r="P4" s="11" t="s">
        <v>30</v>
      </c>
      <c r="Q4" s="11" t="s">
        <v>7</v>
      </c>
      <c r="R4" s="11" t="s">
        <v>28</v>
      </c>
      <c r="S4" s="11" t="s">
        <v>29</v>
      </c>
      <c r="T4" s="11" t="s">
        <v>5</v>
      </c>
      <c r="U4" s="11" t="s">
        <v>4</v>
      </c>
      <c r="V4" s="11" t="s">
        <v>6</v>
      </c>
      <c r="W4" s="11" t="s">
        <v>30</v>
      </c>
      <c r="X4" s="11" t="s">
        <v>7</v>
      </c>
      <c r="Y4" s="34" t="s">
        <v>28</v>
      </c>
      <c r="Z4" s="13" t="s">
        <v>29</v>
      </c>
      <c r="AA4" s="14" t="s">
        <v>5</v>
      </c>
      <c r="AB4" s="13" t="s">
        <v>4</v>
      </c>
      <c r="AC4" s="13" t="s">
        <v>6</v>
      </c>
      <c r="AD4" s="13" t="s">
        <v>30</v>
      </c>
      <c r="AE4" s="13" t="s">
        <v>7</v>
      </c>
      <c r="AF4" s="7"/>
      <c r="AG4" s="7"/>
      <c r="AI4" s="11" t="s">
        <v>27</v>
      </c>
      <c r="AJ4" s="11" t="s">
        <v>28</v>
      </c>
      <c r="AK4" s="11" t="s">
        <v>29</v>
      </c>
      <c r="AL4" s="11" t="s">
        <v>5</v>
      </c>
      <c r="AM4" s="11" t="s">
        <v>4</v>
      </c>
      <c r="AN4" s="11" t="s">
        <v>6</v>
      </c>
      <c r="AO4" s="11" t="s">
        <v>30</v>
      </c>
      <c r="AP4" s="11" t="s">
        <v>7</v>
      </c>
      <c r="AQ4" s="13" t="s">
        <v>31</v>
      </c>
    </row>
    <row r="5" spans="1:43" ht="15.75" thickTop="1" x14ac:dyDescent="0.25">
      <c r="A5" s="7">
        <v>2008</v>
      </c>
      <c r="B5" s="225" t="s">
        <v>32</v>
      </c>
      <c r="C5" s="225"/>
      <c r="D5" s="39">
        <v>1.5278069774259668</v>
      </c>
      <c r="E5" s="6">
        <v>1.5659488874795384</v>
      </c>
      <c r="F5" s="15">
        <v>8.3237427850132946</v>
      </c>
      <c r="G5" s="6">
        <v>11.482188668990503</v>
      </c>
      <c r="H5" s="6">
        <v>6.7099223449736595E-2</v>
      </c>
      <c r="I5" s="6">
        <v>0</v>
      </c>
      <c r="J5" s="6">
        <v>5.5059384382639485E-2</v>
      </c>
      <c r="K5" s="5">
        <v>2.0156346654844413</v>
      </c>
      <c r="L5" s="5">
        <v>2.0559067366357571</v>
      </c>
      <c r="M5" s="5">
        <v>10.172678402416546</v>
      </c>
      <c r="N5" s="5">
        <v>13.245729960709729</v>
      </c>
      <c r="O5" s="5">
        <v>6.7949641528933527E-2</v>
      </c>
      <c r="P5" s="5">
        <v>0</v>
      </c>
      <c r="Q5" s="5">
        <v>6.772242824675033E-2</v>
      </c>
      <c r="R5" s="5">
        <v>0.94851159785652872</v>
      </c>
      <c r="S5" s="5">
        <v>0.98412394160652861</v>
      </c>
      <c r="T5" s="5">
        <v>6.1281317393469328</v>
      </c>
      <c r="U5" s="5">
        <v>9.3879833850739232</v>
      </c>
      <c r="V5" s="5">
        <v>6.6089351980690214E-2</v>
      </c>
      <c r="W5" s="5">
        <v>0</v>
      </c>
      <c r="X5" s="5">
        <v>4.0022019794007865E-2</v>
      </c>
      <c r="Y5" s="38">
        <v>338.16072351868854</v>
      </c>
      <c r="Z5" s="16">
        <v>338.16166061308854</v>
      </c>
      <c r="AA5" s="17">
        <v>2392.7850748512328</v>
      </c>
      <c r="AB5" s="18">
        <v>3906.0147439955745</v>
      </c>
      <c r="AC5" s="18">
        <v>75.059882084299943</v>
      </c>
      <c r="AD5" s="19" t="s">
        <v>33</v>
      </c>
      <c r="AE5" s="18">
        <v>13.337760680376361</v>
      </c>
      <c r="AF5" s="5"/>
      <c r="AG5" s="5"/>
      <c r="AI5" s="20"/>
      <c r="AJ5" s="20"/>
      <c r="AK5" s="20"/>
      <c r="AL5" s="20"/>
      <c r="AM5" s="20"/>
      <c r="AN5" s="20"/>
      <c r="AO5" s="20"/>
      <c r="AP5" s="20"/>
      <c r="AQ5" s="20"/>
    </row>
    <row r="6" spans="1:43" x14ac:dyDescent="0.25">
      <c r="A6" s="7">
        <v>2013</v>
      </c>
      <c r="B6" s="225" t="s">
        <v>32</v>
      </c>
      <c r="C6" s="225"/>
      <c r="D6" s="39">
        <v>1.1988107309370015</v>
      </c>
      <c r="E6" s="6">
        <v>1.3047515993725725</v>
      </c>
      <c r="F6" s="15">
        <v>7.3435577778372512</v>
      </c>
      <c r="G6" s="6">
        <v>10.574675783431552</v>
      </c>
      <c r="H6" s="6">
        <v>0.15100377121705053</v>
      </c>
      <c r="I6" s="6">
        <v>0</v>
      </c>
      <c r="J6" s="6">
        <v>5.1361584780917416E-2</v>
      </c>
      <c r="K6" s="5">
        <v>1.4121225828700297</v>
      </c>
      <c r="L6" s="5">
        <v>1.5204754981346322</v>
      </c>
      <c r="M6" s="5">
        <v>8.5280438821676583</v>
      </c>
      <c r="N6" s="5">
        <v>11.639945809271442</v>
      </c>
      <c r="O6" s="5">
        <v>0.15413128949213026</v>
      </c>
      <c r="P6" s="5">
        <v>0</v>
      </c>
      <c r="Q6" s="5">
        <v>6.2194878031165919E-2</v>
      </c>
      <c r="R6" s="5">
        <v>0.94550290676653059</v>
      </c>
      <c r="S6" s="5">
        <v>1.0485794695926267</v>
      </c>
      <c r="T6" s="5">
        <v>5.9369805289448898</v>
      </c>
      <c r="U6" s="5">
        <v>9.3096676277466841</v>
      </c>
      <c r="V6" s="5">
        <v>0.14728984326539332</v>
      </c>
      <c r="W6" s="5">
        <v>0</v>
      </c>
      <c r="X6" s="5">
        <v>3.8497049046247317E-2</v>
      </c>
      <c r="Y6" s="38">
        <v>277.46266454615778</v>
      </c>
      <c r="Z6" s="16">
        <v>294.94641254743476</v>
      </c>
      <c r="AA6" s="17">
        <v>2118.6814511127291</v>
      </c>
      <c r="AB6" s="18">
        <v>3595.6476408875378</v>
      </c>
      <c r="AC6" s="18">
        <v>199.63676482525764</v>
      </c>
      <c r="AD6" s="19" t="s">
        <v>33</v>
      </c>
      <c r="AE6" s="18">
        <v>11.389765217169053</v>
      </c>
      <c r="AF6" s="5"/>
      <c r="AG6" s="5"/>
      <c r="AI6" s="20"/>
      <c r="AJ6" s="20"/>
      <c r="AK6" s="20"/>
      <c r="AL6" s="20"/>
      <c r="AM6" s="20"/>
      <c r="AN6" s="20"/>
      <c r="AO6" s="20"/>
      <c r="AP6" s="20"/>
      <c r="AQ6" s="20"/>
    </row>
    <row r="7" spans="1:43" x14ac:dyDescent="0.25">
      <c r="A7" s="7">
        <v>2019</v>
      </c>
      <c r="B7" s="225" t="s">
        <v>32</v>
      </c>
      <c r="C7" s="225"/>
      <c r="D7" s="39">
        <v>0.5868864424193051</v>
      </c>
      <c r="E7" s="6">
        <v>0.68479371706509462</v>
      </c>
      <c r="F7" s="15">
        <v>5.8668279022743048</v>
      </c>
      <c r="G7" s="6">
        <v>10.355866759878028</v>
      </c>
      <c r="H7" s="6">
        <v>3.2667369532411478E-2</v>
      </c>
      <c r="I7" s="6">
        <v>0</v>
      </c>
      <c r="J7" s="6">
        <v>7.3144326516053029E-2</v>
      </c>
      <c r="K7" s="5">
        <v>0.70899123087107685</v>
      </c>
      <c r="L7" s="5">
        <v>0.80901041853517852</v>
      </c>
      <c r="M7" s="5">
        <v>7.3514792084379881</v>
      </c>
      <c r="N7" s="5">
        <v>12.868180002795594</v>
      </c>
      <c r="O7" s="5">
        <v>3.4825926817907304E-2</v>
      </c>
      <c r="P7" s="5">
        <v>0</v>
      </c>
      <c r="Q7" s="5">
        <v>8.9653468806108708E-2</v>
      </c>
      <c r="R7" s="5">
        <v>0.44188700613282594</v>
      </c>
      <c r="S7" s="5">
        <v>0.5372863840693699</v>
      </c>
      <c r="T7" s="5">
        <v>4.1038044762049299</v>
      </c>
      <c r="U7" s="5">
        <v>7.3724947839134236</v>
      </c>
      <c r="V7" s="5">
        <v>3.0104082755885192E-2</v>
      </c>
      <c r="W7" s="5">
        <v>0</v>
      </c>
      <c r="X7" s="5">
        <v>5.3539720046611887E-2</v>
      </c>
      <c r="Y7" s="38">
        <v>161.63252625203847</v>
      </c>
      <c r="Z7" s="16">
        <v>186.71760193121258</v>
      </c>
      <c r="AA7" s="17">
        <v>1685.9834136742036</v>
      </c>
      <c r="AB7" s="18">
        <v>2790.6149296415524</v>
      </c>
      <c r="AC7" s="18">
        <v>39.068180332965881</v>
      </c>
      <c r="AD7" s="19" t="s">
        <v>33</v>
      </c>
      <c r="AE7" s="18">
        <v>16.374631147291762</v>
      </c>
      <c r="AF7" s="5"/>
      <c r="AG7" s="5"/>
      <c r="AI7" s="7">
        <v>2019</v>
      </c>
      <c r="AJ7" s="21">
        <v>1</v>
      </c>
      <c r="AK7" s="21">
        <v>1</v>
      </c>
      <c r="AL7" s="21">
        <v>1</v>
      </c>
      <c r="AM7" s="21">
        <v>1</v>
      </c>
      <c r="AN7" s="21">
        <v>1</v>
      </c>
      <c r="AO7" s="21" t="s">
        <v>33</v>
      </c>
      <c r="AP7" s="21">
        <v>1</v>
      </c>
      <c r="AQ7" s="22">
        <v>1</v>
      </c>
    </row>
    <row r="8" spans="1:43" x14ac:dyDescent="0.25">
      <c r="A8" s="28">
        <v>2020</v>
      </c>
      <c r="B8" s="227" t="s">
        <v>32</v>
      </c>
      <c r="C8" s="227"/>
      <c r="D8" s="94">
        <v>0.60163635739085963</v>
      </c>
      <c r="E8" s="30">
        <v>0.70200428519157465</v>
      </c>
      <c r="F8" s="95">
        <v>6.0142758691323719</v>
      </c>
      <c r="G8" s="30">
        <v>10.616135430483679</v>
      </c>
      <c r="H8" s="30">
        <v>3.3488381721688068E-2</v>
      </c>
      <c r="I8" s="30">
        <v>0</v>
      </c>
      <c r="J8" s="30">
        <v>7.4982625237550213E-2</v>
      </c>
      <c r="K8" s="31">
        <v>0.7268099426610739</v>
      </c>
      <c r="L8" s="31">
        <v>0.82934286110329325</v>
      </c>
      <c r="M8" s="31">
        <v>7.5362401526380633</v>
      </c>
      <c r="N8" s="31">
        <v>13.191589349410368</v>
      </c>
      <c r="O8" s="31">
        <v>3.5701188916742288E-2</v>
      </c>
      <c r="P8" s="31">
        <v>0</v>
      </c>
      <c r="Q8" s="31">
        <v>9.1906683305908468E-2</v>
      </c>
      <c r="R8" s="31">
        <v>0.45299272488248032</v>
      </c>
      <c r="S8" s="31">
        <v>0.55078972629640877</v>
      </c>
      <c r="T8" s="31">
        <v>4.206943282469366</v>
      </c>
      <c r="U8" s="31">
        <v>7.5577839017582367</v>
      </c>
      <c r="V8" s="31">
        <v>3.0860673177561186E-2</v>
      </c>
      <c r="W8" s="31">
        <v>0</v>
      </c>
      <c r="X8" s="31">
        <v>5.4885306281374766E-2</v>
      </c>
      <c r="Y8" s="96">
        <v>170.53461892311134</v>
      </c>
      <c r="Z8" s="97">
        <v>197.00128328084557</v>
      </c>
      <c r="AA8" s="98">
        <v>1778.840841188613</v>
      </c>
      <c r="AB8" s="99">
        <v>2944.311176857359</v>
      </c>
      <c r="AC8" s="99">
        <v>41.219904183844335</v>
      </c>
      <c r="AD8" s="32" t="s">
        <v>33</v>
      </c>
      <c r="AE8" s="99">
        <v>17.276482323586109</v>
      </c>
      <c r="AF8" s="5"/>
      <c r="AG8" s="5"/>
      <c r="AI8" s="7">
        <v>2020</v>
      </c>
      <c r="AJ8" s="21">
        <v>1.0251324854442903</v>
      </c>
      <c r="AK8" s="21">
        <v>1.0251324854442905</v>
      </c>
      <c r="AL8" s="21">
        <v>1.0251324854442907</v>
      </c>
      <c r="AM8" s="21">
        <v>1.0251324854442909</v>
      </c>
      <c r="AN8" s="21">
        <v>1.0251324854442905</v>
      </c>
      <c r="AO8" s="21" t="s">
        <v>33</v>
      </c>
      <c r="AP8" s="21">
        <v>1.0251324854442911</v>
      </c>
      <c r="AQ8" s="23">
        <v>1.0251324854442905</v>
      </c>
    </row>
    <row r="9" spans="1:43" x14ac:dyDescent="0.25">
      <c r="A9" s="7">
        <v>2021</v>
      </c>
      <c r="B9" s="225" t="s">
        <v>32</v>
      </c>
      <c r="C9" s="225"/>
      <c r="D9" s="39">
        <v>0.61920987148992535</v>
      </c>
      <c r="E9" s="6">
        <v>0.72250949910005535</v>
      </c>
      <c r="F9" s="15">
        <v>6.189950029251662</v>
      </c>
      <c r="G9" s="6">
        <v>10.926227736863346</v>
      </c>
      <c r="H9" s="6">
        <v>3.4466561549272273E-2</v>
      </c>
      <c r="I9" s="6">
        <v>0</v>
      </c>
      <c r="J9" s="6">
        <v>7.7172832337918204E-2</v>
      </c>
      <c r="K9" s="5">
        <v>0.74803971811893843</v>
      </c>
      <c r="L9" s="5">
        <v>0.85356757472559475</v>
      </c>
      <c r="M9" s="5">
        <v>7.7563701712936499</v>
      </c>
      <c r="N9" s="5">
        <v>13.576909449456013</v>
      </c>
      <c r="O9" s="5">
        <v>3.6744003798313996E-2</v>
      </c>
      <c r="P9" s="5">
        <v>0</v>
      </c>
      <c r="Q9" s="5">
        <v>9.4591234156324228E-2</v>
      </c>
      <c r="R9" s="5">
        <v>0.46622442861797231</v>
      </c>
      <c r="S9" s="5">
        <v>0.56687803429472716</v>
      </c>
      <c r="T9" s="5">
        <v>4.3298261105768017</v>
      </c>
      <c r="U9" s="5">
        <v>7.7785432031595532</v>
      </c>
      <c r="V9" s="5">
        <v>3.1762098878535233E-2</v>
      </c>
      <c r="W9" s="5">
        <v>0</v>
      </c>
      <c r="X9" s="5">
        <v>5.6488480178561062E-2</v>
      </c>
      <c r="Y9" s="38">
        <v>172.65970860213287</v>
      </c>
      <c r="Z9" s="16">
        <v>199.45618303373902</v>
      </c>
      <c r="AA9" s="17">
        <v>1801.0075797435352</v>
      </c>
      <c r="AB9" s="18">
        <v>2981.0012362322736</v>
      </c>
      <c r="AC9" s="18">
        <v>41.733559378927268</v>
      </c>
      <c r="AD9" s="19" t="s">
        <v>33</v>
      </c>
      <c r="AE9" s="18">
        <v>17.491770424661961</v>
      </c>
      <c r="AF9" s="5"/>
      <c r="AG9" s="5"/>
      <c r="AI9" s="7">
        <v>2021</v>
      </c>
      <c r="AJ9" s="21">
        <v>1.0550761216043334</v>
      </c>
      <c r="AK9" s="21">
        <v>1.0550761216043336</v>
      </c>
      <c r="AL9" s="21">
        <v>1.0550761216043336</v>
      </c>
      <c r="AM9" s="21">
        <v>1.0550761216043336</v>
      </c>
      <c r="AN9" s="21">
        <v>1.0550761216043336</v>
      </c>
      <c r="AO9" s="21" t="s">
        <v>33</v>
      </c>
      <c r="AP9" s="21">
        <v>1.055076121604333</v>
      </c>
      <c r="AQ9" s="23">
        <v>1.0550761216043334</v>
      </c>
    </row>
    <row r="10" spans="1:43" x14ac:dyDescent="0.25">
      <c r="A10" s="7">
        <v>2022</v>
      </c>
      <c r="B10" s="225" t="s">
        <v>32</v>
      </c>
      <c r="C10" s="225"/>
      <c r="D10" s="39">
        <v>0.6269260555431162</v>
      </c>
      <c r="E10" s="6">
        <v>0.73151293482019375</v>
      </c>
      <c r="F10" s="15">
        <v>6.2670850942835452</v>
      </c>
      <c r="G10" s="6">
        <v>11.062383163490923</v>
      </c>
      <c r="H10" s="6">
        <v>3.4896061053139832E-2</v>
      </c>
      <c r="I10" s="6">
        <v>0</v>
      </c>
      <c r="J10" s="6">
        <v>7.8134509154847195E-2</v>
      </c>
      <c r="K10" s="5">
        <v>0.7573612945502286</v>
      </c>
      <c r="L10" s="5">
        <v>0.86420416954048473</v>
      </c>
      <c r="M10" s="5">
        <v>7.8530249285609592</v>
      </c>
      <c r="N10" s="5">
        <v>13.74609591919597</v>
      </c>
      <c r="O10" s="5">
        <v>3.7201883281851186E-2</v>
      </c>
      <c r="P10" s="5">
        <v>0</v>
      </c>
      <c r="Q10" s="5">
        <v>9.5769967581249255E-2</v>
      </c>
      <c r="R10" s="5">
        <v>0.4720342092221701</v>
      </c>
      <c r="S10" s="5">
        <v>0.57394209358984827</v>
      </c>
      <c r="T10" s="5">
        <v>4.3837815410791166</v>
      </c>
      <c r="U10" s="5">
        <v>7.8754742660911843</v>
      </c>
      <c r="V10" s="5">
        <v>3.2157897156545101E-2</v>
      </c>
      <c r="W10" s="5">
        <v>0</v>
      </c>
      <c r="X10" s="5">
        <v>5.7192402273494751E-2</v>
      </c>
      <c r="Y10" s="38">
        <v>173.82671452488148</v>
      </c>
      <c r="Z10" s="16">
        <v>200.80430616457079</v>
      </c>
      <c r="AA10" s="17">
        <v>1813.1805790465692</v>
      </c>
      <c r="AB10" s="18">
        <v>3001.1498054993535</v>
      </c>
      <c r="AC10" s="18">
        <v>42.015636253531625</v>
      </c>
      <c r="AD10" s="19" t="s">
        <v>33</v>
      </c>
      <c r="AE10" s="18">
        <v>17.609997194822785</v>
      </c>
      <c r="AF10" s="5"/>
      <c r="AG10" s="5"/>
      <c r="AI10" s="7">
        <v>2022</v>
      </c>
      <c r="AJ10" s="21">
        <v>1.0682237827112806</v>
      </c>
      <c r="AK10" s="21">
        <v>1.0682237827112806</v>
      </c>
      <c r="AL10" s="21">
        <v>1.0682237827112806</v>
      </c>
      <c r="AM10" s="21">
        <v>1.0682237827112808</v>
      </c>
      <c r="AN10" s="21">
        <v>1.0682237827112808</v>
      </c>
      <c r="AO10" s="21" t="s">
        <v>33</v>
      </c>
      <c r="AP10" s="21">
        <v>1.0682237827112806</v>
      </c>
      <c r="AQ10" s="23">
        <v>1.0682237827112806</v>
      </c>
    </row>
    <row r="11" spans="1:43" x14ac:dyDescent="0.25">
      <c r="A11" s="7">
        <v>2023</v>
      </c>
      <c r="B11" s="225" t="s">
        <v>32</v>
      </c>
      <c r="C11" s="225"/>
      <c r="D11" s="39">
        <v>0.63116344494836629</v>
      </c>
      <c r="E11" s="6">
        <v>0.73645722630784793</v>
      </c>
      <c r="F11" s="15">
        <v>6.3094442844073502</v>
      </c>
      <c r="G11" s="6">
        <v>11.137153744166794</v>
      </c>
      <c r="H11" s="6">
        <v>3.5131923318049901E-2</v>
      </c>
      <c r="I11" s="6">
        <v>0</v>
      </c>
      <c r="J11" s="6">
        <v>7.8662619828107308E-2</v>
      </c>
      <c r="K11" s="5">
        <v>0.76248029494445113</v>
      </c>
      <c r="L11" s="5">
        <v>0.8700453202784475</v>
      </c>
      <c r="M11" s="5">
        <v>7.906103476401217</v>
      </c>
      <c r="N11" s="5">
        <v>13.839005698102971</v>
      </c>
      <c r="O11" s="5">
        <v>3.7453330585213454E-2</v>
      </c>
      <c r="P11" s="5">
        <v>0</v>
      </c>
      <c r="Q11" s="5">
        <v>9.6417276211002059E-2</v>
      </c>
      <c r="R11" s="5">
        <v>0.47522468557801545</v>
      </c>
      <c r="S11" s="5">
        <v>0.57782136471776113</v>
      </c>
      <c r="T11" s="5">
        <v>4.4134114939146345</v>
      </c>
      <c r="U11" s="5">
        <v>7.928704548867584</v>
      </c>
      <c r="V11" s="5">
        <v>3.237525218829318E-2</v>
      </c>
      <c r="W11" s="5">
        <v>0</v>
      </c>
      <c r="X11" s="5">
        <v>5.7578965373419756E-2</v>
      </c>
      <c r="Y11" s="38">
        <v>175.03525926910254</v>
      </c>
      <c r="Z11" s="16">
        <v>202.20041486682328</v>
      </c>
      <c r="AA11" s="17">
        <v>1825.7868683912193</v>
      </c>
      <c r="AB11" s="18">
        <v>3022.0155500655442</v>
      </c>
      <c r="AC11" s="18">
        <v>42.307753472154204</v>
      </c>
      <c r="AD11" s="19" t="s">
        <v>33</v>
      </c>
      <c r="AE11" s="18">
        <v>17.732432170446192</v>
      </c>
      <c r="AF11" s="5"/>
      <c r="AG11" s="5"/>
      <c r="AI11" s="7">
        <v>2023</v>
      </c>
      <c r="AJ11" s="21">
        <v>1.0754439007766807</v>
      </c>
      <c r="AK11" s="21">
        <v>1.0754439007766807</v>
      </c>
      <c r="AL11" s="21">
        <v>1.0754439007766809</v>
      </c>
      <c r="AM11" s="21">
        <v>1.0754439007766809</v>
      </c>
      <c r="AN11" s="21">
        <v>1.0754439007766809</v>
      </c>
      <c r="AO11" s="21" t="s">
        <v>33</v>
      </c>
      <c r="AP11" s="21">
        <v>1.0754439007766812</v>
      </c>
      <c r="AQ11" s="23">
        <v>1.0754439007766807</v>
      </c>
    </row>
    <row r="12" spans="1:43" x14ac:dyDescent="0.25">
      <c r="A12" s="7">
        <v>2024</v>
      </c>
      <c r="B12" s="225" t="s">
        <v>32</v>
      </c>
      <c r="C12" s="225"/>
      <c r="D12" s="39">
        <v>0.63555166149046527</v>
      </c>
      <c r="E12" s="6">
        <v>0.74157750665503563</v>
      </c>
      <c r="F12" s="15">
        <v>6.353311222522807</v>
      </c>
      <c r="G12" s="6">
        <v>11.214585735330431</v>
      </c>
      <c r="H12" s="6">
        <v>3.5376180947819053E-2</v>
      </c>
      <c r="I12" s="6">
        <v>0</v>
      </c>
      <c r="J12" s="6">
        <v>7.9209528259413506E-2</v>
      </c>
      <c r="K12" s="5">
        <v>0.76778150284880531</v>
      </c>
      <c r="L12" s="5">
        <v>0.87609438300123221</v>
      </c>
      <c r="M12" s="5">
        <v>7.9610713208420929</v>
      </c>
      <c r="N12" s="5">
        <v>13.93522254053368</v>
      </c>
      <c r="O12" s="5">
        <v>3.7713727992804418E-2</v>
      </c>
      <c r="P12" s="5">
        <v>0</v>
      </c>
      <c r="Q12" s="5">
        <v>9.7087625373013242E-2</v>
      </c>
      <c r="R12" s="5">
        <v>0.47852872487743625</v>
      </c>
      <c r="S12" s="5">
        <v>0.58183871599392711</v>
      </c>
      <c r="T12" s="5">
        <v>4.4440961057686534</v>
      </c>
      <c r="U12" s="5">
        <v>7.9838295291515786</v>
      </c>
      <c r="V12" s="5">
        <v>3.2600343831898929E-2</v>
      </c>
      <c r="W12" s="5">
        <v>0</v>
      </c>
      <c r="X12" s="5">
        <v>5.7979287937013825E-2</v>
      </c>
      <c r="Y12" s="38">
        <v>176.27288118835565</v>
      </c>
      <c r="Z12" s="16">
        <v>203.63011346907183</v>
      </c>
      <c r="AA12" s="17">
        <v>1838.6964607650129</v>
      </c>
      <c r="AB12" s="18">
        <v>3043.3833173411349</v>
      </c>
      <c r="AC12" s="18">
        <v>42.606898931589861</v>
      </c>
      <c r="AD12" s="19" t="s">
        <v>33</v>
      </c>
      <c r="AE12" s="18">
        <v>17.857812889893541</v>
      </c>
      <c r="AF12" s="5"/>
      <c r="AG12" s="5"/>
      <c r="AI12" s="7">
        <v>2024</v>
      </c>
      <c r="AJ12" s="21">
        <v>1.0829210142775645</v>
      </c>
      <c r="AK12" s="21">
        <v>1.0829210142775643</v>
      </c>
      <c r="AL12" s="21">
        <v>1.0829210142775647</v>
      </c>
      <c r="AM12" s="21">
        <v>1.0829210142775647</v>
      </c>
      <c r="AN12" s="21">
        <v>1.0829210142775647</v>
      </c>
      <c r="AO12" s="21" t="s">
        <v>33</v>
      </c>
      <c r="AP12" s="21">
        <v>1.0829210142775645</v>
      </c>
      <c r="AQ12" s="23">
        <v>1.0829210142775645</v>
      </c>
    </row>
    <row r="13" spans="1:43" x14ac:dyDescent="0.25">
      <c r="A13" s="7">
        <v>2025</v>
      </c>
      <c r="B13" s="225" t="s">
        <v>32</v>
      </c>
      <c r="C13" s="225"/>
      <c r="D13" s="39">
        <v>0.64004545702836324</v>
      </c>
      <c r="E13" s="6">
        <v>0.74682097920390245</v>
      </c>
      <c r="F13" s="15">
        <v>6.398233584232468</v>
      </c>
      <c r="G13" s="6">
        <v>11.293880713835589</v>
      </c>
      <c r="H13" s="6">
        <v>3.5626315332989822E-2</v>
      </c>
      <c r="I13" s="6">
        <v>0</v>
      </c>
      <c r="J13" s="6">
        <v>7.9769595121352635E-2</v>
      </c>
      <c r="K13" s="5">
        <v>0.77321025601025772</v>
      </c>
      <c r="L13" s="5">
        <v>0.88228898411339962</v>
      </c>
      <c r="M13" s="5">
        <v>8.0173616729034656</v>
      </c>
      <c r="N13" s="5">
        <v>14.033754327431076</v>
      </c>
      <c r="O13" s="5">
        <v>3.7980390473355739E-2</v>
      </c>
      <c r="P13" s="5">
        <v>0</v>
      </c>
      <c r="Q13" s="5">
        <v>9.7774102907606089E-2</v>
      </c>
      <c r="R13" s="5">
        <v>0.4819122582373635</v>
      </c>
      <c r="S13" s="5">
        <v>0.58595272337387483</v>
      </c>
      <c r="T13" s="5">
        <v>4.4755189789356571</v>
      </c>
      <c r="U13" s="5">
        <v>8.0402807976909472</v>
      </c>
      <c r="V13" s="5">
        <v>3.2830851103805306E-2</v>
      </c>
      <c r="W13" s="5">
        <v>0</v>
      </c>
      <c r="X13" s="5">
        <v>5.8389242125176655E-2</v>
      </c>
      <c r="Y13" s="38">
        <v>177.46169701653145</v>
      </c>
      <c r="Z13" s="16">
        <v>205.00343136319867</v>
      </c>
      <c r="AA13" s="17">
        <v>1851.0969584537784</v>
      </c>
      <c r="AB13" s="18">
        <v>3063.9084385876372</v>
      </c>
      <c r="AC13" s="18">
        <v>42.894247476061864</v>
      </c>
      <c r="AD13" s="19" t="s">
        <v>33</v>
      </c>
      <c r="AE13" s="18">
        <v>17.978249172984768</v>
      </c>
      <c r="AF13" s="5"/>
      <c r="AG13" s="5"/>
      <c r="AI13" s="7">
        <v>2025</v>
      </c>
      <c r="AJ13" s="21">
        <v>1.0905780245832946</v>
      </c>
      <c r="AK13" s="21">
        <v>1.0905780245832946</v>
      </c>
      <c r="AL13" s="21">
        <v>1.090578024583295</v>
      </c>
      <c r="AM13" s="21">
        <v>1.0905780245832952</v>
      </c>
      <c r="AN13" s="21">
        <v>1.0905780245832948</v>
      </c>
      <c r="AO13" s="21" t="s">
        <v>33</v>
      </c>
      <c r="AP13" s="21">
        <v>1.090578024583295</v>
      </c>
      <c r="AQ13" s="23">
        <v>1.0905780245832948</v>
      </c>
    </row>
    <row r="14" spans="1:43" x14ac:dyDescent="0.25">
      <c r="A14" s="7">
        <v>2026</v>
      </c>
      <c r="B14" s="225" t="s">
        <v>32</v>
      </c>
      <c r="C14" s="225"/>
      <c r="D14" s="39">
        <v>0.64436203803014691</v>
      </c>
      <c r="E14" s="6">
        <v>0.75185767341861076</v>
      </c>
      <c r="F14" s="15">
        <v>6.4413844155232658</v>
      </c>
      <c r="G14" s="6">
        <v>11.37004866470598</v>
      </c>
      <c r="H14" s="6">
        <v>3.586658557355045E-2</v>
      </c>
      <c r="I14" s="6">
        <v>0</v>
      </c>
      <c r="J14" s="6">
        <v>8.0307575533586945E-2</v>
      </c>
      <c r="K14" s="5">
        <v>0.7784249242261283</v>
      </c>
      <c r="L14" s="5">
        <v>0.88823929877478147</v>
      </c>
      <c r="M14" s="5">
        <v>8.0714321935229911</v>
      </c>
      <c r="N14" s="5">
        <v>14.128400475838632</v>
      </c>
      <c r="O14" s="5">
        <v>3.8236537017569627E-2</v>
      </c>
      <c r="P14" s="5">
        <v>0</v>
      </c>
      <c r="Q14" s="5">
        <v>9.8433508939541614E-2</v>
      </c>
      <c r="R14" s="5">
        <v>0.48516236067241908</v>
      </c>
      <c r="S14" s="5">
        <v>0.58990449330815786</v>
      </c>
      <c r="T14" s="5">
        <v>4.5057026791485928</v>
      </c>
      <c r="U14" s="5">
        <v>8.0945058889859567</v>
      </c>
      <c r="V14" s="5">
        <v>3.3052268233777667E-2</v>
      </c>
      <c r="W14" s="5">
        <v>0</v>
      </c>
      <c r="X14" s="5">
        <v>5.8783029614015755E-2</v>
      </c>
      <c r="Y14" s="38">
        <v>178.65051284470729</v>
      </c>
      <c r="Z14" s="16">
        <v>206.37674925732557</v>
      </c>
      <c r="AA14" s="17">
        <v>1863.4974561425445</v>
      </c>
      <c r="AB14" s="18">
        <v>3084.4335598341395</v>
      </c>
      <c r="AC14" s="18">
        <v>43.181596020533881</v>
      </c>
      <c r="AD14" s="19" t="s">
        <v>33</v>
      </c>
      <c r="AE14" s="18">
        <v>18.098685456076002</v>
      </c>
      <c r="AF14" s="5"/>
      <c r="AG14" s="5"/>
      <c r="AI14" s="7">
        <v>2026</v>
      </c>
      <c r="AJ14" s="21">
        <v>1.0979330777755094</v>
      </c>
      <c r="AK14" s="21">
        <v>1.0979330777755094</v>
      </c>
      <c r="AL14" s="21">
        <v>1.0979330777755099</v>
      </c>
      <c r="AM14" s="21">
        <v>1.0979330777755099</v>
      </c>
      <c r="AN14" s="21">
        <v>1.0979330777755099</v>
      </c>
      <c r="AO14" s="21" t="s">
        <v>33</v>
      </c>
      <c r="AP14" s="21">
        <v>1.0979330777755099</v>
      </c>
      <c r="AQ14" s="23">
        <v>1.0979330777755096</v>
      </c>
    </row>
    <row r="15" spans="1:43" x14ac:dyDescent="0.25">
      <c r="A15" s="7">
        <v>2027</v>
      </c>
      <c r="B15" s="225" t="s">
        <v>32</v>
      </c>
      <c r="C15" s="225"/>
      <c r="D15" s="39">
        <v>0.64867861903193114</v>
      </c>
      <c r="E15" s="6">
        <v>0.7568943676333193</v>
      </c>
      <c r="F15" s="15">
        <v>6.4845352468140653</v>
      </c>
      <c r="G15" s="6">
        <v>11.446216615576375</v>
      </c>
      <c r="H15" s="6">
        <v>3.6106855814111077E-2</v>
      </c>
      <c r="I15" s="6">
        <v>0</v>
      </c>
      <c r="J15" s="6">
        <v>8.0845555945821213E-2</v>
      </c>
      <c r="K15" s="5">
        <v>0.78363959244199921</v>
      </c>
      <c r="L15" s="5">
        <v>0.89418961343616399</v>
      </c>
      <c r="M15" s="5">
        <v>8.1255027141425149</v>
      </c>
      <c r="N15" s="5">
        <v>14.223046624246191</v>
      </c>
      <c r="O15" s="5">
        <v>3.8492683561783536E-2</v>
      </c>
      <c r="P15" s="5">
        <v>0</v>
      </c>
      <c r="Q15" s="5">
        <v>9.9092914971477111E-2</v>
      </c>
      <c r="R15" s="5">
        <v>0.48841246310747483</v>
      </c>
      <c r="S15" s="5">
        <v>0.59385626324244112</v>
      </c>
      <c r="T15" s="5">
        <v>4.5358863793615303</v>
      </c>
      <c r="U15" s="5">
        <v>8.148730980280968</v>
      </c>
      <c r="V15" s="5">
        <v>3.3273685363750041E-2</v>
      </c>
      <c r="W15" s="5">
        <v>0</v>
      </c>
      <c r="X15" s="5">
        <v>5.917681710285487E-2</v>
      </c>
      <c r="Y15" s="38">
        <v>179.83932867288308</v>
      </c>
      <c r="Z15" s="16">
        <v>207.75006715145247</v>
      </c>
      <c r="AA15" s="17">
        <v>1875.8979538313101</v>
      </c>
      <c r="AB15" s="18">
        <v>3104.9586810806422</v>
      </c>
      <c r="AC15" s="18">
        <v>43.468944565005884</v>
      </c>
      <c r="AD15" s="19" t="s">
        <v>33</v>
      </c>
      <c r="AE15" s="18">
        <v>18.219121739167228</v>
      </c>
      <c r="AF15" s="5"/>
      <c r="AG15" s="5"/>
      <c r="AI15" s="7">
        <v>2027</v>
      </c>
      <c r="AJ15" s="21">
        <v>1.1052881309677252</v>
      </c>
      <c r="AK15" s="21">
        <v>1.1052881309677247</v>
      </c>
      <c r="AL15" s="21">
        <v>1.1052881309677249</v>
      </c>
      <c r="AM15" s="21">
        <v>1.1052881309677249</v>
      </c>
      <c r="AN15" s="21">
        <v>1.1052881309677247</v>
      </c>
      <c r="AO15" s="21" t="s">
        <v>33</v>
      </c>
      <c r="AP15" s="21">
        <v>1.1052881309677243</v>
      </c>
      <c r="AQ15" s="23">
        <v>1.1052881309677247</v>
      </c>
    </row>
    <row r="16" spans="1:43" x14ac:dyDescent="0.25">
      <c r="A16" s="7">
        <v>2028</v>
      </c>
      <c r="B16" s="225" t="s">
        <v>32</v>
      </c>
      <c r="C16" s="225"/>
      <c r="D16" s="39">
        <v>0.65299520003371458</v>
      </c>
      <c r="E16" s="6">
        <v>0.7619310618480275</v>
      </c>
      <c r="F16" s="15">
        <v>6.5276860781048622</v>
      </c>
      <c r="G16" s="6">
        <v>11.522384566446766</v>
      </c>
      <c r="H16" s="6">
        <v>3.6347126054671705E-2</v>
      </c>
      <c r="I16" s="6">
        <v>0</v>
      </c>
      <c r="J16" s="6">
        <v>8.1383536358055508E-2</v>
      </c>
      <c r="K16" s="5">
        <v>0.7888542606578699</v>
      </c>
      <c r="L16" s="5">
        <v>0.90013992809754639</v>
      </c>
      <c r="M16" s="5">
        <v>8.1795732347620369</v>
      </c>
      <c r="N16" s="5">
        <v>14.317692772653743</v>
      </c>
      <c r="O16" s="5">
        <v>3.8748830105997417E-2</v>
      </c>
      <c r="P16" s="5">
        <v>0</v>
      </c>
      <c r="Q16" s="5">
        <v>9.9752321003412525E-2</v>
      </c>
      <c r="R16" s="5">
        <v>0.49166256554253018</v>
      </c>
      <c r="S16" s="5">
        <v>0.59780803317672393</v>
      </c>
      <c r="T16" s="5">
        <v>4.5660700795744678</v>
      </c>
      <c r="U16" s="5">
        <v>8.2029560715759775</v>
      </c>
      <c r="V16" s="5">
        <v>3.3495102493722423E-2</v>
      </c>
      <c r="W16" s="5">
        <v>0</v>
      </c>
      <c r="X16" s="5">
        <v>5.9570604591694019E-2</v>
      </c>
      <c r="Y16" s="38">
        <v>181.02814450105893</v>
      </c>
      <c r="Z16" s="16">
        <v>209.12338504557937</v>
      </c>
      <c r="AA16" s="17">
        <v>1888.2984515200765</v>
      </c>
      <c r="AB16" s="18">
        <v>3125.4838023271459</v>
      </c>
      <c r="AC16" s="18">
        <v>43.756293109477895</v>
      </c>
      <c r="AD16" s="19" t="s">
        <v>33</v>
      </c>
      <c r="AE16" s="18">
        <v>18.339558022258458</v>
      </c>
      <c r="AF16" s="5"/>
      <c r="AG16" s="5"/>
      <c r="AI16" s="7">
        <v>2028</v>
      </c>
      <c r="AJ16" s="21">
        <v>1.1126431841599393</v>
      </c>
      <c r="AK16" s="21">
        <v>1.1126431841599393</v>
      </c>
      <c r="AL16" s="21">
        <v>1.1126431841599398</v>
      </c>
      <c r="AM16" s="21">
        <v>1.1126431841599396</v>
      </c>
      <c r="AN16" s="21">
        <v>1.1126431841599396</v>
      </c>
      <c r="AO16" s="21" t="s">
        <v>33</v>
      </c>
      <c r="AP16" s="21">
        <v>1.1126431841599391</v>
      </c>
      <c r="AQ16" s="23">
        <v>1.1126431841599396</v>
      </c>
    </row>
    <row r="17" spans="1:43" x14ac:dyDescent="0.25">
      <c r="A17" s="7">
        <v>2029</v>
      </c>
      <c r="B17" s="225" t="s">
        <v>32</v>
      </c>
      <c r="C17" s="225"/>
      <c r="D17" s="39">
        <v>0.65731178103549848</v>
      </c>
      <c r="E17" s="6">
        <v>0.76696775606273604</v>
      </c>
      <c r="F17" s="15">
        <v>6.5708369093956609</v>
      </c>
      <c r="G17" s="6">
        <v>11.598552517317165</v>
      </c>
      <c r="H17" s="6">
        <v>3.6587396295232319E-2</v>
      </c>
      <c r="I17" s="6">
        <v>0</v>
      </c>
      <c r="J17" s="6">
        <v>8.1921516770289887E-2</v>
      </c>
      <c r="K17" s="5">
        <v>0.7940689288737407</v>
      </c>
      <c r="L17" s="5">
        <v>0.90609024275892891</v>
      </c>
      <c r="M17" s="5">
        <v>8.2336437553815607</v>
      </c>
      <c r="N17" s="5">
        <v>14.412338921061313</v>
      </c>
      <c r="O17" s="5">
        <v>3.9004976650211298E-2</v>
      </c>
      <c r="P17" s="5">
        <v>0</v>
      </c>
      <c r="Q17" s="5">
        <v>0.10041172703534818</v>
      </c>
      <c r="R17" s="5">
        <v>0.49491266797758593</v>
      </c>
      <c r="S17" s="5">
        <v>0.60175980311100719</v>
      </c>
      <c r="T17" s="5">
        <v>4.5962537797874035</v>
      </c>
      <c r="U17" s="5">
        <v>8.2571811628709888</v>
      </c>
      <c r="V17" s="5">
        <v>3.3716519623694791E-2</v>
      </c>
      <c r="W17" s="5">
        <v>0</v>
      </c>
      <c r="X17" s="5">
        <v>5.9964392080533155E-2</v>
      </c>
      <c r="Y17" s="38">
        <v>182.21696032923475</v>
      </c>
      <c r="Z17" s="16">
        <v>210.49670293970624</v>
      </c>
      <c r="AA17" s="17">
        <v>1900.6989492088424</v>
      </c>
      <c r="AB17" s="18">
        <v>3146.0089235736482</v>
      </c>
      <c r="AC17" s="18">
        <v>44.043641653949912</v>
      </c>
      <c r="AD17" s="19" t="s">
        <v>33</v>
      </c>
      <c r="AE17" s="18">
        <v>18.459994305349692</v>
      </c>
      <c r="AF17" s="5"/>
      <c r="AG17" s="5"/>
      <c r="AI17" s="7">
        <v>2029</v>
      </c>
      <c r="AJ17" s="21">
        <v>1.1199982373521546</v>
      </c>
      <c r="AK17" s="21">
        <v>1.1199982373521546</v>
      </c>
      <c r="AL17" s="21">
        <v>1.1199982373521546</v>
      </c>
      <c r="AM17" s="21">
        <v>1.1199982373521551</v>
      </c>
      <c r="AN17" s="21">
        <v>1.1199982373521542</v>
      </c>
      <c r="AO17" s="21" t="s">
        <v>33</v>
      </c>
      <c r="AP17" s="21">
        <v>1.1199982373521551</v>
      </c>
      <c r="AQ17" s="23">
        <v>1.1199982373521546</v>
      </c>
    </row>
    <row r="18" spans="1:43" x14ac:dyDescent="0.25">
      <c r="A18" s="8" t="s">
        <v>98</v>
      </c>
      <c r="B18" s="225" t="s">
        <v>32</v>
      </c>
      <c r="C18" s="225"/>
      <c r="D18" s="39">
        <v>0.61920987148992535</v>
      </c>
      <c r="E18" s="6">
        <v>0.72250949910005535</v>
      </c>
      <c r="F18" s="15">
        <v>4.9575819801490209</v>
      </c>
      <c r="G18" s="6">
        <v>10.926227736863346</v>
      </c>
      <c r="H18" s="6">
        <v>3.4466561549272273E-2</v>
      </c>
      <c r="I18" s="6">
        <v>0</v>
      </c>
      <c r="J18" s="6">
        <v>7.7172832337918204E-2</v>
      </c>
      <c r="K18" s="5">
        <v>0.74803971811893843</v>
      </c>
      <c r="L18" s="5">
        <v>0.85356757472559475</v>
      </c>
      <c r="M18" s="5">
        <v>5.6298752641996694</v>
      </c>
      <c r="N18" s="5">
        <v>13.576909449456013</v>
      </c>
      <c r="O18" s="5">
        <v>3.6744003798313996E-2</v>
      </c>
      <c r="P18" s="5">
        <v>0</v>
      </c>
      <c r="Q18" s="5">
        <v>9.4591234156324228E-2</v>
      </c>
      <c r="R18" s="5">
        <v>0.46622442861797231</v>
      </c>
      <c r="S18" s="5">
        <v>0.56687803429472716</v>
      </c>
      <c r="T18" s="5">
        <v>4.1592337053388757</v>
      </c>
      <c r="U18" s="5">
        <v>7.7785432031595532</v>
      </c>
      <c r="V18" s="5">
        <v>3.1762098878535233E-2</v>
      </c>
      <c r="W18" s="5">
        <v>0</v>
      </c>
      <c r="X18" s="5">
        <v>5.6488480178561062E-2</v>
      </c>
      <c r="Y18" s="38">
        <v>172.65970860213289</v>
      </c>
      <c r="Z18" s="16">
        <v>199.45618303373902</v>
      </c>
      <c r="AA18" s="17">
        <v>1615.6017631040982</v>
      </c>
      <c r="AB18" s="18">
        <v>2981.0012362322736</v>
      </c>
      <c r="AC18" s="18">
        <v>41.733559378927268</v>
      </c>
      <c r="AD18" s="19" t="s">
        <v>33</v>
      </c>
      <c r="AE18" s="18">
        <v>17.491770424661961</v>
      </c>
      <c r="AF18" s="5"/>
      <c r="AG18" s="5"/>
      <c r="AI18" s="8"/>
      <c r="AJ18" s="21"/>
      <c r="AK18" s="21"/>
      <c r="AL18" s="21"/>
      <c r="AM18" s="21"/>
      <c r="AN18" s="21"/>
      <c r="AO18" s="21"/>
      <c r="AP18" s="21"/>
      <c r="AQ18" s="21"/>
    </row>
    <row r="19" spans="1:43" x14ac:dyDescent="0.25">
      <c r="A19" s="8" t="s">
        <v>99</v>
      </c>
      <c r="B19" s="225" t="s">
        <v>32</v>
      </c>
      <c r="C19" s="225"/>
      <c r="D19" s="39">
        <v>0.6269260555431162</v>
      </c>
      <c r="E19" s="6">
        <v>0.73151293482019375</v>
      </c>
      <c r="F19" s="15">
        <v>5.0193600892827899</v>
      </c>
      <c r="G19" s="6">
        <v>11.062383163490923</v>
      </c>
      <c r="H19" s="6">
        <v>3.4896061053139832E-2</v>
      </c>
      <c r="I19" s="6">
        <v>0</v>
      </c>
      <c r="J19" s="6">
        <v>7.8134509154847195E-2</v>
      </c>
      <c r="K19" s="5">
        <v>0.7573612945502286</v>
      </c>
      <c r="L19" s="5">
        <v>0.86420416954048473</v>
      </c>
      <c r="M19" s="5">
        <v>5.7000310477800316</v>
      </c>
      <c r="N19" s="5">
        <v>13.74609591919597</v>
      </c>
      <c r="O19" s="5">
        <v>3.7201883281851186E-2</v>
      </c>
      <c r="P19" s="5">
        <v>0</v>
      </c>
      <c r="Q19" s="5">
        <v>9.5769967581249255E-2</v>
      </c>
      <c r="R19" s="5">
        <v>0.4720342092221701</v>
      </c>
      <c r="S19" s="5">
        <v>0.57394209358984827</v>
      </c>
      <c r="T19" s="5">
        <v>4.2110633260673183</v>
      </c>
      <c r="U19" s="5">
        <v>7.8754742660911843</v>
      </c>
      <c r="V19" s="5">
        <v>3.2157897156545101E-2</v>
      </c>
      <c r="W19" s="5">
        <v>0</v>
      </c>
      <c r="X19" s="5">
        <v>5.7192402273494751E-2</v>
      </c>
      <c r="Y19" s="38">
        <v>173.82671452488148</v>
      </c>
      <c r="Z19" s="16">
        <v>200.80430616457076</v>
      </c>
      <c r="AA19" s="17">
        <v>1626.5216056175027</v>
      </c>
      <c r="AB19" s="18">
        <v>3001.1498054993535</v>
      </c>
      <c r="AC19" s="18">
        <v>42.015636253531625</v>
      </c>
      <c r="AD19" s="19" t="s">
        <v>33</v>
      </c>
      <c r="AE19" s="18">
        <v>17.609997194822785</v>
      </c>
      <c r="AF19" s="5"/>
      <c r="AG19" s="5"/>
      <c r="AI19" s="8"/>
      <c r="AJ19" s="21"/>
      <c r="AK19" s="21"/>
      <c r="AL19" s="21"/>
      <c r="AM19" s="21"/>
      <c r="AN19" s="21"/>
      <c r="AO19" s="21"/>
      <c r="AP19" s="21"/>
      <c r="AQ19" s="21"/>
    </row>
    <row r="20" spans="1:43" x14ac:dyDescent="0.25">
      <c r="A20" s="8" t="s">
        <v>100</v>
      </c>
      <c r="B20" s="225" t="s">
        <v>32</v>
      </c>
      <c r="C20" s="225"/>
      <c r="D20" s="39">
        <v>0.63116344494836629</v>
      </c>
      <c r="E20" s="6">
        <v>0.73645722630784793</v>
      </c>
      <c r="F20" s="15">
        <v>4.9237915796601293</v>
      </c>
      <c r="G20" s="6">
        <v>11.137153744166794</v>
      </c>
      <c r="H20" s="6">
        <v>3.5131923318049901E-2</v>
      </c>
      <c r="I20" s="6">
        <v>0</v>
      </c>
      <c r="J20" s="6">
        <v>7.8662619828107308E-2</v>
      </c>
      <c r="K20" s="5">
        <v>0.76248029494445113</v>
      </c>
      <c r="L20" s="5">
        <v>0.8700453202784475</v>
      </c>
      <c r="M20" s="5">
        <v>5.6842366998956297</v>
      </c>
      <c r="N20" s="5">
        <v>13.839005698102971</v>
      </c>
      <c r="O20" s="5">
        <v>3.7453330585213454E-2</v>
      </c>
      <c r="P20" s="5">
        <v>0</v>
      </c>
      <c r="Q20" s="5">
        <v>9.6417276211002059E-2</v>
      </c>
      <c r="R20" s="5">
        <v>0.47522468557801545</v>
      </c>
      <c r="S20" s="5">
        <v>0.57782136471776113</v>
      </c>
      <c r="T20" s="5">
        <v>4.0207629993804721</v>
      </c>
      <c r="U20" s="5">
        <v>7.928704548867584</v>
      </c>
      <c r="V20" s="5">
        <v>3.237525218829318E-2</v>
      </c>
      <c r="W20" s="5">
        <v>0</v>
      </c>
      <c r="X20" s="5">
        <v>5.7578965373419756E-2</v>
      </c>
      <c r="Y20" s="38">
        <v>175.03525926910254</v>
      </c>
      <c r="Z20" s="16">
        <v>202.20041486682328</v>
      </c>
      <c r="AA20" s="17">
        <v>1620.2827403798647</v>
      </c>
      <c r="AB20" s="18">
        <v>3022.0155500655442</v>
      </c>
      <c r="AC20" s="18">
        <v>42.307753472154204</v>
      </c>
      <c r="AD20" s="19" t="s">
        <v>33</v>
      </c>
      <c r="AE20" s="18">
        <v>17.732432170446192</v>
      </c>
      <c r="AF20" s="5"/>
      <c r="AG20" s="5"/>
      <c r="AI20" s="8"/>
      <c r="AJ20" s="21"/>
      <c r="AK20" s="21"/>
      <c r="AL20" s="21"/>
      <c r="AM20" s="21"/>
      <c r="AN20" s="21"/>
      <c r="AO20" s="21"/>
      <c r="AP20" s="21"/>
      <c r="AQ20" s="21"/>
    </row>
    <row r="21" spans="1:43" x14ac:dyDescent="0.25">
      <c r="A21" s="8" t="s">
        <v>101</v>
      </c>
      <c r="B21" s="225" t="s">
        <v>32</v>
      </c>
      <c r="C21" s="225"/>
      <c r="D21" s="39">
        <v>0.63555166149046527</v>
      </c>
      <c r="E21" s="6">
        <v>0.74157750665503563</v>
      </c>
      <c r="F21" s="15">
        <v>3.0115708238393801</v>
      </c>
      <c r="G21" s="6">
        <v>11.214585735330431</v>
      </c>
      <c r="H21" s="6">
        <v>3.5376180947819053E-2</v>
      </c>
      <c r="I21" s="6">
        <v>0</v>
      </c>
      <c r="J21" s="6">
        <v>7.9209528259413506E-2</v>
      </c>
      <c r="K21" s="5">
        <v>0.76778150284880531</v>
      </c>
      <c r="L21" s="5">
        <v>0.87609438300123221</v>
      </c>
      <c r="M21" s="5">
        <v>3.0769141936863611</v>
      </c>
      <c r="N21" s="5">
        <v>13.93522254053368</v>
      </c>
      <c r="O21" s="5">
        <v>3.7713727992804418E-2</v>
      </c>
      <c r="P21" s="5">
        <v>0</v>
      </c>
      <c r="Q21" s="5">
        <v>9.7087625373013242E-2</v>
      </c>
      <c r="R21" s="5">
        <v>0.47852872487743625</v>
      </c>
      <c r="S21" s="5">
        <v>0.58183871599392711</v>
      </c>
      <c r="T21" s="5">
        <v>2.9339755721460907</v>
      </c>
      <c r="U21" s="5">
        <v>7.9838295291515786</v>
      </c>
      <c r="V21" s="5">
        <v>3.2600343831898929E-2</v>
      </c>
      <c r="W21" s="5">
        <v>0</v>
      </c>
      <c r="X21" s="5">
        <v>5.7979287937013825E-2</v>
      </c>
      <c r="Y21" s="38">
        <v>176.27288118835565</v>
      </c>
      <c r="Z21" s="16">
        <v>203.63011346907183</v>
      </c>
      <c r="AA21" s="17">
        <v>1183.8857015717685</v>
      </c>
      <c r="AB21" s="18">
        <v>3043.3833173411349</v>
      </c>
      <c r="AC21" s="18">
        <v>42.606898931589861</v>
      </c>
      <c r="AD21" s="19" t="s">
        <v>33</v>
      </c>
      <c r="AE21" s="18">
        <v>17.857812889893541</v>
      </c>
      <c r="AF21" s="5"/>
      <c r="AG21" s="5"/>
      <c r="AI21" s="8"/>
      <c r="AJ21" s="21"/>
      <c r="AK21" s="21"/>
      <c r="AL21" s="21"/>
      <c r="AM21" s="21"/>
      <c r="AN21" s="21"/>
      <c r="AO21" s="21"/>
      <c r="AP21" s="21"/>
      <c r="AQ21" s="21"/>
    </row>
    <row r="22" spans="1:43" x14ac:dyDescent="0.25">
      <c r="A22" s="8" t="s">
        <v>102</v>
      </c>
      <c r="B22" s="225" t="s">
        <v>32</v>
      </c>
      <c r="C22" s="225"/>
      <c r="D22" s="39">
        <v>0.64004545702836324</v>
      </c>
      <c r="E22" s="6">
        <v>0.74682097920390245</v>
      </c>
      <c r="F22" s="15">
        <v>3.0328647395825876</v>
      </c>
      <c r="G22" s="6">
        <v>11.293880713835589</v>
      </c>
      <c r="H22" s="6">
        <v>3.5626315332989822E-2</v>
      </c>
      <c r="I22" s="6">
        <v>0</v>
      </c>
      <c r="J22" s="6">
        <v>7.9769595121352635E-2</v>
      </c>
      <c r="K22" s="5">
        <v>0.77321025601025772</v>
      </c>
      <c r="L22" s="5">
        <v>0.88228898411339962</v>
      </c>
      <c r="M22" s="5">
        <v>3.0986701328363848</v>
      </c>
      <c r="N22" s="5">
        <v>14.033754327431076</v>
      </c>
      <c r="O22" s="5">
        <v>3.7980390473355739E-2</v>
      </c>
      <c r="P22" s="5">
        <v>0</v>
      </c>
      <c r="Q22" s="5">
        <v>9.7774102907606089E-2</v>
      </c>
      <c r="R22" s="5">
        <v>0.4819122582373635</v>
      </c>
      <c r="S22" s="5">
        <v>0.58595272337387483</v>
      </c>
      <c r="T22" s="5">
        <v>2.954720835093704</v>
      </c>
      <c r="U22" s="5">
        <v>8.0402807976909472</v>
      </c>
      <c r="V22" s="5">
        <v>3.2830851103805306E-2</v>
      </c>
      <c r="W22" s="5">
        <v>0</v>
      </c>
      <c r="X22" s="5">
        <v>5.8389242125176655E-2</v>
      </c>
      <c r="Y22" s="38">
        <v>177.46169701653145</v>
      </c>
      <c r="Z22" s="16">
        <v>205.00343136319867</v>
      </c>
      <c r="AA22" s="17">
        <v>1191.8700384209271</v>
      </c>
      <c r="AB22" s="18">
        <v>3063.9084385876372</v>
      </c>
      <c r="AC22" s="18">
        <v>42.894247476061864</v>
      </c>
      <c r="AD22" s="19" t="s">
        <v>33</v>
      </c>
      <c r="AE22" s="18">
        <v>17.978249172984768</v>
      </c>
      <c r="AF22" s="5"/>
      <c r="AG22" s="5"/>
      <c r="AI22" s="8"/>
      <c r="AJ22" s="21"/>
      <c r="AK22" s="21"/>
      <c r="AL22" s="21"/>
      <c r="AM22" s="21"/>
      <c r="AN22" s="21"/>
      <c r="AO22" s="21"/>
      <c r="AP22" s="21"/>
      <c r="AQ22" s="21"/>
    </row>
    <row r="23" spans="1:43" x14ac:dyDescent="0.25">
      <c r="A23" s="7" t="s">
        <v>34</v>
      </c>
      <c r="B23" s="225" t="s">
        <v>32</v>
      </c>
      <c r="C23" s="225"/>
      <c r="D23" s="39">
        <v>0.64436203803014691</v>
      </c>
      <c r="E23" s="6">
        <v>0.75185767341861076</v>
      </c>
      <c r="F23" s="15">
        <v>3.0533189216599737</v>
      </c>
      <c r="G23" s="6">
        <v>11.37004866470598</v>
      </c>
      <c r="H23" s="6">
        <v>3.586658557355045E-2</v>
      </c>
      <c r="I23" s="6">
        <v>0</v>
      </c>
      <c r="J23" s="6">
        <v>8.0307575533586945E-2</v>
      </c>
      <c r="K23" s="5">
        <v>0.7784249242261283</v>
      </c>
      <c r="L23" s="5">
        <v>0.88823929877478147</v>
      </c>
      <c r="M23" s="5">
        <v>3.1195681182518227</v>
      </c>
      <c r="N23" s="5">
        <v>14.128400475838632</v>
      </c>
      <c r="O23" s="5">
        <v>3.8236537017569627E-2</v>
      </c>
      <c r="P23" s="5">
        <v>0</v>
      </c>
      <c r="Q23" s="5">
        <v>9.8433508939541614E-2</v>
      </c>
      <c r="R23" s="5">
        <v>0.48516236067241908</v>
      </c>
      <c r="S23" s="5">
        <v>0.58990449330815786</v>
      </c>
      <c r="T23" s="5">
        <v>2.9746480007071527</v>
      </c>
      <c r="U23" s="5">
        <v>8.0945058889859567</v>
      </c>
      <c r="V23" s="5">
        <v>3.3052268233777667E-2</v>
      </c>
      <c r="W23" s="5">
        <v>0</v>
      </c>
      <c r="X23" s="5">
        <v>5.8783029614015755E-2</v>
      </c>
      <c r="Y23" s="38">
        <v>178.65051284470729</v>
      </c>
      <c r="Z23" s="16">
        <v>206.3767492573256</v>
      </c>
      <c r="AA23" s="17">
        <v>1199.8543752700859</v>
      </c>
      <c r="AB23" s="18">
        <v>3084.4335598341395</v>
      </c>
      <c r="AC23" s="18">
        <v>43.181596020533881</v>
      </c>
      <c r="AD23" s="19" t="s">
        <v>33</v>
      </c>
      <c r="AE23" s="18">
        <v>18.098685456076002</v>
      </c>
      <c r="AF23" s="5"/>
      <c r="AG23" s="5"/>
      <c r="AI23" s="7"/>
      <c r="AJ23" s="21"/>
      <c r="AK23" s="21"/>
      <c r="AL23" s="21"/>
      <c r="AM23" s="21"/>
      <c r="AN23" s="21"/>
      <c r="AO23" s="21"/>
      <c r="AP23" s="21"/>
      <c r="AQ23" s="21"/>
    </row>
    <row r="24" spans="1:43" x14ac:dyDescent="0.25">
      <c r="A24" s="7" t="s">
        <v>35</v>
      </c>
      <c r="B24" s="225" t="s">
        <v>32</v>
      </c>
      <c r="C24" s="225"/>
      <c r="D24" s="39">
        <v>0.64867861903193114</v>
      </c>
      <c r="E24" s="6">
        <v>0.7568943676333193</v>
      </c>
      <c r="F24" s="15">
        <v>3.073773103737361</v>
      </c>
      <c r="G24" s="6">
        <v>11.446216615576375</v>
      </c>
      <c r="H24" s="6">
        <v>3.6106855814111077E-2</v>
      </c>
      <c r="I24" s="6">
        <v>0</v>
      </c>
      <c r="J24" s="6">
        <v>8.0845555945821213E-2</v>
      </c>
      <c r="K24" s="5">
        <v>0.78363959244199921</v>
      </c>
      <c r="L24" s="5">
        <v>0.89418961343616399</v>
      </c>
      <c r="M24" s="5">
        <v>3.1404661036672614</v>
      </c>
      <c r="N24" s="5">
        <v>14.223046624246191</v>
      </c>
      <c r="O24" s="5">
        <v>3.8492683561783536E-2</v>
      </c>
      <c r="P24" s="5">
        <v>0</v>
      </c>
      <c r="Q24" s="5">
        <v>9.9092914971477111E-2</v>
      </c>
      <c r="R24" s="5">
        <v>0.48841246310747483</v>
      </c>
      <c r="S24" s="5">
        <v>0.59385626324244112</v>
      </c>
      <c r="T24" s="5">
        <v>2.9945751663206024</v>
      </c>
      <c r="U24" s="5">
        <v>8.148730980280968</v>
      </c>
      <c r="V24" s="5">
        <v>3.3273685363750041E-2</v>
      </c>
      <c r="W24" s="5">
        <v>0</v>
      </c>
      <c r="X24" s="5">
        <v>5.917681710285487E-2</v>
      </c>
      <c r="Y24" s="38">
        <v>179.83932867288308</v>
      </c>
      <c r="Z24" s="16">
        <v>207.75006715145247</v>
      </c>
      <c r="AA24" s="17">
        <v>1207.8387121192445</v>
      </c>
      <c r="AB24" s="18">
        <v>3104.9586810806422</v>
      </c>
      <c r="AC24" s="18">
        <v>43.468944565005884</v>
      </c>
      <c r="AD24" s="19" t="s">
        <v>33</v>
      </c>
      <c r="AE24" s="18">
        <v>18.219121739167228</v>
      </c>
      <c r="AF24" s="5"/>
      <c r="AG24" s="5"/>
      <c r="AI24" s="7"/>
      <c r="AJ24" s="21"/>
      <c r="AK24" s="21"/>
      <c r="AL24" s="21"/>
      <c r="AM24" s="21"/>
      <c r="AN24" s="21"/>
      <c r="AO24" s="21"/>
      <c r="AP24" s="21"/>
      <c r="AQ24" s="21"/>
    </row>
    <row r="25" spans="1:43" x14ac:dyDescent="0.25">
      <c r="A25" s="7" t="s">
        <v>36</v>
      </c>
      <c r="B25" s="225" t="s">
        <v>32</v>
      </c>
      <c r="C25" s="225"/>
      <c r="D25" s="39">
        <v>0.65299520003371458</v>
      </c>
      <c r="E25" s="6">
        <v>0.7619310618480275</v>
      </c>
      <c r="F25" s="15">
        <v>3.0942272858147462</v>
      </c>
      <c r="G25" s="6">
        <v>11.522384566446766</v>
      </c>
      <c r="H25" s="6">
        <v>3.6347126054671705E-2</v>
      </c>
      <c r="I25" s="6">
        <v>0</v>
      </c>
      <c r="J25" s="6">
        <v>8.1383536358055508E-2</v>
      </c>
      <c r="K25" s="5">
        <v>0.7888542606578699</v>
      </c>
      <c r="L25" s="5">
        <v>0.90013992809754639</v>
      </c>
      <c r="M25" s="5">
        <v>3.1613640890826997</v>
      </c>
      <c r="N25" s="5">
        <v>14.317692772653743</v>
      </c>
      <c r="O25" s="5">
        <v>3.8748830105997417E-2</v>
      </c>
      <c r="P25" s="5">
        <v>0</v>
      </c>
      <c r="Q25" s="5">
        <v>9.9752321003412525E-2</v>
      </c>
      <c r="R25" s="5">
        <v>0.49166256554253018</v>
      </c>
      <c r="S25" s="5">
        <v>0.59780803317672393</v>
      </c>
      <c r="T25" s="5">
        <v>3.0145023319340511</v>
      </c>
      <c r="U25" s="5">
        <v>8.2029560715759775</v>
      </c>
      <c r="V25" s="5">
        <v>3.3495102493722423E-2</v>
      </c>
      <c r="W25" s="5">
        <v>0</v>
      </c>
      <c r="X25" s="5">
        <v>5.9570604591694019E-2</v>
      </c>
      <c r="Y25" s="38">
        <v>181.02814450105893</v>
      </c>
      <c r="Z25" s="16">
        <v>209.12338504557937</v>
      </c>
      <c r="AA25" s="17">
        <v>1215.8230489684033</v>
      </c>
      <c r="AB25" s="18">
        <v>3125.4838023271459</v>
      </c>
      <c r="AC25" s="18">
        <v>43.756293109477895</v>
      </c>
      <c r="AD25" s="19" t="s">
        <v>33</v>
      </c>
      <c r="AE25" s="18">
        <v>18.339558022258458</v>
      </c>
      <c r="AF25" s="5"/>
      <c r="AG25" s="5"/>
      <c r="AI25" s="7"/>
      <c r="AJ25" s="21"/>
      <c r="AK25" s="21"/>
      <c r="AL25" s="21"/>
      <c r="AM25" s="21"/>
      <c r="AN25" s="21"/>
      <c r="AO25" s="21"/>
      <c r="AP25" s="21"/>
      <c r="AQ25" s="21"/>
    </row>
    <row r="26" spans="1:43" x14ac:dyDescent="0.25">
      <c r="A26" s="7" t="s">
        <v>37</v>
      </c>
      <c r="B26" s="225" t="s">
        <v>32</v>
      </c>
      <c r="C26" s="225"/>
      <c r="D26" s="39">
        <v>0.65731178103549848</v>
      </c>
      <c r="E26" s="6">
        <v>0.76696775606273604</v>
      </c>
      <c r="F26" s="15">
        <v>3.1146814678921331</v>
      </c>
      <c r="G26" s="6">
        <v>11.598552517317165</v>
      </c>
      <c r="H26" s="6">
        <v>3.6587396295232319E-2</v>
      </c>
      <c r="I26" s="6">
        <v>0</v>
      </c>
      <c r="J26" s="6">
        <v>8.1921516770289887E-2</v>
      </c>
      <c r="K26" s="5">
        <v>0.7940689288737407</v>
      </c>
      <c r="L26" s="5">
        <v>0.90609024275892891</v>
      </c>
      <c r="M26" s="5">
        <v>3.1822620744981389</v>
      </c>
      <c r="N26" s="5">
        <v>14.412338921061313</v>
      </c>
      <c r="O26" s="5">
        <v>3.9004976650211298E-2</v>
      </c>
      <c r="P26" s="5">
        <v>0</v>
      </c>
      <c r="Q26" s="5">
        <v>0.10041172703534818</v>
      </c>
      <c r="R26" s="5">
        <v>0.49491266797758593</v>
      </c>
      <c r="S26" s="5">
        <v>0.60175980311100719</v>
      </c>
      <c r="T26" s="5">
        <v>3.0344294975475008</v>
      </c>
      <c r="U26" s="5">
        <v>8.2571811628709888</v>
      </c>
      <c r="V26" s="5">
        <v>3.3716519623694791E-2</v>
      </c>
      <c r="W26" s="5">
        <v>0</v>
      </c>
      <c r="X26" s="5">
        <v>5.9964392080533155E-2</v>
      </c>
      <c r="Y26" s="38">
        <v>182.21696032923475</v>
      </c>
      <c r="Z26" s="16">
        <v>210.49670293970624</v>
      </c>
      <c r="AA26" s="17">
        <v>1223.8073858175621</v>
      </c>
      <c r="AB26" s="18">
        <v>3146.0089235736482</v>
      </c>
      <c r="AC26" s="18">
        <v>44.043641653949912</v>
      </c>
      <c r="AD26" s="19" t="s">
        <v>33</v>
      </c>
      <c r="AE26" s="18">
        <v>18.459994305349692</v>
      </c>
      <c r="AF26" s="5"/>
      <c r="AG26" s="5"/>
      <c r="AI26" s="7"/>
      <c r="AJ26" s="21"/>
      <c r="AK26" s="21"/>
      <c r="AL26" s="21"/>
      <c r="AM26" s="21"/>
      <c r="AN26" s="21"/>
      <c r="AO26" s="21"/>
      <c r="AP26" s="21"/>
      <c r="AQ26" s="21"/>
    </row>
    <row r="27" spans="1:43" s="129" customFormat="1" x14ac:dyDescent="0.25">
      <c r="A27" s="175"/>
      <c r="B27" s="175"/>
      <c r="C27" s="175"/>
      <c r="D27" s="175"/>
      <c r="E27" s="175"/>
      <c r="F27" s="175"/>
      <c r="G27" s="6"/>
      <c r="H27" s="6"/>
      <c r="I27" s="6"/>
      <c r="J27" s="6"/>
      <c r="K27" s="5"/>
      <c r="L27" s="5"/>
      <c r="M27" s="5"/>
      <c r="N27" s="5"/>
      <c r="O27" s="5"/>
      <c r="P27" s="5"/>
      <c r="Q27" s="5"/>
      <c r="R27" s="5"/>
      <c r="S27" s="5"/>
      <c r="T27" s="5"/>
      <c r="U27" s="5"/>
      <c r="V27" s="5"/>
      <c r="W27" s="5"/>
      <c r="X27" s="5"/>
      <c r="Y27" s="5"/>
      <c r="Z27" s="5"/>
      <c r="AA27" s="5"/>
      <c r="AB27" s="5"/>
      <c r="AC27" s="5"/>
      <c r="AD27" s="5"/>
      <c r="AE27" s="5"/>
      <c r="AF27" s="5"/>
      <c r="AG27" s="5"/>
      <c r="AI27" s="175"/>
      <c r="AJ27" s="21"/>
      <c r="AK27" s="21"/>
      <c r="AL27" s="21"/>
      <c r="AM27" s="21"/>
      <c r="AN27" s="21"/>
      <c r="AO27" s="21"/>
      <c r="AP27" s="21"/>
      <c r="AQ27" s="21"/>
    </row>
    <row r="28" spans="1:43" s="129" customFormat="1" x14ac:dyDescent="0.25">
      <c r="A28" s="175"/>
      <c r="B28" s="175"/>
      <c r="C28" s="57" t="s">
        <v>265</v>
      </c>
      <c r="D28" s="175"/>
      <c r="E28" s="175"/>
      <c r="F28" s="209">
        <f t="shared" ref="F28:F29" si="0">1-F18/F9</f>
        <v>0.19909176056008149</v>
      </c>
      <c r="G28" s="5">
        <f t="shared" ref="G28:G29" si="1">F9-F18</f>
        <v>1.2323680491026412</v>
      </c>
      <c r="H28" s="6"/>
      <c r="I28" s="6"/>
      <c r="J28" s="6"/>
      <c r="K28" s="5"/>
      <c r="L28" s="5"/>
      <c r="M28" s="5"/>
      <c r="N28" s="5"/>
      <c r="O28" s="5"/>
      <c r="P28" s="5"/>
      <c r="Q28" s="5"/>
      <c r="R28" s="5"/>
      <c r="S28" s="5"/>
      <c r="T28" s="5"/>
      <c r="U28" s="5"/>
      <c r="V28" s="5"/>
      <c r="W28" s="5"/>
      <c r="X28" s="5"/>
      <c r="Y28" s="5"/>
      <c r="Z28" s="5"/>
      <c r="AA28" s="5"/>
      <c r="AB28" s="5"/>
      <c r="AC28" s="5"/>
      <c r="AD28" s="5"/>
      <c r="AE28" s="5"/>
      <c r="AF28" s="5"/>
      <c r="AG28" s="5"/>
      <c r="AI28" s="175"/>
      <c r="AJ28" s="21"/>
      <c r="AK28" s="21"/>
      <c r="AL28" s="21"/>
      <c r="AM28" s="21"/>
      <c r="AN28" s="21"/>
      <c r="AO28" s="21"/>
      <c r="AP28" s="21"/>
      <c r="AQ28" s="21"/>
    </row>
    <row r="29" spans="1:43" s="129" customFormat="1" x14ac:dyDescent="0.25">
      <c r="A29" s="175"/>
      <c r="B29" s="175"/>
      <c r="C29" s="57" t="s">
        <v>264</v>
      </c>
      <c r="D29" s="175"/>
      <c r="E29" s="175"/>
      <c r="F29" s="209">
        <f t="shared" si="0"/>
        <v>0.19909176056008149</v>
      </c>
      <c r="G29" s="5">
        <f t="shared" si="1"/>
        <v>1.2477250050007553</v>
      </c>
      <c r="H29" s="6"/>
      <c r="I29" s="6"/>
      <c r="J29" s="6"/>
      <c r="K29" s="5"/>
      <c r="L29" s="5"/>
      <c r="M29" s="5"/>
      <c r="N29" s="5"/>
      <c r="O29" s="5"/>
      <c r="P29" s="5"/>
      <c r="Q29" s="5"/>
      <c r="R29" s="5"/>
      <c r="S29" s="5"/>
      <c r="T29" s="5"/>
      <c r="U29" s="5"/>
      <c r="V29" s="5"/>
      <c r="W29" s="5"/>
      <c r="X29" s="5"/>
      <c r="Y29" s="5"/>
      <c r="Z29" s="5"/>
      <c r="AA29" s="5"/>
      <c r="AB29" s="5"/>
      <c r="AC29" s="5"/>
      <c r="AD29" s="5"/>
      <c r="AE29" s="5"/>
      <c r="AF29" s="5"/>
      <c r="AG29" s="5"/>
      <c r="AI29" s="175"/>
      <c r="AJ29" s="21"/>
      <c r="AK29" s="21"/>
      <c r="AL29" s="21"/>
      <c r="AM29" s="21"/>
      <c r="AN29" s="21"/>
      <c r="AO29" s="21"/>
      <c r="AP29" s="21"/>
      <c r="AQ29" s="21"/>
    </row>
    <row r="30" spans="1:43" x14ac:dyDescent="0.25">
      <c r="C30" s="57" t="s">
        <v>260</v>
      </c>
      <c r="F30" s="209">
        <f>1-F20/F11</f>
        <v>0.21961564953851975</v>
      </c>
      <c r="G30" s="6">
        <f>F11-F20</f>
        <v>1.3856527047472209</v>
      </c>
    </row>
    <row r="31" spans="1:43" s="129" customFormat="1" x14ac:dyDescent="0.25">
      <c r="C31" s="57" t="s">
        <v>262</v>
      </c>
      <c r="F31" s="209">
        <f t="shared" ref="F31:F32" si="2">1-F21/F12</f>
        <v>0.52598405487154309</v>
      </c>
      <c r="G31" s="6">
        <f>F12-F21</f>
        <v>3.3417403986834269</v>
      </c>
    </row>
    <row r="32" spans="1:43" s="129" customFormat="1" x14ac:dyDescent="0.25">
      <c r="C32" s="57" t="s">
        <v>263</v>
      </c>
      <c r="F32" s="209">
        <f t="shared" si="2"/>
        <v>0.52598405487154309</v>
      </c>
      <c r="G32" s="5">
        <f t="shared" ref="G32:G33" si="3">F13-F22</f>
        <v>3.3653688446498804</v>
      </c>
    </row>
    <row r="33" spans="1:34" x14ac:dyDescent="0.25">
      <c r="C33" s="57" t="s">
        <v>261</v>
      </c>
      <c r="D33" s="5"/>
      <c r="F33" s="210">
        <f>1-F23/F14</f>
        <v>0.52598405487154309</v>
      </c>
      <c r="G33" s="5">
        <f t="shared" si="3"/>
        <v>3.3880654938632921</v>
      </c>
    </row>
    <row r="34" spans="1:34" s="129" customFormat="1" x14ac:dyDescent="0.25">
      <c r="C34" s="57"/>
      <c r="D34" s="5"/>
      <c r="F34" s="210"/>
    </row>
    <row r="35" spans="1:34" x14ac:dyDescent="0.25">
      <c r="A35" s="7" t="s">
        <v>20</v>
      </c>
      <c r="D35" s="223" t="s">
        <v>21</v>
      </c>
      <c r="E35" s="223"/>
      <c r="F35" s="223"/>
      <c r="G35" s="223"/>
      <c r="H35" s="223"/>
      <c r="I35" s="223"/>
      <c r="J35" s="223"/>
      <c r="K35" s="225" t="s">
        <v>22</v>
      </c>
      <c r="L35" s="225"/>
      <c r="M35" s="225"/>
      <c r="N35" s="225"/>
      <c r="O35" s="225"/>
      <c r="P35" s="225"/>
      <c r="Q35" s="225"/>
      <c r="R35" s="225" t="s">
        <v>23</v>
      </c>
      <c r="S35" s="225"/>
      <c r="T35" s="225"/>
      <c r="U35" s="225"/>
      <c r="V35" s="225"/>
      <c r="W35" s="225"/>
      <c r="X35" s="225"/>
      <c r="Y35" s="223" t="s">
        <v>24</v>
      </c>
      <c r="Z35" s="223"/>
      <c r="AA35" s="223"/>
      <c r="AB35" s="223"/>
      <c r="AC35" s="223"/>
      <c r="AD35" s="223"/>
      <c r="AE35" s="223"/>
      <c r="AF35" s="7"/>
      <c r="AG35" s="7"/>
    </row>
    <row r="36" spans="1:34" ht="15.75" thickBot="1" x14ac:dyDescent="0.3">
      <c r="A36" s="11" t="s">
        <v>27</v>
      </c>
      <c r="B36" s="12" t="s">
        <v>38</v>
      </c>
      <c r="C36" s="12" t="s">
        <v>39</v>
      </c>
      <c r="D36" s="13" t="s">
        <v>28</v>
      </c>
      <c r="E36" s="13" t="s">
        <v>29</v>
      </c>
      <c r="F36" s="13" t="s">
        <v>5</v>
      </c>
      <c r="G36" s="13" t="s">
        <v>4</v>
      </c>
      <c r="H36" s="13" t="s">
        <v>6</v>
      </c>
      <c r="I36" s="13" t="s">
        <v>30</v>
      </c>
      <c r="J36" s="13" t="s">
        <v>7</v>
      </c>
      <c r="K36" s="11" t="s">
        <v>28</v>
      </c>
      <c r="L36" s="11" t="s">
        <v>29</v>
      </c>
      <c r="M36" s="11" t="s">
        <v>5</v>
      </c>
      <c r="N36" s="11" t="s">
        <v>4</v>
      </c>
      <c r="O36" s="11" t="s">
        <v>6</v>
      </c>
      <c r="P36" s="11" t="s">
        <v>30</v>
      </c>
      <c r="Q36" s="11" t="s">
        <v>7</v>
      </c>
      <c r="R36" s="11" t="s">
        <v>28</v>
      </c>
      <c r="S36" s="11" t="s">
        <v>29</v>
      </c>
      <c r="T36" s="11" t="s">
        <v>5</v>
      </c>
      <c r="U36" s="11" t="s">
        <v>4</v>
      </c>
      <c r="V36" s="11" t="s">
        <v>6</v>
      </c>
      <c r="W36" s="11" t="s">
        <v>30</v>
      </c>
      <c r="X36" s="11" t="s">
        <v>7</v>
      </c>
      <c r="Y36" s="34" t="s">
        <v>28</v>
      </c>
      <c r="Z36" s="13" t="s">
        <v>29</v>
      </c>
      <c r="AA36" s="14" t="s">
        <v>5</v>
      </c>
      <c r="AB36" s="13" t="s">
        <v>4</v>
      </c>
      <c r="AC36" s="13" t="s">
        <v>6</v>
      </c>
      <c r="AD36" s="13" t="s">
        <v>30</v>
      </c>
      <c r="AE36" s="13" t="s">
        <v>7</v>
      </c>
      <c r="AF36" s="7"/>
      <c r="AG36" s="7"/>
    </row>
    <row r="37" spans="1:34" ht="15.75" thickTop="1" x14ac:dyDescent="0.25">
      <c r="A37" s="24">
        <v>2008</v>
      </c>
      <c r="B37" s="7">
        <v>71</v>
      </c>
      <c r="C37" t="s">
        <v>40</v>
      </c>
      <c r="D37" s="39">
        <v>3.0558842857142832E-2</v>
      </c>
      <c r="E37" s="6">
        <v>3.0558842857142832E-2</v>
      </c>
      <c r="F37" s="15">
        <v>2.2497821428571423E-2</v>
      </c>
      <c r="G37" s="6">
        <v>0.63630557142857125</v>
      </c>
      <c r="H37" s="6">
        <v>1.9506614285714267E-2</v>
      </c>
      <c r="I37" s="6">
        <v>0</v>
      </c>
      <c r="J37" s="6">
        <v>0</v>
      </c>
      <c r="K37" s="5">
        <v>2.8900157894736832E-2</v>
      </c>
      <c r="L37" s="5">
        <v>2.8900157894736832E-2</v>
      </c>
      <c r="M37" s="5">
        <v>1.419469736842105E-2</v>
      </c>
      <c r="N37" s="5">
        <v>0.61222842105263131</v>
      </c>
      <c r="O37" s="5">
        <v>1.8860499999999978E-2</v>
      </c>
      <c r="P37" s="5">
        <v>0</v>
      </c>
      <c r="Q37" s="5">
        <v>0</v>
      </c>
      <c r="R37" s="5">
        <v>3.2528531249999965E-2</v>
      </c>
      <c r="S37" s="5">
        <v>3.2528531249999965E-2</v>
      </c>
      <c r="T37" s="5">
        <v>3.2357781249999988E-2</v>
      </c>
      <c r="U37" s="5">
        <v>0.66489718749999982</v>
      </c>
      <c r="V37" s="5">
        <v>2.0273874999999986E-2</v>
      </c>
      <c r="W37" s="5">
        <v>0</v>
      </c>
      <c r="X37" s="5">
        <v>0</v>
      </c>
      <c r="Y37" s="35">
        <v>11.68</v>
      </c>
      <c r="Z37" s="25">
        <v>11.68</v>
      </c>
      <c r="AA37" s="26">
        <v>7.2300000000000013</v>
      </c>
      <c r="AB37" s="25">
        <v>238.03000000000003</v>
      </c>
      <c r="AC37" s="25">
        <v>28.089999999999996</v>
      </c>
      <c r="AD37" s="25">
        <v>28.150000000000002</v>
      </c>
      <c r="AE37" s="25" t="s">
        <v>33</v>
      </c>
      <c r="AF37" s="5"/>
      <c r="AG37" s="5"/>
    </row>
    <row r="38" spans="1:34" x14ac:dyDescent="0.25">
      <c r="A38" s="7">
        <v>2008</v>
      </c>
      <c r="B38" s="7">
        <v>109</v>
      </c>
      <c r="C38" t="s">
        <v>41</v>
      </c>
      <c r="D38" s="39">
        <v>0.11874601468213802</v>
      </c>
      <c r="E38" s="6">
        <v>0.11874601468213802</v>
      </c>
      <c r="F38" s="15">
        <v>0.31791126650138019</v>
      </c>
      <c r="G38" s="6">
        <v>0.40473322336178985</v>
      </c>
      <c r="H38" s="6">
        <v>5.2159497706379576E-4</v>
      </c>
      <c r="I38" s="6">
        <v>0</v>
      </c>
      <c r="J38" s="6">
        <v>2.4684412902140542E-3</v>
      </c>
      <c r="K38" s="5">
        <v>5.0576011319275527E-2</v>
      </c>
      <c r="L38" s="5">
        <v>5.0576011319275527E-2</v>
      </c>
      <c r="M38" s="5">
        <v>0.13236968901935145</v>
      </c>
      <c r="N38" s="5">
        <v>0.17577093051763945</v>
      </c>
      <c r="O38" s="5">
        <v>4.9172989955223651E-4</v>
      </c>
      <c r="P38" s="5">
        <v>0</v>
      </c>
      <c r="Q38" s="5">
        <v>1.057971584834916E-3</v>
      </c>
      <c r="R38" s="5">
        <v>0.19969789367553725</v>
      </c>
      <c r="S38" s="5">
        <v>0.19969789367553725</v>
      </c>
      <c r="T38" s="5">
        <v>0.53824188976128928</v>
      </c>
      <c r="U38" s="5">
        <v>0.67662594611421845</v>
      </c>
      <c r="V38" s="5">
        <v>5.5705975660877254E-4</v>
      </c>
      <c r="W38" s="5">
        <v>0</v>
      </c>
      <c r="X38" s="5">
        <v>4.1433740653517804E-3</v>
      </c>
      <c r="Y38" s="36">
        <v>16.006149612556055</v>
      </c>
      <c r="Z38" s="19">
        <v>16.007086706956052</v>
      </c>
      <c r="AA38" s="27">
        <v>42.781767431297681</v>
      </c>
      <c r="AB38" s="19">
        <v>55.372730308598385</v>
      </c>
      <c r="AC38" s="19">
        <v>0.13535163363923336</v>
      </c>
      <c r="AD38" s="19" t="s">
        <v>33</v>
      </c>
      <c r="AE38" s="19">
        <v>0.33432608199384772</v>
      </c>
      <c r="AF38" s="5"/>
      <c r="AG38" s="5"/>
      <c r="AH38" s="5"/>
    </row>
    <row r="39" spans="1:34" x14ac:dyDescent="0.25">
      <c r="A39" s="7">
        <v>2008</v>
      </c>
      <c r="B39" s="7">
        <v>110</v>
      </c>
      <c r="C39" t="s">
        <v>42</v>
      </c>
      <c r="D39" s="39">
        <v>0.79948541158801145</v>
      </c>
      <c r="E39" s="6">
        <v>0.79948541158801145</v>
      </c>
      <c r="F39" s="15">
        <v>2.0284546718167675</v>
      </c>
      <c r="G39" s="6">
        <v>3.8377896456497491</v>
      </c>
      <c r="H39" s="6">
        <v>3.331442993968617E-3</v>
      </c>
      <c r="I39" s="6">
        <v>0</v>
      </c>
      <c r="J39" s="6">
        <v>4.9336402871439998E-2</v>
      </c>
      <c r="K39" s="5">
        <v>1.3511626342938132</v>
      </c>
      <c r="L39" s="5">
        <v>1.3511626342938132</v>
      </c>
      <c r="M39" s="5">
        <v>3.5267575996025995</v>
      </c>
      <c r="N39" s="5">
        <v>5.8244032027792487</v>
      </c>
      <c r="O39" s="5">
        <v>4.3244374856088704E-3</v>
      </c>
      <c r="P39" s="5">
        <v>0</v>
      </c>
      <c r="Q39" s="5">
        <v>6.2664691134652631E-2</v>
      </c>
      <c r="R39" s="5">
        <v>0.14436870962487175</v>
      </c>
      <c r="S39" s="5">
        <v>0.14436870962487175</v>
      </c>
      <c r="T39" s="5">
        <v>0.24921994507109241</v>
      </c>
      <c r="U39" s="5">
        <v>1.4786860465584697</v>
      </c>
      <c r="V39" s="5">
        <v>2.1522620351458162E-3</v>
      </c>
      <c r="W39" s="5">
        <v>0</v>
      </c>
      <c r="X39" s="5">
        <v>3.3509060558874995E-2</v>
      </c>
      <c r="Y39" s="36">
        <v>121.38580190613251</v>
      </c>
      <c r="Z39" s="19">
        <v>121.38580190613251</v>
      </c>
      <c r="AA39" s="27">
        <v>287.92613991993557</v>
      </c>
      <c r="AB39" s="19">
        <v>709.97355913952106</v>
      </c>
      <c r="AC39" s="19">
        <v>0.75703045066070573</v>
      </c>
      <c r="AD39" s="19" t="s">
        <v>33</v>
      </c>
      <c r="AE39" s="19">
        <v>11.476109983382514</v>
      </c>
      <c r="AF39" s="5"/>
      <c r="AG39" s="5"/>
    </row>
    <row r="40" spans="1:34" x14ac:dyDescent="0.25">
      <c r="A40" s="7">
        <v>2008</v>
      </c>
      <c r="B40" s="7">
        <v>264</v>
      </c>
      <c r="C40" t="s">
        <v>43</v>
      </c>
      <c r="D40" s="39">
        <v>1.179217792402199E-2</v>
      </c>
      <c r="E40" s="6">
        <v>1.179217792402199E-2</v>
      </c>
      <c r="F40" s="15">
        <v>0.21291909846069476</v>
      </c>
      <c r="G40" s="6">
        <v>0.14233121561668141</v>
      </c>
      <c r="H40" s="6">
        <v>8.0870008873114481E-4</v>
      </c>
      <c r="I40" s="6">
        <v>0</v>
      </c>
      <c r="J40" s="6">
        <v>9.1383110026619335E-6</v>
      </c>
      <c r="K40" s="5">
        <v>1.2661213085030537E-2</v>
      </c>
      <c r="L40" s="5">
        <v>1.2661213085030537E-2</v>
      </c>
      <c r="M40" s="5">
        <v>0.20885084707378693</v>
      </c>
      <c r="N40" s="5">
        <v>0.15422870219025819</v>
      </c>
      <c r="O40" s="5">
        <v>8.7629944426283136E-4</v>
      </c>
      <c r="P40" s="5">
        <v>0</v>
      </c>
      <c r="Q40" s="5">
        <v>9.9021837201699886E-6</v>
      </c>
      <c r="R40" s="5">
        <v>1.076019867032434E-2</v>
      </c>
      <c r="S40" s="5">
        <v>1.076019867032434E-2</v>
      </c>
      <c r="T40" s="5">
        <v>0.21775014698264783</v>
      </c>
      <c r="U40" s="5">
        <v>0.12820295031055901</v>
      </c>
      <c r="V40" s="5">
        <v>7.2842585403726711E-4</v>
      </c>
      <c r="W40" s="5">
        <v>0</v>
      </c>
      <c r="X40" s="5">
        <v>8.231212150621116E-6</v>
      </c>
      <c r="Y40" s="35">
        <v>8.1399999999999988</v>
      </c>
      <c r="Z40" s="25">
        <v>8.1399999999999988</v>
      </c>
      <c r="AA40" s="26">
        <v>312.56999999999994</v>
      </c>
      <c r="AB40" s="25">
        <v>885.23999999999955</v>
      </c>
      <c r="AC40" s="25">
        <v>32.35</v>
      </c>
      <c r="AD40" s="25">
        <v>485.08999999999986</v>
      </c>
      <c r="AE40" s="25">
        <v>1</v>
      </c>
      <c r="AF40" s="5"/>
      <c r="AG40" s="5"/>
    </row>
    <row r="41" spans="1:34" x14ac:dyDescent="0.25">
      <c r="A41" s="7">
        <v>2008</v>
      </c>
      <c r="B41" s="7">
        <v>315</v>
      </c>
      <c r="C41" t="s">
        <v>44</v>
      </c>
      <c r="D41" s="39">
        <v>0.17852643213602645</v>
      </c>
      <c r="E41" s="6">
        <v>0.17852643213602645</v>
      </c>
      <c r="F41" s="15">
        <v>2.0018442857142857</v>
      </c>
      <c r="G41" s="6">
        <v>1.5211085232732022</v>
      </c>
      <c r="H41" s="6">
        <v>1.4167739910714286E-2</v>
      </c>
      <c r="I41" s="6">
        <v>0</v>
      </c>
      <c r="J41" s="6">
        <v>1.6009546099107142E-4</v>
      </c>
      <c r="K41" s="5">
        <v>0.16416840398302893</v>
      </c>
      <c r="L41" s="5">
        <v>0.16416840398302893</v>
      </c>
      <c r="M41" s="5">
        <v>1.8938263157894735</v>
      </c>
      <c r="N41" s="5">
        <v>1.3212435061454824</v>
      </c>
      <c r="O41" s="5">
        <v>1.2923528125000002E-2</v>
      </c>
      <c r="P41" s="5">
        <v>0</v>
      </c>
      <c r="Q41" s="5">
        <v>1.4603586781250001E-4</v>
      </c>
      <c r="R41" s="5">
        <v>0.19557659056771101</v>
      </c>
      <c r="S41" s="5">
        <v>0.19557659056771101</v>
      </c>
      <c r="T41" s="5">
        <v>2.1301156249999997</v>
      </c>
      <c r="U41" s="5">
        <v>1.7584482311123697</v>
      </c>
      <c r="V41" s="5">
        <v>1.564524140625E-2</v>
      </c>
      <c r="W41" s="5">
        <v>0</v>
      </c>
      <c r="X41" s="5">
        <v>1.7679122789062497E-4</v>
      </c>
      <c r="Y41" s="36">
        <v>70.339072000000002</v>
      </c>
      <c r="Z41" s="19">
        <v>70.339072000000002</v>
      </c>
      <c r="AA41" s="27">
        <v>701.1647999999999</v>
      </c>
      <c r="AB41" s="19">
        <v>597.51845454745546</v>
      </c>
      <c r="AC41" s="19">
        <v>5.5648</v>
      </c>
      <c r="AD41" s="19" t="s">
        <v>33</v>
      </c>
      <c r="AE41" s="19">
        <v>6.2882239999999992E-2</v>
      </c>
      <c r="AF41" s="5"/>
      <c r="AG41" s="5"/>
    </row>
    <row r="42" spans="1:34" x14ac:dyDescent="0.25">
      <c r="A42" s="7">
        <v>2008</v>
      </c>
      <c r="B42" s="7">
        <v>316</v>
      </c>
      <c r="C42" t="s">
        <v>45</v>
      </c>
      <c r="D42" s="39">
        <v>7.5934435799340533E-2</v>
      </c>
      <c r="E42" s="6">
        <v>7.5934435799340533E-2</v>
      </c>
      <c r="F42" s="15">
        <v>0.85439660168838494</v>
      </c>
      <c r="G42" s="6">
        <v>1.0199000826503208</v>
      </c>
      <c r="H42" s="6">
        <v>6.5013824992588599E-3</v>
      </c>
      <c r="I42" s="6">
        <v>0</v>
      </c>
      <c r="J42" s="6">
        <v>2.8356548816722703E-3</v>
      </c>
      <c r="K42" s="5">
        <v>7.7935261467766762E-2</v>
      </c>
      <c r="L42" s="5">
        <v>7.7935261467766762E-2</v>
      </c>
      <c r="M42" s="5">
        <v>1.026309384704861</v>
      </c>
      <c r="N42" s="5">
        <v>1.0424692559192053</v>
      </c>
      <c r="O42" s="5">
        <v>6.8199197170207386E-3</v>
      </c>
      <c r="P42" s="5">
        <v>0</v>
      </c>
      <c r="Q42" s="5">
        <v>3.5832839306679971E-3</v>
      </c>
      <c r="R42" s="5">
        <v>7.3558455318084373E-2</v>
      </c>
      <c r="S42" s="5">
        <v>7.3558455318084373E-2</v>
      </c>
      <c r="T42" s="5">
        <v>0.65025017185631973</v>
      </c>
      <c r="U42" s="5">
        <v>0.99309918939352049</v>
      </c>
      <c r="V42" s="5">
        <v>6.1231195531666277E-3</v>
      </c>
      <c r="W42" s="5">
        <v>0</v>
      </c>
      <c r="X42" s="5">
        <v>1.9478453859898448E-3</v>
      </c>
      <c r="Y42" s="36">
        <v>24.791574999999998</v>
      </c>
      <c r="Z42" s="19">
        <v>24.791574999999998</v>
      </c>
      <c r="AA42" s="27">
        <v>261.33054999999996</v>
      </c>
      <c r="AB42" s="19">
        <v>336.37999999999994</v>
      </c>
      <c r="AC42" s="19">
        <v>2.0064500000000001</v>
      </c>
      <c r="AD42" s="19" t="s">
        <v>33</v>
      </c>
      <c r="AE42" s="19">
        <v>0.39487675</v>
      </c>
      <c r="AF42" s="5"/>
      <c r="AG42" s="5"/>
    </row>
    <row r="43" spans="1:34" x14ac:dyDescent="0.25">
      <c r="A43" s="28">
        <v>2008</v>
      </c>
      <c r="B43" s="28">
        <v>1121</v>
      </c>
      <c r="C43" s="29" t="s">
        <v>46</v>
      </c>
      <c r="D43" s="94">
        <v>0.31276366243928566</v>
      </c>
      <c r="E43" s="30">
        <v>0.35090557249285703</v>
      </c>
      <c r="F43" s="95">
        <v>2.8857190394032095</v>
      </c>
      <c r="G43" s="30">
        <v>3.9200204070101887</v>
      </c>
      <c r="H43" s="30">
        <v>2.226174869428562E-2</v>
      </c>
      <c r="I43" s="30">
        <v>0</v>
      </c>
      <c r="J43" s="30">
        <v>2.4965156731943084E-4</v>
      </c>
      <c r="K43" s="31">
        <v>0.33023098344078927</v>
      </c>
      <c r="L43" s="31">
        <v>0.37050305459210514</v>
      </c>
      <c r="M43" s="31">
        <v>3.3703698688580519</v>
      </c>
      <c r="N43" s="31">
        <v>4.1153859421052648</v>
      </c>
      <c r="O43" s="31">
        <v>2.3653226857488874E-2</v>
      </c>
      <c r="P43" s="31">
        <v>0</v>
      </c>
      <c r="Q43" s="31">
        <v>2.605435450621095E-4</v>
      </c>
      <c r="R43" s="31">
        <v>0.29202121875000009</v>
      </c>
      <c r="S43" s="31">
        <v>0.32763356249999992</v>
      </c>
      <c r="T43" s="31">
        <v>2.3101961794255841</v>
      </c>
      <c r="U43" s="31">
        <v>3.6880238340847873</v>
      </c>
      <c r="V43" s="31">
        <v>2.0609368375481756E-2</v>
      </c>
      <c r="W43" s="31">
        <v>0</v>
      </c>
      <c r="X43" s="31">
        <v>2.3671734375000004E-4</v>
      </c>
      <c r="Y43" s="37">
        <v>85.818125000000009</v>
      </c>
      <c r="Z43" s="32">
        <v>85.818125000000009</v>
      </c>
      <c r="AA43" s="33">
        <v>779.78181749999999</v>
      </c>
      <c r="AB43" s="32">
        <v>1083.5</v>
      </c>
      <c r="AC43" s="32">
        <v>6.15625</v>
      </c>
      <c r="AD43" s="32" t="s">
        <v>33</v>
      </c>
      <c r="AE43" s="32">
        <v>6.9565624999999992E-2</v>
      </c>
      <c r="AF43" s="5"/>
      <c r="AG43" s="5"/>
    </row>
    <row r="44" spans="1:34" x14ac:dyDescent="0.25">
      <c r="A44" s="24">
        <v>2013</v>
      </c>
      <c r="B44" s="7">
        <v>71</v>
      </c>
      <c r="C44" t="s">
        <v>40</v>
      </c>
      <c r="D44" s="39">
        <v>1.2057399598214287E-2</v>
      </c>
      <c r="E44" s="6">
        <v>1.2057399598214287E-2</v>
      </c>
      <c r="F44" s="15">
        <v>3.8515461235427761E-2</v>
      </c>
      <c r="G44" s="6">
        <v>0.19419469694660313</v>
      </c>
      <c r="H44" s="6">
        <v>0.10511210981640659</v>
      </c>
      <c r="I44" s="6">
        <v>0</v>
      </c>
      <c r="J44" s="6">
        <v>0</v>
      </c>
      <c r="K44" s="5">
        <v>1.1402943292627981E-2</v>
      </c>
      <c r="L44" s="5">
        <v>1.1402943292627981E-2</v>
      </c>
      <c r="M44" s="5">
        <v>2.4300811435357013E-2</v>
      </c>
      <c r="N44" s="5">
        <v>0.18684656873503314</v>
      </c>
      <c r="O44" s="5">
        <v>0.10163049918120347</v>
      </c>
      <c r="P44" s="5">
        <v>0</v>
      </c>
      <c r="Q44" s="5">
        <v>0</v>
      </c>
      <c r="R44" s="5">
        <v>1.2834566461098025E-2</v>
      </c>
      <c r="S44" s="5">
        <v>1.2834566461098025E-2</v>
      </c>
      <c r="T44" s="5">
        <v>5.5395357873011773E-2</v>
      </c>
      <c r="U44" s="5">
        <v>0.20292059919784253</v>
      </c>
      <c r="V44" s="5">
        <v>0.1092465224457103</v>
      </c>
      <c r="W44" s="5">
        <v>0</v>
      </c>
      <c r="X44" s="5">
        <v>0</v>
      </c>
      <c r="Y44" s="35">
        <v>4.6085000000000003</v>
      </c>
      <c r="Z44" s="25">
        <v>4.6085000000000003</v>
      </c>
      <c r="AA44" s="26">
        <v>12.3775</v>
      </c>
      <c r="AB44" s="25">
        <v>72.644600000000011</v>
      </c>
      <c r="AC44" s="25">
        <v>151.36400000000009</v>
      </c>
      <c r="AD44" s="25">
        <v>23.277500000000007</v>
      </c>
      <c r="AE44" s="25" t="s">
        <v>33</v>
      </c>
      <c r="AF44" s="5"/>
      <c r="AG44" s="5"/>
    </row>
    <row r="45" spans="1:34" x14ac:dyDescent="0.25">
      <c r="A45" s="7">
        <v>2013</v>
      </c>
      <c r="B45" s="7">
        <v>109</v>
      </c>
      <c r="C45" t="s">
        <v>41</v>
      </c>
      <c r="D45" s="39">
        <v>0.17184090968326476</v>
      </c>
      <c r="E45" s="6">
        <v>0.17183178690422179</v>
      </c>
      <c r="F45" s="15">
        <v>0.45322485332260748</v>
      </c>
      <c r="G45" s="6">
        <v>0.57241708001796343</v>
      </c>
      <c r="H45" s="6">
        <v>1.9752522987081091E-4</v>
      </c>
      <c r="I45" s="6">
        <v>0</v>
      </c>
      <c r="J45" s="6">
        <v>3.5459379394728588E-3</v>
      </c>
      <c r="K45" s="5">
        <v>7.3190058769717362E-2</v>
      </c>
      <c r="L45" s="5">
        <v>7.3186173218043257E-2</v>
      </c>
      <c r="M45" s="5">
        <v>0.18871062215058138</v>
      </c>
      <c r="N45" s="5">
        <v>0.24859407874457759</v>
      </c>
      <c r="O45" s="5">
        <v>1.8621548464705886E-4</v>
      </c>
      <c r="P45" s="5">
        <v>0</v>
      </c>
      <c r="Q45" s="5">
        <v>1.5197856219724155E-3</v>
      </c>
      <c r="R45" s="5">
        <v>0.28898879514310233</v>
      </c>
      <c r="S45" s="5">
        <v>0.28897345315655881</v>
      </c>
      <c r="T45" s="5">
        <v>0.76733550283938845</v>
      </c>
      <c r="U45" s="5">
        <v>0.95695689403010908</v>
      </c>
      <c r="V45" s="5">
        <v>2.1095555232401649E-4</v>
      </c>
      <c r="W45" s="5">
        <v>0</v>
      </c>
      <c r="X45" s="5">
        <v>5.9519938165046356E-3</v>
      </c>
      <c r="Y45" s="36">
        <v>23.162977867600002</v>
      </c>
      <c r="Z45" s="19">
        <v>23.1631042048</v>
      </c>
      <c r="AA45" s="27">
        <v>60.991107620426583</v>
      </c>
      <c r="AB45" s="19">
        <v>78.3140468</v>
      </c>
      <c r="AC45" s="19">
        <v>5.1256940200000004E-2</v>
      </c>
      <c r="AD45" s="19" t="s">
        <v>33</v>
      </c>
      <c r="AE45" s="19">
        <v>0.48026240000000003</v>
      </c>
      <c r="AF45" s="5"/>
      <c r="AG45" s="5"/>
      <c r="AH45" s="5"/>
    </row>
    <row r="46" spans="1:34" x14ac:dyDescent="0.25">
      <c r="A46" s="7">
        <v>2013</v>
      </c>
      <c r="B46" s="7">
        <v>110</v>
      </c>
      <c r="C46" t="s">
        <v>42</v>
      </c>
      <c r="D46" s="39">
        <v>0.44611627882710131</v>
      </c>
      <c r="E46" s="6">
        <v>0.44611627882710131</v>
      </c>
      <c r="F46" s="15">
        <v>1.1017563152813774</v>
      </c>
      <c r="G46" s="6">
        <v>2.7939432141517124</v>
      </c>
      <c r="H46" s="6">
        <v>3.4197181267919788E-3</v>
      </c>
      <c r="I46" s="6">
        <v>0</v>
      </c>
      <c r="J46" s="6">
        <v>4.5029275037288985E-2</v>
      </c>
      <c r="K46" s="5">
        <v>0.75317855733069683</v>
      </c>
      <c r="L46" s="5">
        <v>0.75317855733069683</v>
      </c>
      <c r="M46" s="5">
        <v>1.925410889326485</v>
      </c>
      <c r="N46" s="5">
        <v>4.2217130424164635</v>
      </c>
      <c r="O46" s="5">
        <v>4.6777962775541729E-3</v>
      </c>
      <c r="P46" s="5">
        <v>0</v>
      </c>
      <c r="Q46" s="5">
        <v>5.726685027897889E-2</v>
      </c>
      <c r="R46" s="5">
        <v>8.1479823104081681E-2</v>
      </c>
      <c r="S46" s="5">
        <v>8.1479823104081681E-2</v>
      </c>
      <c r="T46" s="5">
        <v>0.12366650860281232</v>
      </c>
      <c r="U46" s="5">
        <v>1.0984665430873211</v>
      </c>
      <c r="V46" s="5">
        <v>1.9257503227618732E-3</v>
      </c>
      <c r="W46" s="5">
        <v>0</v>
      </c>
      <c r="X46" s="5">
        <v>3.0497154437782226E-2</v>
      </c>
      <c r="Y46" s="36">
        <v>68.508568735969718</v>
      </c>
      <c r="Z46" s="19">
        <v>68.508568735969718</v>
      </c>
      <c r="AA46" s="27">
        <v>142.87307722993864</v>
      </c>
      <c r="AB46" s="19">
        <v>527.41567623939409</v>
      </c>
      <c r="AC46" s="19">
        <v>0.67735787320229812</v>
      </c>
      <c r="AD46" s="19" t="s">
        <v>33</v>
      </c>
      <c r="AE46" s="19">
        <v>10.444598943419052</v>
      </c>
      <c r="AF46" s="5"/>
      <c r="AG46" s="5"/>
    </row>
    <row r="47" spans="1:34" x14ac:dyDescent="0.25">
      <c r="A47" s="7">
        <v>2013</v>
      </c>
      <c r="B47" s="7">
        <v>264</v>
      </c>
      <c r="C47" t="s">
        <v>43</v>
      </c>
      <c r="D47" s="39">
        <v>8.3129002908325315E-3</v>
      </c>
      <c r="E47" s="6">
        <v>8.3129002908325315E-3</v>
      </c>
      <c r="F47" s="15">
        <v>0.18135010717843736</v>
      </c>
      <c r="G47" s="6">
        <v>0.12006451409608578</v>
      </c>
      <c r="H47" s="6">
        <v>9.9777780411803543E-4</v>
      </c>
      <c r="I47" s="6">
        <v>0</v>
      </c>
      <c r="J47" s="6">
        <v>9.1383110026619335E-6</v>
      </c>
      <c r="K47" s="5">
        <v>8.8568398826593137E-3</v>
      </c>
      <c r="L47" s="5">
        <v>8.8568398826593137E-3</v>
      </c>
      <c r="M47" s="5">
        <v>0.18136152960657465</v>
      </c>
      <c r="N47" s="5">
        <v>0.12866780469142586</v>
      </c>
      <c r="O47" s="5">
        <v>1.1440132410126442E-3</v>
      </c>
      <c r="P47" s="5">
        <v>0</v>
      </c>
      <c r="Q47" s="5">
        <v>9.9021837201699886E-6</v>
      </c>
      <c r="R47" s="5">
        <v>7.666972025538228E-3</v>
      </c>
      <c r="S47" s="5">
        <v>7.666972025538228E-3</v>
      </c>
      <c r="T47" s="5">
        <v>0.18133654304502433</v>
      </c>
      <c r="U47" s="5">
        <v>0.10984810651411943</v>
      </c>
      <c r="V47" s="5">
        <v>8.2412322280568705E-4</v>
      </c>
      <c r="W47" s="5">
        <v>0</v>
      </c>
      <c r="X47" s="5">
        <v>8.231212150621116E-6</v>
      </c>
      <c r="Y47" s="35">
        <v>5.8</v>
      </c>
      <c r="Z47" s="25">
        <v>5.8</v>
      </c>
      <c r="AA47" s="26">
        <v>260.3</v>
      </c>
      <c r="AB47" s="25">
        <v>758.5</v>
      </c>
      <c r="AC47" s="25">
        <v>36.6</v>
      </c>
      <c r="AD47" s="25">
        <v>425</v>
      </c>
      <c r="AE47" s="25" t="s">
        <v>33</v>
      </c>
      <c r="AF47" s="5"/>
      <c r="AG47" s="5"/>
    </row>
    <row r="48" spans="1:34" x14ac:dyDescent="0.25">
      <c r="A48" s="7">
        <v>2013</v>
      </c>
      <c r="B48" s="7">
        <v>315</v>
      </c>
      <c r="C48" t="s">
        <v>44</v>
      </c>
      <c r="D48" s="39">
        <v>0.13038556374214894</v>
      </c>
      <c r="E48" s="6">
        <v>0.14334306488198559</v>
      </c>
      <c r="F48" s="15">
        <v>1.8000821529439168</v>
      </c>
      <c r="G48" s="6">
        <v>1.4504885166882129</v>
      </c>
      <c r="H48" s="6">
        <v>6.2715944090485582E-3</v>
      </c>
      <c r="I48" s="6">
        <v>0</v>
      </c>
      <c r="J48" s="6">
        <v>1.547203832217529E-4</v>
      </c>
      <c r="K48" s="5">
        <v>0.11872335898416192</v>
      </c>
      <c r="L48" s="5">
        <v>0.13038457061166228</v>
      </c>
      <c r="M48" s="5">
        <v>1.7348795502997028</v>
      </c>
      <c r="N48" s="5">
        <v>1.2406310799605356</v>
      </c>
      <c r="O48" s="5">
        <v>7.0954081328074119E-3</v>
      </c>
      <c r="P48" s="5">
        <v>0</v>
      </c>
      <c r="Q48" s="5">
        <v>1.4123827161609547E-4</v>
      </c>
      <c r="R48" s="5">
        <v>0.14423443189225854</v>
      </c>
      <c r="S48" s="5">
        <v>0.15873127682799446</v>
      </c>
      <c r="T48" s="5">
        <v>1.877510243583921</v>
      </c>
      <c r="U48" s="5">
        <v>1.69969422280233</v>
      </c>
      <c r="V48" s="5">
        <v>5.2933156120849199E-3</v>
      </c>
      <c r="W48" s="5">
        <v>0</v>
      </c>
      <c r="X48" s="5">
        <v>1.707303907534711E-4</v>
      </c>
      <c r="Y48" s="36">
        <v>51.873877442588082</v>
      </c>
      <c r="Z48" s="19">
        <v>57.087664106665002</v>
      </c>
      <c r="AA48" s="27">
        <v>618.01532226236372</v>
      </c>
      <c r="AB48" s="19">
        <v>577.55391784814356</v>
      </c>
      <c r="AC48" s="19">
        <v>1.8827605118552475</v>
      </c>
      <c r="AD48" s="19" t="s">
        <v>33</v>
      </c>
      <c r="AE48" s="19">
        <v>6.0726482499999998E-2</v>
      </c>
      <c r="AF48" s="5"/>
      <c r="AG48" s="5"/>
    </row>
    <row r="49" spans="1:34" x14ac:dyDescent="0.25">
      <c r="A49" s="7">
        <v>2013</v>
      </c>
      <c r="B49" s="7">
        <v>316</v>
      </c>
      <c r="C49" t="s">
        <v>45</v>
      </c>
      <c r="D49" s="39">
        <v>6.9191357672741274E-2</v>
      </c>
      <c r="E49" s="6">
        <v>6.9191357672741274E-2</v>
      </c>
      <c r="F49" s="15">
        <v>0.72592922627429257</v>
      </c>
      <c r="G49" s="6">
        <v>0.92804372516834843</v>
      </c>
      <c r="H49" s="6">
        <v>6.6630861879895392E-3</v>
      </c>
      <c r="I49" s="6">
        <v>0</v>
      </c>
      <c r="J49" s="6">
        <v>2.3308331669036311E-3</v>
      </c>
      <c r="K49" s="5">
        <v>7.0249831428813095E-2</v>
      </c>
      <c r="L49" s="5">
        <v>7.0249831428813095E-2</v>
      </c>
      <c r="M49" s="5">
        <v>0.88514765212675972</v>
      </c>
      <c r="N49" s="5">
        <v>0.93653142286484614</v>
      </c>
      <c r="O49" s="5">
        <v>7.5356824173773967E-3</v>
      </c>
      <c r="P49" s="5">
        <v>0</v>
      </c>
      <c r="Q49" s="5">
        <v>2.9535025982524352E-3</v>
      </c>
      <c r="R49" s="5">
        <v>6.7934420087405981E-2</v>
      </c>
      <c r="S49" s="5">
        <v>6.7934420087405981E-2</v>
      </c>
      <c r="T49" s="5">
        <v>0.53685734557448772</v>
      </c>
      <c r="U49" s="5">
        <v>0.91796458415375737</v>
      </c>
      <c r="V49" s="5">
        <v>5.6268781655914573E-3</v>
      </c>
      <c r="W49" s="5">
        <v>0</v>
      </c>
      <c r="X49" s="5">
        <v>1.5914132171769256E-3</v>
      </c>
      <c r="Y49" s="36">
        <v>22.896093500000003</v>
      </c>
      <c r="Z49" s="19">
        <v>22.896093500000003</v>
      </c>
      <c r="AA49" s="27">
        <v>215.75884400000001</v>
      </c>
      <c r="AB49" s="19">
        <v>310.93060000000003</v>
      </c>
      <c r="AC49" s="19">
        <v>1.8438395000000001</v>
      </c>
      <c r="AD49" s="19" t="s">
        <v>33</v>
      </c>
      <c r="AE49" s="19">
        <v>0.32261907624999997</v>
      </c>
      <c r="AF49" s="5"/>
      <c r="AG49" s="5"/>
    </row>
    <row r="50" spans="1:34" x14ac:dyDescent="0.25">
      <c r="A50" s="28">
        <v>2013</v>
      </c>
      <c r="B50" s="28">
        <v>1121</v>
      </c>
      <c r="C50" s="29" t="s">
        <v>46</v>
      </c>
      <c r="D50" s="94">
        <v>0.36090632112269838</v>
      </c>
      <c r="E50" s="30">
        <v>0.45389881119747572</v>
      </c>
      <c r="F50" s="95">
        <v>3.042699661601191</v>
      </c>
      <c r="G50" s="30">
        <v>4.5155240363626268</v>
      </c>
      <c r="H50" s="30">
        <v>2.8341959642824995E-2</v>
      </c>
      <c r="I50" s="30">
        <v>0</v>
      </c>
      <c r="J50" s="30">
        <v>2.9167994302752834E-4</v>
      </c>
      <c r="K50" s="31">
        <v>0.37652099318135318</v>
      </c>
      <c r="L50" s="31">
        <v>0.47321658237012948</v>
      </c>
      <c r="M50" s="31">
        <v>3.5882328272221984</v>
      </c>
      <c r="N50" s="31">
        <v>4.6769618118585612</v>
      </c>
      <c r="O50" s="31">
        <v>3.1861674757528095E-2</v>
      </c>
      <c r="P50" s="31">
        <v>0</v>
      </c>
      <c r="Q50" s="31">
        <v>3.0359907662591708E-4</v>
      </c>
      <c r="R50" s="31">
        <v>0.34236389805304579</v>
      </c>
      <c r="S50" s="31">
        <v>0.43095895792994937</v>
      </c>
      <c r="T50" s="31">
        <v>2.3948790274262448</v>
      </c>
      <c r="U50" s="31">
        <v>4.3238166779612053</v>
      </c>
      <c r="V50" s="31">
        <v>2.4162297944115063E-2</v>
      </c>
      <c r="W50" s="31">
        <v>0</v>
      </c>
      <c r="X50" s="31">
        <v>2.7752597187944165E-4</v>
      </c>
      <c r="Y50" s="37">
        <v>100.612647</v>
      </c>
      <c r="Z50" s="32">
        <v>112.88248200000001</v>
      </c>
      <c r="AA50" s="33">
        <v>808.36560000000009</v>
      </c>
      <c r="AB50" s="32">
        <v>1270.2888</v>
      </c>
      <c r="AC50" s="32">
        <v>7.217550000000001</v>
      </c>
      <c r="AD50" s="32" t="s">
        <v>33</v>
      </c>
      <c r="AE50" s="32">
        <v>8.1558314999999992E-2</v>
      </c>
      <c r="AF50" s="5"/>
      <c r="AG50" s="5"/>
    </row>
    <row r="51" spans="1:34" x14ac:dyDescent="0.25">
      <c r="A51" s="24">
        <v>2019</v>
      </c>
      <c r="B51" s="7">
        <v>71</v>
      </c>
      <c r="C51" t="s">
        <v>40</v>
      </c>
      <c r="D51" s="39">
        <v>0</v>
      </c>
      <c r="E51" s="6">
        <v>0</v>
      </c>
      <c r="F51" s="15">
        <v>0</v>
      </c>
      <c r="G51" s="6">
        <v>0</v>
      </c>
      <c r="H51" s="6">
        <v>0</v>
      </c>
      <c r="I51" s="6">
        <v>0</v>
      </c>
      <c r="J51" s="6">
        <v>0</v>
      </c>
      <c r="K51" s="5">
        <v>0</v>
      </c>
      <c r="L51" s="5">
        <v>0</v>
      </c>
      <c r="M51" s="5">
        <v>0</v>
      </c>
      <c r="N51" s="5">
        <v>0</v>
      </c>
      <c r="O51" s="5">
        <v>0</v>
      </c>
      <c r="P51" s="5">
        <v>0</v>
      </c>
      <c r="Q51" s="5">
        <v>0</v>
      </c>
      <c r="R51" s="5">
        <v>0</v>
      </c>
      <c r="S51" s="5">
        <v>0</v>
      </c>
      <c r="T51" s="5">
        <v>0</v>
      </c>
      <c r="U51" s="5">
        <v>0</v>
      </c>
      <c r="V51" s="5">
        <v>0</v>
      </c>
      <c r="W51" s="5">
        <v>0</v>
      </c>
      <c r="X51" s="5">
        <v>0</v>
      </c>
      <c r="Y51" s="35">
        <v>0</v>
      </c>
      <c r="Z51" s="25">
        <v>0</v>
      </c>
      <c r="AA51" s="26">
        <v>0</v>
      </c>
      <c r="AB51" s="25">
        <v>0</v>
      </c>
      <c r="AC51" s="25">
        <v>0</v>
      </c>
      <c r="AD51" s="25">
        <v>0</v>
      </c>
      <c r="AE51" s="25">
        <v>0</v>
      </c>
      <c r="AF51" s="5"/>
      <c r="AG51" s="5"/>
    </row>
    <row r="52" spans="1:34" x14ac:dyDescent="0.25">
      <c r="A52" s="7">
        <v>2019</v>
      </c>
      <c r="B52" s="7">
        <v>109</v>
      </c>
      <c r="C52" t="s">
        <v>41</v>
      </c>
      <c r="D52" s="39">
        <v>7.7223790460994261E-3</v>
      </c>
      <c r="E52" s="6">
        <v>7.7221800766516567E-3</v>
      </c>
      <c r="F52" s="15">
        <v>0.20789148601844096</v>
      </c>
      <c r="G52" s="6">
        <v>0.55781873026940199</v>
      </c>
      <c r="H52" s="6">
        <v>1.3754122164747295E-4</v>
      </c>
      <c r="I52" s="6">
        <v>0</v>
      </c>
      <c r="J52" s="6">
        <v>3.7052614376444763E-3</v>
      </c>
      <c r="K52" s="5">
        <v>3.2890967422590091E-3</v>
      </c>
      <c r="L52" s="5">
        <v>3.2890119976798373E-3</v>
      </c>
      <c r="M52" s="5">
        <v>8.6560415605504828E-2</v>
      </c>
      <c r="N52" s="5">
        <v>0.24225418527595352</v>
      </c>
      <c r="O52" s="5">
        <v>1.2966599388232149E-4</v>
      </c>
      <c r="P52" s="5">
        <v>0</v>
      </c>
      <c r="Q52" s="5">
        <v>1.5880715214711435E-3</v>
      </c>
      <c r="R52" s="5">
        <v>1.2986901781909919E-2</v>
      </c>
      <c r="S52" s="5">
        <v>1.2986567170430693E-2</v>
      </c>
      <c r="T52" s="5">
        <v>0.35197213213380263</v>
      </c>
      <c r="U52" s="5">
        <v>0.93255162744912201</v>
      </c>
      <c r="V52" s="5">
        <v>1.4689305461859027E-4</v>
      </c>
      <c r="W52" s="5">
        <v>0</v>
      </c>
      <c r="X52" s="5">
        <v>6.2194244631003084E-3</v>
      </c>
      <c r="Y52" s="36">
        <v>1.0409238129600005</v>
      </c>
      <c r="Z52" s="19">
        <v>1.0409579334900001</v>
      </c>
      <c r="AA52" s="27">
        <v>27.976250428825871</v>
      </c>
      <c r="AB52" s="19">
        <v>76.316804080800011</v>
      </c>
      <c r="AC52" s="19">
        <v>3.56913503031E-2</v>
      </c>
      <c r="AD52" s="19" t="s">
        <v>33</v>
      </c>
      <c r="AE52" s="19">
        <v>0.50184119999999988</v>
      </c>
      <c r="AF52" s="5"/>
      <c r="AG52" s="5"/>
      <c r="AH52" s="5"/>
    </row>
    <row r="53" spans="1:34" x14ac:dyDescent="0.25">
      <c r="A53" s="7">
        <v>2019</v>
      </c>
      <c r="B53" s="7">
        <v>110</v>
      </c>
      <c r="C53" t="s">
        <v>42</v>
      </c>
      <c r="D53" s="39">
        <v>0.17420982504559701</v>
      </c>
      <c r="E53" s="6">
        <v>0.17420982504559701</v>
      </c>
      <c r="F53" s="15">
        <v>1.7423206422449662</v>
      </c>
      <c r="G53" s="6">
        <v>5.6568836361574171</v>
      </c>
      <c r="H53" s="6">
        <v>3.9769638279388451E-3</v>
      </c>
      <c r="I53" s="6">
        <v>0</v>
      </c>
      <c r="J53" s="6">
        <v>6.4415966933620658E-2</v>
      </c>
      <c r="K53" s="5">
        <v>0.29442164011589433</v>
      </c>
      <c r="L53" s="5">
        <v>0.29442164011589433</v>
      </c>
      <c r="M53" s="5">
        <v>3.0292728012888905</v>
      </c>
      <c r="N53" s="5">
        <v>8.5851425456661765</v>
      </c>
      <c r="O53" s="5">
        <v>5.16236702461531E-3</v>
      </c>
      <c r="P53" s="5">
        <v>0</v>
      </c>
      <c r="Q53" s="5">
        <v>8.1818017469856077E-2</v>
      </c>
      <c r="R53" s="5">
        <v>3.1458294649618898E-2</v>
      </c>
      <c r="S53" s="5">
        <v>3.1458294649618898E-2</v>
      </c>
      <c r="T53" s="5">
        <v>0.2140649533803064</v>
      </c>
      <c r="U53" s="5">
        <v>2.1795761811157663</v>
      </c>
      <c r="V53" s="5">
        <v>2.5692975318855438E-3</v>
      </c>
      <c r="W53" s="5">
        <v>0</v>
      </c>
      <c r="X53" s="5">
        <v>4.3751031921841085E-2</v>
      </c>
      <c r="Y53" s="36">
        <v>26.45026288983</v>
      </c>
      <c r="Z53" s="19">
        <v>26.45026288983</v>
      </c>
      <c r="AA53" s="27">
        <v>247.3112483086</v>
      </c>
      <c r="AB53" s="19">
        <v>1046.4976404721201</v>
      </c>
      <c r="AC53" s="19">
        <v>0.90371731540252509</v>
      </c>
      <c r="AD53" s="19" t="s">
        <v>33</v>
      </c>
      <c r="AE53" s="19">
        <v>14.983758</v>
      </c>
      <c r="AF53" s="5"/>
      <c r="AG53" s="5"/>
    </row>
    <row r="54" spans="1:34" x14ac:dyDescent="0.25">
      <c r="A54" s="7">
        <v>2019</v>
      </c>
      <c r="B54" s="7">
        <v>264</v>
      </c>
      <c r="C54" t="s">
        <v>43</v>
      </c>
      <c r="D54" s="39">
        <v>1.8537936140029146E-2</v>
      </c>
      <c r="E54" s="6">
        <v>2.8306113147365409E-2</v>
      </c>
      <c r="F54" s="15">
        <v>0.18232796552007596</v>
      </c>
      <c r="G54" s="6">
        <v>5.0210906086700757E-2</v>
      </c>
      <c r="H54" s="6">
        <v>7.4232935903933278E-4</v>
      </c>
      <c r="I54" s="6">
        <v>0</v>
      </c>
      <c r="J54" s="6">
        <v>1.1103321894543347E-6</v>
      </c>
      <c r="K54" s="5">
        <v>1.9904106021624818E-2</v>
      </c>
      <c r="L54" s="5">
        <v>3.0392157621510919E-2</v>
      </c>
      <c r="M54" s="5">
        <v>0.17884421979711512</v>
      </c>
      <c r="N54" s="5">
        <v>5.4408042873774133E-2</v>
      </c>
      <c r="O54" s="5">
        <v>8.0438077582851975E-4</v>
      </c>
      <c r="P54" s="5">
        <v>0</v>
      </c>
      <c r="Q54" s="5">
        <v>1.2031450152213819E-6</v>
      </c>
      <c r="R54" s="5">
        <v>1.6915609405634288E-2</v>
      </c>
      <c r="S54" s="5">
        <v>2.582893533431762E-2</v>
      </c>
      <c r="T54" s="5">
        <v>0.18646491356609196</v>
      </c>
      <c r="U54" s="5">
        <v>4.522680615205113E-2</v>
      </c>
      <c r="V54" s="5">
        <v>6.6864330160217326E-4</v>
      </c>
      <c r="W54" s="5">
        <v>0</v>
      </c>
      <c r="X54" s="5">
        <v>1.0001169588559662E-6</v>
      </c>
      <c r="Y54" s="35">
        <v>12.796516568193862</v>
      </c>
      <c r="Z54" s="25">
        <v>19.53937283715673</v>
      </c>
      <c r="AA54" s="26">
        <v>267.66153245351376</v>
      </c>
      <c r="AB54" s="25">
        <v>312.29061250975155</v>
      </c>
      <c r="AC54" s="25">
        <v>29.695006961852918</v>
      </c>
      <c r="AD54" s="25">
        <v>102.25429602464347</v>
      </c>
      <c r="AE54" s="25">
        <v>0.12150299865378864</v>
      </c>
      <c r="AF54" s="5"/>
      <c r="AG54" s="5"/>
    </row>
    <row r="55" spans="1:34" x14ac:dyDescent="0.25">
      <c r="A55" s="7">
        <v>2019</v>
      </c>
      <c r="B55" s="7">
        <v>315</v>
      </c>
      <c r="C55" t="s">
        <v>44</v>
      </c>
      <c r="D55" s="39">
        <v>0.11594401092188039</v>
      </c>
      <c r="E55" s="6">
        <v>0.14118643396391345</v>
      </c>
      <c r="F55" s="15">
        <v>1.448604468974513</v>
      </c>
      <c r="G55" s="6">
        <v>1.5877559123130585</v>
      </c>
      <c r="H55" s="6">
        <v>4.9954436244501613E-3</v>
      </c>
      <c r="I55" s="6">
        <v>0</v>
      </c>
      <c r="J55" s="6">
        <v>1.5952509537018426E-4</v>
      </c>
      <c r="K55" s="5">
        <v>0.106619187963903</v>
      </c>
      <c r="L55" s="5">
        <v>0.1298314834984797</v>
      </c>
      <c r="M55" s="5">
        <v>1.3704388918218402</v>
      </c>
      <c r="N55" s="5">
        <v>1.3791338069512231</v>
      </c>
      <c r="O55" s="5">
        <v>4.5567434597392174E-3</v>
      </c>
      <c r="P55" s="5">
        <v>0</v>
      </c>
      <c r="Q55" s="5">
        <v>1.4551559173533305E-4</v>
      </c>
      <c r="R55" s="5">
        <v>0.12701723818447858</v>
      </c>
      <c r="S55" s="5">
        <v>0.154670437641616</v>
      </c>
      <c r="T55" s="5">
        <v>1.541426091843312</v>
      </c>
      <c r="U55" s="5">
        <v>1.835494662430238</v>
      </c>
      <c r="V55" s="5">
        <v>5.5164000700444081E-3</v>
      </c>
      <c r="W55" s="5">
        <v>0</v>
      </c>
      <c r="X55" s="5">
        <v>1.7616138093657011E-4</v>
      </c>
      <c r="Y55" s="36">
        <v>45.681718021390857</v>
      </c>
      <c r="Z55" s="19">
        <v>55.627184306490726</v>
      </c>
      <c r="AA55" s="27">
        <v>507.38734776526383</v>
      </c>
      <c r="AB55" s="19">
        <v>623.69873313338076</v>
      </c>
      <c r="AC55" s="19">
        <v>1.9621086254073361</v>
      </c>
      <c r="AD55" s="19" t="s">
        <v>33</v>
      </c>
      <c r="AE55" s="19">
        <v>6.2658211987973E-2</v>
      </c>
      <c r="AF55" s="5"/>
      <c r="AG55" s="5"/>
    </row>
    <row r="56" spans="1:34" x14ac:dyDescent="0.25">
      <c r="A56" s="7">
        <v>2019</v>
      </c>
      <c r="B56" s="7">
        <v>316</v>
      </c>
      <c r="C56" t="s">
        <v>45</v>
      </c>
      <c r="D56" s="39">
        <v>2.7814940550803288E-2</v>
      </c>
      <c r="E56" s="6">
        <v>3.0887330390437954E-2</v>
      </c>
      <c r="F56" s="15">
        <v>0.5051936648879104</v>
      </c>
      <c r="G56" s="6">
        <v>0.74741681159810602</v>
      </c>
      <c r="H56" s="6">
        <v>5.0619395075725947E-3</v>
      </c>
      <c r="I56" s="6">
        <v>0</v>
      </c>
      <c r="J56" s="6">
        <v>4.6633722378383114E-3</v>
      </c>
      <c r="K56" s="5">
        <v>2.8547847122557663E-2</v>
      </c>
      <c r="L56" s="5">
        <v>3.1701192544331604E-2</v>
      </c>
      <c r="M56" s="5">
        <v>0.60684347098679881</v>
      </c>
      <c r="N56" s="5">
        <v>0.76395625483572227</v>
      </c>
      <c r="O56" s="5">
        <v>5.3099507770841044E-3</v>
      </c>
      <c r="P56" s="5">
        <v>0</v>
      </c>
      <c r="Q56" s="5">
        <v>5.8928845363279119E-3</v>
      </c>
      <c r="R56" s="5">
        <v>2.6944613996844967E-2</v>
      </c>
      <c r="S56" s="5">
        <v>2.992086908268924E-2</v>
      </c>
      <c r="T56" s="5">
        <v>0.38448452014548046</v>
      </c>
      <c r="U56" s="5">
        <v>0.7277762227534369</v>
      </c>
      <c r="V56" s="5">
        <v>4.7674261250276757E-3</v>
      </c>
      <c r="W56" s="5">
        <v>0</v>
      </c>
      <c r="X56" s="5">
        <v>3.2033263833819107E-3</v>
      </c>
      <c r="Y56" s="36">
        <v>9.0812050886637348</v>
      </c>
      <c r="Z56" s="19">
        <v>10.084299170245128</v>
      </c>
      <c r="AA56" s="27">
        <v>154.521375718</v>
      </c>
      <c r="AB56" s="19">
        <v>246.51048800000004</v>
      </c>
      <c r="AC56" s="19">
        <v>1.5622105800000003</v>
      </c>
      <c r="AD56" s="19" t="s">
        <v>33</v>
      </c>
      <c r="AE56" s="19">
        <v>0.64939400250000001</v>
      </c>
      <c r="AF56" s="5"/>
      <c r="AG56" s="5"/>
    </row>
    <row r="57" spans="1:34" x14ac:dyDescent="0.25">
      <c r="A57" s="28">
        <v>2019</v>
      </c>
      <c r="B57" s="28">
        <v>1121</v>
      </c>
      <c r="C57" s="29" t="s">
        <v>46</v>
      </c>
      <c r="D57" s="94">
        <v>0.24265735071489578</v>
      </c>
      <c r="E57" s="30">
        <v>0.30248183444112908</v>
      </c>
      <c r="F57" s="95">
        <v>1.7804896746283985</v>
      </c>
      <c r="G57" s="30">
        <v>1.7557807634533447</v>
      </c>
      <c r="H57" s="30">
        <v>1.7753151991763073E-2</v>
      </c>
      <c r="I57" s="30">
        <v>0</v>
      </c>
      <c r="J57" s="30">
        <v>1.9909047938994145E-4</v>
      </c>
      <c r="K57" s="31">
        <v>0.25620935290483804</v>
      </c>
      <c r="L57" s="31">
        <v>0.31937493275728207</v>
      </c>
      <c r="M57" s="31">
        <v>2.0795194089378399</v>
      </c>
      <c r="N57" s="31">
        <v>1.8432851671927428</v>
      </c>
      <c r="O57" s="31">
        <v>1.8862818786757832E-2</v>
      </c>
      <c r="P57" s="31">
        <v>0</v>
      </c>
      <c r="Q57" s="31">
        <v>2.0777654170302069E-4</v>
      </c>
      <c r="R57" s="31">
        <v>0.22656434811433929</v>
      </c>
      <c r="S57" s="31">
        <v>0.28242128019069745</v>
      </c>
      <c r="T57" s="31">
        <v>1.425391865135937</v>
      </c>
      <c r="U57" s="31">
        <v>1.6518692840128091</v>
      </c>
      <c r="V57" s="31">
        <v>1.6435422672706798E-2</v>
      </c>
      <c r="W57" s="31">
        <v>0</v>
      </c>
      <c r="X57" s="31">
        <v>1.8877578039315984E-4</v>
      </c>
      <c r="Y57" s="37">
        <v>66.581899871000005</v>
      </c>
      <c r="Z57" s="32">
        <v>73.975524794000009</v>
      </c>
      <c r="AA57" s="33">
        <v>481.12565899999998</v>
      </c>
      <c r="AB57" s="32">
        <v>485.30065144550002</v>
      </c>
      <c r="AC57" s="32">
        <v>4.9094455000000004</v>
      </c>
      <c r="AD57" s="32" t="s">
        <v>33</v>
      </c>
      <c r="AE57" s="32">
        <v>5.5476734149999998E-2</v>
      </c>
      <c r="AF57" s="5"/>
      <c r="AG57" s="5"/>
    </row>
    <row r="58" spans="1:34" x14ac:dyDescent="0.25">
      <c r="A58" s="24">
        <v>2020</v>
      </c>
      <c r="B58" s="7">
        <v>71</v>
      </c>
      <c r="C58" t="s">
        <v>40</v>
      </c>
      <c r="D58" s="39">
        <v>0</v>
      </c>
      <c r="E58" s="6">
        <v>0</v>
      </c>
      <c r="F58" s="15">
        <v>0</v>
      </c>
      <c r="G58" s="6">
        <v>0</v>
      </c>
      <c r="H58" s="6">
        <v>0</v>
      </c>
      <c r="I58" s="6">
        <v>0</v>
      </c>
      <c r="J58" s="6">
        <v>0</v>
      </c>
      <c r="K58" s="5">
        <v>0</v>
      </c>
      <c r="L58" s="5">
        <v>0</v>
      </c>
      <c r="M58" s="5">
        <v>0</v>
      </c>
      <c r="N58" s="5">
        <v>0</v>
      </c>
      <c r="O58" s="5">
        <v>0</v>
      </c>
      <c r="P58" s="5">
        <v>0</v>
      </c>
      <c r="Q58" s="5">
        <v>0</v>
      </c>
      <c r="R58" s="5">
        <v>0</v>
      </c>
      <c r="S58" s="5">
        <v>0</v>
      </c>
      <c r="T58" s="5">
        <v>0</v>
      </c>
      <c r="U58" s="5">
        <v>0</v>
      </c>
      <c r="V58" s="5">
        <v>0</v>
      </c>
      <c r="W58" s="5">
        <v>0</v>
      </c>
      <c r="X58" s="5">
        <v>0</v>
      </c>
      <c r="Y58" s="36">
        <v>0</v>
      </c>
      <c r="Z58" s="19">
        <v>0</v>
      </c>
      <c r="AA58" s="27">
        <v>0</v>
      </c>
      <c r="AB58" s="19">
        <v>0</v>
      </c>
      <c r="AC58" s="19">
        <v>0</v>
      </c>
      <c r="AD58" s="19">
        <v>0</v>
      </c>
      <c r="AE58" s="19">
        <v>0</v>
      </c>
      <c r="AF58" s="5"/>
      <c r="AG58" s="5"/>
    </row>
    <row r="59" spans="1:34" x14ac:dyDescent="0.25">
      <c r="A59" s="7">
        <v>2020</v>
      </c>
      <c r="B59" s="7">
        <v>109</v>
      </c>
      <c r="C59" t="s">
        <v>41</v>
      </c>
      <c r="D59" s="39">
        <v>7.9164616250708125E-3</v>
      </c>
      <c r="E59" s="6">
        <v>7.9162576550262931E-3</v>
      </c>
      <c r="F59" s="15">
        <v>0.21311631576479134</v>
      </c>
      <c r="G59" s="6">
        <v>0.57183810138845037</v>
      </c>
      <c r="H59" s="6">
        <v>1.4099797439851797E-4</v>
      </c>
      <c r="I59" s="6">
        <v>0</v>
      </c>
      <c r="J59" s="6">
        <v>3.798383866793366E-3</v>
      </c>
      <c r="K59" s="5">
        <v>3.3717599182586954E-3</v>
      </c>
      <c r="L59" s="5">
        <v>3.3716730438376227E-3</v>
      </c>
      <c r="M59" s="5">
        <v>8.8735893990761913E-2</v>
      </c>
      <c r="N59" s="5">
        <v>0.24834263506121987</v>
      </c>
      <c r="O59" s="5">
        <v>1.3292482258618838E-4</v>
      </c>
      <c r="P59" s="5">
        <v>0</v>
      </c>
      <c r="Q59" s="5">
        <v>1.627983705869009E-3</v>
      </c>
      <c r="R59" s="5">
        <v>1.3313294901910203E-2</v>
      </c>
      <c r="S59" s="5">
        <v>1.3312951880812839E-2</v>
      </c>
      <c r="T59" s="5">
        <v>0.36081806662145127</v>
      </c>
      <c r="U59" s="5">
        <v>0.95598896765203656</v>
      </c>
      <c r="V59" s="5">
        <v>1.5058484217565934E-4</v>
      </c>
      <c r="W59" s="5">
        <v>0</v>
      </c>
      <c r="X59" s="5">
        <v>6.375734057891041E-3</v>
      </c>
      <c r="Y59" s="36">
        <v>1.0982538594634319</v>
      </c>
      <c r="Z59" s="19">
        <v>1.0982898592198909</v>
      </c>
      <c r="AA59" s="27">
        <v>29.517073799477171</v>
      </c>
      <c r="AB59" s="19">
        <v>80.520037662808235</v>
      </c>
      <c r="AC59" s="19">
        <v>3.7657091452616399E-2</v>
      </c>
      <c r="AD59" s="19" t="s">
        <v>33</v>
      </c>
      <c r="AE59" s="19">
        <v>0.52948066695726448</v>
      </c>
      <c r="AF59" s="5"/>
      <c r="AG59" s="5"/>
    </row>
    <row r="60" spans="1:34" x14ac:dyDescent="0.25">
      <c r="A60" s="7">
        <v>2020</v>
      </c>
      <c r="B60" s="7">
        <v>110</v>
      </c>
      <c r="C60" t="s">
        <v>42</v>
      </c>
      <c r="D60" s="39">
        <v>0.17858815093780786</v>
      </c>
      <c r="E60" s="6">
        <v>0.17858815093780786</v>
      </c>
      <c r="F60" s="15">
        <v>1.7861094904254753</v>
      </c>
      <c r="G60" s="6">
        <v>5.7990551818031921</v>
      </c>
      <c r="H60" s="6">
        <v>4.0769148134569867E-3</v>
      </c>
      <c r="I60" s="6">
        <v>0</v>
      </c>
      <c r="J60" s="6">
        <v>6.6034900284959827E-2</v>
      </c>
      <c r="K60" s="5">
        <v>0.30182118770059124</v>
      </c>
      <c r="L60" s="5">
        <v>0.30182118770059124</v>
      </c>
      <c r="M60" s="5">
        <v>3.1054059558740699</v>
      </c>
      <c r="N60" s="5">
        <v>8.8009085157322939</v>
      </c>
      <c r="O60" s="5">
        <v>5.2921101387195359E-3</v>
      </c>
      <c r="P60" s="5">
        <v>0</v>
      </c>
      <c r="Q60" s="5">
        <v>8.3874307602998022E-2</v>
      </c>
      <c r="R60" s="5">
        <v>3.2248919782002644E-2</v>
      </c>
      <c r="S60" s="5">
        <v>3.2248919782002644E-2</v>
      </c>
      <c r="T60" s="5">
        <v>0.21944493770526968</v>
      </c>
      <c r="U60" s="5">
        <v>2.2343543477623817</v>
      </c>
      <c r="V60" s="5">
        <v>2.6338703647077093E-3</v>
      </c>
      <c r="W60" s="5">
        <v>0</v>
      </c>
      <c r="X60" s="5">
        <v>4.4850604094789463E-2</v>
      </c>
      <c r="Y60" s="36">
        <v>27.907040785216864</v>
      </c>
      <c r="Z60" s="19">
        <v>27.907040785216864</v>
      </c>
      <c r="AA60" s="27">
        <v>260.93219269456392</v>
      </c>
      <c r="AB60" s="19">
        <v>1104.1346717774106</v>
      </c>
      <c r="AC60" s="19">
        <v>0.95349056016157629</v>
      </c>
      <c r="AD60" s="19" t="s">
        <v>33</v>
      </c>
      <c r="AE60" s="19">
        <v>15.809005277697903</v>
      </c>
      <c r="AF60" s="5"/>
      <c r="AG60" s="5"/>
    </row>
    <row r="61" spans="1:34" x14ac:dyDescent="0.25">
      <c r="A61" s="7">
        <v>2020</v>
      </c>
      <c r="B61" s="7">
        <v>264</v>
      </c>
      <c r="C61" t="s">
        <v>43</v>
      </c>
      <c r="D61" s="39">
        <v>1.9003840550235615E-2</v>
      </c>
      <c r="E61" s="6">
        <v>2.901751612402604E-2</v>
      </c>
      <c r="F61" s="15">
        <v>0.1869103204595963</v>
      </c>
      <c r="G61" s="6">
        <v>5.1472830953069426E-2</v>
      </c>
      <c r="H61" s="6">
        <v>7.609859408502581E-4</v>
      </c>
      <c r="I61" s="6">
        <v>0</v>
      </c>
      <c r="J61" s="6">
        <v>1.1382375970441231E-6</v>
      </c>
      <c r="K61" s="5">
        <v>2.0404345676494937E-2</v>
      </c>
      <c r="L61" s="5">
        <v>3.1155988080554187E-2</v>
      </c>
      <c r="M61" s="5">
        <v>0.18333901954796142</v>
      </c>
      <c r="N61" s="5">
        <v>5.5775452219351637E-2</v>
      </c>
      <c r="O61" s="5">
        <v>8.2459686396869696E-4</v>
      </c>
      <c r="P61" s="5">
        <v>0</v>
      </c>
      <c r="Q61" s="5">
        <v>1.2333830398038041E-6</v>
      </c>
      <c r="R61" s="5">
        <v>1.7340740712802671E-2</v>
      </c>
      <c r="S61" s="5">
        <v>2.6478080675648868E-2</v>
      </c>
      <c r="T61" s="5">
        <v>0.19115124029216271</v>
      </c>
      <c r="U61" s="5">
        <v>4.6363468199359305E-2</v>
      </c>
      <c r="V61" s="5">
        <v>6.8544796964711211E-4</v>
      </c>
      <c r="W61" s="5">
        <v>0</v>
      </c>
      <c r="X61" s="5">
        <v>1.0252523837670018E-6</v>
      </c>
      <c r="Y61" s="36">
        <v>13.501299070815575</v>
      </c>
      <c r="Z61" s="19">
        <v>20.615525711608385</v>
      </c>
      <c r="AA61" s="27">
        <v>282.4032915637257</v>
      </c>
      <c r="AB61" s="19">
        <v>329.49036826023041</v>
      </c>
      <c r="AC61" s="19">
        <v>31.330492776325457</v>
      </c>
      <c r="AD61" s="19">
        <v>107.88606606706223</v>
      </c>
      <c r="AE61" s="19">
        <v>0.12819491258293586</v>
      </c>
      <c r="AF61" s="5"/>
      <c r="AG61" s="5"/>
    </row>
    <row r="62" spans="1:34" x14ac:dyDescent="0.25">
      <c r="A62" s="7">
        <v>2020</v>
      </c>
      <c r="B62" s="7">
        <v>315</v>
      </c>
      <c r="C62" t="s">
        <v>44</v>
      </c>
      <c r="D62" s="39">
        <v>0.11885797208872724</v>
      </c>
      <c r="E62" s="6">
        <v>0.14473479996044278</v>
      </c>
      <c r="F62" s="15">
        <v>1.485011499705549</v>
      </c>
      <c r="G62" s="6">
        <v>1.6276601646683526</v>
      </c>
      <c r="H62" s="6">
        <v>5.1209915386294293E-3</v>
      </c>
      <c r="I62" s="6">
        <v>0</v>
      </c>
      <c r="J62" s="6">
        <v>1.635343575075745E-4</v>
      </c>
      <c r="K62" s="5">
        <v>0.10929879315348788</v>
      </c>
      <c r="L62" s="5">
        <v>0.13309447136771588</v>
      </c>
      <c r="M62" s="5">
        <v>1.4048814273228423</v>
      </c>
      <c r="N62" s="5">
        <v>1.4137948672801535</v>
      </c>
      <c r="O62" s="5">
        <v>4.6712657484144797E-3</v>
      </c>
      <c r="P62" s="5">
        <v>0</v>
      </c>
      <c r="Q62" s="5">
        <v>1.4917276022653864E-4</v>
      </c>
      <c r="R62" s="5">
        <v>0.13020949707432394</v>
      </c>
      <c r="S62" s="5">
        <v>0.15855769016430599</v>
      </c>
      <c r="T62" s="5">
        <v>1.5801659606600136</v>
      </c>
      <c r="U62" s="5">
        <v>1.8816252053168392</v>
      </c>
      <c r="V62" s="5">
        <v>5.6550409145096816E-3</v>
      </c>
      <c r="W62" s="5">
        <v>0</v>
      </c>
      <c r="X62" s="5">
        <v>1.8058875427880454E-4</v>
      </c>
      <c r="Y62" s="36">
        <v>48.197689878231849</v>
      </c>
      <c r="Z62" s="19">
        <v>58.690913873861675</v>
      </c>
      <c r="AA62" s="27">
        <v>535.33227503128364</v>
      </c>
      <c r="AB62" s="19">
        <v>658.04964040390348</v>
      </c>
      <c r="AC62" s="19">
        <v>2.070173958661182</v>
      </c>
      <c r="AD62" s="19" t="s">
        <v>33</v>
      </c>
      <c r="AE62" s="19">
        <v>6.6109183290932697E-2</v>
      </c>
      <c r="AF62" s="5"/>
      <c r="AG62" s="5"/>
    </row>
    <row r="63" spans="1:34" x14ac:dyDescent="0.25">
      <c r="A63" s="7">
        <v>2020</v>
      </c>
      <c r="B63" s="7">
        <v>316</v>
      </c>
      <c r="C63" t="s">
        <v>45</v>
      </c>
      <c r="D63" s="39">
        <v>2.8513999139330164E-2</v>
      </c>
      <c r="E63" s="6">
        <v>3.166360577188862E-2</v>
      </c>
      <c r="F63" s="15">
        <v>0.5178904373172537</v>
      </c>
      <c r="G63" s="6">
        <v>0.76620125373641368</v>
      </c>
      <c r="H63" s="6">
        <v>5.1891586285665436E-3</v>
      </c>
      <c r="I63" s="6">
        <v>0</v>
      </c>
      <c r="J63" s="6">
        <v>4.7805743727270915E-3</v>
      </c>
      <c r="K63" s="5">
        <v>2.9265325474831183E-2</v>
      </c>
      <c r="L63" s="5">
        <v>3.2497922304518666E-2</v>
      </c>
      <c r="M63" s="5">
        <v>0.62209495568833739</v>
      </c>
      <c r="N63" s="5">
        <v>0.78315637429045593</v>
      </c>
      <c r="O63" s="5">
        <v>5.4434030376990716E-3</v>
      </c>
      <c r="P63" s="5">
        <v>0</v>
      </c>
      <c r="Q63" s="5">
        <v>6.040987371162058E-3</v>
      </c>
      <c r="R63" s="5">
        <v>2.7621799115922701E-2</v>
      </c>
      <c r="S63" s="5">
        <v>3.0672854889390446E-2</v>
      </c>
      <c r="T63" s="5">
        <v>0.39414757175159176</v>
      </c>
      <c r="U63" s="5">
        <v>0.74606704807848845</v>
      </c>
      <c r="V63" s="5">
        <v>4.8872433927216654E-3</v>
      </c>
      <c r="W63" s="5">
        <v>0</v>
      </c>
      <c r="X63" s="5">
        <v>3.2838339370855683E-3</v>
      </c>
      <c r="Y63" s="36">
        <v>9.581362644440869</v>
      </c>
      <c r="Z63" s="19">
        <v>10.639703257640027</v>
      </c>
      <c r="AA63" s="27">
        <v>163.03181379751345</v>
      </c>
      <c r="AB63" s="19">
        <v>260.08732961383163</v>
      </c>
      <c r="AC63" s="19">
        <v>1.6482510798756567</v>
      </c>
      <c r="AD63" s="19" t="s">
        <v>33</v>
      </c>
      <c r="AE63" s="19">
        <v>0.68516010555081475</v>
      </c>
      <c r="AF63" s="5"/>
      <c r="AG63" s="5"/>
    </row>
    <row r="64" spans="1:34" x14ac:dyDescent="0.25">
      <c r="A64" s="28">
        <v>2020</v>
      </c>
      <c r="B64" s="28">
        <v>1121</v>
      </c>
      <c r="C64" s="29" t="s">
        <v>46</v>
      </c>
      <c r="D64" s="94">
        <v>0.24875593304968793</v>
      </c>
      <c r="E64" s="30">
        <v>0.31008395474238304</v>
      </c>
      <c r="F64" s="95">
        <v>1.8252378054597067</v>
      </c>
      <c r="G64" s="30">
        <v>1.7999078979342005</v>
      </c>
      <c r="H64" s="30">
        <v>1.8199332825786334E-2</v>
      </c>
      <c r="I64" s="30">
        <v>0</v>
      </c>
      <c r="J64" s="30">
        <v>2.0409411796530591E-4</v>
      </c>
      <c r="K64" s="31">
        <v>0.26264853073740985</v>
      </c>
      <c r="L64" s="31">
        <v>0.32740161860607564</v>
      </c>
      <c r="M64" s="31">
        <v>2.1317829002140898</v>
      </c>
      <c r="N64" s="31">
        <v>1.8896115048268909</v>
      </c>
      <c r="O64" s="31">
        <v>1.9336888305354311E-2</v>
      </c>
      <c r="P64" s="31">
        <v>0</v>
      </c>
      <c r="Q64" s="31">
        <v>2.1299848261303672E-4</v>
      </c>
      <c r="R64" s="31">
        <v>0.23225847329551819</v>
      </c>
      <c r="S64" s="31">
        <v>0.28951922890424803</v>
      </c>
      <c r="T64" s="31">
        <v>1.4612155054388771</v>
      </c>
      <c r="U64" s="31">
        <v>1.6933848647491307</v>
      </c>
      <c r="V64" s="31">
        <v>1.6848485693799358E-2</v>
      </c>
      <c r="W64" s="31">
        <v>0</v>
      </c>
      <c r="X64" s="31">
        <v>1.9352018494612556E-4</v>
      </c>
      <c r="Y64" s="37">
        <v>70.248972684942757</v>
      </c>
      <c r="Z64" s="32">
        <v>78.049809793298735</v>
      </c>
      <c r="AA64" s="33">
        <v>507.62419430204903</v>
      </c>
      <c r="AB64" s="32">
        <v>512.02912913917464</v>
      </c>
      <c r="AC64" s="32">
        <v>5.179838717367848</v>
      </c>
      <c r="AD64" s="32" t="s">
        <v>33</v>
      </c>
      <c r="AE64" s="32">
        <v>5.8532177506256673E-2</v>
      </c>
      <c r="AF64" s="5"/>
      <c r="AG64" s="5"/>
    </row>
    <row r="65" spans="1:33" x14ac:dyDescent="0.25">
      <c r="A65" s="24">
        <v>2021</v>
      </c>
      <c r="B65" s="7">
        <v>71</v>
      </c>
      <c r="C65" t="s">
        <v>40</v>
      </c>
      <c r="D65" s="39">
        <v>0</v>
      </c>
      <c r="E65" s="6">
        <v>0</v>
      </c>
      <c r="F65" s="15">
        <v>0</v>
      </c>
      <c r="G65" s="6">
        <v>0</v>
      </c>
      <c r="H65" s="6">
        <v>0</v>
      </c>
      <c r="I65" s="6">
        <v>0</v>
      </c>
      <c r="J65" s="6">
        <v>0</v>
      </c>
      <c r="K65" s="5">
        <v>0</v>
      </c>
      <c r="L65" s="5">
        <v>0</v>
      </c>
      <c r="M65" s="5">
        <v>0</v>
      </c>
      <c r="N65" s="5">
        <v>0</v>
      </c>
      <c r="O65" s="5">
        <v>0</v>
      </c>
      <c r="P65" s="5">
        <v>0</v>
      </c>
      <c r="Q65" s="5">
        <v>0</v>
      </c>
      <c r="R65" s="5">
        <v>0</v>
      </c>
      <c r="S65" s="5">
        <v>0</v>
      </c>
      <c r="T65" s="5">
        <v>0</v>
      </c>
      <c r="U65" s="5">
        <v>0</v>
      </c>
      <c r="V65" s="5">
        <v>0</v>
      </c>
      <c r="W65" s="5">
        <v>0</v>
      </c>
      <c r="X65" s="5">
        <v>0</v>
      </c>
      <c r="Y65" s="36">
        <v>0</v>
      </c>
      <c r="Z65" s="19">
        <v>0</v>
      </c>
      <c r="AA65" s="27">
        <v>0</v>
      </c>
      <c r="AB65" s="19">
        <v>0</v>
      </c>
      <c r="AC65" s="19">
        <v>0</v>
      </c>
      <c r="AD65" s="19">
        <v>0</v>
      </c>
      <c r="AE65" s="19">
        <v>0</v>
      </c>
      <c r="AF65" s="5"/>
      <c r="AG65" s="5"/>
    </row>
    <row r="66" spans="1:33" x14ac:dyDescent="0.25">
      <c r="A66" s="7">
        <v>2021</v>
      </c>
      <c r="B66" s="7">
        <v>109</v>
      </c>
      <c r="C66" t="s">
        <v>41</v>
      </c>
      <c r="D66" s="39">
        <v>8.1476977335171539E-3</v>
      </c>
      <c r="E66" s="6">
        <v>8.1474878056038841E-3</v>
      </c>
      <c r="F66" s="15">
        <v>0.21934134278289813</v>
      </c>
      <c r="G66" s="6">
        <v>0.58854122249089436</v>
      </c>
      <c r="H66" s="6">
        <v>1.4511645869653769E-4</v>
      </c>
      <c r="I66" s="6">
        <v>0</v>
      </c>
      <c r="J66" s="6">
        <v>3.9093328671600302E-3</v>
      </c>
      <c r="K66" s="5">
        <v>3.4702474344040835E-3</v>
      </c>
      <c r="L66" s="5">
        <v>3.4701580224221658E-3</v>
      </c>
      <c r="M66" s="5">
        <v>9.1327827581515211E-2</v>
      </c>
      <c r="N66" s="5">
        <v>0.25559660624337055</v>
      </c>
      <c r="O66" s="5">
        <v>1.3680749392933097E-4</v>
      </c>
      <c r="P66" s="5">
        <v>0</v>
      </c>
      <c r="Q66" s="5">
        <v>1.6755363417040661E-3</v>
      </c>
      <c r="R66" s="5">
        <v>1.3702169963713921E-2</v>
      </c>
      <c r="S66" s="5">
        <v>1.3701816923132177E-2</v>
      </c>
      <c r="T66" s="5">
        <v>0.37135739208454033</v>
      </c>
      <c r="U66" s="5">
        <v>0.98391295428482872</v>
      </c>
      <c r="V66" s="5">
        <v>1.5498335435759571E-4</v>
      </c>
      <c r="W66" s="5">
        <v>0</v>
      </c>
      <c r="X66" s="5">
        <v>6.5619662411389862E-3</v>
      </c>
      <c r="Y66" s="36">
        <v>1.1119395729943813</v>
      </c>
      <c r="Z66" s="19">
        <v>1.1119760213560055</v>
      </c>
      <c r="AA66" s="27">
        <v>29.884896059158457</v>
      </c>
      <c r="AB66" s="19">
        <v>81.523425139627889</v>
      </c>
      <c r="AC66" s="19">
        <v>3.8126349230850891E-2</v>
      </c>
      <c r="AD66" s="19" t="s">
        <v>33</v>
      </c>
      <c r="AE66" s="19">
        <v>0.53607870498436816</v>
      </c>
      <c r="AF66" s="5"/>
      <c r="AG66" s="5"/>
    </row>
    <row r="67" spans="1:33" x14ac:dyDescent="0.25">
      <c r="A67" s="7">
        <v>2021</v>
      </c>
      <c r="B67" s="7">
        <v>110</v>
      </c>
      <c r="C67" t="s">
        <v>42</v>
      </c>
      <c r="D67" s="39">
        <v>0.18380462655447796</v>
      </c>
      <c r="E67" s="6">
        <v>0.18380462655447796</v>
      </c>
      <c r="F67" s="15">
        <v>1.8382809058109904</v>
      </c>
      <c r="G67" s="6">
        <v>5.9684428472039883</v>
      </c>
      <c r="H67" s="6">
        <v>4.1959995713424427E-3</v>
      </c>
      <c r="I67" s="6">
        <v>0</v>
      </c>
      <c r="J67" s="6">
        <v>6.7963748561717441E-2</v>
      </c>
      <c r="K67" s="5">
        <v>0.31063724216986466</v>
      </c>
      <c r="L67" s="5">
        <v>0.31063724216986466</v>
      </c>
      <c r="M67" s="5">
        <v>3.1961133984653771</v>
      </c>
      <c r="N67" s="5">
        <v>9.0579789005018245</v>
      </c>
      <c r="O67" s="5">
        <v>5.4466901786292283E-3</v>
      </c>
      <c r="P67" s="5">
        <v>0</v>
      </c>
      <c r="Q67" s="5">
        <v>8.6324236549451303E-2</v>
      </c>
      <c r="R67" s="5">
        <v>3.3190895511206263E-2</v>
      </c>
      <c r="S67" s="5">
        <v>3.3190895511206263E-2</v>
      </c>
      <c r="T67" s="5">
        <v>0.22585482078390612</v>
      </c>
      <c r="U67" s="5">
        <v>2.2996187839128073</v>
      </c>
      <c r="V67" s="5">
        <v>2.7108044751893859E-3</v>
      </c>
      <c r="W67" s="5">
        <v>0</v>
      </c>
      <c r="X67" s="5">
        <v>4.6160669076283488E-2</v>
      </c>
      <c r="Y67" s="36">
        <v>28.254799877882011</v>
      </c>
      <c r="Z67" s="19">
        <v>28.254799877882011</v>
      </c>
      <c r="AA67" s="27">
        <v>264.18375717526146</v>
      </c>
      <c r="AB67" s="19">
        <v>1117.893668103558</v>
      </c>
      <c r="AC67" s="19">
        <v>0.96537232916096882</v>
      </c>
      <c r="AD67" s="19" t="s">
        <v>33</v>
      </c>
      <c r="AE67" s="19">
        <v>16.006006649990411</v>
      </c>
      <c r="AF67" s="5"/>
      <c r="AG67" s="5"/>
    </row>
    <row r="68" spans="1:33" x14ac:dyDescent="0.25">
      <c r="A68" s="7">
        <v>2021</v>
      </c>
      <c r="B68" s="7">
        <v>264</v>
      </c>
      <c r="C68" t="s">
        <v>43</v>
      </c>
      <c r="D68" s="39">
        <v>1.955893376517075E-2</v>
      </c>
      <c r="E68" s="6">
        <v>2.9865104077215741E-2</v>
      </c>
      <c r="F68" s="15">
        <v>0.19236988272093056</v>
      </c>
      <c r="G68" s="6">
        <v>5.2976328056195662E-2</v>
      </c>
      <c r="H68" s="6">
        <v>7.8321398108824986E-4</v>
      </c>
      <c r="I68" s="6">
        <v>0</v>
      </c>
      <c r="J68" s="6">
        <v>1.1714849801419276E-6</v>
      </c>
      <c r="K68" s="5">
        <v>2.1000346985297364E-2</v>
      </c>
      <c r="L68" s="5">
        <v>3.206603979049133E-2</v>
      </c>
      <c r="M68" s="5">
        <v>0.18869426579489335</v>
      </c>
      <c r="N68" s="5">
        <v>5.740462685934393E-2</v>
      </c>
      <c r="O68" s="5">
        <v>8.4868294925423925E-4</v>
      </c>
      <c r="P68" s="5">
        <v>0</v>
      </c>
      <c r="Q68" s="5">
        <v>1.2694095763873624E-6</v>
      </c>
      <c r="R68" s="5">
        <v>1.7847255566270398E-2</v>
      </c>
      <c r="S68" s="5">
        <v>2.7251492917700976E-2</v>
      </c>
      <c r="T68" s="5">
        <v>0.19673467782059978</v>
      </c>
      <c r="U68" s="5">
        <v>4.7717723227457091E-2</v>
      </c>
      <c r="V68" s="5">
        <v>7.0546958139113751E-4</v>
      </c>
      <c r="W68" s="5">
        <v>0</v>
      </c>
      <c r="X68" s="5">
        <v>1.0551995221004738E-6</v>
      </c>
      <c r="Y68" s="36">
        <v>13.669543334003622</v>
      </c>
      <c r="Z68" s="19">
        <v>20.872422763913608</v>
      </c>
      <c r="AA68" s="27">
        <v>285.92241468379063</v>
      </c>
      <c r="AB68" s="19">
        <v>333.59625940038956</v>
      </c>
      <c r="AC68" s="19">
        <v>31.720912664428337</v>
      </c>
      <c r="AD68" s="19">
        <v>109.23047089792371</v>
      </c>
      <c r="AE68" s="19">
        <v>0.12979239283271374</v>
      </c>
      <c r="AF68" s="5"/>
      <c r="AG68" s="5"/>
    </row>
    <row r="69" spans="1:33" x14ac:dyDescent="0.25">
      <c r="A69" s="7">
        <v>2021</v>
      </c>
      <c r="B69" s="7">
        <v>315</v>
      </c>
      <c r="C69" t="s">
        <v>44</v>
      </c>
      <c r="D69" s="39">
        <v>0.12232975736670806</v>
      </c>
      <c r="E69" s="6">
        <v>0.14896243516979213</v>
      </c>
      <c r="F69" s="15">
        <v>1.5283879848643345</v>
      </c>
      <c r="G69" s="6">
        <v>1.6752033500176113</v>
      </c>
      <c r="H69" s="6">
        <v>5.2705732849779707E-3</v>
      </c>
      <c r="I69" s="6">
        <v>0</v>
      </c>
      <c r="J69" s="6">
        <v>1.6831111892173542E-4</v>
      </c>
      <c r="K69" s="5">
        <v>0.1124913593255582</v>
      </c>
      <c r="L69" s="5">
        <v>0.13698209807171299</v>
      </c>
      <c r="M69" s="5">
        <v>1.4459173508791283</v>
      </c>
      <c r="N69" s="5">
        <v>1.4550911482115152</v>
      </c>
      <c r="O69" s="5">
        <v>4.8077112166475646E-3</v>
      </c>
      <c r="P69" s="5">
        <v>0</v>
      </c>
      <c r="Q69" s="5">
        <v>1.5353002616107477E-4</v>
      </c>
      <c r="R69" s="5">
        <v>0.1340128550405735</v>
      </c>
      <c r="S69" s="5">
        <v>0.16318908547376107</v>
      </c>
      <c r="T69" s="5">
        <v>1.6263218627217666</v>
      </c>
      <c r="U69" s="5">
        <v>1.9365865896623504</v>
      </c>
      <c r="V69" s="5">
        <v>5.8202219911203277E-3</v>
      </c>
      <c r="W69" s="5">
        <v>0</v>
      </c>
      <c r="X69" s="5">
        <v>1.8586366657501993E-4</v>
      </c>
      <c r="Y69" s="36">
        <v>48.798297625560217</v>
      </c>
      <c r="Z69" s="19">
        <v>59.422281241457107</v>
      </c>
      <c r="AA69" s="27">
        <v>542.00323192965413</v>
      </c>
      <c r="AB69" s="19">
        <v>666.24981997997349</v>
      </c>
      <c r="AC69" s="19">
        <v>2.0959710979230555</v>
      </c>
      <c r="AD69" s="19" t="s">
        <v>33</v>
      </c>
      <c r="AE69" s="19">
        <v>6.6932992227717827E-2</v>
      </c>
      <c r="AF69" s="5"/>
      <c r="AG69" s="5"/>
    </row>
    <row r="70" spans="1:33" x14ac:dyDescent="0.25">
      <c r="A70" s="7">
        <v>2021</v>
      </c>
      <c r="B70" s="7">
        <v>316</v>
      </c>
      <c r="C70" t="s">
        <v>45</v>
      </c>
      <c r="D70" s="39">
        <v>2.9346879598996636E-2</v>
      </c>
      <c r="E70" s="6">
        <v>3.2588484755054915E-2</v>
      </c>
      <c r="F70" s="15">
        <v>0.53301777260901595</v>
      </c>
      <c r="G70" s="6">
        <v>0.78858163080280674</v>
      </c>
      <c r="H70" s="6">
        <v>5.3407315034454438E-3</v>
      </c>
      <c r="I70" s="6">
        <v>0</v>
      </c>
      <c r="J70" s="6">
        <v>4.9202126942957669E-3</v>
      </c>
      <c r="K70" s="5">
        <v>3.0120151822221566E-2</v>
      </c>
      <c r="L70" s="5">
        <v>3.3447171279905576E-2</v>
      </c>
      <c r="M70" s="5">
        <v>0.64026605578966356</v>
      </c>
      <c r="N70" s="5">
        <v>0.80603200242744566</v>
      </c>
      <c r="O70" s="5">
        <v>5.602402271795817E-3</v>
      </c>
      <c r="P70" s="5">
        <v>0</v>
      </c>
      <c r="Q70" s="5">
        <v>6.2174417616510042E-3</v>
      </c>
      <c r="R70" s="5">
        <v>2.8428618833917021E-2</v>
      </c>
      <c r="S70" s="5">
        <v>3.1568794506794763E-2</v>
      </c>
      <c r="T70" s="5">
        <v>0.40566043633199672</v>
      </c>
      <c r="U70" s="5">
        <v>0.76785931449854794</v>
      </c>
      <c r="V70" s="5">
        <v>5.0299974660293761E-3</v>
      </c>
      <c r="W70" s="5">
        <v>0</v>
      </c>
      <c r="X70" s="5">
        <v>3.3797531768114228E-3</v>
      </c>
      <c r="Y70" s="36">
        <v>9.7007592513893055</v>
      </c>
      <c r="Z70" s="19">
        <v>10.772288205631479</v>
      </c>
      <c r="AA70" s="27">
        <v>165.06340847923298</v>
      </c>
      <c r="AB70" s="19">
        <v>263.3283659693638</v>
      </c>
      <c r="AC70" s="19">
        <v>1.6687904951591841</v>
      </c>
      <c r="AD70" s="19" t="s">
        <v>33</v>
      </c>
      <c r="AE70" s="19">
        <v>0.69369811782056878</v>
      </c>
      <c r="AF70" s="5"/>
      <c r="AG70" s="5"/>
    </row>
    <row r="71" spans="1:33" x14ac:dyDescent="0.25">
      <c r="A71" s="28">
        <v>2021</v>
      </c>
      <c r="B71" s="28">
        <v>1121</v>
      </c>
      <c r="C71" s="29" t="s">
        <v>46</v>
      </c>
      <c r="D71" s="94">
        <v>0.25602197647105479</v>
      </c>
      <c r="E71" s="30">
        <v>0.31914136073791061</v>
      </c>
      <c r="F71" s="95">
        <v>1.8785521404634924</v>
      </c>
      <c r="G71" s="30">
        <v>1.8524823582918499</v>
      </c>
      <c r="H71" s="30">
        <v>1.8730926749721627E-2</v>
      </c>
      <c r="I71" s="30">
        <v>0</v>
      </c>
      <c r="J71" s="30">
        <v>2.1005561084308692E-4</v>
      </c>
      <c r="K71" s="31">
        <v>0.27032037038159251</v>
      </c>
      <c r="L71" s="31">
        <v>0.33696486539119797</v>
      </c>
      <c r="M71" s="31">
        <v>2.1940512727830721</v>
      </c>
      <c r="N71" s="31">
        <v>1.9448061652125137</v>
      </c>
      <c r="O71" s="31">
        <v>1.9901709688057812E-2</v>
      </c>
      <c r="P71" s="31">
        <v>0</v>
      </c>
      <c r="Q71" s="31">
        <v>2.1922006778038409E-4</v>
      </c>
      <c r="R71" s="31">
        <v>0.23904263370229126</v>
      </c>
      <c r="S71" s="31">
        <v>0.29797594896213192</v>
      </c>
      <c r="T71" s="31">
        <v>1.5038969208339918</v>
      </c>
      <c r="U71" s="31">
        <v>1.7428478375735617</v>
      </c>
      <c r="V71" s="31">
        <v>1.734062201044741E-2</v>
      </c>
      <c r="W71" s="31">
        <v>0</v>
      </c>
      <c r="X71" s="31">
        <v>1.991728182300465E-4</v>
      </c>
      <c r="Y71" s="37">
        <v>71.124368940303356</v>
      </c>
      <c r="Z71" s="32">
        <v>79.022414923498815</v>
      </c>
      <c r="AA71" s="33">
        <v>513.94987141643765</v>
      </c>
      <c r="AB71" s="32">
        <v>518.40969763936073</v>
      </c>
      <c r="AC71" s="32">
        <v>5.244386443024875</v>
      </c>
      <c r="AD71" s="32" t="s">
        <v>33</v>
      </c>
      <c r="AE71" s="32">
        <v>5.9261566806181075E-2</v>
      </c>
      <c r="AF71" s="5"/>
      <c r="AG71" s="5"/>
    </row>
    <row r="72" spans="1:33" x14ac:dyDescent="0.25">
      <c r="A72" s="24" t="s">
        <v>98</v>
      </c>
      <c r="B72" s="7">
        <v>71</v>
      </c>
      <c r="C72" t="s">
        <v>40</v>
      </c>
      <c r="D72" s="39">
        <v>0</v>
      </c>
      <c r="E72" s="6">
        <v>0</v>
      </c>
      <c r="F72" s="15">
        <v>0</v>
      </c>
      <c r="G72" s="6">
        <v>0</v>
      </c>
      <c r="H72" s="6">
        <v>0</v>
      </c>
      <c r="I72" s="6">
        <v>0</v>
      </c>
      <c r="J72" s="6">
        <v>0</v>
      </c>
      <c r="K72" s="5">
        <v>0</v>
      </c>
      <c r="L72" s="5">
        <v>0</v>
      </c>
      <c r="M72" s="5">
        <v>0</v>
      </c>
      <c r="N72" s="5">
        <v>0</v>
      </c>
      <c r="O72" s="5">
        <v>0</v>
      </c>
      <c r="P72" s="5">
        <v>0</v>
      </c>
      <c r="Q72" s="5">
        <v>0</v>
      </c>
      <c r="R72" s="5">
        <v>0</v>
      </c>
      <c r="S72" s="5">
        <v>0</v>
      </c>
      <c r="T72" s="5">
        <v>0</v>
      </c>
      <c r="U72" s="5">
        <v>0</v>
      </c>
      <c r="V72" s="5">
        <v>0</v>
      </c>
      <c r="W72" s="5">
        <v>0</v>
      </c>
      <c r="X72" s="5">
        <v>0</v>
      </c>
      <c r="Y72" s="36">
        <v>0</v>
      </c>
      <c r="Z72" s="19">
        <v>0</v>
      </c>
      <c r="AA72" s="27">
        <v>0</v>
      </c>
      <c r="AB72" s="19">
        <v>0</v>
      </c>
      <c r="AC72" s="19">
        <v>0</v>
      </c>
      <c r="AD72" s="19">
        <v>0</v>
      </c>
      <c r="AE72" s="19">
        <v>0</v>
      </c>
      <c r="AF72" s="5"/>
      <c r="AG72" s="5"/>
    </row>
    <row r="73" spans="1:33" x14ac:dyDescent="0.25">
      <c r="A73" s="7" t="s">
        <v>98</v>
      </c>
      <c r="B73" s="7">
        <v>109</v>
      </c>
      <c r="C73" t="s">
        <v>41</v>
      </c>
      <c r="D73" s="39">
        <v>8.1476977335171539E-3</v>
      </c>
      <c r="E73" s="6">
        <v>8.1474878056038841E-3</v>
      </c>
      <c r="F73" s="15">
        <v>0.21934134278289813</v>
      </c>
      <c r="G73" s="6">
        <v>0.58854122249089436</v>
      </c>
      <c r="H73" s="6">
        <v>1.4511645869653769E-4</v>
      </c>
      <c r="I73" s="6">
        <v>0</v>
      </c>
      <c r="J73" s="6">
        <v>3.9093328671600302E-3</v>
      </c>
      <c r="K73" s="5">
        <v>3.4702474344040835E-3</v>
      </c>
      <c r="L73" s="5">
        <v>3.4701580224221658E-3</v>
      </c>
      <c r="M73" s="5">
        <v>9.1327827581515211E-2</v>
      </c>
      <c r="N73" s="5">
        <v>0.25559660624337055</v>
      </c>
      <c r="O73" s="5">
        <v>1.3680749392933097E-4</v>
      </c>
      <c r="P73" s="5">
        <v>0</v>
      </c>
      <c r="Q73" s="5">
        <v>1.6755363417040661E-3</v>
      </c>
      <c r="R73" s="5">
        <v>1.3702169963713921E-2</v>
      </c>
      <c r="S73" s="5">
        <v>1.3701816923132177E-2</v>
      </c>
      <c r="T73" s="5">
        <v>0.37135739208454033</v>
      </c>
      <c r="U73" s="5">
        <v>0.98391295428482872</v>
      </c>
      <c r="V73" s="5">
        <v>1.5498335435759571E-4</v>
      </c>
      <c r="W73" s="5">
        <v>0</v>
      </c>
      <c r="X73" s="5">
        <v>6.5619662411389862E-3</v>
      </c>
      <c r="Y73" s="36">
        <v>1.1119395729943813</v>
      </c>
      <c r="Z73" s="19">
        <v>1.1119760213560055</v>
      </c>
      <c r="AA73" s="27">
        <v>29.884896059158457</v>
      </c>
      <c r="AB73" s="19">
        <v>81.523425139627889</v>
      </c>
      <c r="AC73" s="19">
        <v>3.8126349230850891E-2</v>
      </c>
      <c r="AD73" s="19" t="s">
        <v>33</v>
      </c>
      <c r="AE73" s="19">
        <v>0.53607870498436816</v>
      </c>
      <c r="AF73" s="5"/>
      <c r="AG73" s="5"/>
    </row>
    <row r="74" spans="1:33" x14ac:dyDescent="0.25">
      <c r="A74" s="7" t="s">
        <v>98</v>
      </c>
      <c r="B74" s="7">
        <v>110</v>
      </c>
      <c r="C74" t="s">
        <v>42</v>
      </c>
      <c r="D74" s="39">
        <v>0.18380462655447796</v>
      </c>
      <c r="E74" s="6">
        <v>0.18380462655447796</v>
      </c>
      <c r="F74" s="15">
        <v>0.65591896044882847</v>
      </c>
      <c r="G74" s="6">
        <v>5.9684428472039883</v>
      </c>
      <c r="H74" s="6">
        <v>4.1959995713424427E-3</v>
      </c>
      <c r="I74" s="6">
        <v>0</v>
      </c>
      <c r="J74" s="6">
        <v>6.7963748561717441E-2</v>
      </c>
      <c r="K74" s="5">
        <v>0.31063724216986466</v>
      </c>
      <c r="L74" s="5">
        <v>0.31063724216986466</v>
      </c>
      <c r="M74" s="5">
        <v>1.1306611184726485</v>
      </c>
      <c r="N74" s="5">
        <v>9.0579789005018245</v>
      </c>
      <c r="O74" s="5">
        <v>5.4466901786292283E-3</v>
      </c>
      <c r="P74" s="5">
        <v>0</v>
      </c>
      <c r="Q74" s="5">
        <v>8.6324236549451303E-2</v>
      </c>
      <c r="R74" s="5">
        <v>3.3190895511206263E-2</v>
      </c>
      <c r="S74" s="5">
        <v>3.3190895511206263E-2</v>
      </c>
      <c r="T74" s="5">
        <v>9.2162647795542257E-2</v>
      </c>
      <c r="U74" s="5">
        <v>2.2996187839128073</v>
      </c>
      <c r="V74" s="5">
        <v>2.7108044751893859E-3</v>
      </c>
      <c r="W74" s="5">
        <v>0</v>
      </c>
      <c r="X74" s="5">
        <v>4.6160669076283488E-2</v>
      </c>
      <c r="Y74" s="36">
        <v>28.254799877882011</v>
      </c>
      <c r="Z74" s="19">
        <v>28.254799877882011</v>
      </c>
      <c r="AA74" s="27">
        <v>94.263686701035653</v>
      </c>
      <c r="AB74" s="19">
        <v>1117.893668103558</v>
      </c>
      <c r="AC74" s="19">
        <v>0.96537232916096882</v>
      </c>
      <c r="AD74" s="19" t="s">
        <v>33</v>
      </c>
      <c r="AE74" s="19">
        <v>16.006006649990411</v>
      </c>
      <c r="AF74" s="5"/>
      <c r="AG74" s="5"/>
    </row>
    <row r="75" spans="1:33" x14ac:dyDescent="0.25">
      <c r="A75" s="7" t="s">
        <v>98</v>
      </c>
      <c r="B75" s="7">
        <v>264</v>
      </c>
      <c r="C75" t="s">
        <v>43</v>
      </c>
      <c r="D75" s="39">
        <v>1.955893376517075E-2</v>
      </c>
      <c r="E75" s="6">
        <v>2.9865104077215741E-2</v>
      </c>
      <c r="F75" s="15">
        <v>0.19236988272093056</v>
      </c>
      <c r="G75" s="6">
        <v>5.2976328056195662E-2</v>
      </c>
      <c r="H75" s="6">
        <v>7.8321398108824986E-4</v>
      </c>
      <c r="I75" s="6">
        <v>0</v>
      </c>
      <c r="J75" s="6">
        <v>1.1714849801419276E-6</v>
      </c>
      <c r="K75" s="5">
        <v>2.1000346985297364E-2</v>
      </c>
      <c r="L75" s="5">
        <v>3.206603979049133E-2</v>
      </c>
      <c r="M75" s="5">
        <v>0.18869426579489335</v>
      </c>
      <c r="N75" s="5">
        <v>5.740462685934393E-2</v>
      </c>
      <c r="O75" s="5">
        <v>8.4868294925423925E-4</v>
      </c>
      <c r="P75" s="5">
        <v>0</v>
      </c>
      <c r="Q75" s="5">
        <v>1.2694095763873624E-6</v>
      </c>
      <c r="R75" s="5">
        <v>1.7847255566270398E-2</v>
      </c>
      <c r="S75" s="5">
        <v>2.7251492917700976E-2</v>
      </c>
      <c r="T75" s="5">
        <v>0.19673467782059978</v>
      </c>
      <c r="U75" s="5">
        <v>4.7717723227457091E-2</v>
      </c>
      <c r="V75" s="5">
        <v>7.0546958139113751E-4</v>
      </c>
      <c r="W75" s="5">
        <v>0</v>
      </c>
      <c r="X75" s="5">
        <v>1.0551995221004738E-6</v>
      </c>
      <c r="Y75" s="36">
        <v>13.66954333400362</v>
      </c>
      <c r="Z75" s="19">
        <v>20.872422763913608</v>
      </c>
      <c r="AA75" s="27">
        <v>285.92241468379063</v>
      </c>
      <c r="AB75" s="19">
        <v>333.59625940038956</v>
      </c>
      <c r="AC75" s="19">
        <v>31.720912664428337</v>
      </c>
      <c r="AD75" s="19">
        <v>0</v>
      </c>
      <c r="AE75" s="19">
        <v>0.12979239283271374</v>
      </c>
      <c r="AF75" s="5"/>
      <c r="AG75" s="5"/>
    </row>
    <row r="76" spans="1:33" x14ac:dyDescent="0.25">
      <c r="A76" s="7" t="s">
        <v>98</v>
      </c>
      <c r="B76" s="7">
        <v>315</v>
      </c>
      <c r="C76" t="s">
        <v>44</v>
      </c>
      <c r="D76" s="39">
        <v>0.12232975736670806</v>
      </c>
      <c r="E76" s="6">
        <v>0.14896243516979213</v>
      </c>
      <c r="F76" s="15">
        <v>1.5283879848643345</v>
      </c>
      <c r="G76" s="6">
        <v>1.6752033500176113</v>
      </c>
      <c r="H76" s="6">
        <v>5.2705732849779707E-3</v>
      </c>
      <c r="I76" s="6">
        <v>0</v>
      </c>
      <c r="J76" s="6">
        <v>1.6831111892173542E-4</v>
      </c>
      <c r="K76" s="5">
        <v>0.1124913593255582</v>
      </c>
      <c r="L76" s="5">
        <v>0.13698209807171299</v>
      </c>
      <c r="M76" s="5">
        <v>1.4459173508791283</v>
      </c>
      <c r="N76" s="5">
        <v>1.4550911482115152</v>
      </c>
      <c r="O76" s="5">
        <v>4.8077112166475646E-3</v>
      </c>
      <c r="P76" s="5">
        <v>0</v>
      </c>
      <c r="Q76" s="5">
        <v>1.5353002616107477E-4</v>
      </c>
      <c r="R76" s="5">
        <v>0.1340128550405735</v>
      </c>
      <c r="S76" s="5">
        <v>0.16318908547376107</v>
      </c>
      <c r="T76" s="5">
        <v>1.6263218627217666</v>
      </c>
      <c r="U76" s="5">
        <v>1.9365865896623504</v>
      </c>
      <c r="V76" s="5">
        <v>5.8202219911203277E-3</v>
      </c>
      <c r="W76" s="5">
        <v>0</v>
      </c>
      <c r="X76" s="5">
        <v>1.8586366657501993E-4</v>
      </c>
      <c r="Y76" s="36">
        <v>48.798297625560217</v>
      </c>
      <c r="Z76" s="19">
        <v>59.422281241457107</v>
      </c>
      <c r="AA76" s="27">
        <v>542.00323192965413</v>
      </c>
      <c r="AB76" s="19">
        <v>666.24981997997349</v>
      </c>
      <c r="AC76" s="19">
        <v>2.0959710979230555</v>
      </c>
      <c r="AD76" s="19" t="s">
        <v>33</v>
      </c>
      <c r="AE76" s="19">
        <v>6.6932992227717827E-2</v>
      </c>
      <c r="AF76" s="5"/>
      <c r="AG76" s="5"/>
    </row>
    <row r="77" spans="1:33" x14ac:dyDescent="0.25">
      <c r="A77" s="7" t="s">
        <v>98</v>
      </c>
      <c r="B77" s="7">
        <v>316</v>
      </c>
      <c r="C77" t="s">
        <v>45</v>
      </c>
      <c r="D77" s="39">
        <v>2.9346879598996636E-2</v>
      </c>
      <c r="E77" s="6">
        <v>3.2588484755054915E-2</v>
      </c>
      <c r="F77" s="15">
        <v>0.48301166886853691</v>
      </c>
      <c r="G77" s="6">
        <v>0.78858163080280674</v>
      </c>
      <c r="H77" s="6">
        <v>5.3407315034454438E-3</v>
      </c>
      <c r="I77" s="6">
        <v>0</v>
      </c>
      <c r="J77" s="6">
        <v>4.9202126942957669E-3</v>
      </c>
      <c r="K77" s="5">
        <v>3.0120151822221566E-2</v>
      </c>
      <c r="L77" s="5">
        <v>3.3447171279905576E-2</v>
      </c>
      <c r="M77" s="5">
        <v>0.57922342868841203</v>
      </c>
      <c r="N77" s="5">
        <v>0.80603200242744566</v>
      </c>
      <c r="O77" s="5">
        <v>5.602402271795817E-3</v>
      </c>
      <c r="P77" s="5">
        <v>0</v>
      </c>
      <c r="Q77" s="5">
        <v>6.2174417616510042E-3</v>
      </c>
      <c r="R77" s="5">
        <v>2.8428618833917021E-2</v>
      </c>
      <c r="S77" s="5">
        <v>3.1568794506794763E-2</v>
      </c>
      <c r="T77" s="5">
        <v>0.36876020408243504</v>
      </c>
      <c r="U77" s="5">
        <v>0.76785931449854794</v>
      </c>
      <c r="V77" s="5">
        <v>5.0299974660293761E-3</v>
      </c>
      <c r="W77" s="5">
        <v>0</v>
      </c>
      <c r="X77" s="5">
        <v>3.3797531768114228E-3</v>
      </c>
      <c r="Y77" s="36">
        <v>9.7007592513893073</v>
      </c>
      <c r="Z77" s="19">
        <v>10.772288205631479</v>
      </c>
      <c r="AA77" s="27">
        <v>149.57766231402158</v>
      </c>
      <c r="AB77" s="19">
        <v>263.3283659693638</v>
      </c>
      <c r="AC77" s="19">
        <v>1.6687904951591841</v>
      </c>
      <c r="AD77" s="19" t="s">
        <v>33</v>
      </c>
      <c r="AE77" s="19">
        <v>0.69369811782056878</v>
      </c>
      <c r="AF77" s="5"/>
      <c r="AG77" s="5"/>
    </row>
    <row r="78" spans="1:33" x14ac:dyDescent="0.25">
      <c r="A78" s="28" t="s">
        <v>98</v>
      </c>
      <c r="B78" s="28">
        <v>1121</v>
      </c>
      <c r="C78" s="29" t="s">
        <v>46</v>
      </c>
      <c r="D78" s="94">
        <v>0.25602197647105479</v>
      </c>
      <c r="E78" s="30">
        <v>0.31914136073791061</v>
      </c>
      <c r="F78" s="95">
        <v>1.8785521404634924</v>
      </c>
      <c r="G78" s="30">
        <v>1.8524823582918499</v>
      </c>
      <c r="H78" s="30">
        <v>1.8730926749721627E-2</v>
      </c>
      <c r="I78" s="30">
        <v>0</v>
      </c>
      <c r="J78" s="30">
        <v>2.1005561084308692E-4</v>
      </c>
      <c r="K78" s="31">
        <v>0.27032037038159251</v>
      </c>
      <c r="L78" s="31">
        <v>0.33696486539119797</v>
      </c>
      <c r="M78" s="31">
        <v>2.1940512727830721</v>
      </c>
      <c r="N78" s="31">
        <v>1.9448061652125137</v>
      </c>
      <c r="O78" s="31">
        <v>1.9901709688057812E-2</v>
      </c>
      <c r="P78" s="31">
        <v>0</v>
      </c>
      <c r="Q78" s="31">
        <v>2.1922006778038409E-4</v>
      </c>
      <c r="R78" s="31">
        <v>0.23904263370229126</v>
      </c>
      <c r="S78" s="31">
        <v>0.29797594896213192</v>
      </c>
      <c r="T78" s="31">
        <v>1.5038969208339918</v>
      </c>
      <c r="U78" s="31">
        <v>1.7428478375735617</v>
      </c>
      <c r="V78" s="31">
        <v>1.734062201044741E-2</v>
      </c>
      <c r="W78" s="31">
        <v>0</v>
      </c>
      <c r="X78" s="31">
        <v>1.991728182300465E-4</v>
      </c>
      <c r="Y78" s="37">
        <v>71.124368940303356</v>
      </c>
      <c r="Z78" s="32">
        <v>79.022414923498815</v>
      </c>
      <c r="AA78" s="33">
        <v>513.94987141643765</v>
      </c>
      <c r="AB78" s="32">
        <v>518.40969763936073</v>
      </c>
      <c r="AC78" s="32">
        <v>5.244386443024875</v>
      </c>
      <c r="AD78" s="32" t="s">
        <v>33</v>
      </c>
      <c r="AE78" s="32">
        <v>5.9261566806181075E-2</v>
      </c>
      <c r="AF78" s="5"/>
      <c r="AG78" s="5"/>
    </row>
    <row r="79" spans="1:33" x14ac:dyDescent="0.25">
      <c r="A79" s="24">
        <v>2022</v>
      </c>
      <c r="B79" s="7">
        <v>71</v>
      </c>
      <c r="C79" t="s">
        <v>40</v>
      </c>
      <c r="D79" s="39">
        <v>0</v>
      </c>
      <c r="E79" s="6">
        <v>0</v>
      </c>
      <c r="F79" s="15">
        <v>0</v>
      </c>
      <c r="G79" s="6">
        <v>0</v>
      </c>
      <c r="H79" s="6">
        <v>0</v>
      </c>
      <c r="I79" s="6">
        <v>0</v>
      </c>
      <c r="J79" s="6">
        <v>0</v>
      </c>
      <c r="K79" s="5">
        <v>0</v>
      </c>
      <c r="L79" s="5">
        <v>0</v>
      </c>
      <c r="M79" s="5">
        <v>0</v>
      </c>
      <c r="N79" s="5">
        <v>0</v>
      </c>
      <c r="O79" s="5">
        <v>0</v>
      </c>
      <c r="P79" s="5">
        <v>0</v>
      </c>
      <c r="Q79" s="5">
        <v>0</v>
      </c>
      <c r="R79" s="5">
        <v>0</v>
      </c>
      <c r="S79" s="5">
        <v>0</v>
      </c>
      <c r="T79" s="5">
        <v>0</v>
      </c>
      <c r="U79" s="5">
        <v>0</v>
      </c>
      <c r="V79" s="5">
        <v>0</v>
      </c>
      <c r="W79" s="5">
        <v>0</v>
      </c>
      <c r="X79" s="5">
        <v>0</v>
      </c>
      <c r="Y79" s="36">
        <v>0</v>
      </c>
      <c r="Z79" s="19">
        <v>0</v>
      </c>
      <c r="AA79" s="27">
        <v>0</v>
      </c>
      <c r="AB79" s="19">
        <v>0</v>
      </c>
      <c r="AC79" s="19">
        <v>0</v>
      </c>
      <c r="AD79" s="19">
        <v>0</v>
      </c>
      <c r="AE79" s="19">
        <v>0</v>
      </c>
      <c r="AF79" s="5"/>
      <c r="AG79" s="5"/>
    </row>
    <row r="80" spans="1:33" x14ac:dyDescent="0.25">
      <c r="A80" s="7">
        <v>2022</v>
      </c>
      <c r="B80" s="7">
        <v>109</v>
      </c>
      <c r="C80" t="s">
        <v>41</v>
      </c>
      <c r="D80" s="39">
        <v>8.249228956154658E-3</v>
      </c>
      <c r="E80" s="6">
        <v>8.2490164122585204E-3</v>
      </c>
      <c r="F80" s="15">
        <v>0.22207462958808835</v>
      </c>
      <c r="G80" s="6">
        <v>0.59587523411558396</v>
      </c>
      <c r="H80" s="6">
        <v>1.4692480406699421E-4</v>
      </c>
      <c r="I80" s="6">
        <v>0</v>
      </c>
      <c r="J80" s="6">
        <v>3.9580483888548212E-3</v>
      </c>
      <c r="K80" s="5">
        <v>3.5134913637192705E-3</v>
      </c>
      <c r="L80" s="5">
        <v>3.5134008375443428E-3</v>
      </c>
      <c r="M80" s="5">
        <v>9.2465894591172951E-2</v>
      </c>
      <c r="N80" s="5">
        <v>0.25878168217311837</v>
      </c>
      <c r="O80" s="5">
        <v>1.3851229847399121E-4</v>
      </c>
      <c r="P80" s="5">
        <v>0</v>
      </c>
      <c r="Q80" s="5">
        <v>1.6964157678819643E-3</v>
      </c>
      <c r="R80" s="5">
        <v>1.3872917347171681E-2</v>
      </c>
      <c r="S80" s="5">
        <v>1.3872559907231605E-2</v>
      </c>
      <c r="T80" s="5">
        <v>0.37598500239692539</v>
      </c>
      <c r="U80" s="5">
        <v>0.99617382704726198</v>
      </c>
      <c r="V80" s="5">
        <v>1.5691465445868524E-4</v>
      </c>
      <c r="W80" s="5">
        <v>0</v>
      </c>
      <c r="X80" s="5">
        <v>6.6437371262600877E-3</v>
      </c>
      <c r="Y80" s="36">
        <v>1.119455165821039</v>
      </c>
      <c r="Z80" s="19">
        <v>1.1194918605369182</v>
      </c>
      <c r="AA80" s="27">
        <v>30.086887890281783</v>
      </c>
      <c r="AB80" s="19">
        <v>82.074441475465264</v>
      </c>
      <c r="AC80" s="19">
        <v>3.8384044993952829E-2</v>
      </c>
      <c r="AD80" s="19" t="s">
        <v>33</v>
      </c>
      <c r="AE80" s="19">
        <v>0.53970205769845025</v>
      </c>
      <c r="AF80" s="5"/>
      <c r="AG80" s="5"/>
    </row>
    <row r="81" spans="1:33" x14ac:dyDescent="0.25">
      <c r="A81" s="7">
        <v>2022</v>
      </c>
      <c r="B81" s="7">
        <v>110</v>
      </c>
      <c r="C81" t="s">
        <v>42</v>
      </c>
      <c r="D81" s="39">
        <v>0.18609507829567806</v>
      </c>
      <c r="E81" s="6">
        <v>0.18609507829567806</v>
      </c>
      <c r="F81" s="15">
        <v>1.8611883471548663</v>
      </c>
      <c r="G81" s="6">
        <v>6.0428176361736208</v>
      </c>
      <c r="H81" s="6">
        <v>4.2482873439867678E-3</v>
      </c>
      <c r="I81" s="6">
        <v>0</v>
      </c>
      <c r="J81" s="6">
        <v>6.8810667864837041E-2</v>
      </c>
      <c r="K81" s="5">
        <v>0.31450819811666009</v>
      </c>
      <c r="L81" s="5">
        <v>0.31450819811666009</v>
      </c>
      <c r="M81" s="5">
        <v>3.2359412506572172</v>
      </c>
      <c r="N81" s="5">
        <v>9.1708534452470776</v>
      </c>
      <c r="O81" s="5">
        <v>5.5145632307785457E-3</v>
      </c>
      <c r="P81" s="5">
        <v>0</v>
      </c>
      <c r="Q81" s="5">
        <v>8.7399952115587334E-2</v>
      </c>
      <c r="R81" s="5">
        <v>3.3604498508261943E-2</v>
      </c>
      <c r="S81" s="5">
        <v>3.3604498508261943E-2</v>
      </c>
      <c r="T81" s="5">
        <v>0.22866927424582484</v>
      </c>
      <c r="U81" s="5">
        <v>2.3282751128988921</v>
      </c>
      <c r="V81" s="5">
        <v>2.7445847284215319E-3</v>
      </c>
      <c r="W81" s="5">
        <v>0</v>
      </c>
      <c r="X81" s="5">
        <v>4.6735892817071092E-2</v>
      </c>
      <c r="Y81" s="36">
        <v>28.445773898807456</v>
      </c>
      <c r="Z81" s="19">
        <v>28.445773898807456</v>
      </c>
      <c r="AA81" s="27">
        <v>265.96937358695106</v>
      </c>
      <c r="AB81" s="19">
        <v>1125.4495046229292</v>
      </c>
      <c r="AC81" s="19">
        <v>0.97189727487592148</v>
      </c>
      <c r="AD81" s="19" t="s">
        <v>33</v>
      </c>
      <c r="AE81" s="19">
        <v>16.114191151813795</v>
      </c>
      <c r="AF81" s="5"/>
      <c r="AG81" s="5"/>
    </row>
    <row r="82" spans="1:33" x14ac:dyDescent="0.25">
      <c r="A82" s="7">
        <v>2022</v>
      </c>
      <c r="B82" s="7">
        <v>264</v>
      </c>
      <c r="C82" t="s">
        <v>43</v>
      </c>
      <c r="D82" s="39">
        <v>1.9802664267162106E-2</v>
      </c>
      <c r="E82" s="6">
        <v>3.0237263260132194E-2</v>
      </c>
      <c r="F82" s="15">
        <v>0.19476706902190741</v>
      </c>
      <c r="G82" s="6">
        <v>5.3636484033296357E-2</v>
      </c>
      <c r="H82" s="6">
        <v>7.9297387593063649E-4</v>
      </c>
      <c r="I82" s="6">
        <v>0</v>
      </c>
      <c r="J82" s="6">
        <v>1.1860832514850086E-6</v>
      </c>
      <c r="K82" s="5">
        <v>2.1262039425906459E-2</v>
      </c>
      <c r="L82" s="5">
        <v>3.2465625579207853E-2</v>
      </c>
      <c r="M82" s="5">
        <v>0.19104564898772189</v>
      </c>
      <c r="N82" s="5">
        <v>5.8119965368540555E-2</v>
      </c>
      <c r="O82" s="5">
        <v>8.5925867509577584E-4</v>
      </c>
      <c r="P82" s="5">
        <v>0</v>
      </c>
      <c r="Q82" s="5">
        <v>1.2852281193100071E-6</v>
      </c>
      <c r="R82" s="5">
        <v>1.8069656266153186E-2</v>
      </c>
      <c r="S82" s="5">
        <v>2.7591083006229856E-2</v>
      </c>
      <c r="T82" s="5">
        <v>0.19918625531250267</v>
      </c>
      <c r="U82" s="5">
        <v>4.8312349947693865E-2</v>
      </c>
      <c r="V82" s="5">
        <v>7.1426067692203349E-4</v>
      </c>
      <c r="W82" s="5">
        <v>0</v>
      </c>
      <c r="X82" s="5">
        <v>1.068348720942823E-6</v>
      </c>
      <c r="Y82" s="36">
        <v>13.761935694451831</v>
      </c>
      <c r="Z82" s="19">
        <v>21.013499342721754</v>
      </c>
      <c r="AA82" s="27">
        <v>287.85496254967097</v>
      </c>
      <c r="AB82" s="19">
        <v>335.85103449342608</v>
      </c>
      <c r="AC82" s="19">
        <v>31.935314120645792</v>
      </c>
      <c r="AD82" s="19">
        <v>109.968758987916</v>
      </c>
      <c r="AE82" s="19">
        <v>0.13066965882829423</v>
      </c>
      <c r="AF82" s="5"/>
      <c r="AG82" s="5"/>
    </row>
    <row r="83" spans="1:33" x14ac:dyDescent="0.25">
      <c r="A83" s="7">
        <v>2022</v>
      </c>
      <c r="B83" s="7">
        <v>315</v>
      </c>
      <c r="C83" t="s">
        <v>44</v>
      </c>
      <c r="D83" s="39">
        <v>0.12385414992968913</v>
      </c>
      <c r="E83" s="6">
        <v>0.15081870655644802</v>
      </c>
      <c r="F83" s="15">
        <v>1.5474337455004203</v>
      </c>
      <c r="G83" s="6">
        <v>1.6960786266732559</v>
      </c>
      <c r="H83" s="6">
        <v>5.3362516848310991E-3</v>
      </c>
      <c r="I83" s="6">
        <v>0</v>
      </c>
      <c r="J83" s="6">
        <v>1.7040850081371606E-4</v>
      </c>
      <c r="K83" s="5">
        <v>0.11389315227640552</v>
      </c>
      <c r="L83" s="5">
        <v>0.13868907841776321</v>
      </c>
      <c r="M83" s="5">
        <v>1.4639354169965817</v>
      </c>
      <c r="N83" s="5">
        <v>1.4732235321264446</v>
      </c>
      <c r="O83" s="5">
        <v>4.8676217354075126E-3</v>
      </c>
      <c r="P83" s="5">
        <v>0</v>
      </c>
      <c r="Q83" s="5">
        <v>1.5544321584698783E-4</v>
      </c>
      <c r="R83" s="5">
        <v>0.13568283464296341</v>
      </c>
      <c r="S83" s="5">
        <v>0.16522263997113626</v>
      </c>
      <c r="T83" s="5">
        <v>1.6465880105987287</v>
      </c>
      <c r="U83" s="5">
        <v>1.9607190514475943</v>
      </c>
      <c r="V83" s="5">
        <v>5.8927497497716103E-3</v>
      </c>
      <c r="W83" s="5">
        <v>0</v>
      </c>
      <c r="X83" s="5">
        <v>1.8817977671170585E-4</v>
      </c>
      <c r="Y83" s="36">
        <v>49.128125023104978</v>
      </c>
      <c r="Z83" s="19">
        <v>59.823916079795744</v>
      </c>
      <c r="AA83" s="27">
        <v>545.66662848540955</v>
      </c>
      <c r="AB83" s="19">
        <v>670.75299847043698</v>
      </c>
      <c r="AC83" s="19">
        <v>2.1101377538556365</v>
      </c>
      <c r="AD83" s="19" t="s">
        <v>33</v>
      </c>
      <c r="AE83" s="19">
        <v>6.7385391916037859E-2</v>
      </c>
      <c r="AF83" s="5"/>
      <c r="AG83" s="5"/>
    </row>
    <row r="84" spans="1:33" x14ac:dyDescent="0.25">
      <c r="A84" s="7">
        <v>2022</v>
      </c>
      <c r="B84" s="7">
        <v>316</v>
      </c>
      <c r="C84" t="s">
        <v>45</v>
      </c>
      <c r="D84" s="39">
        <v>2.9712581011068474E-2</v>
      </c>
      <c r="E84" s="6">
        <v>3.2994580907526723E-2</v>
      </c>
      <c r="F84" s="15">
        <v>0.53965988770833884</v>
      </c>
      <c r="G84" s="6">
        <v>0.79840841374733373</v>
      </c>
      <c r="H84" s="6">
        <v>5.4072841686348752E-3</v>
      </c>
      <c r="I84" s="6">
        <v>0</v>
      </c>
      <c r="J84" s="6">
        <v>4.9815251320944097E-3</v>
      </c>
      <c r="K84" s="5">
        <v>3.0495489241521876E-2</v>
      </c>
      <c r="L84" s="5">
        <v>3.386396781616454E-2</v>
      </c>
      <c r="M84" s="5">
        <v>0.64824462809116168</v>
      </c>
      <c r="N84" s="5">
        <v>0.81607624036655857</v>
      </c>
      <c r="O84" s="5">
        <v>5.6722157051074876E-3</v>
      </c>
      <c r="P84" s="5">
        <v>0</v>
      </c>
      <c r="Q84" s="5">
        <v>6.2949194104770121E-3</v>
      </c>
      <c r="R84" s="5">
        <v>2.8782877487405052E-2</v>
      </c>
      <c r="S84" s="5">
        <v>3.1962183953519303E-2</v>
      </c>
      <c r="T84" s="5">
        <v>0.41071550850373673</v>
      </c>
      <c r="U84" s="5">
        <v>0.77742786963700417</v>
      </c>
      <c r="V84" s="5">
        <v>5.092677969073648E-3</v>
      </c>
      <c r="W84" s="5">
        <v>0</v>
      </c>
      <c r="X84" s="5">
        <v>3.4218694265150703E-3</v>
      </c>
      <c r="Y84" s="36">
        <v>9.7663266243055702</v>
      </c>
      <c r="Z84" s="19">
        <v>10.845098036247466</v>
      </c>
      <c r="AA84" s="27">
        <v>166.17907105554499</v>
      </c>
      <c r="AB84" s="19">
        <v>265.10820079708321</v>
      </c>
      <c r="AC84" s="19">
        <v>1.6800698399898013</v>
      </c>
      <c r="AD84" s="19" t="s">
        <v>33</v>
      </c>
      <c r="AE84" s="19">
        <v>0.69838681918958156</v>
      </c>
      <c r="AF84" s="5"/>
      <c r="AG84" s="5"/>
    </row>
    <row r="85" spans="1:33" x14ac:dyDescent="0.25">
      <c r="A85" s="28">
        <v>2022</v>
      </c>
      <c r="B85" s="28">
        <v>1121</v>
      </c>
      <c r="C85" s="29" t="s">
        <v>46</v>
      </c>
      <c r="D85" s="94">
        <v>0.25921235308336371</v>
      </c>
      <c r="E85" s="30">
        <v>0.32311828938815024</v>
      </c>
      <c r="F85" s="95">
        <v>1.9019614153099245</v>
      </c>
      <c r="G85" s="30">
        <v>1.8755667687478319</v>
      </c>
      <c r="H85" s="30">
        <v>1.896433917568946E-2</v>
      </c>
      <c r="I85" s="30">
        <v>0</v>
      </c>
      <c r="J85" s="30">
        <v>2.126731849957255E-4</v>
      </c>
      <c r="K85" s="31">
        <v>0.27368892412601548</v>
      </c>
      <c r="L85" s="31">
        <v>0.34116389877314474</v>
      </c>
      <c r="M85" s="31">
        <v>2.2213920892371051</v>
      </c>
      <c r="N85" s="31">
        <v>1.9690410539142276</v>
      </c>
      <c r="O85" s="31">
        <v>2.0149711636987873E-2</v>
      </c>
      <c r="P85" s="31">
        <v>0</v>
      </c>
      <c r="Q85" s="31">
        <v>2.2195184333666888E-4</v>
      </c>
      <c r="R85" s="31">
        <v>0.24202142497021484</v>
      </c>
      <c r="S85" s="31">
        <v>0.30168912824346933</v>
      </c>
      <c r="T85" s="31">
        <v>1.5226374900213981</v>
      </c>
      <c r="U85" s="31">
        <v>1.7645660551127376</v>
      </c>
      <c r="V85" s="31">
        <v>1.7556709377897588E-2</v>
      </c>
      <c r="W85" s="31">
        <v>0</v>
      </c>
      <c r="X85" s="31">
        <v>2.0165477821585523E-4</v>
      </c>
      <c r="Y85" s="37">
        <v>71.605098118390615</v>
      </c>
      <c r="Z85" s="32">
        <v>79.556526946461432</v>
      </c>
      <c r="AA85" s="33">
        <v>517.42365547871111</v>
      </c>
      <c r="AB85" s="32">
        <v>521.91362564001281</v>
      </c>
      <c r="AC85" s="32">
        <v>5.2798332191705217</v>
      </c>
      <c r="AD85" s="32" t="s">
        <v>33</v>
      </c>
      <c r="AE85" s="32">
        <v>5.9662115376626891E-2</v>
      </c>
      <c r="AF85" s="5"/>
      <c r="AG85" s="5"/>
    </row>
    <row r="86" spans="1:33" x14ac:dyDescent="0.25">
      <c r="A86" s="24" t="s">
        <v>99</v>
      </c>
      <c r="B86" s="7">
        <v>71</v>
      </c>
      <c r="C86" t="s">
        <v>40</v>
      </c>
      <c r="D86" s="39">
        <v>0</v>
      </c>
      <c r="E86" s="6">
        <v>0</v>
      </c>
      <c r="F86" s="15">
        <v>0</v>
      </c>
      <c r="G86" s="6">
        <v>0</v>
      </c>
      <c r="H86" s="6">
        <v>0</v>
      </c>
      <c r="I86" s="6">
        <v>0</v>
      </c>
      <c r="J86" s="6">
        <v>0</v>
      </c>
      <c r="K86" s="5">
        <v>0</v>
      </c>
      <c r="L86" s="5">
        <v>0</v>
      </c>
      <c r="M86" s="5">
        <v>0</v>
      </c>
      <c r="N86" s="5">
        <v>0</v>
      </c>
      <c r="O86" s="5">
        <v>0</v>
      </c>
      <c r="P86" s="5">
        <v>0</v>
      </c>
      <c r="Q86" s="5">
        <v>0</v>
      </c>
      <c r="R86" s="5">
        <v>0</v>
      </c>
      <c r="S86" s="5">
        <v>0</v>
      </c>
      <c r="T86" s="5">
        <v>0</v>
      </c>
      <c r="U86" s="5">
        <v>0</v>
      </c>
      <c r="V86" s="5">
        <v>0</v>
      </c>
      <c r="W86" s="5">
        <v>0</v>
      </c>
      <c r="X86" s="5">
        <v>0</v>
      </c>
      <c r="Y86" s="36">
        <v>0</v>
      </c>
      <c r="Z86" s="19">
        <v>0</v>
      </c>
      <c r="AA86" s="27">
        <v>0</v>
      </c>
      <c r="AB86" s="19">
        <v>0</v>
      </c>
      <c r="AC86" s="19">
        <v>0</v>
      </c>
      <c r="AD86" s="19">
        <v>0</v>
      </c>
      <c r="AE86" s="19">
        <v>0</v>
      </c>
      <c r="AF86" s="5"/>
      <c r="AG86" s="5"/>
    </row>
    <row r="87" spans="1:33" x14ac:dyDescent="0.25">
      <c r="A87" s="7" t="s">
        <v>99</v>
      </c>
      <c r="B87" s="7">
        <v>109</v>
      </c>
      <c r="C87" t="s">
        <v>41</v>
      </c>
      <c r="D87" s="39">
        <v>8.249228956154658E-3</v>
      </c>
      <c r="E87" s="6">
        <v>8.2490164122585204E-3</v>
      </c>
      <c r="F87" s="15">
        <v>0.22207462958808835</v>
      </c>
      <c r="G87" s="6">
        <v>0.59587523411558396</v>
      </c>
      <c r="H87" s="6">
        <v>1.4692480406699421E-4</v>
      </c>
      <c r="I87" s="6">
        <v>0</v>
      </c>
      <c r="J87" s="6">
        <v>3.9580483888548212E-3</v>
      </c>
      <c r="K87" s="5">
        <v>3.5134913637192705E-3</v>
      </c>
      <c r="L87" s="5">
        <v>3.5134008375443428E-3</v>
      </c>
      <c r="M87" s="5">
        <v>9.2465894591172951E-2</v>
      </c>
      <c r="N87" s="5">
        <v>0.25878168217311837</v>
      </c>
      <c r="O87" s="5">
        <v>1.3851229847399121E-4</v>
      </c>
      <c r="P87" s="5">
        <v>0</v>
      </c>
      <c r="Q87" s="5">
        <v>1.6964157678819643E-3</v>
      </c>
      <c r="R87" s="5">
        <v>1.3872917347171681E-2</v>
      </c>
      <c r="S87" s="5">
        <v>1.3872559907231605E-2</v>
      </c>
      <c r="T87" s="5">
        <v>0.37598500239692539</v>
      </c>
      <c r="U87" s="5">
        <v>0.99617382704726198</v>
      </c>
      <c r="V87" s="5">
        <v>1.5691465445868524E-4</v>
      </c>
      <c r="W87" s="5">
        <v>0</v>
      </c>
      <c r="X87" s="5">
        <v>6.6437371262600877E-3</v>
      </c>
      <c r="Y87" s="36">
        <v>1.119455165821039</v>
      </c>
      <c r="Z87" s="19">
        <v>1.1194918605369182</v>
      </c>
      <c r="AA87" s="27">
        <v>30.086887890281783</v>
      </c>
      <c r="AB87" s="19">
        <v>82.074441475465264</v>
      </c>
      <c r="AC87" s="19">
        <v>3.8384044993952829E-2</v>
      </c>
      <c r="AD87" s="19" t="s">
        <v>33</v>
      </c>
      <c r="AE87" s="19">
        <v>0.53970205769845025</v>
      </c>
      <c r="AF87" s="5"/>
      <c r="AG87" s="5"/>
    </row>
    <row r="88" spans="1:33" x14ac:dyDescent="0.25">
      <c r="A88" s="7" t="s">
        <v>99</v>
      </c>
      <c r="B88" s="7">
        <v>110</v>
      </c>
      <c r="C88" t="s">
        <v>42</v>
      </c>
      <c r="D88" s="39">
        <v>0.18609507829567806</v>
      </c>
      <c r="E88" s="6">
        <v>0.18609507829567806</v>
      </c>
      <c r="F88" s="15">
        <v>0.66409258889991052</v>
      </c>
      <c r="G88" s="6">
        <v>6.0428176361736208</v>
      </c>
      <c r="H88" s="6">
        <v>4.2482873439867678E-3</v>
      </c>
      <c r="I88" s="6">
        <v>0</v>
      </c>
      <c r="J88" s="6">
        <v>6.8810667864837041E-2</v>
      </c>
      <c r="K88" s="5">
        <v>0.31450819811666009</v>
      </c>
      <c r="L88" s="5">
        <v>0.31450819811666009</v>
      </c>
      <c r="M88" s="5">
        <v>1.1447506698406353</v>
      </c>
      <c r="N88" s="5">
        <v>9.1708534452470776</v>
      </c>
      <c r="O88" s="5">
        <v>5.5145632307785457E-3</v>
      </c>
      <c r="P88" s="5">
        <v>0</v>
      </c>
      <c r="Q88" s="5">
        <v>8.7399952115587334E-2</v>
      </c>
      <c r="R88" s="5">
        <v>3.3604498508261943E-2</v>
      </c>
      <c r="S88" s="5">
        <v>3.3604498508261943E-2</v>
      </c>
      <c r="T88" s="5">
        <v>9.3311117782799879E-2</v>
      </c>
      <c r="U88" s="5">
        <v>2.3282751128988921</v>
      </c>
      <c r="V88" s="5">
        <v>2.7445847284215319E-3</v>
      </c>
      <c r="W88" s="5">
        <v>0</v>
      </c>
      <c r="X88" s="5">
        <v>4.6735892817071092E-2</v>
      </c>
      <c r="Y88" s="36">
        <v>28.445773898807456</v>
      </c>
      <c r="Z88" s="19">
        <v>28.445773898807456</v>
      </c>
      <c r="AA88" s="27">
        <v>94.900814387459135</v>
      </c>
      <c r="AB88" s="19">
        <v>1125.4495046229292</v>
      </c>
      <c r="AC88" s="19">
        <v>0.97189727487592148</v>
      </c>
      <c r="AD88" s="19" t="s">
        <v>33</v>
      </c>
      <c r="AE88" s="19">
        <v>16.114191151813795</v>
      </c>
      <c r="AF88" s="5"/>
      <c r="AG88" s="5"/>
    </row>
    <row r="89" spans="1:33" x14ac:dyDescent="0.25">
      <c r="A89" s="7" t="s">
        <v>99</v>
      </c>
      <c r="B89" s="7">
        <v>264</v>
      </c>
      <c r="C89" t="s">
        <v>43</v>
      </c>
      <c r="D89" s="39">
        <v>1.9802664267162106E-2</v>
      </c>
      <c r="E89" s="6">
        <v>3.0237263260132194E-2</v>
      </c>
      <c r="F89" s="15">
        <v>0.19476706902190741</v>
      </c>
      <c r="G89" s="6">
        <v>5.3636484033296357E-2</v>
      </c>
      <c r="H89" s="6">
        <v>7.9297387593063649E-4</v>
      </c>
      <c r="I89" s="6">
        <v>0</v>
      </c>
      <c r="J89" s="6">
        <v>1.1860832514850086E-6</v>
      </c>
      <c r="K89" s="5">
        <v>2.1262039425906459E-2</v>
      </c>
      <c r="L89" s="5">
        <v>3.2465625579207853E-2</v>
      </c>
      <c r="M89" s="5">
        <v>0.19104564898772189</v>
      </c>
      <c r="N89" s="5">
        <v>5.8119965368540555E-2</v>
      </c>
      <c r="O89" s="5">
        <v>8.5925867509577584E-4</v>
      </c>
      <c r="P89" s="5">
        <v>0</v>
      </c>
      <c r="Q89" s="5">
        <v>1.2852281193100071E-6</v>
      </c>
      <c r="R89" s="5">
        <v>1.8069656266153186E-2</v>
      </c>
      <c r="S89" s="5">
        <v>2.7591083006229856E-2</v>
      </c>
      <c r="T89" s="5">
        <v>0.19918625531250267</v>
      </c>
      <c r="U89" s="5">
        <v>4.8312349947693865E-2</v>
      </c>
      <c r="V89" s="5">
        <v>7.1426067692203349E-4</v>
      </c>
      <c r="W89" s="5">
        <v>0</v>
      </c>
      <c r="X89" s="5">
        <v>1.068348720942823E-6</v>
      </c>
      <c r="Y89" s="36">
        <v>13.761935694451832</v>
      </c>
      <c r="Z89" s="19">
        <v>21.013499342721754</v>
      </c>
      <c r="AA89" s="27">
        <v>287.85496254967097</v>
      </c>
      <c r="AB89" s="19">
        <v>335.85103449342608</v>
      </c>
      <c r="AC89" s="19">
        <v>31.935314120645792</v>
      </c>
      <c r="AD89" s="19">
        <v>0</v>
      </c>
      <c r="AE89" s="19">
        <v>0.13066965882829423</v>
      </c>
      <c r="AF89" s="5"/>
      <c r="AG89" s="5"/>
    </row>
    <row r="90" spans="1:33" x14ac:dyDescent="0.25">
      <c r="A90" s="7" t="s">
        <v>99</v>
      </c>
      <c r="B90" s="7">
        <v>315</v>
      </c>
      <c r="C90" t="s">
        <v>44</v>
      </c>
      <c r="D90" s="39">
        <v>0.12385414992968913</v>
      </c>
      <c r="E90" s="6">
        <v>0.15081870655644802</v>
      </c>
      <c r="F90" s="15">
        <v>1.5474337455004203</v>
      </c>
      <c r="G90" s="6">
        <v>1.6960786266732559</v>
      </c>
      <c r="H90" s="6">
        <v>5.3362516848310991E-3</v>
      </c>
      <c r="I90" s="6">
        <v>0</v>
      </c>
      <c r="J90" s="6">
        <v>1.7040850081371606E-4</v>
      </c>
      <c r="K90" s="5">
        <v>0.11389315227640552</v>
      </c>
      <c r="L90" s="5">
        <v>0.13868907841776321</v>
      </c>
      <c r="M90" s="5">
        <v>1.4639354169965817</v>
      </c>
      <c r="N90" s="5">
        <v>1.4732235321264446</v>
      </c>
      <c r="O90" s="5">
        <v>4.8676217354075126E-3</v>
      </c>
      <c r="P90" s="5">
        <v>0</v>
      </c>
      <c r="Q90" s="5">
        <v>1.5544321584698783E-4</v>
      </c>
      <c r="R90" s="5">
        <v>0.13568283464296341</v>
      </c>
      <c r="S90" s="5">
        <v>0.16522263997113626</v>
      </c>
      <c r="T90" s="5">
        <v>1.6465880105987287</v>
      </c>
      <c r="U90" s="5">
        <v>1.9607190514475943</v>
      </c>
      <c r="V90" s="5">
        <v>5.8927497497716103E-3</v>
      </c>
      <c r="W90" s="5">
        <v>0</v>
      </c>
      <c r="X90" s="5">
        <v>1.8817977671170585E-4</v>
      </c>
      <c r="Y90" s="36">
        <v>49.128125023104978</v>
      </c>
      <c r="Z90" s="19">
        <v>59.823916079795737</v>
      </c>
      <c r="AA90" s="27">
        <v>545.66662848540955</v>
      </c>
      <c r="AB90" s="19">
        <v>670.75299847043698</v>
      </c>
      <c r="AC90" s="19">
        <v>2.1101377538556365</v>
      </c>
      <c r="AD90" s="19" t="s">
        <v>33</v>
      </c>
      <c r="AE90" s="19">
        <v>6.7385391916037859E-2</v>
      </c>
      <c r="AF90" s="5"/>
      <c r="AG90" s="5"/>
    </row>
    <row r="91" spans="1:33" x14ac:dyDescent="0.25">
      <c r="A91" s="7" t="s">
        <v>99</v>
      </c>
      <c r="B91" s="7">
        <v>316</v>
      </c>
      <c r="C91" t="s">
        <v>45</v>
      </c>
      <c r="D91" s="39">
        <v>2.9712581011068474E-2</v>
      </c>
      <c r="E91" s="6">
        <v>3.2994580907526723E-2</v>
      </c>
      <c r="F91" s="15">
        <v>0.48903064096253918</v>
      </c>
      <c r="G91" s="6">
        <v>0.79840841374733373</v>
      </c>
      <c r="H91" s="6">
        <v>5.4072841686348752E-3</v>
      </c>
      <c r="I91" s="6">
        <v>0</v>
      </c>
      <c r="J91" s="6">
        <v>4.9815251320944097E-3</v>
      </c>
      <c r="K91" s="5">
        <v>3.0495489241521876E-2</v>
      </c>
      <c r="L91" s="5">
        <v>3.386396781616454E-2</v>
      </c>
      <c r="M91" s="5">
        <v>0.58644132812681415</v>
      </c>
      <c r="N91" s="5">
        <v>0.81607624036655857</v>
      </c>
      <c r="O91" s="5">
        <v>5.6722157051074876E-3</v>
      </c>
      <c r="P91" s="5">
        <v>0</v>
      </c>
      <c r="Q91" s="5">
        <v>6.2949194104770121E-3</v>
      </c>
      <c r="R91" s="5">
        <v>2.8782877487405052E-2</v>
      </c>
      <c r="S91" s="5">
        <v>3.1962183953519303E-2</v>
      </c>
      <c r="T91" s="5">
        <v>0.37335544995496267</v>
      </c>
      <c r="U91" s="5">
        <v>0.77742786963700417</v>
      </c>
      <c r="V91" s="5">
        <v>5.092677969073648E-3</v>
      </c>
      <c r="W91" s="5">
        <v>0</v>
      </c>
      <c r="X91" s="5">
        <v>3.4218694265150703E-3</v>
      </c>
      <c r="Y91" s="36">
        <v>9.7663266243055702</v>
      </c>
      <c r="Z91" s="19">
        <v>10.845098036247466</v>
      </c>
      <c r="AA91" s="27">
        <v>150.58865682596993</v>
      </c>
      <c r="AB91" s="19">
        <v>265.10820079708321</v>
      </c>
      <c r="AC91" s="19">
        <v>1.6800698399898013</v>
      </c>
      <c r="AD91" s="19" t="s">
        <v>33</v>
      </c>
      <c r="AE91" s="19">
        <v>0.69838681918958156</v>
      </c>
      <c r="AF91" s="5"/>
      <c r="AG91" s="5"/>
    </row>
    <row r="92" spans="1:33" x14ac:dyDescent="0.25">
      <c r="A92" s="28" t="s">
        <v>99</v>
      </c>
      <c r="B92" s="28">
        <v>1121</v>
      </c>
      <c r="C92" s="29" t="s">
        <v>46</v>
      </c>
      <c r="D92" s="94">
        <v>0.25921235308336371</v>
      </c>
      <c r="E92" s="30">
        <v>0.32311828938815024</v>
      </c>
      <c r="F92" s="95">
        <v>1.9019614153099245</v>
      </c>
      <c r="G92" s="30">
        <v>1.8755667687478319</v>
      </c>
      <c r="H92" s="30">
        <v>1.896433917568946E-2</v>
      </c>
      <c r="I92" s="30">
        <v>0</v>
      </c>
      <c r="J92" s="30">
        <v>2.126731849957255E-4</v>
      </c>
      <c r="K92" s="31">
        <v>0.27368892412601548</v>
      </c>
      <c r="L92" s="31">
        <v>0.34116389877314474</v>
      </c>
      <c r="M92" s="31">
        <v>2.2213920892371051</v>
      </c>
      <c r="N92" s="31">
        <v>1.9690410539142276</v>
      </c>
      <c r="O92" s="31">
        <v>2.0149711636987873E-2</v>
      </c>
      <c r="P92" s="31">
        <v>0</v>
      </c>
      <c r="Q92" s="31">
        <v>2.2195184333666888E-4</v>
      </c>
      <c r="R92" s="31">
        <v>0.24202142497021484</v>
      </c>
      <c r="S92" s="31">
        <v>0.30168912824346933</v>
      </c>
      <c r="T92" s="31">
        <v>1.5226374900213981</v>
      </c>
      <c r="U92" s="31">
        <v>1.7645660551127376</v>
      </c>
      <c r="V92" s="31">
        <v>1.7556709377897588E-2</v>
      </c>
      <c r="W92" s="31">
        <v>0</v>
      </c>
      <c r="X92" s="31">
        <v>2.0165477821585523E-4</v>
      </c>
      <c r="Y92" s="37">
        <v>71.605098118390615</v>
      </c>
      <c r="Z92" s="32">
        <v>79.556526946461432</v>
      </c>
      <c r="AA92" s="33">
        <v>517.42365547871111</v>
      </c>
      <c r="AB92" s="32">
        <v>521.91362564001281</v>
      </c>
      <c r="AC92" s="32">
        <v>5.2798332191705217</v>
      </c>
      <c r="AD92" s="32" t="s">
        <v>33</v>
      </c>
      <c r="AE92" s="32">
        <v>5.9662115376626891E-2</v>
      </c>
      <c r="AF92" s="5"/>
      <c r="AG92" s="5"/>
    </row>
    <row r="93" spans="1:33" x14ac:dyDescent="0.25">
      <c r="A93" s="24">
        <v>2023</v>
      </c>
      <c r="B93" s="7">
        <v>71</v>
      </c>
      <c r="C93" t="s">
        <v>40</v>
      </c>
      <c r="D93" s="39">
        <v>0</v>
      </c>
      <c r="E93" s="6">
        <v>0</v>
      </c>
      <c r="F93" s="15">
        <v>0</v>
      </c>
      <c r="G93" s="6">
        <v>0</v>
      </c>
      <c r="H93" s="6">
        <v>0</v>
      </c>
      <c r="I93" s="6">
        <v>0</v>
      </c>
      <c r="J93" s="6">
        <v>0</v>
      </c>
      <c r="K93" s="5">
        <v>0</v>
      </c>
      <c r="L93" s="5">
        <v>0</v>
      </c>
      <c r="M93" s="5">
        <v>0</v>
      </c>
      <c r="N93" s="5">
        <v>0</v>
      </c>
      <c r="O93" s="5">
        <v>0</v>
      </c>
      <c r="P93" s="5">
        <v>0</v>
      </c>
      <c r="Q93" s="5">
        <v>0</v>
      </c>
      <c r="R93" s="5">
        <v>0</v>
      </c>
      <c r="S93" s="5">
        <v>0</v>
      </c>
      <c r="T93" s="5">
        <v>0</v>
      </c>
      <c r="U93" s="5">
        <v>0</v>
      </c>
      <c r="V93" s="5">
        <v>0</v>
      </c>
      <c r="W93" s="5">
        <v>0</v>
      </c>
      <c r="X93" s="5">
        <v>0</v>
      </c>
      <c r="Y93" s="36">
        <v>0</v>
      </c>
      <c r="Z93" s="19">
        <v>0</v>
      </c>
      <c r="AA93" s="27">
        <v>0</v>
      </c>
      <c r="AB93" s="19">
        <v>0</v>
      </c>
      <c r="AC93" s="19">
        <v>0</v>
      </c>
      <c r="AD93" s="19">
        <v>0</v>
      </c>
      <c r="AE93" s="19">
        <v>0</v>
      </c>
      <c r="AF93" s="5"/>
      <c r="AG93" s="5"/>
    </row>
    <row r="94" spans="1:33" x14ac:dyDescent="0.25">
      <c r="A94" s="7">
        <v>2023</v>
      </c>
      <c r="B94" s="7">
        <v>109</v>
      </c>
      <c r="C94" t="s">
        <v>41</v>
      </c>
      <c r="D94" s="39">
        <v>8.3049854446132672E-3</v>
      </c>
      <c r="E94" s="6">
        <v>8.3047714641342266E-3</v>
      </c>
      <c r="F94" s="15">
        <v>0.22357563066193292</v>
      </c>
      <c r="G94" s="6">
        <v>0.59990275120722092</v>
      </c>
      <c r="H94" s="6">
        <v>1.4791786792614834E-4</v>
      </c>
      <c r="I94" s="6">
        <v>0</v>
      </c>
      <c r="J94" s="6">
        <v>3.9848008138977879E-3</v>
      </c>
      <c r="K94" s="5">
        <v>3.5372390305269015E-3</v>
      </c>
      <c r="L94" s="5">
        <v>3.5371478924861089E-3</v>
      </c>
      <c r="M94" s="5">
        <v>9.3090871011634796E-2</v>
      </c>
      <c r="N94" s="5">
        <v>0.26053078599264817</v>
      </c>
      <c r="O94" s="5">
        <v>1.3944850225888902E-4</v>
      </c>
      <c r="P94" s="5">
        <v>0</v>
      </c>
      <c r="Q94" s="5">
        <v>1.7078818317632861E-3</v>
      </c>
      <c r="R94" s="5">
        <v>1.3966684311340825E-2</v>
      </c>
      <c r="S94" s="5">
        <v>1.3966324455466365E-2</v>
      </c>
      <c r="T94" s="5">
        <v>0.37852628274666195</v>
      </c>
      <c r="U94" s="5">
        <v>1.0029069598995259</v>
      </c>
      <c r="V94" s="5">
        <v>1.5797523965601875E-4</v>
      </c>
      <c r="W94" s="5">
        <v>0</v>
      </c>
      <c r="X94" s="5">
        <v>6.6886421051825084E-3</v>
      </c>
      <c r="Y94" s="36">
        <v>1.1272382713163136</v>
      </c>
      <c r="Z94" s="19">
        <v>1.1272752211552683</v>
      </c>
      <c r="AA94" s="27">
        <v>30.296069490067261</v>
      </c>
      <c r="AB94" s="19">
        <v>82.645070881602123</v>
      </c>
      <c r="AC94" s="19">
        <v>3.8650913271168909E-2</v>
      </c>
      <c r="AD94" s="19" t="s">
        <v>33</v>
      </c>
      <c r="AE94" s="19">
        <v>0.54345438131026991</v>
      </c>
      <c r="AF94" s="5"/>
      <c r="AG94" s="5"/>
    </row>
    <row r="95" spans="1:33" x14ac:dyDescent="0.25">
      <c r="A95" s="7">
        <v>2023</v>
      </c>
      <c r="B95" s="7">
        <v>110</v>
      </c>
      <c r="C95" t="s">
        <v>42</v>
      </c>
      <c r="D95" s="39">
        <v>0.18735289380065995</v>
      </c>
      <c r="E95" s="6">
        <v>0.18735289380065995</v>
      </c>
      <c r="F95" s="15">
        <v>1.873768107899658</v>
      </c>
      <c r="G95" s="6">
        <v>6.0836610039089072</v>
      </c>
      <c r="H95" s="6">
        <v>4.2770014923663125E-3</v>
      </c>
      <c r="I95" s="6">
        <v>0</v>
      </c>
      <c r="J95" s="6">
        <v>6.9275758751394717E-2</v>
      </c>
      <c r="K95" s="5">
        <v>0.31663395711930553</v>
      </c>
      <c r="L95" s="5">
        <v>0.31663395711930553</v>
      </c>
      <c r="M95" s="5">
        <v>3.2578129579348269</v>
      </c>
      <c r="N95" s="5">
        <v>9.2328391880350775</v>
      </c>
      <c r="O95" s="5">
        <v>5.5518361301931983E-3</v>
      </c>
      <c r="P95" s="5">
        <v>0</v>
      </c>
      <c r="Q95" s="5">
        <v>8.7990687861596681E-2</v>
      </c>
      <c r="R95" s="5">
        <v>3.3831631109768341E-2</v>
      </c>
      <c r="S95" s="5">
        <v>3.3831631109768341E-2</v>
      </c>
      <c r="T95" s="5">
        <v>0.230214848482895</v>
      </c>
      <c r="U95" s="5">
        <v>2.3440119102590806</v>
      </c>
      <c r="V95" s="5">
        <v>2.7631353599468869E-3</v>
      </c>
      <c r="W95" s="5">
        <v>0</v>
      </c>
      <c r="X95" s="5">
        <v>4.7051780433029863E-2</v>
      </c>
      <c r="Y95" s="36">
        <v>28.643545516562927</v>
      </c>
      <c r="Z95" s="19">
        <v>28.643545516562927</v>
      </c>
      <c r="AA95" s="27">
        <v>267.81854786059972</v>
      </c>
      <c r="AB95" s="19">
        <v>1133.2742862591463</v>
      </c>
      <c r="AC95" s="19">
        <v>0.97865447181590015</v>
      </c>
      <c r="AD95" s="19" t="s">
        <v>33</v>
      </c>
      <c r="AE95" s="19">
        <v>16.22622641104957</v>
      </c>
      <c r="AF95" s="5"/>
      <c r="AG95" s="5"/>
    </row>
    <row r="96" spans="1:33" x14ac:dyDescent="0.25">
      <c r="A96" s="7">
        <v>2023</v>
      </c>
      <c r="B96" s="7">
        <v>264</v>
      </c>
      <c r="C96" t="s">
        <v>43</v>
      </c>
      <c r="D96" s="39">
        <v>1.9936510354781969E-2</v>
      </c>
      <c r="E96" s="6">
        <v>3.044163673902877E-2</v>
      </c>
      <c r="F96" s="15">
        <v>0.19608349845958672</v>
      </c>
      <c r="G96" s="6">
        <v>5.3999012703413063E-2</v>
      </c>
      <c r="H96" s="6">
        <v>7.983335815463132E-4</v>
      </c>
      <c r="I96" s="6">
        <v>0</v>
      </c>
      <c r="J96" s="6">
        <v>1.194099980984682E-6</v>
      </c>
      <c r="K96" s="5">
        <v>2.140574942136882E-2</v>
      </c>
      <c r="L96" s="5">
        <v>3.2685060545497469E-2</v>
      </c>
      <c r="M96" s="5">
        <v>0.19233692536997166</v>
      </c>
      <c r="N96" s="5">
        <v>5.8512797861796584E-2</v>
      </c>
      <c r="O96" s="5">
        <v>8.65066399266796E-4</v>
      </c>
      <c r="P96" s="5">
        <v>0</v>
      </c>
      <c r="Q96" s="5">
        <v>1.293914968369702E-6</v>
      </c>
      <c r="R96" s="5">
        <v>1.8191788963210085E-2</v>
      </c>
      <c r="S96" s="5">
        <v>2.7777570968847195E-2</v>
      </c>
      <c r="T96" s="5">
        <v>0.20053255400350464</v>
      </c>
      <c r="U96" s="5">
        <v>4.8638892827832625E-2</v>
      </c>
      <c r="V96" s="5">
        <v>7.1908836050323967E-4</v>
      </c>
      <c r="W96" s="5">
        <v>0</v>
      </c>
      <c r="X96" s="5">
        <v>1.0755696834649711E-6</v>
      </c>
      <c r="Y96" s="36">
        <v>13.857616701248157</v>
      </c>
      <c r="Z96" s="19">
        <v>21.159597451161257</v>
      </c>
      <c r="AA96" s="27">
        <v>289.85629820764638</v>
      </c>
      <c r="AB96" s="19">
        <v>338.186066848422</v>
      </c>
      <c r="AC96" s="19">
        <v>32.157347058109103</v>
      </c>
      <c r="AD96" s="19">
        <v>110.73332596524523</v>
      </c>
      <c r="AE96" s="19">
        <v>0.13157815053992633</v>
      </c>
      <c r="AF96" s="5"/>
      <c r="AG96" s="5"/>
    </row>
    <row r="97" spans="1:33" x14ac:dyDescent="0.25">
      <c r="A97" s="7">
        <v>2023</v>
      </c>
      <c r="B97" s="7">
        <v>315</v>
      </c>
      <c r="C97" t="s">
        <v>44</v>
      </c>
      <c r="D97" s="39">
        <v>0.12469127937752111</v>
      </c>
      <c r="E97" s="6">
        <v>0.1518380892789003</v>
      </c>
      <c r="F97" s="15">
        <v>1.5578928407964827</v>
      </c>
      <c r="G97" s="6">
        <v>1.7075424118191931</v>
      </c>
      <c r="H97" s="6">
        <v>5.3723193775886829E-3</v>
      </c>
      <c r="I97" s="6">
        <v>0</v>
      </c>
      <c r="J97" s="6">
        <v>1.7156029083668299E-4</v>
      </c>
      <c r="K97" s="5">
        <v>0.11466295540154195</v>
      </c>
      <c r="L97" s="5">
        <v>0.13962647705722822</v>
      </c>
      <c r="M97" s="5">
        <v>1.4738301475969513</v>
      </c>
      <c r="N97" s="5">
        <v>1.483181041040617</v>
      </c>
      <c r="O97" s="5">
        <v>4.9005219611805723E-3</v>
      </c>
      <c r="P97" s="5">
        <v>0</v>
      </c>
      <c r="Q97" s="5">
        <v>1.564938555996735E-4</v>
      </c>
      <c r="R97" s="5">
        <v>0.13659991409899638</v>
      </c>
      <c r="S97" s="5">
        <v>0.16633937879213589</v>
      </c>
      <c r="T97" s="5">
        <v>1.6577172889709257</v>
      </c>
      <c r="U97" s="5">
        <v>1.973971539618752</v>
      </c>
      <c r="V97" s="5">
        <v>5.9325788095733138E-3</v>
      </c>
      <c r="W97" s="5">
        <v>0</v>
      </c>
      <c r="X97" s="5">
        <v>1.8945168268063174E-4</v>
      </c>
      <c r="Y97" s="36">
        <v>49.46969241366628</v>
      </c>
      <c r="Z97" s="19">
        <v>60.239846850589956</v>
      </c>
      <c r="AA97" s="27">
        <v>549.46042127356282</v>
      </c>
      <c r="AB97" s="19">
        <v>675.41646468843271</v>
      </c>
      <c r="AC97" s="19">
        <v>2.1248086627488703</v>
      </c>
      <c r="AD97" s="19" t="s">
        <v>33</v>
      </c>
      <c r="AE97" s="19">
        <v>6.7853894478834373E-2</v>
      </c>
      <c r="AF97" s="5"/>
      <c r="AG97" s="5"/>
    </row>
    <row r="98" spans="1:33" x14ac:dyDescent="0.25">
      <c r="A98" s="7">
        <v>2023</v>
      </c>
      <c r="B98" s="7">
        <v>316</v>
      </c>
      <c r="C98" t="s">
        <v>45</v>
      </c>
      <c r="D98" s="39">
        <v>2.9913408165827354E-2</v>
      </c>
      <c r="E98" s="6">
        <v>3.3217591079670705E-2</v>
      </c>
      <c r="F98" s="15">
        <v>0.54330744561472166</v>
      </c>
      <c r="G98" s="6">
        <v>0.803804851371137</v>
      </c>
      <c r="H98" s="6">
        <v>5.4438319695194626E-3</v>
      </c>
      <c r="I98" s="6">
        <v>0</v>
      </c>
      <c r="J98" s="6">
        <v>5.0151952302345121E-3</v>
      </c>
      <c r="K98" s="5">
        <v>3.0701608068259729E-2</v>
      </c>
      <c r="L98" s="5">
        <v>3.409285416914859E-2</v>
      </c>
      <c r="M98" s="5">
        <v>0.65262610959890355</v>
      </c>
      <c r="N98" s="5">
        <v>0.82159209472327333</v>
      </c>
      <c r="O98" s="5">
        <v>5.7105541766394969E-3</v>
      </c>
      <c r="P98" s="5">
        <v>0</v>
      </c>
      <c r="Q98" s="5">
        <v>6.3374667325750709E-3</v>
      </c>
      <c r="R98" s="5">
        <v>2.8977420781688912E-2</v>
      </c>
      <c r="S98" s="5">
        <v>3.2178216160915721E-2</v>
      </c>
      <c r="T98" s="5">
        <v>0.4134915321335057</v>
      </c>
      <c r="U98" s="5">
        <v>0.78268249989047489</v>
      </c>
      <c r="V98" s="5">
        <v>5.1270993485644225E-3</v>
      </c>
      <c r="W98" s="5">
        <v>0</v>
      </c>
      <c r="X98" s="5">
        <v>3.4449978212050991E-3</v>
      </c>
      <c r="Y98" s="36">
        <v>9.8342278254783118</v>
      </c>
      <c r="Z98" s="19">
        <v>10.920499485720256</v>
      </c>
      <c r="AA98" s="27">
        <v>167.33444492010119</v>
      </c>
      <c r="AB98" s="19">
        <v>266.95138769501744</v>
      </c>
      <c r="AC98" s="19">
        <v>1.6917506658087427</v>
      </c>
      <c r="AD98" s="19" t="s">
        <v>33</v>
      </c>
      <c r="AE98" s="19">
        <v>0.70324241185306724</v>
      </c>
      <c r="AF98" s="5"/>
      <c r="AG98" s="5"/>
    </row>
    <row r="99" spans="1:33" x14ac:dyDescent="0.25">
      <c r="A99" s="28">
        <v>2023</v>
      </c>
      <c r="B99" s="28">
        <v>1121</v>
      </c>
      <c r="C99" s="29" t="s">
        <v>46</v>
      </c>
      <c r="D99" s="94">
        <v>0.26096436780496263</v>
      </c>
      <c r="E99" s="30">
        <v>0.32530224394545398</v>
      </c>
      <c r="F99" s="95">
        <v>1.9148167609749684</v>
      </c>
      <c r="G99" s="30">
        <v>1.8882437131569236</v>
      </c>
      <c r="H99" s="30">
        <v>1.9092519029102979E-2</v>
      </c>
      <c r="I99" s="30">
        <v>0</v>
      </c>
      <c r="J99" s="30">
        <v>2.14110641762618E-4</v>
      </c>
      <c r="K99" s="31">
        <v>0.27553878590344827</v>
      </c>
      <c r="L99" s="31">
        <v>0.3434698234947815</v>
      </c>
      <c r="M99" s="31">
        <v>2.2364064648889284</v>
      </c>
      <c r="N99" s="31">
        <v>1.9823497904495599</v>
      </c>
      <c r="O99" s="31">
        <v>2.0285903415674503E-2</v>
      </c>
      <c r="P99" s="31">
        <v>0</v>
      </c>
      <c r="Q99" s="31">
        <v>2.234520144989852E-4</v>
      </c>
      <c r="R99" s="31">
        <v>0.24365724631301089</v>
      </c>
      <c r="S99" s="31">
        <v>0.30372824323062764</v>
      </c>
      <c r="T99" s="31">
        <v>1.5329289875771412</v>
      </c>
      <c r="U99" s="31">
        <v>1.7764927463719178</v>
      </c>
      <c r="V99" s="31">
        <v>1.7675375070049296E-2</v>
      </c>
      <c r="W99" s="31">
        <v>0</v>
      </c>
      <c r="X99" s="31">
        <v>2.0301776163818191E-4</v>
      </c>
      <c r="Y99" s="37">
        <v>72.102938540830564</v>
      </c>
      <c r="Z99" s="32">
        <v>80.109650341633611</v>
      </c>
      <c r="AA99" s="33">
        <v>521.02108663924162</v>
      </c>
      <c r="AB99" s="32">
        <v>525.54227369292369</v>
      </c>
      <c r="AC99" s="32">
        <v>5.3165417004004247</v>
      </c>
      <c r="AD99" s="32" t="s">
        <v>33</v>
      </c>
      <c r="AE99" s="32">
        <v>6.0076921214524799E-2</v>
      </c>
      <c r="AF99" s="5"/>
      <c r="AG99" s="5"/>
    </row>
    <row r="100" spans="1:33" x14ac:dyDescent="0.25">
      <c r="A100" s="24" t="s">
        <v>100</v>
      </c>
      <c r="B100" s="7">
        <v>71</v>
      </c>
      <c r="C100" t="s">
        <v>40</v>
      </c>
      <c r="D100" s="39">
        <v>0</v>
      </c>
      <c r="E100" s="6">
        <v>0</v>
      </c>
      <c r="F100" s="15">
        <v>0</v>
      </c>
      <c r="G100" s="6">
        <v>0</v>
      </c>
      <c r="H100" s="6">
        <v>0</v>
      </c>
      <c r="I100" s="6">
        <v>0</v>
      </c>
      <c r="J100" s="6">
        <v>0</v>
      </c>
      <c r="K100" s="5">
        <v>0</v>
      </c>
      <c r="L100" s="5">
        <v>0</v>
      </c>
      <c r="M100" s="5">
        <v>0</v>
      </c>
      <c r="N100" s="5">
        <v>0</v>
      </c>
      <c r="O100" s="5">
        <v>0</v>
      </c>
      <c r="P100" s="5">
        <v>0</v>
      </c>
      <c r="Q100" s="5">
        <v>0</v>
      </c>
      <c r="R100" s="5">
        <v>0</v>
      </c>
      <c r="S100" s="5">
        <v>0</v>
      </c>
      <c r="T100" s="5">
        <v>0</v>
      </c>
      <c r="U100" s="5">
        <v>0</v>
      </c>
      <c r="V100" s="5">
        <v>0</v>
      </c>
      <c r="W100" s="5">
        <v>0</v>
      </c>
      <c r="X100" s="5">
        <v>0</v>
      </c>
      <c r="Y100" s="36">
        <v>0</v>
      </c>
      <c r="Z100" s="19">
        <v>0</v>
      </c>
      <c r="AA100" s="27">
        <v>0</v>
      </c>
      <c r="AB100" s="19">
        <v>0</v>
      </c>
      <c r="AC100" s="19">
        <v>0</v>
      </c>
      <c r="AD100" s="19">
        <v>0</v>
      </c>
      <c r="AE100" s="19">
        <v>0</v>
      </c>
      <c r="AF100" s="5"/>
      <c r="AG100" s="5"/>
    </row>
    <row r="101" spans="1:33" x14ac:dyDescent="0.25">
      <c r="A101" s="7" t="s">
        <v>100</v>
      </c>
      <c r="B101" s="7">
        <v>109</v>
      </c>
      <c r="C101" t="s">
        <v>41</v>
      </c>
      <c r="D101" s="39">
        <v>8.3049854446132672E-3</v>
      </c>
      <c r="E101" s="6">
        <v>8.3047714641342266E-3</v>
      </c>
      <c r="F101" s="15">
        <v>9.4081296653113516E-2</v>
      </c>
      <c r="G101" s="6">
        <v>0.59990275120722092</v>
      </c>
      <c r="H101" s="6">
        <v>1.4791786792614834E-4</v>
      </c>
      <c r="I101" s="6">
        <v>0</v>
      </c>
      <c r="J101" s="6">
        <v>3.9848008138977879E-3</v>
      </c>
      <c r="K101" s="5">
        <v>3.5372390305269015E-3</v>
      </c>
      <c r="L101" s="5">
        <v>3.5371478924861089E-3</v>
      </c>
      <c r="M101" s="5">
        <v>3.8770047862880422E-2</v>
      </c>
      <c r="N101" s="5">
        <v>0.26053078599264817</v>
      </c>
      <c r="O101" s="5">
        <v>1.3944850225888902E-4</v>
      </c>
      <c r="P101" s="5">
        <v>0</v>
      </c>
      <c r="Q101" s="5">
        <v>1.7078818317632861E-3</v>
      </c>
      <c r="R101" s="5">
        <v>1.3966684311340825E-2</v>
      </c>
      <c r="S101" s="5">
        <v>1.3966324455466365E-2</v>
      </c>
      <c r="T101" s="5">
        <v>0.15976340459151533</v>
      </c>
      <c r="U101" s="5">
        <v>1.0029069598995259</v>
      </c>
      <c r="V101" s="5">
        <v>1.5797523965601875E-4</v>
      </c>
      <c r="W101" s="5">
        <v>0</v>
      </c>
      <c r="X101" s="5">
        <v>6.6886421051825084E-3</v>
      </c>
      <c r="Y101" s="36">
        <v>1.1272382713163136</v>
      </c>
      <c r="Z101" s="19">
        <v>1.1272752211552683</v>
      </c>
      <c r="AA101" s="27">
        <v>12.748677003301257</v>
      </c>
      <c r="AB101" s="19">
        <v>82.645070881602123</v>
      </c>
      <c r="AC101" s="19">
        <v>3.8650913271168909E-2</v>
      </c>
      <c r="AD101" s="19" t="s">
        <v>33</v>
      </c>
      <c r="AE101" s="19">
        <v>0.54345438131026991</v>
      </c>
      <c r="AF101" s="5"/>
      <c r="AG101" s="5"/>
    </row>
    <row r="102" spans="1:33" x14ac:dyDescent="0.25">
      <c r="A102" s="7" t="s">
        <v>100</v>
      </c>
      <c r="B102" s="7">
        <v>110</v>
      </c>
      <c r="C102" t="s">
        <v>42</v>
      </c>
      <c r="D102" s="39">
        <v>0.18735289380065995</v>
      </c>
      <c r="E102" s="6">
        <v>0.18735289380065995</v>
      </c>
      <c r="F102" s="15">
        <v>0.66858118667859379</v>
      </c>
      <c r="G102" s="6">
        <v>6.0836610039089072</v>
      </c>
      <c r="H102" s="6">
        <v>4.2770014923663125E-3</v>
      </c>
      <c r="I102" s="6">
        <v>0</v>
      </c>
      <c r="J102" s="6">
        <v>6.9275758751394717E-2</v>
      </c>
      <c r="K102" s="5">
        <v>0.31663395711930553</v>
      </c>
      <c r="L102" s="5">
        <v>0.31663395711930553</v>
      </c>
      <c r="M102" s="5">
        <v>1.1524880326717801</v>
      </c>
      <c r="N102" s="5">
        <v>9.2328391880350775</v>
      </c>
      <c r="O102" s="5">
        <v>5.5518361301931983E-3</v>
      </c>
      <c r="P102" s="5">
        <v>0</v>
      </c>
      <c r="Q102" s="5">
        <v>8.7990687861596681E-2</v>
      </c>
      <c r="R102" s="5">
        <v>3.3831631109768341E-2</v>
      </c>
      <c r="S102" s="5">
        <v>3.3831631109768341E-2</v>
      </c>
      <c r="T102" s="5">
        <v>9.3941807061685131E-2</v>
      </c>
      <c r="U102" s="5">
        <v>2.3440119102590806</v>
      </c>
      <c r="V102" s="5">
        <v>2.7631353599468869E-3</v>
      </c>
      <c r="W102" s="5">
        <v>0</v>
      </c>
      <c r="X102" s="5">
        <v>4.7051780433029863E-2</v>
      </c>
      <c r="Y102" s="36">
        <v>28.643545516562927</v>
      </c>
      <c r="Z102" s="19">
        <v>28.643545516562927</v>
      </c>
      <c r="AA102" s="27">
        <v>95.560620222044193</v>
      </c>
      <c r="AB102" s="19">
        <v>1133.2742862591463</v>
      </c>
      <c r="AC102" s="19">
        <v>0.97865447181590015</v>
      </c>
      <c r="AD102" s="19" t="s">
        <v>33</v>
      </c>
      <c r="AE102" s="19">
        <v>16.22622641104957</v>
      </c>
      <c r="AF102" s="5"/>
      <c r="AG102" s="5"/>
    </row>
    <row r="103" spans="1:33" x14ac:dyDescent="0.25">
      <c r="A103" s="7" t="s">
        <v>100</v>
      </c>
      <c r="B103" s="7">
        <v>264</v>
      </c>
      <c r="C103" t="s">
        <v>43</v>
      </c>
      <c r="D103" s="39">
        <v>1.9936510354781969E-2</v>
      </c>
      <c r="E103" s="6">
        <v>3.044163673902877E-2</v>
      </c>
      <c r="F103" s="15">
        <v>0.19608349845958672</v>
      </c>
      <c r="G103" s="6">
        <v>5.3999012703413063E-2</v>
      </c>
      <c r="H103" s="6">
        <v>7.983335815463132E-4</v>
      </c>
      <c r="I103" s="6">
        <v>0</v>
      </c>
      <c r="J103" s="6">
        <v>1.194099980984682E-6</v>
      </c>
      <c r="K103" s="5">
        <v>2.140574942136882E-2</v>
      </c>
      <c r="L103" s="5">
        <v>3.2685060545497469E-2</v>
      </c>
      <c r="M103" s="5">
        <v>0.19233692536997166</v>
      </c>
      <c r="N103" s="5">
        <v>5.8512797861796584E-2</v>
      </c>
      <c r="O103" s="5">
        <v>8.65066399266796E-4</v>
      </c>
      <c r="P103" s="5">
        <v>0</v>
      </c>
      <c r="Q103" s="5">
        <v>1.293914968369702E-6</v>
      </c>
      <c r="R103" s="5">
        <v>1.8191788963210085E-2</v>
      </c>
      <c r="S103" s="5">
        <v>2.7777570968847195E-2</v>
      </c>
      <c r="T103" s="5">
        <v>0.20053255400350464</v>
      </c>
      <c r="U103" s="5">
        <v>4.8638892827832625E-2</v>
      </c>
      <c r="V103" s="5">
        <v>7.1908836050323967E-4</v>
      </c>
      <c r="W103" s="5">
        <v>0</v>
      </c>
      <c r="X103" s="5">
        <v>1.0755696834649711E-6</v>
      </c>
      <c r="Y103" s="36">
        <v>13.857616701248157</v>
      </c>
      <c r="Z103" s="19">
        <v>21.159597451161257</v>
      </c>
      <c r="AA103" s="27">
        <v>289.85629820764638</v>
      </c>
      <c r="AB103" s="19">
        <v>338.186066848422</v>
      </c>
      <c r="AC103" s="19">
        <v>32.157347058109103</v>
      </c>
      <c r="AD103" s="19">
        <v>0</v>
      </c>
      <c r="AE103" s="19">
        <v>0.13157815053992633</v>
      </c>
      <c r="AF103" s="5"/>
      <c r="AG103" s="5"/>
    </row>
    <row r="104" spans="1:33" x14ac:dyDescent="0.25">
      <c r="A104" s="7" t="s">
        <v>100</v>
      </c>
      <c r="B104" s="7">
        <v>315</v>
      </c>
      <c r="C104" t="s">
        <v>44</v>
      </c>
      <c r="D104" s="39">
        <v>0.12469127937752111</v>
      </c>
      <c r="E104" s="6">
        <v>0.1518380892789003</v>
      </c>
      <c r="F104" s="15">
        <v>1.5578928407964827</v>
      </c>
      <c r="G104" s="6">
        <v>1.7075424118191931</v>
      </c>
      <c r="H104" s="6">
        <v>5.3723193775886829E-3</v>
      </c>
      <c r="I104" s="6">
        <v>0</v>
      </c>
      <c r="J104" s="6">
        <v>1.7156029083668299E-4</v>
      </c>
      <c r="K104" s="5">
        <v>0.11466295540154195</v>
      </c>
      <c r="L104" s="5">
        <v>0.13962647705722822</v>
      </c>
      <c r="M104" s="5">
        <v>1.4738301475969513</v>
      </c>
      <c r="N104" s="5">
        <v>1.483181041040617</v>
      </c>
      <c r="O104" s="5">
        <v>4.9005219611805723E-3</v>
      </c>
      <c r="P104" s="5">
        <v>0</v>
      </c>
      <c r="Q104" s="5">
        <v>1.564938555996735E-4</v>
      </c>
      <c r="R104" s="5">
        <v>0.13659991409899638</v>
      </c>
      <c r="S104" s="5">
        <v>0.16633937879213589</v>
      </c>
      <c r="T104" s="5">
        <v>1.6577172889709257</v>
      </c>
      <c r="U104" s="5">
        <v>1.973971539618752</v>
      </c>
      <c r="V104" s="5">
        <v>5.9325788095733138E-3</v>
      </c>
      <c r="W104" s="5">
        <v>0</v>
      </c>
      <c r="X104" s="5">
        <v>1.8945168268063174E-4</v>
      </c>
      <c r="Y104" s="36">
        <v>49.46969241366628</v>
      </c>
      <c r="Z104" s="19">
        <v>60.239846850589949</v>
      </c>
      <c r="AA104" s="27">
        <v>549.46042127356282</v>
      </c>
      <c r="AB104" s="19">
        <v>675.41646468843271</v>
      </c>
      <c r="AC104" s="19">
        <v>2.1248086627488703</v>
      </c>
      <c r="AD104" s="19" t="s">
        <v>33</v>
      </c>
      <c r="AE104" s="19">
        <v>6.7853894478834373E-2</v>
      </c>
      <c r="AF104" s="5"/>
      <c r="AG104" s="5"/>
    </row>
    <row r="105" spans="1:33" x14ac:dyDescent="0.25">
      <c r="A105" s="7" t="s">
        <v>100</v>
      </c>
      <c r="B105" s="7">
        <v>316</v>
      </c>
      <c r="C105" t="s">
        <v>45</v>
      </c>
      <c r="D105" s="39">
        <v>2.9913408165827354E-2</v>
      </c>
      <c r="E105" s="6">
        <v>3.3217591079670705E-2</v>
      </c>
      <c r="F105" s="15">
        <v>0.49233599609738377</v>
      </c>
      <c r="G105" s="6">
        <v>0.803804851371137</v>
      </c>
      <c r="H105" s="6">
        <v>5.4438319695194626E-3</v>
      </c>
      <c r="I105" s="6">
        <v>0</v>
      </c>
      <c r="J105" s="6">
        <v>5.0151952302345121E-3</v>
      </c>
      <c r="K105" s="5">
        <v>3.0701608068259729E-2</v>
      </c>
      <c r="L105" s="5">
        <v>3.409285416914859E-2</v>
      </c>
      <c r="M105" s="5">
        <v>0.5904050815051175</v>
      </c>
      <c r="N105" s="5">
        <v>0.82159209472327333</v>
      </c>
      <c r="O105" s="5">
        <v>5.7105541766394969E-3</v>
      </c>
      <c r="P105" s="5">
        <v>0</v>
      </c>
      <c r="Q105" s="5">
        <v>6.3374667325750709E-3</v>
      </c>
      <c r="R105" s="5">
        <v>2.8977420781688912E-2</v>
      </c>
      <c r="S105" s="5">
        <v>3.2178216160915721E-2</v>
      </c>
      <c r="T105" s="5">
        <v>0.37587895717570002</v>
      </c>
      <c r="U105" s="5">
        <v>0.78268249989047489</v>
      </c>
      <c r="V105" s="5">
        <v>5.1270993485644225E-3</v>
      </c>
      <c r="W105" s="5">
        <v>0</v>
      </c>
      <c r="X105" s="5">
        <v>3.4449978212050991E-3</v>
      </c>
      <c r="Y105" s="36">
        <v>9.8342278254783118</v>
      </c>
      <c r="Z105" s="19">
        <v>10.920499485720256</v>
      </c>
      <c r="AA105" s="27">
        <v>151.63563703406845</v>
      </c>
      <c r="AB105" s="19">
        <v>266.95138769501744</v>
      </c>
      <c r="AC105" s="19">
        <v>1.6917506658087427</v>
      </c>
      <c r="AD105" s="19" t="s">
        <v>33</v>
      </c>
      <c r="AE105" s="19">
        <v>0.70324241185306724</v>
      </c>
      <c r="AF105" s="5"/>
      <c r="AG105" s="5"/>
    </row>
    <row r="106" spans="1:33" x14ac:dyDescent="0.25">
      <c r="A106" s="28" t="s">
        <v>100</v>
      </c>
      <c r="B106" s="28">
        <v>1121</v>
      </c>
      <c r="C106" s="29" t="s">
        <v>46</v>
      </c>
      <c r="D106" s="94">
        <v>0.26096436780496263</v>
      </c>
      <c r="E106" s="30">
        <v>0.32530224394545398</v>
      </c>
      <c r="F106" s="95">
        <v>1.9148167609749684</v>
      </c>
      <c r="G106" s="30">
        <v>1.8882437131569236</v>
      </c>
      <c r="H106" s="30">
        <v>1.9092519029102979E-2</v>
      </c>
      <c r="I106" s="30">
        <v>0</v>
      </c>
      <c r="J106" s="30">
        <v>2.14110641762618E-4</v>
      </c>
      <c r="K106" s="31">
        <v>0.27553878590344827</v>
      </c>
      <c r="L106" s="31">
        <v>0.3434698234947815</v>
      </c>
      <c r="M106" s="31">
        <v>2.2364064648889284</v>
      </c>
      <c r="N106" s="31">
        <v>1.9823497904495599</v>
      </c>
      <c r="O106" s="31">
        <v>2.0285903415674503E-2</v>
      </c>
      <c r="P106" s="31">
        <v>0</v>
      </c>
      <c r="Q106" s="31">
        <v>2.234520144989852E-4</v>
      </c>
      <c r="R106" s="31">
        <v>0.24365724631301089</v>
      </c>
      <c r="S106" s="31">
        <v>0.30372824323062764</v>
      </c>
      <c r="T106" s="31">
        <v>1.5329289875771412</v>
      </c>
      <c r="U106" s="31">
        <v>1.7764927463719178</v>
      </c>
      <c r="V106" s="31">
        <v>1.7675375070049296E-2</v>
      </c>
      <c r="W106" s="31">
        <v>0</v>
      </c>
      <c r="X106" s="31">
        <v>2.0301776163818191E-4</v>
      </c>
      <c r="Y106" s="37">
        <v>72.102938540830564</v>
      </c>
      <c r="Z106" s="32">
        <v>80.109650341633611</v>
      </c>
      <c r="AA106" s="33">
        <v>521.02108663924162</v>
      </c>
      <c r="AB106" s="32">
        <v>525.54227369292369</v>
      </c>
      <c r="AC106" s="32">
        <v>5.3165417004004247</v>
      </c>
      <c r="AD106" s="32" t="s">
        <v>33</v>
      </c>
      <c r="AE106" s="32">
        <v>6.0076921214524799E-2</v>
      </c>
      <c r="AF106" s="5"/>
      <c r="AG106" s="5"/>
    </row>
    <row r="107" spans="1:33" x14ac:dyDescent="0.25">
      <c r="A107" s="24">
        <v>2024</v>
      </c>
      <c r="B107" s="7">
        <v>71</v>
      </c>
      <c r="C107" t="s">
        <v>40</v>
      </c>
      <c r="D107" s="39">
        <v>0</v>
      </c>
      <c r="E107" s="6">
        <v>0</v>
      </c>
      <c r="F107" s="15">
        <v>0</v>
      </c>
      <c r="G107" s="6">
        <v>0</v>
      </c>
      <c r="H107" s="6">
        <v>0</v>
      </c>
      <c r="I107" s="6">
        <v>0</v>
      </c>
      <c r="J107" s="6">
        <v>0</v>
      </c>
      <c r="K107" s="5">
        <v>0</v>
      </c>
      <c r="L107" s="5">
        <v>0</v>
      </c>
      <c r="M107" s="5">
        <v>0</v>
      </c>
      <c r="N107" s="5">
        <v>0</v>
      </c>
      <c r="O107" s="5">
        <v>0</v>
      </c>
      <c r="P107" s="5">
        <v>0</v>
      </c>
      <c r="Q107" s="5">
        <v>0</v>
      </c>
      <c r="R107" s="5">
        <v>0</v>
      </c>
      <c r="S107" s="5">
        <v>0</v>
      </c>
      <c r="T107" s="5">
        <v>0</v>
      </c>
      <c r="U107" s="5">
        <v>0</v>
      </c>
      <c r="V107" s="5">
        <v>0</v>
      </c>
      <c r="W107" s="5">
        <v>0</v>
      </c>
      <c r="X107" s="5">
        <v>0</v>
      </c>
      <c r="Y107" s="36">
        <v>0</v>
      </c>
      <c r="Z107" s="19">
        <v>0</v>
      </c>
      <c r="AA107" s="27">
        <v>0</v>
      </c>
      <c r="AB107" s="19">
        <v>0</v>
      </c>
      <c r="AC107" s="19">
        <v>0</v>
      </c>
      <c r="AD107" s="19">
        <v>0</v>
      </c>
      <c r="AE107" s="19">
        <v>0</v>
      </c>
    </row>
    <row r="108" spans="1:33" x14ac:dyDescent="0.25">
      <c r="A108" s="7">
        <v>2024</v>
      </c>
      <c r="B108" s="7">
        <v>109</v>
      </c>
      <c r="C108" t="s">
        <v>41</v>
      </c>
      <c r="D108" s="39">
        <v>8.362726549237802E-3</v>
      </c>
      <c r="E108" s="6">
        <v>8.3625110810416122E-3</v>
      </c>
      <c r="F108" s="15">
        <v>0.2251300588987602</v>
      </c>
      <c r="G108" s="6">
        <v>0.60407362516636398</v>
      </c>
      <c r="H108" s="6">
        <v>1.4894627925145668E-4</v>
      </c>
      <c r="I108" s="6">
        <v>0</v>
      </c>
      <c r="J108" s="6">
        <v>4.0125054742175025E-3</v>
      </c>
      <c r="K108" s="5">
        <v>3.5618319801841605E-3</v>
      </c>
      <c r="L108" s="5">
        <v>3.5617402084985282E-3</v>
      </c>
      <c r="M108" s="5">
        <v>9.3738093063800806E-2</v>
      </c>
      <c r="N108" s="5">
        <v>0.26234214803202049</v>
      </c>
      <c r="O108" s="5">
        <v>1.4041802961235205E-4</v>
      </c>
      <c r="P108" s="5">
        <v>0</v>
      </c>
      <c r="Q108" s="5">
        <v>1.7197560227768453E-3</v>
      </c>
      <c r="R108" s="5">
        <v>1.4063788849989003E-2</v>
      </c>
      <c r="S108" s="5">
        <v>1.4063426492186526E-2</v>
      </c>
      <c r="T108" s="5">
        <v>0.38115801832777452</v>
      </c>
      <c r="U108" s="5">
        <v>1.0098797542633968</v>
      </c>
      <c r="V108" s="5">
        <v>1.5907357569789344E-4</v>
      </c>
      <c r="W108" s="5">
        <v>0</v>
      </c>
      <c r="X108" s="5">
        <v>6.7351454478032837E-3</v>
      </c>
      <c r="Y108" s="36">
        <v>1.1352086356796283</v>
      </c>
      <c r="Z108" s="19">
        <v>1.135245846779833</v>
      </c>
      <c r="AA108" s="27">
        <v>30.510283927916472</v>
      </c>
      <c r="AB108" s="19">
        <v>83.229429436949204</v>
      </c>
      <c r="AC108" s="19">
        <v>3.8924202308265175E-2</v>
      </c>
      <c r="AD108" s="19" t="s">
        <v>33</v>
      </c>
      <c r="AE108" s="19">
        <v>0.54729698455051001</v>
      </c>
    </row>
    <row r="109" spans="1:33" x14ac:dyDescent="0.25">
      <c r="A109" s="7">
        <v>2024</v>
      </c>
      <c r="B109" s="7">
        <v>110</v>
      </c>
      <c r="C109" t="s">
        <v>42</v>
      </c>
      <c r="D109" s="39">
        <v>0.18865548043549499</v>
      </c>
      <c r="E109" s="6">
        <v>0.18865548043549499</v>
      </c>
      <c r="F109" s="15">
        <v>1.8867956370966568</v>
      </c>
      <c r="G109" s="6">
        <v>6.1259581649177495</v>
      </c>
      <c r="H109" s="6">
        <v>4.3067377022967205E-3</v>
      </c>
      <c r="I109" s="6">
        <v>0</v>
      </c>
      <c r="J109" s="6">
        <v>6.9757404247426547E-2</v>
      </c>
      <c r="K109" s="5">
        <v>0.31883538113956844</v>
      </c>
      <c r="L109" s="5">
        <v>0.31883538113956844</v>
      </c>
      <c r="M109" s="5">
        <v>3.2804631744952046</v>
      </c>
      <c r="N109" s="5">
        <v>9.2970312732702922</v>
      </c>
      <c r="O109" s="5">
        <v>5.590435734369464E-3</v>
      </c>
      <c r="P109" s="5">
        <v>0</v>
      </c>
      <c r="Q109" s="5">
        <v>8.8602450464636051E-2</v>
      </c>
      <c r="R109" s="5">
        <v>3.4066848349407777E-2</v>
      </c>
      <c r="S109" s="5">
        <v>3.4066848349407777E-2</v>
      </c>
      <c r="T109" s="5">
        <v>0.23181543643588098</v>
      </c>
      <c r="U109" s="5">
        <v>2.360308848749106</v>
      </c>
      <c r="V109" s="5">
        <v>2.7823462892103364E-3</v>
      </c>
      <c r="W109" s="5">
        <v>0</v>
      </c>
      <c r="X109" s="5">
        <v>4.737891186449026E-2</v>
      </c>
      <c r="Y109" s="36">
        <v>28.846075452099633</v>
      </c>
      <c r="Z109" s="19">
        <v>28.846075452099633</v>
      </c>
      <c r="AA109" s="27">
        <v>269.71221263762169</v>
      </c>
      <c r="AB109" s="19">
        <v>1141.2873294771639</v>
      </c>
      <c r="AC109" s="19">
        <v>0.98557424461340415</v>
      </c>
      <c r="AD109" s="19" t="s">
        <v>33</v>
      </c>
      <c r="AE109" s="19">
        <v>16.34095720047414</v>
      </c>
    </row>
    <row r="110" spans="1:33" x14ac:dyDescent="0.25">
      <c r="A110" s="7">
        <v>2024</v>
      </c>
      <c r="B110" s="7">
        <v>264</v>
      </c>
      <c r="C110" t="s">
        <v>43</v>
      </c>
      <c r="D110" s="39">
        <v>2.0075120607373095E-2</v>
      </c>
      <c r="E110" s="6">
        <v>3.0653284759800441E-2</v>
      </c>
      <c r="F110" s="15">
        <v>0.19744678535216534</v>
      </c>
      <c r="G110" s="6">
        <v>5.4374445347205543E-2</v>
      </c>
      <c r="H110" s="6">
        <v>8.0388406241888835E-4</v>
      </c>
      <c r="I110" s="6">
        <v>0</v>
      </c>
      <c r="J110" s="6">
        <v>1.2024020607889169E-6</v>
      </c>
      <c r="K110" s="5">
        <v>2.1554574681226134E-2</v>
      </c>
      <c r="L110" s="5">
        <v>3.2912306157570181E-2</v>
      </c>
      <c r="M110" s="5">
        <v>0.19367416390037137</v>
      </c>
      <c r="N110" s="5">
        <v>5.8919612973724743E-2</v>
      </c>
      <c r="O110" s="5">
        <v>8.7108084562559449E-4</v>
      </c>
      <c r="P110" s="5">
        <v>0</v>
      </c>
      <c r="Q110" s="5">
        <v>1.3029110202065344E-6</v>
      </c>
      <c r="R110" s="5">
        <v>1.8318268894672602E-2</v>
      </c>
      <c r="S110" s="5">
        <v>2.7970696849948882E-2</v>
      </c>
      <c r="T110" s="5">
        <v>0.20192677332617071</v>
      </c>
      <c r="U110" s="5">
        <v>4.8977058790714005E-2</v>
      </c>
      <c r="V110" s="5">
        <v>7.2408788236092477E-4</v>
      </c>
      <c r="W110" s="5">
        <v>0</v>
      </c>
      <c r="X110" s="5">
        <v>1.0830476714804962E-6</v>
      </c>
      <c r="Y110" s="36">
        <v>13.955599760488266</v>
      </c>
      <c r="Z110" s="19">
        <v>21.309210630342875</v>
      </c>
      <c r="AA110" s="27">
        <v>291.9057853200905</v>
      </c>
      <c r="AB110" s="19">
        <v>340.57727928679202</v>
      </c>
      <c r="AC110" s="19">
        <v>32.384722032444742</v>
      </c>
      <c r="AD110" s="19">
        <v>111.51628816371112</v>
      </c>
      <c r="AE110" s="19">
        <v>0.13250850025279554</v>
      </c>
    </row>
    <row r="111" spans="1:33" x14ac:dyDescent="0.25">
      <c r="A111" s="7">
        <v>2024</v>
      </c>
      <c r="B111" s="7">
        <v>315</v>
      </c>
      <c r="C111" t="s">
        <v>44</v>
      </c>
      <c r="D111" s="39">
        <v>0.12555820590693173</v>
      </c>
      <c r="E111" s="6">
        <v>0.1528937562704335</v>
      </c>
      <c r="F111" s="15">
        <v>1.5687242208288923</v>
      </c>
      <c r="G111" s="6">
        <v>1.7194142429872572</v>
      </c>
      <c r="H111" s="6">
        <v>5.4096708765559642E-3</v>
      </c>
      <c r="I111" s="6">
        <v>0</v>
      </c>
      <c r="J111" s="6">
        <v>1.7275307808100514E-4</v>
      </c>
      <c r="K111" s="5">
        <v>0.1154601591713201</v>
      </c>
      <c r="L111" s="5">
        <v>0.14059724179533448</v>
      </c>
      <c r="M111" s="5">
        <v>1.4840770747371288</v>
      </c>
      <c r="N111" s="5">
        <v>1.4934929810480975</v>
      </c>
      <c r="O111" s="5">
        <v>4.9345932492234528E-3</v>
      </c>
      <c r="P111" s="5">
        <v>0</v>
      </c>
      <c r="Q111" s="5">
        <v>1.5758189219522683E-4</v>
      </c>
      <c r="R111" s="5">
        <v>0.13754963640547055</v>
      </c>
      <c r="S111" s="5">
        <v>0.16749586720961357</v>
      </c>
      <c r="T111" s="5">
        <v>1.6692427068128617</v>
      </c>
      <c r="U111" s="5">
        <v>1.9876957415400094</v>
      </c>
      <c r="V111" s="5">
        <v>5.9738255590133203E-3</v>
      </c>
      <c r="W111" s="5">
        <v>0</v>
      </c>
      <c r="X111" s="5">
        <v>1.9076886132036693E-4</v>
      </c>
      <c r="Y111" s="36">
        <v>49.819477799339538</v>
      </c>
      <c r="Z111" s="19">
        <v>60.665784774103514</v>
      </c>
      <c r="AA111" s="27">
        <v>553.34549142439857</v>
      </c>
      <c r="AB111" s="19">
        <v>680.19213231570598</v>
      </c>
      <c r="AC111" s="19">
        <v>2.1398325487145766</v>
      </c>
      <c r="AD111" s="19" t="s">
        <v>33</v>
      </c>
      <c r="AE111" s="19">
        <v>6.8333669053764909E-2</v>
      </c>
    </row>
    <row r="112" spans="1:33" x14ac:dyDescent="0.25">
      <c r="A112" s="7">
        <v>2024</v>
      </c>
      <c r="B112" s="7">
        <v>316</v>
      </c>
      <c r="C112" t="s">
        <v>45</v>
      </c>
      <c r="D112" s="39">
        <v>3.0121383633346044E-2</v>
      </c>
      <c r="E112" s="6">
        <v>3.3448539154739304E-2</v>
      </c>
      <c r="F112" s="15">
        <v>0.54708483598701607</v>
      </c>
      <c r="G112" s="6">
        <v>0.80939337170392467</v>
      </c>
      <c r="H112" s="6">
        <v>5.4816806657521913E-3</v>
      </c>
      <c r="I112" s="6">
        <v>0</v>
      </c>
      <c r="J112" s="6">
        <v>5.0500637937537004E-3</v>
      </c>
      <c r="K112" s="5">
        <v>3.0915063561400981E-2</v>
      </c>
      <c r="L112" s="5">
        <v>3.4329887583915926E-2</v>
      </c>
      <c r="M112" s="5">
        <v>0.65716354710874203</v>
      </c>
      <c r="N112" s="5">
        <v>0.82730428235039011</v>
      </c>
      <c r="O112" s="5">
        <v>5.7502572812838633E-3</v>
      </c>
      <c r="P112" s="5">
        <v>0</v>
      </c>
      <c r="Q112" s="5">
        <v>6.3815284991007989E-3</v>
      </c>
      <c r="R112" s="5">
        <v>2.9178888718780806E-2</v>
      </c>
      <c r="S112" s="5">
        <v>3.2401937895092055E-2</v>
      </c>
      <c r="T112" s="5">
        <v>0.41636636652996634</v>
      </c>
      <c r="U112" s="5">
        <v>0.78812416531124696</v>
      </c>
      <c r="V112" s="5">
        <v>5.1627459348083304E-3</v>
      </c>
      <c r="W112" s="5">
        <v>0</v>
      </c>
      <c r="X112" s="5">
        <v>3.4689494561540215E-3</v>
      </c>
      <c r="Y112" s="36">
        <v>9.9037627064306601</v>
      </c>
      <c r="Z112" s="19">
        <v>10.997715068392891</v>
      </c>
      <c r="AA112" s="27">
        <v>168.51761668642953</v>
      </c>
      <c r="AB112" s="19">
        <v>268.83892104210406</v>
      </c>
      <c r="AC112" s="19">
        <v>1.7037125283195236</v>
      </c>
      <c r="AD112" s="19" t="s">
        <v>33</v>
      </c>
      <c r="AE112" s="19">
        <v>0.70821482842268924</v>
      </c>
    </row>
    <row r="113" spans="1:31" x14ac:dyDescent="0.25">
      <c r="A113" s="28">
        <v>2024</v>
      </c>
      <c r="B113" s="28">
        <v>1121</v>
      </c>
      <c r="C113" s="29" t="s">
        <v>46</v>
      </c>
      <c r="D113" s="94">
        <v>0.26277874435808152</v>
      </c>
      <c r="E113" s="30">
        <v>0.3275639349535257</v>
      </c>
      <c r="F113" s="95">
        <v>1.9281296843593161</v>
      </c>
      <c r="G113" s="30">
        <v>1.901371885207932</v>
      </c>
      <c r="H113" s="30">
        <v>1.9225261361543827E-2</v>
      </c>
      <c r="I113" s="30">
        <v>0</v>
      </c>
      <c r="J113" s="30">
        <v>2.1559926387396195E-4</v>
      </c>
      <c r="K113" s="31">
        <v>0.27745449231510555</v>
      </c>
      <c r="L113" s="31">
        <v>0.34585782611634458</v>
      </c>
      <c r="M113" s="31">
        <v>2.2519552675368457</v>
      </c>
      <c r="N113" s="31">
        <v>1.9961322428591548</v>
      </c>
      <c r="O113" s="31">
        <v>2.042694285268969E-2</v>
      </c>
      <c r="P113" s="31">
        <v>0</v>
      </c>
      <c r="Q113" s="31">
        <v>2.2500558328411981E-4</v>
      </c>
      <c r="R113" s="31">
        <v>0.24535129365911551</v>
      </c>
      <c r="S113" s="31">
        <v>0.30583993919767827</v>
      </c>
      <c r="T113" s="31">
        <v>1.543586804335999</v>
      </c>
      <c r="U113" s="31">
        <v>1.7888439604971049</v>
      </c>
      <c r="V113" s="31">
        <v>1.7798264590808119E-2</v>
      </c>
      <c r="W113" s="31">
        <v>0</v>
      </c>
      <c r="X113" s="31">
        <v>2.0442925957439947E-4</v>
      </c>
      <c r="Y113" s="37">
        <v>72.612756834317921</v>
      </c>
      <c r="Z113" s="32">
        <v>80.676081697353069</v>
      </c>
      <c r="AA113" s="33">
        <v>524.70507076855586</v>
      </c>
      <c r="AB113" s="32">
        <v>529.25822578241946</v>
      </c>
      <c r="AC113" s="32">
        <v>5.3541333751893463</v>
      </c>
      <c r="AD113" s="32" t="s">
        <v>33</v>
      </c>
      <c r="AE113" s="32">
        <v>6.0501707139639607E-2</v>
      </c>
    </row>
    <row r="114" spans="1:31" x14ac:dyDescent="0.25">
      <c r="A114" s="24" t="s">
        <v>101</v>
      </c>
      <c r="B114" s="7">
        <v>71</v>
      </c>
      <c r="C114" t="s">
        <v>40</v>
      </c>
      <c r="D114" s="39">
        <v>0</v>
      </c>
      <c r="E114" s="6">
        <v>0</v>
      </c>
      <c r="F114" s="15">
        <v>0</v>
      </c>
      <c r="G114" s="6">
        <v>0</v>
      </c>
      <c r="H114" s="6">
        <v>0</v>
      </c>
      <c r="I114" s="6">
        <v>0</v>
      </c>
      <c r="J114" s="6">
        <v>0</v>
      </c>
      <c r="K114" s="5">
        <v>0</v>
      </c>
      <c r="L114" s="5">
        <v>0</v>
      </c>
      <c r="M114" s="5">
        <v>0</v>
      </c>
      <c r="N114" s="5">
        <v>0</v>
      </c>
      <c r="O114" s="5">
        <v>0</v>
      </c>
      <c r="P114" s="5">
        <v>0</v>
      </c>
      <c r="Q114" s="5">
        <v>0</v>
      </c>
      <c r="R114" s="5">
        <v>0</v>
      </c>
      <c r="S114" s="5">
        <v>0</v>
      </c>
      <c r="T114" s="5">
        <v>0</v>
      </c>
      <c r="U114" s="5">
        <v>0</v>
      </c>
      <c r="V114" s="5">
        <v>0</v>
      </c>
      <c r="W114" s="5">
        <v>0</v>
      </c>
      <c r="X114" s="5">
        <v>0</v>
      </c>
      <c r="Y114" s="36">
        <v>0</v>
      </c>
      <c r="Z114" s="19">
        <v>0</v>
      </c>
      <c r="AA114" s="27">
        <v>0</v>
      </c>
      <c r="AB114" s="19">
        <v>0</v>
      </c>
      <c r="AC114" s="19">
        <v>0</v>
      </c>
      <c r="AD114" s="19">
        <v>0</v>
      </c>
      <c r="AE114" s="19">
        <v>0</v>
      </c>
    </row>
    <row r="115" spans="1:31" x14ac:dyDescent="0.25">
      <c r="A115" s="7" t="s">
        <v>101</v>
      </c>
      <c r="B115" s="7">
        <v>109</v>
      </c>
      <c r="C115" t="s">
        <v>41</v>
      </c>
      <c r="D115" s="39">
        <v>8.362726549237802E-3</v>
      </c>
      <c r="E115" s="6">
        <v>8.3625110810416122E-3</v>
      </c>
      <c r="F115" s="15">
        <v>9.4735404722235114E-2</v>
      </c>
      <c r="G115" s="6">
        <v>0.60407362516636398</v>
      </c>
      <c r="H115" s="6">
        <v>1.4894627925145668E-4</v>
      </c>
      <c r="I115" s="6">
        <v>0</v>
      </c>
      <c r="J115" s="6">
        <v>4.0125054742175025E-3</v>
      </c>
      <c r="K115" s="5">
        <v>3.5618319801841605E-3</v>
      </c>
      <c r="L115" s="5">
        <v>3.5617402084985282E-3</v>
      </c>
      <c r="M115" s="5">
        <v>3.9039599857267203E-2</v>
      </c>
      <c r="N115" s="5">
        <v>0.26234214803202049</v>
      </c>
      <c r="O115" s="5">
        <v>1.4041802961235205E-4</v>
      </c>
      <c r="P115" s="5">
        <v>0</v>
      </c>
      <c r="Q115" s="5">
        <v>1.7197560227768453E-3</v>
      </c>
      <c r="R115" s="5">
        <v>1.4063788849989003E-2</v>
      </c>
      <c r="S115" s="5">
        <v>1.4063426492186526E-2</v>
      </c>
      <c r="T115" s="5">
        <v>0.16087417299938453</v>
      </c>
      <c r="U115" s="5">
        <v>1.0098797542633968</v>
      </c>
      <c r="V115" s="5">
        <v>1.5907357569789344E-4</v>
      </c>
      <c r="W115" s="5">
        <v>0</v>
      </c>
      <c r="X115" s="5">
        <v>6.7351454478032837E-3</v>
      </c>
      <c r="Y115" s="36">
        <v>1.1352086356796283</v>
      </c>
      <c r="Z115" s="19">
        <v>1.135245846779833</v>
      </c>
      <c r="AA115" s="27">
        <v>12.838819081912433</v>
      </c>
      <c r="AB115" s="19">
        <v>83.229429436949204</v>
      </c>
      <c r="AC115" s="19">
        <v>3.8924202308265175E-2</v>
      </c>
      <c r="AD115" s="19" t="s">
        <v>33</v>
      </c>
      <c r="AE115" s="19">
        <v>0.54729698455051001</v>
      </c>
    </row>
    <row r="116" spans="1:31" x14ac:dyDescent="0.25">
      <c r="A116" s="7" t="s">
        <v>101</v>
      </c>
      <c r="B116" s="7">
        <v>110</v>
      </c>
      <c r="C116" t="s">
        <v>42</v>
      </c>
      <c r="D116" s="39">
        <v>0.18865548043549499</v>
      </c>
      <c r="E116" s="6">
        <v>0.18865548043549499</v>
      </c>
      <c r="F116" s="15">
        <v>1.8764142191421175E-2</v>
      </c>
      <c r="G116" s="6">
        <v>6.1259581649177495</v>
      </c>
      <c r="H116" s="6">
        <v>4.3067377022967205E-3</v>
      </c>
      <c r="I116" s="6">
        <v>0</v>
      </c>
      <c r="J116" s="6">
        <v>6.9757404247426547E-2</v>
      </c>
      <c r="K116" s="5">
        <v>0.31883538113956844</v>
      </c>
      <c r="L116" s="5">
        <v>0.31883538113956844</v>
      </c>
      <c r="M116" s="5">
        <v>2.6614244552125289E-2</v>
      </c>
      <c r="N116" s="5">
        <v>9.2970312732702922</v>
      </c>
      <c r="O116" s="5">
        <v>5.590435734369464E-3</v>
      </c>
      <c r="P116" s="5">
        <v>0</v>
      </c>
      <c r="Q116" s="5">
        <v>8.8602450464636051E-2</v>
      </c>
      <c r="R116" s="5">
        <v>3.4066848349407777E-2</v>
      </c>
      <c r="S116" s="5">
        <v>3.4066848349407777E-2</v>
      </c>
      <c r="T116" s="5">
        <v>9.4421456380850369E-3</v>
      </c>
      <c r="U116" s="5">
        <v>2.360308848749106</v>
      </c>
      <c r="V116" s="5">
        <v>2.7823462892103364E-3</v>
      </c>
      <c r="W116" s="5">
        <v>0</v>
      </c>
      <c r="X116" s="5">
        <v>4.737891186449026E-2</v>
      </c>
      <c r="Y116" s="36">
        <v>28.846075452099637</v>
      </c>
      <c r="Z116" s="19">
        <v>28.846075452099637</v>
      </c>
      <c r="AA116" s="27">
        <v>2.6822821768248004</v>
      </c>
      <c r="AB116" s="19">
        <v>1141.2873294771639</v>
      </c>
      <c r="AC116" s="19">
        <v>0.98557424461340404</v>
      </c>
      <c r="AD116" s="19" t="s">
        <v>33</v>
      </c>
      <c r="AE116" s="19">
        <v>16.34095720047414</v>
      </c>
    </row>
    <row r="117" spans="1:31" x14ac:dyDescent="0.25">
      <c r="A117" s="7" t="s">
        <v>101</v>
      </c>
      <c r="B117" s="7">
        <v>264</v>
      </c>
      <c r="C117" t="s">
        <v>43</v>
      </c>
      <c r="D117" s="39">
        <v>2.0075120607373095E-2</v>
      </c>
      <c r="E117" s="6">
        <v>3.0653284759800441E-2</v>
      </c>
      <c r="F117" s="15">
        <v>0.19744678535216534</v>
      </c>
      <c r="G117" s="6">
        <v>5.4374445347205543E-2</v>
      </c>
      <c r="H117" s="6">
        <v>8.0388406241888835E-4</v>
      </c>
      <c r="I117" s="6">
        <v>0</v>
      </c>
      <c r="J117" s="6">
        <v>1.2024020607889169E-6</v>
      </c>
      <c r="K117" s="5">
        <v>2.1554574681226134E-2</v>
      </c>
      <c r="L117" s="5">
        <v>3.2912306157570181E-2</v>
      </c>
      <c r="M117" s="5">
        <v>0.19367416390037137</v>
      </c>
      <c r="N117" s="5">
        <v>5.8919612973724743E-2</v>
      </c>
      <c r="O117" s="5">
        <v>8.7108084562559449E-4</v>
      </c>
      <c r="P117" s="5">
        <v>0</v>
      </c>
      <c r="Q117" s="5">
        <v>1.3029110202065344E-6</v>
      </c>
      <c r="R117" s="5">
        <v>1.8318268894672602E-2</v>
      </c>
      <c r="S117" s="5">
        <v>2.7970696849948882E-2</v>
      </c>
      <c r="T117" s="5">
        <v>0.20192677332617071</v>
      </c>
      <c r="U117" s="5">
        <v>4.8977058790714005E-2</v>
      </c>
      <c r="V117" s="5">
        <v>7.2408788236092477E-4</v>
      </c>
      <c r="W117" s="5">
        <v>0</v>
      </c>
      <c r="X117" s="5">
        <v>1.0830476714804962E-6</v>
      </c>
      <c r="Y117" s="36">
        <v>13.955599760488266</v>
      </c>
      <c r="Z117" s="19">
        <v>21.309210630342875</v>
      </c>
      <c r="AA117" s="27">
        <v>291.9057853200905</v>
      </c>
      <c r="AB117" s="19">
        <v>340.57727928679202</v>
      </c>
      <c r="AC117" s="19">
        <v>32.384722032444742</v>
      </c>
      <c r="AD117" s="19">
        <v>0</v>
      </c>
      <c r="AE117" s="19">
        <v>0.13250850025279554</v>
      </c>
    </row>
    <row r="118" spans="1:31" x14ac:dyDescent="0.25">
      <c r="A118" s="7" t="s">
        <v>101</v>
      </c>
      <c r="B118" s="7">
        <v>315</v>
      </c>
      <c r="C118" t="s">
        <v>44</v>
      </c>
      <c r="D118" s="39">
        <v>0.12555820590693173</v>
      </c>
      <c r="E118" s="6">
        <v>0.1528937562704335</v>
      </c>
      <c r="F118" s="15">
        <v>1.5687242208288923</v>
      </c>
      <c r="G118" s="6">
        <v>1.7194142429872572</v>
      </c>
      <c r="H118" s="6">
        <v>5.4096708765559642E-3</v>
      </c>
      <c r="I118" s="6">
        <v>0</v>
      </c>
      <c r="J118" s="6">
        <v>1.7275307808100514E-4</v>
      </c>
      <c r="K118" s="5">
        <v>0.1154601591713201</v>
      </c>
      <c r="L118" s="5">
        <v>0.14059724179533448</v>
      </c>
      <c r="M118" s="5">
        <v>1.4840770747371288</v>
      </c>
      <c r="N118" s="5">
        <v>1.4934929810480975</v>
      </c>
      <c r="O118" s="5">
        <v>4.9345932492234528E-3</v>
      </c>
      <c r="P118" s="5">
        <v>0</v>
      </c>
      <c r="Q118" s="5">
        <v>1.5758189219522683E-4</v>
      </c>
      <c r="R118" s="5">
        <v>0.13754963640547055</v>
      </c>
      <c r="S118" s="5">
        <v>0.16749586720961357</v>
      </c>
      <c r="T118" s="5">
        <v>1.6692427068128617</v>
      </c>
      <c r="U118" s="5">
        <v>1.9876957415400094</v>
      </c>
      <c r="V118" s="5">
        <v>5.9738255590133203E-3</v>
      </c>
      <c r="W118" s="5">
        <v>0</v>
      </c>
      <c r="X118" s="5">
        <v>1.9076886132036693E-4</v>
      </c>
      <c r="Y118" s="36">
        <v>49.819477799339538</v>
      </c>
      <c r="Z118" s="19">
        <v>60.665784774103521</v>
      </c>
      <c r="AA118" s="27">
        <v>553.34549142439857</v>
      </c>
      <c r="AB118" s="19">
        <v>680.19213231570598</v>
      </c>
      <c r="AC118" s="19">
        <v>2.1398325487145766</v>
      </c>
      <c r="AD118" s="19" t="s">
        <v>33</v>
      </c>
      <c r="AE118" s="19">
        <v>6.8333669053764909E-2</v>
      </c>
    </row>
    <row r="119" spans="1:31" x14ac:dyDescent="0.25">
      <c r="A119" s="7" t="s">
        <v>101</v>
      </c>
      <c r="B119" s="7">
        <v>316</v>
      </c>
      <c r="C119" t="s">
        <v>45</v>
      </c>
      <c r="D119" s="39">
        <v>3.0121383633346044E-2</v>
      </c>
      <c r="E119" s="6">
        <v>3.3448539154739304E-2</v>
      </c>
      <c r="F119" s="15">
        <v>0.42030236845989299</v>
      </c>
      <c r="G119" s="6">
        <v>0.80939337170392467</v>
      </c>
      <c r="H119" s="6">
        <v>5.4816806657521913E-3</v>
      </c>
      <c r="I119" s="6">
        <v>0</v>
      </c>
      <c r="J119" s="6">
        <v>5.0500637937537004E-3</v>
      </c>
      <c r="K119" s="5">
        <v>3.0915063561400981E-2</v>
      </c>
      <c r="L119" s="5">
        <v>3.4329887583915926E-2</v>
      </c>
      <c r="M119" s="5">
        <v>0.50239974210607363</v>
      </c>
      <c r="N119" s="5">
        <v>0.82730428235039011</v>
      </c>
      <c r="O119" s="5">
        <v>5.7502572812838633E-3</v>
      </c>
      <c r="P119" s="5">
        <v>0</v>
      </c>
      <c r="Q119" s="5">
        <v>6.3815284991007989E-3</v>
      </c>
      <c r="R119" s="5">
        <v>2.9178888718780806E-2</v>
      </c>
      <c r="S119" s="5">
        <v>3.2401937895092055E-2</v>
      </c>
      <c r="T119" s="5">
        <v>0.32281173725505352</v>
      </c>
      <c r="U119" s="5">
        <v>0.78812416531124696</v>
      </c>
      <c r="V119" s="5">
        <v>5.1627459348083304E-3</v>
      </c>
      <c r="W119" s="5">
        <v>0</v>
      </c>
      <c r="X119" s="5">
        <v>3.4689494561540215E-3</v>
      </c>
      <c r="Y119" s="36">
        <v>9.9037627064306601</v>
      </c>
      <c r="Z119" s="19">
        <v>10.997715068392891</v>
      </c>
      <c r="AA119" s="27">
        <v>129.4650276546939</v>
      </c>
      <c r="AB119" s="19">
        <v>268.83892104210406</v>
      </c>
      <c r="AC119" s="19">
        <v>1.7037125283195236</v>
      </c>
      <c r="AD119" s="19" t="s">
        <v>33</v>
      </c>
      <c r="AE119" s="19">
        <v>0.70821482842268924</v>
      </c>
    </row>
    <row r="120" spans="1:31" x14ac:dyDescent="0.25">
      <c r="A120" s="28" t="s">
        <v>101</v>
      </c>
      <c r="B120" s="28">
        <v>1121</v>
      </c>
      <c r="C120" s="29" t="s">
        <v>46</v>
      </c>
      <c r="D120" s="94">
        <v>0.26277874435808152</v>
      </c>
      <c r="E120" s="30">
        <v>0.3275639349535257</v>
      </c>
      <c r="F120" s="95">
        <v>0.71159790228477304</v>
      </c>
      <c r="G120" s="30">
        <v>1.901371885207932</v>
      </c>
      <c r="H120" s="30">
        <v>1.9225261361543827E-2</v>
      </c>
      <c r="I120" s="30">
        <v>0</v>
      </c>
      <c r="J120" s="30">
        <v>2.1559926387396195E-4</v>
      </c>
      <c r="K120" s="31">
        <v>0.27745449231510555</v>
      </c>
      <c r="L120" s="31">
        <v>0.34585782611634458</v>
      </c>
      <c r="M120" s="31">
        <v>0.8311093685333949</v>
      </c>
      <c r="N120" s="31">
        <v>1.9961322428591548</v>
      </c>
      <c r="O120" s="31">
        <v>2.042694285268969E-2</v>
      </c>
      <c r="P120" s="31">
        <v>0</v>
      </c>
      <c r="Q120" s="31">
        <v>2.2500558328411981E-4</v>
      </c>
      <c r="R120" s="31">
        <v>0.24535129365911551</v>
      </c>
      <c r="S120" s="31">
        <v>0.30583993919767827</v>
      </c>
      <c r="T120" s="31">
        <v>0.56967803611453482</v>
      </c>
      <c r="U120" s="31">
        <v>1.7888439604971049</v>
      </c>
      <c r="V120" s="31">
        <v>1.7798264590808119E-2</v>
      </c>
      <c r="W120" s="31">
        <v>0</v>
      </c>
      <c r="X120" s="31">
        <v>2.0442925957439947E-4</v>
      </c>
      <c r="Y120" s="37">
        <v>72.612756834317921</v>
      </c>
      <c r="Z120" s="32">
        <v>80.676081697353069</v>
      </c>
      <c r="AA120" s="33">
        <v>193.64829591384827</v>
      </c>
      <c r="AB120" s="32">
        <v>529.25822578241946</v>
      </c>
      <c r="AC120" s="32">
        <v>5.3541333751893463</v>
      </c>
      <c r="AD120" s="32" t="s">
        <v>33</v>
      </c>
      <c r="AE120" s="32">
        <v>6.05017071396396E-2</v>
      </c>
    </row>
    <row r="121" spans="1:31" x14ac:dyDescent="0.25">
      <c r="A121" s="24">
        <v>2025</v>
      </c>
      <c r="B121" s="7">
        <v>71</v>
      </c>
      <c r="C121" t="s">
        <v>40</v>
      </c>
      <c r="D121" s="39">
        <v>0</v>
      </c>
      <c r="E121" s="6">
        <v>0</v>
      </c>
      <c r="F121" s="15">
        <v>0</v>
      </c>
      <c r="G121" s="6">
        <v>0</v>
      </c>
      <c r="H121" s="6">
        <v>0</v>
      </c>
      <c r="I121" s="6">
        <v>0</v>
      </c>
      <c r="J121" s="6">
        <v>0</v>
      </c>
      <c r="K121" s="5">
        <v>0</v>
      </c>
      <c r="L121" s="5">
        <v>0</v>
      </c>
      <c r="M121" s="5">
        <v>0</v>
      </c>
      <c r="N121" s="5">
        <v>0</v>
      </c>
      <c r="O121" s="5">
        <v>0</v>
      </c>
      <c r="P121" s="5">
        <v>0</v>
      </c>
      <c r="Q121" s="5">
        <v>0</v>
      </c>
      <c r="R121" s="5">
        <v>0</v>
      </c>
      <c r="S121" s="5">
        <v>0</v>
      </c>
      <c r="T121" s="5">
        <v>0</v>
      </c>
      <c r="U121" s="5">
        <v>0</v>
      </c>
      <c r="V121" s="5">
        <v>0</v>
      </c>
      <c r="W121" s="5">
        <v>0</v>
      </c>
      <c r="X121" s="5">
        <v>0</v>
      </c>
      <c r="Y121" s="36">
        <v>0</v>
      </c>
      <c r="Z121" s="19">
        <v>0</v>
      </c>
      <c r="AA121" s="27">
        <v>0</v>
      </c>
      <c r="AB121" s="19">
        <v>0</v>
      </c>
      <c r="AC121" s="19">
        <v>0</v>
      </c>
      <c r="AD121" s="19">
        <v>0</v>
      </c>
      <c r="AE121" s="19">
        <v>0</v>
      </c>
    </row>
    <row r="122" spans="1:31" x14ac:dyDescent="0.25">
      <c r="A122" s="7">
        <v>2025</v>
      </c>
      <c r="B122" s="7">
        <v>109</v>
      </c>
      <c r="C122" t="s">
        <v>41</v>
      </c>
      <c r="D122" s="39">
        <v>8.4218568851785382E-3</v>
      </c>
      <c r="E122" s="6">
        <v>8.4216398934712413E-3</v>
      </c>
      <c r="F122" s="15">
        <v>0.226721886149677</v>
      </c>
      <c r="G122" s="6">
        <v>0.60834484893276652</v>
      </c>
      <c r="H122" s="6">
        <v>1.4999943380307414E-4</v>
      </c>
      <c r="I122" s="6">
        <v>0</v>
      </c>
      <c r="J122" s="6">
        <v>4.0408766992309723E-3</v>
      </c>
      <c r="K122" s="5">
        <v>3.5870166278361812E-3</v>
      </c>
      <c r="L122" s="5">
        <v>3.5869242072604328E-3</v>
      </c>
      <c r="M122" s="5">
        <v>9.4400887058160479E-2</v>
      </c>
      <c r="N122" s="5">
        <v>0.26419709082528486</v>
      </c>
      <c r="O122" s="5">
        <v>1.4141088346381175E-4</v>
      </c>
      <c r="P122" s="5">
        <v>0</v>
      </c>
      <c r="Q122" s="5">
        <v>1.7319159027829867E-3</v>
      </c>
      <c r="R122" s="5">
        <v>1.416322969077259E-2</v>
      </c>
      <c r="S122" s="5">
        <v>1.4162864770846575E-2</v>
      </c>
      <c r="T122" s="5">
        <v>0.38385307257085288</v>
      </c>
      <c r="U122" s="5">
        <v>1.0170203116854009</v>
      </c>
      <c r="V122" s="5">
        <v>1.6019833733094821E-4</v>
      </c>
      <c r="W122" s="5">
        <v>0</v>
      </c>
      <c r="X122" s="5">
        <v>6.7827676450129548E-3</v>
      </c>
      <c r="Y122" s="36">
        <v>1.1428646856929923</v>
      </c>
      <c r="Z122" s="19">
        <v>1.14290214775151</v>
      </c>
      <c r="AA122" s="27">
        <v>30.716050737939209</v>
      </c>
      <c r="AB122" s="19">
        <v>83.790743590423332</v>
      </c>
      <c r="AC122" s="19">
        <v>3.9186714088246449E-2</v>
      </c>
      <c r="AD122" s="19" t="s">
        <v>33</v>
      </c>
      <c r="AE122" s="19">
        <v>0.550988053270555</v>
      </c>
    </row>
    <row r="123" spans="1:31" x14ac:dyDescent="0.25">
      <c r="A123" s="7">
        <v>2025</v>
      </c>
      <c r="B123" s="7">
        <v>110</v>
      </c>
      <c r="C123" t="s">
        <v>42</v>
      </c>
      <c r="D123" s="39">
        <v>0.18998940686122864</v>
      </c>
      <c r="E123" s="6">
        <v>0.18998940686122864</v>
      </c>
      <c r="F123" s="15">
        <v>1.9001366042102128</v>
      </c>
      <c r="G123" s="6">
        <v>6.169272981218124</v>
      </c>
      <c r="H123" s="6">
        <v>4.3371893553127636E-3</v>
      </c>
      <c r="I123" s="6">
        <v>0</v>
      </c>
      <c r="J123" s="6">
        <v>7.025063797009086E-2</v>
      </c>
      <c r="K123" s="5">
        <v>0.32108977067216593</v>
      </c>
      <c r="L123" s="5">
        <v>0.32108977067216593</v>
      </c>
      <c r="M123" s="5">
        <v>3.3036583475535424</v>
      </c>
      <c r="N123" s="5">
        <v>9.3627677982186182</v>
      </c>
      <c r="O123" s="5">
        <v>5.6299640318789035E-3</v>
      </c>
      <c r="P123" s="5">
        <v>0</v>
      </c>
      <c r="Q123" s="5">
        <v>8.9228931867597144E-2</v>
      </c>
      <c r="R123" s="5">
        <v>3.4307724835740606E-2</v>
      </c>
      <c r="S123" s="5">
        <v>3.4307724835740606E-2</v>
      </c>
      <c r="T123" s="5">
        <v>0.23345453399000959</v>
      </c>
      <c r="U123" s="5">
        <v>2.3769978860300354</v>
      </c>
      <c r="V123" s="5">
        <v>2.8020194268904711E-3</v>
      </c>
      <c r="W123" s="5">
        <v>0</v>
      </c>
      <c r="X123" s="5">
        <v>4.7713913966802149E-2</v>
      </c>
      <c r="Y123" s="36">
        <v>29.040618542602399</v>
      </c>
      <c r="Z123" s="19">
        <v>29.040618542602399</v>
      </c>
      <c r="AA123" s="27">
        <v>271.53120002396452</v>
      </c>
      <c r="AB123" s="19">
        <v>1148.9843752883635</v>
      </c>
      <c r="AC123" s="19">
        <v>0.99222113353891539</v>
      </c>
      <c r="AD123" s="19" t="s">
        <v>33</v>
      </c>
      <c r="AE123" s="19">
        <v>16.451163537583415</v>
      </c>
    </row>
    <row r="124" spans="1:31" x14ac:dyDescent="0.25">
      <c r="A124" s="7">
        <v>2025</v>
      </c>
      <c r="B124" s="7">
        <v>264</v>
      </c>
      <c r="C124" t="s">
        <v>43</v>
      </c>
      <c r="D124" s="39">
        <v>2.0217065775444246E-2</v>
      </c>
      <c r="E124" s="6">
        <v>3.0870024959885015E-2</v>
      </c>
      <c r="F124" s="15">
        <v>0.19884287246317567</v>
      </c>
      <c r="G124" s="6">
        <v>5.4758910772571466E-2</v>
      </c>
      <c r="H124" s="6">
        <v>8.0956808597129907E-4</v>
      </c>
      <c r="I124" s="6">
        <v>0</v>
      </c>
      <c r="J124" s="6">
        <v>1.2109038858063533E-6</v>
      </c>
      <c r="K124" s="5">
        <v>2.1706980626160048E-2</v>
      </c>
      <c r="L124" s="5">
        <v>3.314501922169151E-2</v>
      </c>
      <c r="M124" s="5">
        <v>0.19504357593447855</v>
      </c>
      <c r="N124" s="5">
        <v>5.9336215918723845E-2</v>
      </c>
      <c r="O124" s="5">
        <v>8.7723999751584535E-4</v>
      </c>
      <c r="P124" s="5">
        <v>0</v>
      </c>
      <c r="Q124" s="5">
        <v>1.3121235139873733E-6</v>
      </c>
      <c r="R124" s="5">
        <v>1.8447791890219226E-2</v>
      </c>
      <c r="S124" s="5">
        <v>2.8168469273989798E-2</v>
      </c>
      <c r="T124" s="5">
        <v>0.20335453709100348</v>
      </c>
      <c r="U124" s="5">
        <v>4.9323360911515512E-2</v>
      </c>
      <c r="V124" s="5">
        <v>7.2920769101215022E-4</v>
      </c>
      <c r="W124" s="5">
        <v>0</v>
      </c>
      <c r="X124" s="5">
        <v>1.0907055773413918E-6</v>
      </c>
      <c r="Y124" s="36">
        <v>14.04971882052239</v>
      </c>
      <c r="Z124" s="19">
        <v>21.452923756902681</v>
      </c>
      <c r="AA124" s="27">
        <v>293.87445012879584</v>
      </c>
      <c r="AB124" s="19">
        <v>342.87419335323062</v>
      </c>
      <c r="AC124" s="19">
        <v>32.603130388192362</v>
      </c>
      <c r="AD124" s="19">
        <v>112.26837395010486</v>
      </c>
      <c r="AE124" s="19">
        <v>0.13340216127090776</v>
      </c>
    </row>
    <row r="125" spans="1:31" x14ac:dyDescent="0.25">
      <c r="A125" s="7">
        <v>2025</v>
      </c>
      <c r="B125" s="7">
        <v>315</v>
      </c>
      <c r="C125" t="s">
        <v>44</v>
      </c>
      <c r="D125" s="39">
        <v>0.12644599039344828</v>
      </c>
      <c r="E125" s="6">
        <v>0.15397482225032449</v>
      </c>
      <c r="F125" s="15">
        <v>1.5798162001767573</v>
      </c>
      <c r="G125" s="6">
        <v>1.7315717063708225</v>
      </c>
      <c r="H125" s="6">
        <v>5.4479210398700722E-3</v>
      </c>
      <c r="I125" s="6">
        <v>0</v>
      </c>
      <c r="J125" s="6">
        <v>1.7397456338027724E-4</v>
      </c>
      <c r="K125" s="5">
        <v>0.11627654339234833</v>
      </c>
      <c r="L125" s="5">
        <v>0.14159136280249063</v>
      </c>
      <c r="M125" s="5">
        <v>1.4945705394551825</v>
      </c>
      <c r="N125" s="5">
        <v>1.5040530228209039</v>
      </c>
      <c r="O125" s="5">
        <v>4.969484280855245E-3</v>
      </c>
      <c r="P125" s="5">
        <v>0</v>
      </c>
      <c r="Q125" s="5">
        <v>1.5869610658078868E-4</v>
      </c>
      <c r="R125" s="5">
        <v>0.13852220870725448</v>
      </c>
      <c r="S125" s="5">
        <v>0.16868018034462726</v>
      </c>
      <c r="T125" s="5">
        <v>1.6810454222836277</v>
      </c>
      <c r="U125" s="5">
        <v>2.0017501430863507</v>
      </c>
      <c r="V125" s="5">
        <v>6.0160646912001802E-3</v>
      </c>
      <c r="W125" s="5">
        <v>0</v>
      </c>
      <c r="X125" s="5">
        <v>1.9211773082966995E-4</v>
      </c>
      <c r="Y125" s="36">
        <v>50.155469265298628</v>
      </c>
      <c r="Z125" s="19">
        <v>61.074925673610892</v>
      </c>
      <c r="AA125" s="27">
        <v>557.07735235626899</v>
      </c>
      <c r="AB125" s="19">
        <v>684.77946967381899</v>
      </c>
      <c r="AC125" s="19">
        <v>2.154263962023351</v>
      </c>
      <c r="AD125" s="19" t="s">
        <v>33</v>
      </c>
      <c r="AE125" s="19">
        <v>6.8794523535865529E-2</v>
      </c>
    </row>
    <row r="126" spans="1:31" x14ac:dyDescent="0.25">
      <c r="A126" s="7">
        <v>2025</v>
      </c>
      <c r="B126" s="7">
        <v>316</v>
      </c>
      <c r="C126" t="s">
        <v>45</v>
      </c>
      <c r="D126" s="39">
        <v>3.0334362919796819E-2</v>
      </c>
      <c r="E126" s="6">
        <v>3.3685043761855368E-2</v>
      </c>
      <c r="F126" s="15">
        <v>0.55095310908545247</v>
      </c>
      <c r="G126" s="6">
        <v>0.81511634993300752</v>
      </c>
      <c r="H126" s="6">
        <v>5.5204399887286565E-3</v>
      </c>
      <c r="I126" s="6">
        <v>0</v>
      </c>
      <c r="J126" s="6">
        <v>5.0857712830382857E-3</v>
      </c>
      <c r="K126" s="5">
        <v>3.1133654721024813E-2</v>
      </c>
      <c r="L126" s="5">
        <v>3.4572623941931807E-2</v>
      </c>
      <c r="M126" s="5">
        <v>0.66181015382005315</v>
      </c>
      <c r="N126" s="5">
        <v>0.83315390326679439</v>
      </c>
      <c r="O126" s="5">
        <v>5.7909156291069156E-3</v>
      </c>
      <c r="P126" s="5">
        <v>0</v>
      </c>
      <c r="Q126" s="5">
        <v>6.426650376725942E-3</v>
      </c>
      <c r="R126" s="5">
        <v>2.9385203905838576E-2</v>
      </c>
      <c r="S126" s="5">
        <v>3.2631042298014605E-2</v>
      </c>
      <c r="T126" s="5">
        <v>0.41931036846311415</v>
      </c>
      <c r="U126" s="5">
        <v>0.79369675534913553</v>
      </c>
      <c r="V126" s="5">
        <v>5.1992501657794751E-3</v>
      </c>
      <c r="W126" s="5">
        <v>0</v>
      </c>
      <c r="X126" s="5">
        <v>3.493477359284194E-3</v>
      </c>
      <c r="Y126" s="36">
        <v>9.9705554529071936</v>
      </c>
      <c r="Z126" s="19">
        <v>11.071885625196252</v>
      </c>
      <c r="AA126" s="27">
        <v>169.65412962416966</v>
      </c>
      <c r="AB126" s="19">
        <v>270.65201879378287</v>
      </c>
      <c r="AC126" s="19">
        <v>1.7152026702328644</v>
      </c>
      <c r="AD126" s="19" t="s">
        <v>33</v>
      </c>
      <c r="AE126" s="19">
        <v>0.71299115585378203</v>
      </c>
    </row>
    <row r="127" spans="1:31" x14ac:dyDescent="0.25">
      <c r="A127" s="28">
        <v>2025</v>
      </c>
      <c r="B127" s="28">
        <v>1121</v>
      </c>
      <c r="C127" s="29" t="s">
        <v>46</v>
      </c>
      <c r="D127" s="94">
        <v>0.26463677419326675</v>
      </c>
      <c r="E127" s="30">
        <v>0.32988004147713773</v>
      </c>
      <c r="F127" s="95">
        <v>1.9417629121471927</v>
      </c>
      <c r="G127" s="30">
        <v>1.9148159166082979</v>
      </c>
      <c r="H127" s="30">
        <v>1.9361197429303961E-2</v>
      </c>
      <c r="I127" s="30">
        <v>0</v>
      </c>
      <c r="J127" s="30">
        <v>2.1712370172642347E-4</v>
      </c>
      <c r="K127" s="31">
        <v>0.27941628997072243</v>
      </c>
      <c r="L127" s="31">
        <v>0.34830328326785925</v>
      </c>
      <c r="M127" s="31">
        <v>2.2678781690820502</v>
      </c>
      <c r="N127" s="31">
        <v>2.0102462963807506</v>
      </c>
      <c r="O127" s="31">
        <v>2.0571375650535018E-2</v>
      </c>
      <c r="P127" s="31">
        <v>0</v>
      </c>
      <c r="Q127" s="31">
        <v>2.265965304052288E-4</v>
      </c>
      <c r="R127" s="31">
        <v>0.24708609920753805</v>
      </c>
      <c r="S127" s="31">
        <v>0.30800244185065601</v>
      </c>
      <c r="T127" s="31">
        <v>1.5545010445370493</v>
      </c>
      <c r="U127" s="31">
        <v>1.8014923406285099</v>
      </c>
      <c r="V127" s="31">
        <v>1.7924110791592077E-2</v>
      </c>
      <c r="W127" s="31">
        <v>0</v>
      </c>
      <c r="X127" s="31">
        <v>2.0587471767034217E-4</v>
      </c>
      <c r="Y127" s="37">
        <v>73.102470249507846</v>
      </c>
      <c r="Z127" s="32">
        <v>81.220175617134956</v>
      </c>
      <c r="AA127" s="33">
        <v>528.2437755826403</v>
      </c>
      <c r="AB127" s="32">
        <v>532.82763788801765</v>
      </c>
      <c r="AC127" s="32">
        <v>5.3902426079861261</v>
      </c>
      <c r="AD127" s="32" t="s">
        <v>33</v>
      </c>
      <c r="AE127" s="32">
        <v>6.0909741470243223E-2</v>
      </c>
    </row>
    <row r="128" spans="1:31" x14ac:dyDescent="0.25">
      <c r="A128" s="24" t="s">
        <v>102</v>
      </c>
      <c r="B128" s="7">
        <v>71</v>
      </c>
      <c r="C128" t="s">
        <v>40</v>
      </c>
      <c r="D128" s="39">
        <v>0</v>
      </c>
      <c r="E128" s="6">
        <v>0</v>
      </c>
      <c r="F128" s="15">
        <v>0</v>
      </c>
      <c r="G128" s="6">
        <v>0</v>
      </c>
      <c r="H128" s="6">
        <v>0</v>
      </c>
      <c r="I128" s="6">
        <v>0</v>
      </c>
      <c r="J128" s="6">
        <v>0</v>
      </c>
      <c r="K128" s="5">
        <v>0</v>
      </c>
      <c r="L128" s="5">
        <v>0</v>
      </c>
      <c r="M128" s="5">
        <v>0</v>
      </c>
      <c r="N128" s="5">
        <v>0</v>
      </c>
      <c r="O128" s="5">
        <v>0</v>
      </c>
      <c r="P128" s="5">
        <v>0</v>
      </c>
      <c r="Q128" s="5">
        <v>0</v>
      </c>
      <c r="R128" s="5">
        <v>0</v>
      </c>
      <c r="S128" s="5">
        <v>0</v>
      </c>
      <c r="T128" s="5">
        <v>0</v>
      </c>
      <c r="U128" s="5">
        <v>0</v>
      </c>
      <c r="V128" s="5">
        <v>0</v>
      </c>
      <c r="W128" s="5">
        <v>0</v>
      </c>
      <c r="X128" s="5">
        <v>0</v>
      </c>
      <c r="Y128" s="36">
        <v>0</v>
      </c>
      <c r="Z128" s="19">
        <v>0</v>
      </c>
      <c r="AA128" s="27">
        <v>0</v>
      </c>
      <c r="AB128" s="19">
        <v>0</v>
      </c>
      <c r="AC128" s="19">
        <v>0</v>
      </c>
      <c r="AD128" s="19">
        <v>0</v>
      </c>
      <c r="AE128" s="19">
        <v>0</v>
      </c>
    </row>
    <row r="129" spans="1:31" x14ac:dyDescent="0.25">
      <c r="A129" s="7" t="s">
        <v>102</v>
      </c>
      <c r="B129" s="7">
        <v>109</v>
      </c>
      <c r="C129" t="s">
        <v>41</v>
      </c>
      <c r="D129" s="39">
        <v>8.4218568851785382E-3</v>
      </c>
      <c r="E129" s="6">
        <v>8.4216398934712413E-3</v>
      </c>
      <c r="F129" s="15">
        <v>9.5405250408773609E-2</v>
      </c>
      <c r="G129" s="6">
        <v>0.60834484893276652</v>
      </c>
      <c r="H129" s="6">
        <v>1.4999943380307414E-4</v>
      </c>
      <c r="I129" s="6">
        <v>0</v>
      </c>
      <c r="J129" s="6">
        <v>4.0408766992309723E-3</v>
      </c>
      <c r="K129" s="5">
        <v>3.5870166278361812E-3</v>
      </c>
      <c r="L129" s="5">
        <v>3.5869242072604328E-3</v>
      </c>
      <c r="M129" s="5">
        <v>3.9315637180855505E-2</v>
      </c>
      <c r="N129" s="5">
        <v>0.26419709082528486</v>
      </c>
      <c r="O129" s="5">
        <v>1.4141088346381175E-4</v>
      </c>
      <c r="P129" s="5">
        <v>0</v>
      </c>
      <c r="Q129" s="5">
        <v>1.7319159027829867E-3</v>
      </c>
      <c r="R129" s="5">
        <v>1.416322969077259E-2</v>
      </c>
      <c r="S129" s="5">
        <v>1.4162864770846575E-2</v>
      </c>
      <c r="T129" s="5">
        <v>0.16201166611692636</v>
      </c>
      <c r="U129" s="5">
        <v>1.0170203116854009</v>
      </c>
      <c r="V129" s="5">
        <v>1.6019833733094821E-4</v>
      </c>
      <c r="W129" s="5">
        <v>0</v>
      </c>
      <c r="X129" s="5">
        <v>6.7827676450129548E-3</v>
      </c>
      <c r="Y129" s="36">
        <v>1.1428646856929923</v>
      </c>
      <c r="Z129" s="19">
        <v>1.14290214775151</v>
      </c>
      <c r="AA129" s="27">
        <v>12.925406373370807</v>
      </c>
      <c r="AB129" s="19">
        <v>83.790743590423332</v>
      </c>
      <c r="AC129" s="19">
        <v>3.9186714088246449E-2</v>
      </c>
      <c r="AD129" s="19" t="s">
        <v>33</v>
      </c>
      <c r="AE129" s="19">
        <v>0.550988053270555</v>
      </c>
    </row>
    <row r="130" spans="1:31" x14ac:dyDescent="0.25">
      <c r="A130" s="7" t="s">
        <v>102</v>
      </c>
      <c r="B130" s="7">
        <v>110</v>
      </c>
      <c r="C130" t="s">
        <v>42</v>
      </c>
      <c r="D130" s="39">
        <v>0.18998940686122864</v>
      </c>
      <c r="E130" s="6">
        <v>0.18998940686122864</v>
      </c>
      <c r="F130" s="15">
        <v>1.8896817823571277E-2</v>
      </c>
      <c r="G130" s="6">
        <v>6.169272981218124</v>
      </c>
      <c r="H130" s="6">
        <v>4.3371893553127636E-3</v>
      </c>
      <c r="I130" s="6">
        <v>0</v>
      </c>
      <c r="J130" s="6">
        <v>7.025063797009086E-2</v>
      </c>
      <c r="K130" s="5">
        <v>0.32108977067216593</v>
      </c>
      <c r="L130" s="5">
        <v>0.32108977067216593</v>
      </c>
      <c r="M130" s="5">
        <v>2.6802425908039607E-2</v>
      </c>
      <c r="N130" s="5">
        <v>9.3627677982186182</v>
      </c>
      <c r="O130" s="5">
        <v>5.6299640318789035E-3</v>
      </c>
      <c r="P130" s="5">
        <v>0</v>
      </c>
      <c r="Q130" s="5">
        <v>8.9228931867597144E-2</v>
      </c>
      <c r="R130" s="5">
        <v>3.4307724835740606E-2</v>
      </c>
      <c r="S130" s="5">
        <v>3.4307724835740606E-2</v>
      </c>
      <c r="T130" s="5">
        <v>9.5089082232651338E-3</v>
      </c>
      <c r="U130" s="5">
        <v>2.3769978860300354</v>
      </c>
      <c r="V130" s="5">
        <v>2.8020194268904711E-3</v>
      </c>
      <c r="W130" s="5">
        <v>0</v>
      </c>
      <c r="X130" s="5">
        <v>4.7713913966802149E-2</v>
      </c>
      <c r="Y130" s="36">
        <v>29.040618542602399</v>
      </c>
      <c r="Z130" s="19">
        <v>29.040618542602399</v>
      </c>
      <c r="AA130" s="27">
        <v>2.7003719674150846</v>
      </c>
      <c r="AB130" s="19">
        <v>1148.9843752883635</v>
      </c>
      <c r="AC130" s="19">
        <v>0.99222113353891539</v>
      </c>
      <c r="AD130" s="19" t="s">
        <v>33</v>
      </c>
      <c r="AE130" s="19">
        <v>16.451163537583415</v>
      </c>
    </row>
    <row r="131" spans="1:31" x14ac:dyDescent="0.25">
      <c r="A131" s="7" t="s">
        <v>102</v>
      </c>
      <c r="B131" s="7">
        <v>264</v>
      </c>
      <c r="C131" t="s">
        <v>43</v>
      </c>
      <c r="D131" s="39">
        <v>2.0217065775444246E-2</v>
      </c>
      <c r="E131" s="6">
        <v>3.0870024959885015E-2</v>
      </c>
      <c r="F131" s="15">
        <v>0.19884287246317567</v>
      </c>
      <c r="G131" s="6">
        <v>5.4758910772571466E-2</v>
      </c>
      <c r="H131" s="6">
        <v>8.0956808597129907E-4</v>
      </c>
      <c r="I131" s="6">
        <v>0</v>
      </c>
      <c r="J131" s="6">
        <v>1.2109038858063533E-6</v>
      </c>
      <c r="K131" s="5">
        <v>2.1706980626160048E-2</v>
      </c>
      <c r="L131" s="5">
        <v>3.314501922169151E-2</v>
      </c>
      <c r="M131" s="5">
        <v>0.19504357593447855</v>
      </c>
      <c r="N131" s="5">
        <v>5.9336215918723845E-2</v>
      </c>
      <c r="O131" s="5">
        <v>8.7723999751584535E-4</v>
      </c>
      <c r="P131" s="5">
        <v>0</v>
      </c>
      <c r="Q131" s="5">
        <v>1.3121235139873733E-6</v>
      </c>
      <c r="R131" s="5">
        <v>1.8447791890219226E-2</v>
      </c>
      <c r="S131" s="5">
        <v>2.8168469273989798E-2</v>
      </c>
      <c r="T131" s="5">
        <v>0.20335453709100348</v>
      </c>
      <c r="U131" s="5">
        <v>4.9323360911515512E-2</v>
      </c>
      <c r="V131" s="5">
        <v>7.2920769101215022E-4</v>
      </c>
      <c r="W131" s="5">
        <v>0</v>
      </c>
      <c r="X131" s="5">
        <v>1.0907055773413918E-6</v>
      </c>
      <c r="Y131" s="36">
        <v>14.049718820522392</v>
      </c>
      <c r="Z131" s="19">
        <v>21.452923756902681</v>
      </c>
      <c r="AA131" s="27">
        <v>293.87445012879584</v>
      </c>
      <c r="AB131" s="19">
        <v>342.87419335323062</v>
      </c>
      <c r="AC131" s="19">
        <v>32.603130388192362</v>
      </c>
      <c r="AD131" s="19">
        <v>0</v>
      </c>
      <c r="AE131" s="19">
        <v>0.13340216127090776</v>
      </c>
    </row>
    <row r="132" spans="1:31" x14ac:dyDescent="0.25">
      <c r="A132" s="7" t="s">
        <v>102</v>
      </c>
      <c r="B132" s="7">
        <v>315</v>
      </c>
      <c r="C132" t="s">
        <v>44</v>
      </c>
      <c r="D132" s="39">
        <v>0.12644599039344828</v>
      </c>
      <c r="E132" s="6">
        <v>0.15397482225032449</v>
      </c>
      <c r="F132" s="15">
        <v>1.5798162001767573</v>
      </c>
      <c r="G132" s="6">
        <v>1.7315717063708225</v>
      </c>
      <c r="H132" s="6">
        <v>5.4479210398700722E-3</v>
      </c>
      <c r="I132" s="6">
        <v>0</v>
      </c>
      <c r="J132" s="6">
        <v>1.7397456338027724E-4</v>
      </c>
      <c r="K132" s="5">
        <v>0.11627654339234833</v>
      </c>
      <c r="L132" s="5">
        <v>0.14159136280249063</v>
      </c>
      <c r="M132" s="5">
        <v>1.4945705394551825</v>
      </c>
      <c r="N132" s="5">
        <v>1.5040530228209039</v>
      </c>
      <c r="O132" s="5">
        <v>4.969484280855245E-3</v>
      </c>
      <c r="P132" s="5">
        <v>0</v>
      </c>
      <c r="Q132" s="5">
        <v>1.5869610658078868E-4</v>
      </c>
      <c r="R132" s="5">
        <v>0.13852220870725448</v>
      </c>
      <c r="S132" s="5">
        <v>0.16868018034462726</v>
      </c>
      <c r="T132" s="5">
        <v>1.6810454222836277</v>
      </c>
      <c r="U132" s="5">
        <v>2.0017501430863507</v>
      </c>
      <c r="V132" s="5">
        <v>6.0160646912001802E-3</v>
      </c>
      <c r="W132" s="5">
        <v>0</v>
      </c>
      <c r="X132" s="5">
        <v>1.9211773082966995E-4</v>
      </c>
      <c r="Y132" s="36">
        <v>50.155469265298628</v>
      </c>
      <c r="Z132" s="19">
        <v>61.074925673610892</v>
      </c>
      <c r="AA132" s="27">
        <v>557.07735235626899</v>
      </c>
      <c r="AB132" s="19">
        <v>684.77946967381899</v>
      </c>
      <c r="AC132" s="19">
        <v>2.154263962023351</v>
      </c>
      <c r="AD132" s="19" t="s">
        <v>33</v>
      </c>
      <c r="AE132" s="19">
        <v>6.8794523535865529E-2</v>
      </c>
    </row>
    <row r="133" spans="1:31" x14ac:dyDescent="0.25">
      <c r="A133" s="7" t="s">
        <v>102</v>
      </c>
      <c r="B133" s="7">
        <v>316</v>
      </c>
      <c r="C133" t="s">
        <v>45</v>
      </c>
      <c r="D133" s="39">
        <v>3.0334362919796819E-2</v>
      </c>
      <c r="E133" s="6">
        <v>3.3685043761855368E-2</v>
      </c>
      <c r="F133" s="15">
        <v>0.42327420068439486</v>
      </c>
      <c r="G133" s="6">
        <v>0.81511634993300752</v>
      </c>
      <c r="H133" s="6">
        <v>5.5204399887286565E-3</v>
      </c>
      <c r="I133" s="6">
        <v>0</v>
      </c>
      <c r="J133" s="6">
        <v>5.0857712830382857E-3</v>
      </c>
      <c r="K133" s="5">
        <v>3.1133654721024813E-2</v>
      </c>
      <c r="L133" s="5">
        <v>3.4572623941931807E-2</v>
      </c>
      <c r="M133" s="5">
        <v>0.50595206028273099</v>
      </c>
      <c r="N133" s="5">
        <v>0.83315390326679439</v>
      </c>
      <c r="O133" s="5">
        <v>5.7909156291069156E-3</v>
      </c>
      <c r="P133" s="5">
        <v>0</v>
      </c>
      <c r="Q133" s="5">
        <v>6.426650376725942E-3</v>
      </c>
      <c r="R133" s="5">
        <v>2.9385203905838576E-2</v>
      </c>
      <c r="S133" s="5">
        <v>3.2631042298014605E-2</v>
      </c>
      <c r="T133" s="5">
        <v>0.32509424241137075</v>
      </c>
      <c r="U133" s="5">
        <v>0.79369675534913553</v>
      </c>
      <c r="V133" s="5">
        <v>5.1992501657794751E-3</v>
      </c>
      <c r="W133" s="5">
        <v>0</v>
      </c>
      <c r="X133" s="5">
        <v>3.493477359284194E-3</v>
      </c>
      <c r="Y133" s="36">
        <v>9.9705554529071936</v>
      </c>
      <c r="Z133" s="19">
        <v>11.071885625196252</v>
      </c>
      <c r="AA133" s="27">
        <v>130.33816294943423</v>
      </c>
      <c r="AB133" s="19">
        <v>270.65201879378287</v>
      </c>
      <c r="AC133" s="19">
        <v>1.7152026702328644</v>
      </c>
      <c r="AD133" s="19" t="s">
        <v>33</v>
      </c>
      <c r="AE133" s="19">
        <v>0.71299115585378203</v>
      </c>
    </row>
    <row r="134" spans="1:31" x14ac:dyDescent="0.25">
      <c r="A134" s="28" t="s">
        <v>102</v>
      </c>
      <c r="B134" s="28">
        <v>1121</v>
      </c>
      <c r="C134" s="29" t="s">
        <v>46</v>
      </c>
      <c r="D134" s="94">
        <v>0.26463677419326675</v>
      </c>
      <c r="E134" s="30">
        <v>0.32988004147713773</v>
      </c>
      <c r="F134" s="95">
        <v>0.71662939802591474</v>
      </c>
      <c r="G134" s="30">
        <v>1.9148159166082979</v>
      </c>
      <c r="H134" s="30">
        <v>1.9361197429303961E-2</v>
      </c>
      <c r="I134" s="30">
        <v>0</v>
      </c>
      <c r="J134" s="30">
        <v>2.1712370172642347E-4</v>
      </c>
      <c r="K134" s="31">
        <v>0.27941628997072243</v>
      </c>
      <c r="L134" s="31">
        <v>0.34830328326785925</v>
      </c>
      <c r="M134" s="31">
        <v>0.83698589407509771</v>
      </c>
      <c r="N134" s="31">
        <v>2.0102462963807506</v>
      </c>
      <c r="O134" s="31">
        <v>2.0571375650535018E-2</v>
      </c>
      <c r="P134" s="31">
        <v>0</v>
      </c>
      <c r="Q134" s="31">
        <v>2.265965304052288E-4</v>
      </c>
      <c r="R134" s="31">
        <v>0.24708609920753805</v>
      </c>
      <c r="S134" s="31">
        <v>0.30800244185065601</v>
      </c>
      <c r="T134" s="31">
        <v>0.57370605896750992</v>
      </c>
      <c r="U134" s="31">
        <v>1.8014923406285099</v>
      </c>
      <c r="V134" s="31">
        <v>1.7924110791592077E-2</v>
      </c>
      <c r="W134" s="31">
        <v>0</v>
      </c>
      <c r="X134" s="31">
        <v>2.0587471767034217E-4</v>
      </c>
      <c r="Y134" s="37">
        <v>73.102470249507846</v>
      </c>
      <c r="Z134" s="32">
        <v>81.220175617134956</v>
      </c>
      <c r="AA134" s="33">
        <v>194.95429464564214</v>
      </c>
      <c r="AB134" s="32">
        <v>532.82763788801765</v>
      </c>
      <c r="AC134" s="32">
        <v>5.3902426079861261</v>
      </c>
      <c r="AD134" s="32" t="s">
        <v>33</v>
      </c>
      <c r="AE134" s="32">
        <v>6.0909741470243223E-2</v>
      </c>
    </row>
    <row r="135" spans="1:31" x14ac:dyDescent="0.25">
      <c r="A135" s="24">
        <v>2026</v>
      </c>
      <c r="B135" s="7">
        <v>71</v>
      </c>
      <c r="C135" t="s">
        <v>40</v>
      </c>
      <c r="D135" s="39">
        <v>0</v>
      </c>
      <c r="E135" s="6">
        <v>0</v>
      </c>
      <c r="F135" s="15">
        <v>0</v>
      </c>
      <c r="G135" s="6">
        <v>0</v>
      </c>
      <c r="H135" s="6">
        <v>0</v>
      </c>
      <c r="I135" s="6">
        <v>0</v>
      </c>
      <c r="J135" s="6">
        <v>0</v>
      </c>
      <c r="K135" s="5">
        <v>0</v>
      </c>
      <c r="L135" s="5">
        <v>0</v>
      </c>
      <c r="M135" s="5">
        <v>0</v>
      </c>
      <c r="N135" s="5">
        <v>0</v>
      </c>
      <c r="O135" s="5">
        <v>0</v>
      </c>
      <c r="P135" s="5">
        <v>0</v>
      </c>
      <c r="Q135" s="5">
        <v>0</v>
      </c>
      <c r="R135" s="5">
        <v>0</v>
      </c>
      <c r="S135" s="5">
        <v>0</v>
      </c>
      <c r="T135" s="5">
        <v>0</v>
      </c>
      <c r="U135" s="5">
        <v>0</v>
      </c>
      <c r="V135" s="5">
        <v>0</v>
      </c>
      <c r="W135" s="5">
        <v>0</v>
      </c>
      <c r="X135" s="5">
        <v>0</v>
      </c>
      <c r="Y135" s="36">
        <v>0</v>
      </c>
      <c r="Z135" s="19">
        <v>0</v>
      </c>
      <c r="AA135" s="27">
        <v>0</v>
      </c>
      <c r="AB135" s="19">
        <v>0</v>
      </c>
      <c r="AC135" s="19">
        <v>0</v>
      </c>
      <c r="AD135" s="19">
        <v>0</v>
      </c>
      <c r="AE135" s="19">
        <v>0</v>
      </c>
    </row>
    <row r="136" spans="1:31" x14ac:dyDescent="0.25">
      <c r="A136" s="7">
        <v>2026</v>
      </c>
      <c r="B136" s="7">
        <v>109</v>
      </c>
      <c r="C136" t="s">
        <v>41</v>
      </c>
      <c r="D136" s="39">
        <v>8.4786553938330476E-3</v>
      </c>
      <c r="E136" s="6">
        <v>8.478436938694876E-3</v>
      </c>
      <c r="F136" s="15">
        <v>0.22825093908755117</v>
      </c>
      <c r="G136" s="6">
        <v>0.61244763536551117</v>
      </c>
      <c r="H136" s="6">
        <v>1.5101105680441352E-4</v>
      </c>
      <c r="I136" s="6">
        <v>0</v>
      </c>
      <c r="J136" s="6">
        <v>4.0681290941959091E-3</v>
      </c>
      <c r="K136" s="5">
        <v>3.6112081093298372E-3</v>
      </c>
      <c r="L136" s="5">
        <v>3.611115065453203E-3</v>
      </c>
      <c r="M136" s="5">
        <v>9.5037543519279136E-2</v>
      </c>
      <c r="N136" s="5">
        <v>0.26597888324402624</v>
      </c>
      <c r="O136" s="5">
        <v>1.4236458374603764E-4</v>
      </c>
      <c r="P136" s="5">
        <v>0</v>
      </c>
      <c r="Q136" s="5">
        <v>1.743596253296449E-3</v>
      </c>
      <c r="R136" s="5">
        <v>1.425874904418061E-2</v>
      </c>
      <c r="S136" s="5">
        <v>1.4258381663169364E-2</v>
      </c>
      <c r="T136" s="5">
        <v>0.38644184632487422</v>
      </c>
      <c r="U136" s="5">
        <v>1.0238792785097746</v>
      </c>
      <c r="V136" s="5">
        <v>1.6127874356123482E-4</v>
      </c>
      <c r="W136" s="5">
        <v>0</v>
      </c>
      <c r="X136" s="5">
        <v>6.8285118427640172E-3</v>
      </c>
      <c r="Y136" s="36">
        <v>1.1505207357063565</v>
      </c>
      <c r="Z136" s="19">
        <v>1.1505584487231872</v>
      </c>
      <c r="AA136" s="27">
        <v>30.921817547961954</v>
      </c>
      <c r="AB136" s="19">
        <v>84.352057743897475</v>
      </c>
      <c r="AC136" s="19">
        <v>3.9449225868227737E-2</v>
      </c>
      <c r="AD136" s="19" t="s">
        <v>33</v>
      </c>
      <c r="AE136" s="19">
        <v>0.55467912199059999</v>
      </c>
    </row>
    <row r="137" spans="1:31" x14ac:dyDescent="0.25">
      <c r="A137" s="7">
        <v>2026</v>
      </c>
      <c r="B137" s="7">
        <v>110</v>
      </c>
      <c r="C137" t="s">
        <v>42</v>
      </c>
      <c r="D137" s="39">
        <v>0.19127072939104539</v>
      </c>
      <c r="E137" s="6">
        <v>0.19127072939104539</v>
      </c>
      <c r="F137" s="15">
        <v>1.9129514652118185</v>
      </c>
      <c r="G137" s="6">
        <v>6.2108796612642303</v>
      </c>
      <c r="H137" s="6">
        <v>4.3664401358107707E-3</v>
      </c>
      <c r="I137" s="6">
        <v>0</v>
      </c>
      <c r="J137" s="6">
        <v>7.0724420833315607E-2</v>
      </c>
      <c r="K137" s="5">
        <v>0.32325525749615736</v>
      </c>
      <c r="L137" s="5">
        <v>0.32325525749615736</v>
      </c>
      <c r="M137" s="5">
        <v>3.3259388101407517</v>
      </c>
      <c r="N137" s="5">
        <v>9.4259119783047396</v>
      </c>
      <c r="O137" s="5">
        <v>5.6679335159426905E-3</v>
      </c>
      <c r="P137" s="5">
        <v>0</v>
      </c>
      <c r="Q137" s="5">
        <v>8.9830707738169521E-2</v>
      </c>
      <c r="R137" s="5">
        <v>3.4539102266224919E-2</v>
      </c>
      <c r="S137" s="5">
        <v>3.4539102266224919E-2</v>
      </c>
      <c r="T137" s="5">
        <v>0.23502899310871081</v>
      </c>
      <c r="U137" s="5">
        <v>2.3930287847786249</v>
      </c>
      <c r="V137" s="5">
        <v>2.8209167469041151E-3</v>
      </c>
      <c r="W137" s="5">
        <v>0</v>
      </c>
      <c r="X137" s="5">
        <v>4.8035705133801565E-2</v>
      </c>
      <c r="Y137" s="36">
        <v>29.235161633105172</v>
      </c>
      <c r="Z137" s="19">
        <v>29.235161633105172</v>
      </c>
      <c r="AA137" s="27">
        <v>273.35018741030734</v>
      </c>
      <c r="AB137" s="19">
        <v>1156.6814210995635</v>
      </c>
      <c r="AC137" s="19">
        <v>0.99886802246442674</v>
      </c>
      <c r="AD137" s="19" t="s">
        <v>33</v>
      </c>
      <c r="AE137" s="19">
        <v>16.561369874692694</v>
      </c>
    </row>
    <row r="138" spans="1:31" x14ac:dyDescent="0.25">
      <c r="A138" s="7">
        <v>2026</v>
      </c>
      <c r="B138" s="7">
        <v>264</v>
      </c>
      <c r="C138" t="s">
        <v>43</v>
      </c>
      <c r="D138" s="39">
        <v>2.0353413281828058E-2</v>
      </c>
      <c r="E138" s="6">
        <v>3.107821792774872E-2</v>
      </c>
      <c r="F138" s="15">
        <v>0.20018390434800415</v>
      </c>
      <c r="G138" s="6">
        <v>5.5128214657668463E-2</v>
      </c>
      <c r="H138" s="6">
        <v>8.1502795789317587E-4</v>
      </c>
      <c r="I138" s="6">
        <v>0</v>
      </c>
      <c r="J138" s="6">
        <v>1.2190704381208183E-6</v>
      </c>
      <c r="K138" s="5">
        <v>2.1853376384692605E-2</v>
      </c>
      <c r="L138" s="5">
        <v>3.3368555157623873E-2</v>
      </c>
      <c r="M138" s="5">
        <v>0.19635898468420643</v>
      </c>
      <c r="N138" s="5">
        <v>5.973638996814478E-2</v>
      </c>
      <c r="O138" s="5">
        <v>8.8315626090885871E-4</v>
      </c>
      <c r="P138" s="5">
        <v>0</v>
      </c>
      <c r="Q138" s="5">
        <v>1.3209727095722747E-6</v>
      </c>
      <c r="R138" s="5">
        <v>1.8572207097176406E-2</v>
      </c>
      <c r="S138" s="5">
        <v>2.8358442467271972E-2</v>
      </c>
      <c r="T138" s="5">
        <v>0.20472599644876396</v>
      </c>
      <c r="U138" s="5">
        <v>4.9656006476477839E-2</v>
      </c>
      <c r="V138" s="5">
        <v>7.3412559806205254E-4</v>
      </c>
      <c r="W138" s="5">
        <v>0</v>
      </c>
      <c r="X138" s="5">
        <v>1.0980614907722137E-6</v>
      </c>
      <c r="Y138" s="36">
        <v>14.143837880556516</v>
      </c>
      <c r="Z138" s="19">
        <v>21.596636883462491</v>
      </c>
      <c r="AA138" s="27">
        <v>295.84311493750124</v>
      </c>
      <c r="AB138" s="19">
        <v>345.17110741966923</v>
      </c>
      <c r="AC138" s="19">
        <v>32.821538743939989</v>
      </c>
      <c r="AD138" s="19">
        <v>113.02045973649862</v>
      </c>
      <c r="AE138" s="19">
        <v>0.13429582228902001</v>
      </c>
    </row>
    <row r="139" spans="1:31" x14ac:dyDescent="0.25">
      <c r="A139" s="7">
        <v>2026</v>
      </c>
      <c r="B139" s="7">
        <v>315</v>
      </c>
      <c r="C139" t="s">
        <v>44</v>
      </c>
      <c r="D139" s="39">
        <v>0.12729876476109747</v>
      </c>
      <c r="E139" s="6">
        <v>0.15501325598214821</v>
      </c>
      <c r="F139" s="15">
        <v>1.5904707631005448</v>
      </c>
      <c r="G139" s="6">
        <v>1.7432497355621384</v>
      </c>
      <c r="H139" s="6">
        <v>5.4846627934466135E-3</v>
      </c>
      <c r="I139" s="6">
        <v>0</v>
      </c>
      <c r="J139" s="6">
        <v>1.7514787894221812E-4</v>
      </c>
      <c r="K139" s="5">
        <v>0.11706073319113362</v>
      </c>
      <c r="L139" s="5">
        <v>0.14254628026964611</v>
      </c>
      <c r="M139" s="5">
        <v>1.5046501904012117</v>
      </c>
      <c r="N139" s="5">
        <v>1.5141966253302117</v>
      </c>
      <c r="O139" s="5">
        <v>5.002999371384903E-3</v>
      </c>
      <c r="P139" s="5">
        <v>0</v>
      </c>
      <c r="Q139" s="5">
        <v>1.5976638149829873E-4</v>
      </c>
      <c r="R139" s="5">
        <v>0.13945642725042956</v>
      </c>
      <c r="S139" s="5">
        <v>0.16981778964074448</v>
      </c>
      <c r="T139" s="5">
        <v>1.6923826931810031</v>
      </c>
      <c r="U139" s="5">
        <v>2.0152503039625511</v>
      </c>
      <c r="V139" s="5">
        <v>6.0566381071448941E-3</v>
      </c>
      <c r="W139" s="5">
        <v>0</v>
      </c>
      <c r="X139" s="5">
        <v>1.934134071568724E-4</v>
      </c>
      <c r="Y139" s="36">
        <v>50.491460731257725</v>
      </c>
      <c r="Z139" s="19">
        <v>61.484066573118284</v>
      </c>
      <c r="AA139" s="27">
        <v>560.8092132881394</v>
      </c>
      <c r="AB139" s="19">
        <v>689.36680703193213</v>
      </c>
      <c r="AC139" s="19">
        <v>2.1686953753321259</v>
      </c>
      <c r="AD139" s="19" t="s">
        <v>33</v>
      </c>
      <c r="AE139" s="19">
        <v>6.9255378017966163E-2</v>
      </c>
    </row>
    <row r="140" spans="1:31" x14ac:dyDescent="0.25">
      <c r="A140" s="7">
        <v>2026</v>
      </c>
      <c r="B140" s="7">
        <v>316</v>
      </c>
      <c r="C140" t="s">
        <v>45</v>
      </c>
      <c r="D140" s="39">
        <v>3.0538943287086281E-2</v>
      </c>
      <c r="E140" s="6">
        <v>3.3912221719842567E-2</v>
      </c>
      <c r="F140" s="15">
        <v>0.55466883536307299</v>
      </c>
      <c r="G140" s="6">
        <v>0.82061364033906736</v>
      </c>
      <c r="H140" s="6">
        <v>5.5576708230626283E-3</v>
      </c>
      <c r="I140" s="6">
        <v>0</v>
      </c>
      <c r="J140" s="6">
        <v>5.120070633902683E-3</v>
      </c>
      <c r="K140" s="5">
        <v>3.1343625655134467E-2</v>
      </c>
      <c r="L140" s="5">
        <v>3.4805787899352014E-2</v>
      </c>
      <c r="M140" s="5">
        <v>0.66627351982850924</v>
      </c>
      <c r="N140" s="5">
        <v>0.83877284215763648</v>
      </c>
      <c r="O140" s="5">
        <v>5.829970599520411E-3</v>
      </c>
      <c r="P140" s="5">
        <v>0</v>
      </c>
      <c r="Q140" s="5">
        <v>6.4699928559462114E-3</v>
      </c>
      <c r="R140" s="5">
        <v>2.9583382975029066E-2</v>
      </c>
      <c r="S140" s="5">
        <v>3.2851111881675103E-2</v>
      </c>
      <c r="T140" s="5">
        <v>0.42213827256036729</v>
      </c>
      <c r="U140" s="5">
        <v>0.79904958817951655</v>
      </c>
      <c r="V140" s="5">
        <v>5.2343148385190106E-3</v>
      </c>
      <c r="W140" s="5">
        <v>0</v>
      </c>
      <c r="X140" s="5">
        <v>3.5170379952259934E-3</v>
      </c>
      <c r="Y140" s="36">
        <v>10.037348199383731</v>
      </c>
      <c r="Z140" s="19">
        <v>11.146056181999615</v>
      </c>
      <c r="AA140" s="27">
        <v>170.79064256190978</v>
      </c>
      <c r="AB140" s="19">
        <v>272.4651165454618</v>
      </c>
      <c r="AC140" s="19">
        <v>1.7266928121462055</v>
      </c>
      <c r="AD140" s="19" t="s">
        <v>33</v>
      </c>
      <c r="AE140" s="19">
        <v>0.71776748328487494</v>
      </c>
    </row>
    <row r="141" spans="1:31" x14ac:dyDescent="0.25">
      <c r="A141" s="28">
        <v>2026</v>
      </c>
      <c r="B141" s="28">
        <v>1121</v>
      </c>
      <c r="C141" s="29" t="s">
        <v>46</v>
      </c>
      <c r="D141" s="94">
        <v>0.26642153191525669</v>
      </c>
      <c r="E141" s="30">
        <v>0.33210481145913096</v>
      </c>
      <c r="F141" s="95">
        <v>1.954858508412274</v>
      </c>
      <c r="G141" s="30">
        <v>1.927729777517365</v>
      </c>
      <c r="H141" s="30">
        <v>1.9491772806532845E-2</v>
      </c>
      <c r="I141" s="30">
        <v>0</v>
      </c>
      <c r="J141" s="30">
        <v>2.1858802279240008E-4</v>
      </c>
      <c r="K141" s="31">
        <v>0.28130072338968043</v>
      </c>
      <c r="L141" s="31">
        <v>0.35065230288654903</v>
      </c>
      <c r="M141" s="31">
        <v>2.2831731449490325</v>
      </c>
      <c r="N141" s="31">
        <v>2.0238037568338734</v>
      </c>
      <c r="O141" s="31">
        <v>2.071011268606673E-2</v>
      </c>
      <c r="P141" s="31">
        <v>0</v>
      </c>
      <c r="Q141" s="31">
        <v>2.2812473792154894E-4</v>
      </c>
      <c r="R141" s="31">
        <v>0.24875249203937852</v>
      </c>
      <c r="S141" s="31">
        <v>0.31007966538907206</v>
      </c>
      <c r="T141" s="31">
        <v>1.5649848775248736</v>
      </c>
      <c r="U141" s="31">
        <v>1.8136419270790112</v>
      </c>
      <c r="V141" s="31">
        <v>1.804499419958636E-2</v>
      </c>
      <c r="W141" s="31">
        <v>0</v>
      </c>
      <c r="X141" s="31">
        <v>2.0726317357653581E-4</v>
      </c>
      <c r="Y141" s="37">
        <v>73.592183664697785</v>
      </c>
      <c r="Z141" s="32">
        <v>81.764269536916842</v>
      </c>
      <c r="AA141" s="33">
        <v>531.78248039672485</v>
      </c>
      <c r="AB141" s="32">
        <v>536.39704999361595</v>
      </c>
      <c r="AC141" s="32">
        <v>5.4263518407829068</v>
      </c>
      <c r="AD141" s="32" t="s">
        <v>33</v>
      </c>
      <c r="AE141" s="32">
        <v>6.1317775800846845E-2</v>
      </c>
    </row>
    <row r="142" spans="1:31" x14ac:dyDescent="0.25">
      <c r="A142" s="24" t="s">
        <v>34</v>
      </c>
      <c r="B142" s="7">
        <v>71</v>
      </c>
      <c r="C142" t="s">
        <v>40</v>
      </c>
      <c r="D142" s="39">
        <v>0</v>
      </c>
      <c r="E142" s="6">
        <v>0</v>
      </c>
      <c r="F142" s="15">
        <v>0</v>
      </c>
      <c r="G142" s="6">
        <v>0</v>
      </c>
      <c r="H142" s="6">
        <v>0</v>
      </c>
      <c r="I142" s="6">
        <v>0</v>
      </c>
      <c r="J142" s="6">
        <v>0</v>
      </c>
      <c r="K142" s="5">
        <v>0</v>
      </c>
      <c r="L142" s="5">
        <v>0</v>
      </c>
      <c r="M142" s="5">
        <v>0</v>
      </c>
      <c r="N142" s="5">
        <v>0</v>
      </c>
      <c r="O142" s="5">
        <v>0</v>
      </c>
      <c r="P142" s="5">
        <v>0</v>
      </c>
      <c r="Q142" s="5">
        <v>0</v>
      </c>
      <c r="R142" s="5">
        <v>0</v>
      </c>
      <c r="S142" s="5">
        <v>0</v>
      </c>
      <c r="T142" s="5">
        <v>0</v>
      </c>
      <c r="U142" s="5">
        <v>0</v>
      </c>
      <c r="V142" s="5">
        <v>0</v>
      </c>
      <c r="W142" s="5">
        <v>0</v>
      </c>
      <c r="X142" s="5">
        <v>0</v>
      </c>
      <c r="Y142" s="36">
        <v>0</v>
      </c>
      <c r="Z142" s="19">
        <v>0</v>
      </c>
      <c r="AA142" s="27">
        <v>0</v>
      </c>
      <c r="AB142" s="19">
        <v>0</v>
      </c>
      <c r="AC142" s="19">
        <v>0</v>
      </c>
      <c r="AD142" s="19">
        <v>0</v>
      </c>
      <c r="AE142" s="19">
        <v>0</v>
      </c>
    </row>
    <row r="143" spans="1:31" x14ac:dyDescent="0.25">
      <c r="A143" s="7" t="s">
        <v>34</v>
      </c>
      <c r="B143" s="7">
        <v>109</v>
      </c>
      <c r="C143" t="s">
        <v>41</v>
      </c>
      <c r="D143" s="39">
        <v>8.4786553938330476E-3</v>
      </c>
      <c r="E143" s="6">
        <v>8.478436938694876E-3</v>
      </c>
      <c r="F143" s="15">
        <v>9.6048680475908144E-2</v>
      </c>
      <c r="G143" s="6">
        <v>0.61244763536551117</v>
      </c>
      <c r="H143" s="6">
        <v>1.5101105680441352E-4</v>
      </c>
      <c r="I143" s="6">
        <v>0</v>
      </c>
      <c r="J143" s="6">
        <v>4.0681290941959091E-3</v>
      </c>
      <c r="K143" s="5">
        <v>3.6112081093298372E-3</v>
      </c>
      <c r="L143" s="5">
        <v>3.611115065453203E-3</v>
      </c>
      <c r="M143" s="5">
        <v>3.958078886760575E-2</v>
      </c>
      <c r="N143" s="5">
        <v>0.26597888324402624</v>
      </c>
      <c r="O143" s="5">
        <v>1.4236458374603764E-4</v>
      </c>
      <c r="P143" s="5">
        <v>0</v>
      </c>
      <c r="Q143" s="5">
        <v>1.743596253296449E-3</v>
      </c>
      <c r="R143" s="5">
        <v>1.425874904418061E-2</v>
      </c>
      <c r="S143" s="5">
        <v>1.4258381663169364E-2</v>
      </c>
      <c r="T143" s="5">
        <v>0.16310430176076726</v>
      </c>
      <c r="U143" s="5">
        <v>1.0238792785097746</v>
      </c>
      <c r="V143" s="5">
        <v>1.6127874356123482E-4</v>
      </c>
      <c r="W143" s="5">
        <v>0</v>
      </c>
      <c r="X143" s="5">
        <v>6.8285118427640172E-3</v>
      </c>
      <c r="Y143" s="36">
        <v>1.1505207357063565</v>
      </c>
      <c r="Z143" s="19">
        <v>1.1505584487231872</v>
      </c>
      <c r="AA143" s="27">
        <v>13.011993664829181</v>
      </c>
      <c r="AB143" s="19">
        <v>84.352057743897475</v>
      </c>
      <c r="AC143" s="19">
        <v>3.9449225868227737E-2</v>
      </c>
      <c r="AD143" s="19" t="s">
        <v>33</v>
      </c>
      <c r="AE143" s="19">
        <v>0.55467912199059999</v>
      </c>
    </row>
    <row r="144" spans="1:31" x14ac:dyDescent="0.25">
      <c r="A144" s="7" t="s">
        <v>34</v>
      </c>
      <c r="B144" s="7">
        <v>110</v>
      </c>
      <c r="C144" t="s">
        <v>42</v>
      </c>
      <c r="D144" s="39">
        <v>0.19127072939104539</v>
      </c>
      <c r="E144" s="6">
        <v>0.19127072939104539</v>
      </c>
      <c r="F144" s="15">
        <v>1.9024261341708436E-2</v>
      </c>
      <c r="G144" s="6">
        <v>6.2108796612642303</v>
      </c>
      <c r="H144" s="6">
        <v>4.3664401358107707E-3</v>
      </c>
      <c r="I144" s="6">
        <v>0</v>
      </c>
      <c r="J144" s="6">
        <v>7.0724420833315607E-2</v>
      </c>
      <c r="K144" s="5">
        <v>0.32325525749615736</v>
      </c>
      <c r="L144" s="5">
        <v>0.32325525749615736</v>
      </c>
      <c r="M144" s="5">
        <v>2.6983186260614439E-2</v>
      </c>
      <c r="N144" s="5">
        <v>9.4259119783047396</v>
      </c>
      <c r="O144" s="5">
        <v>5.6679335159426905E-3</v>
      </c>
      <c r="P144" s="5">
        <v>0</v>
      </c>
      <c r="Q144" s="5">
        <v>8.9830707738169521E-2</v>
      </c>
      <c r="R144" s="5">
        <v>3.4539102266224919E-2</v>
      </c>
      <c r="S144" s="5">
        <v>3.4539102266224919E-2</v>
      </c>
      <c r="T144" s="5">
        <v>9.5730380005075565E-3</v>
      </c>
      <c r="U144" s="5">
        <v>2.3930287847786249</v>
      </c>
      <c r="V144" s="5">
        <v>2.8209167469041151E-3</v>
      </c>
      <c r="W144" s="5">
        <v>0</v>
      </c>
      <c r="X144" s="5">
        <v>4.8035705133801565E-2</v>
      </c>
      <c r="Y144" s="36">
        <v>29.235161633105175</v>
      </c>
      <c r="Z144" s="19">
        <v>29.235161633105175</v>
      </c>
      <c r="AA144" s="27">
        <v>2.7184617580053692</v>
      </c>
      <c r="AB144" s="19">
        <v>1156.6814210995635</v>
      </c>
      <c r="AC144" s="19">
        <v>0.99886802246442674</v>
      </c>
      <c r="AD144" s="19" t="s">
        <v>33</v>
      </c>
      <c r="AE144" s="19">
        <v>16.561369874692694</v>
      </c>
    </row>
    <row r="145" spans="1:31" x14ac:dyDescent="0.25">
      <c r="A145" s="7" t="s">
        <v>34</v>
      </c>
      <c r="B145" s="7">
        <v>264</v>
      </c>
      <c r="C145" t="s">
        <v>43</v>
      </c>
      <c r="D145" s="39">
        <v>2.0353413281828058E-2</v>
      </c>
      <c r="E145" s="6">
        <v>3.107821792774872E-2</v>
      </c>
      <c r="F145" s="15">
        <v>0.20018390434800415</v>
      </c>
      <c r="G145" s="6">
        <v>5.5128214657668463E-2</v>
      </c>
      <c r="H145" s="6">
        <v>8.1502795789317587E-4</v>
      </c>
      <c r="I145" s="6">
        <v>0</v>
      </c>
      <c r="J145" s="6">
        <v>1.2190704381208183E-6</v>
      </c>
      <c r="K145" s="5">
        <v>2.1853376384692605E-2</v>
      </c>
      <c r="L145" s="5">
        <v>3.3368555157623873E-2</v>
      </c>
      <c r="M145" s="5">
        <v>0.19635898468420643</v>
      </c>
      <c r="N145" s="5">
        <v>5.973638996814478E-2</v>
      </c>
      <c r="O145" s="5">
        <v>8.8315626090885871E-4</v>
      </c>
      <c r="P145" s="5">
        <v>0</v>
      </c>
      <c r="Q145" s="5">
        <v>1.3209727095722747E-6</v>
      </c>
      <c r="R145" s="5">
        <v>1.8572207097176406E-2</v>
      </c>
      <c r="S145" s="5">
        <v>2.8358442467271972E-2</v>
      </c>
      <c r="T145" s="5">
        <v>0.20472599644876396</v>
      </c>
      <c r="U145" s="5">
        <v>4.9656006476477839E-2</v>
      </c>
      <c r="V145" s="5">
        <v>7.3412559806205254E-4</v>
      </c>
      <c r="W145" s="5">
        <v>0</v>
      </c>
      <c r="X145" s="5">
        <v>1.0980614907722137E-6</v>
      </c>
      <c r="Y145" s="36">
        <v>14.143837880556516</v>
      </c>
      <c r="Z145" s="19">
        <v>21.596636883462491</v>
      </c>
      <c r="AA145" s="27">
        <v>295.84311493750124</v>
      </c>
      <c r="AB145" s="19">
        <v>345.17110741966923</v>
      </c>
      <c r="AC145" s="19">
        <v>32.821538743939989</v>
      </c>
      <c r="AD145" s="19">
        <v>0</v>
      </c>
      <c r="AE145" s="19">
        <v>0.13429582228902001</v>
      </c>
    </row>
    <row r="146" spans="1:31" x14ac:dyDescent="0.25">
      <c r="A146" s="7" t="s">
        <v>34</v>
      </c>
      <c r="B146" s="7">
        <v>315</v>
      </c>
      <c r="C146" t="s">
        <v>44</v>
      </c>
      <c r="D146" s="39">
        <v>0.12729876476109747</v>
      </c>
      <c r="E146" s="6">
        <v>0.15501325598214821</v>
      </c>
      <c r="F146" s="15">
        <v>1.5904707631005448</v>
      </c>
      <c r="G146" s="6">
        <v>1.7432497355621384</v>
      </c>
      <c r="H146" s="6">
        <v>5.4846627934466135E-3</v>
      </c>
      <c r="I146" s="6">
        <v>0</v>
      </c>
      <c r="J146" s="6">
        <v>1.7514787894221812E-4</v>
      </c>
      <c r="K146" s="5">
        <v>0.11706073319113362</v>
      </c>
      <c r="L146" s="5">
        <v>0.14254628026964611</v>
      </c>
      <c r="M146" s="5">
        <v>1.5046501904012117</v>
      </c>
      <c r="N146" s="5">
        <v>1.5141966253302117</v>
      </c>
      <c r="O146" s="5">
        <v>5.002999371384903E-3</v>
      </c>
      <c r="P146" s="5">
        <v>0</v>
      </c>
      <c r="Q146" s="5">
        <v>1.5976638149829873E-4</v>
      </c>
      <c r="R146" s="5">
        <v>0.13945642725042956</v>
      </c>
      <c r="S146" s="5">
        <v>0.16981778964074448</v>
      </c>
      <c r="T146" s="5">
        <v>1.6923826931810031</v>
      </c>
      <c r="U146" s="5">
        <v>2.0152503039625511</v>
      </c>
      <c r="V146" s="5">
        <v>6.0566381071448941E-3</v>
      </c>
      <c r="W146" s="5">
        <v>0</v>
      </c>
      <c r="X146" s="5">
        <v>1.934134071568724E-4</v>
      </c>
      <c r="Y146" s="36">
        <v>50.491460731257725</v>
      </c>
      <c r="Z146" s="19">
        <v>61.484066573118291</v>
      </c>
      <c r="AA146" s="27">
        <v>560.8092132881394</v>
      </c>
      <c r="AB146" s="19">
        <v>689.36680703193213</v>
      </c>
      <c r="AC146" s="19">
        <v>2.1686953753321259</v>
      </c>
      <c r="AD146" s="19" t="s">
        <v>33</v>
      </c>
      <c r="AE146" s="19">
        <v>6.9255378017966163E-2</v>
      </c>
    </row>
    <row r="147" spans="1:31" x14ac:dyDescent="0.25">
      <c r="A147" s="7" t="s">
        <v>34</v>
      </c>
      <c r="B147" s="7">
        <v>316</v>
      </c>
      <c r="C147" t="s">
        <v>45</v>
      </c>
      <c r="D147" s="39">
        <v>3.0538943287086281E-2</v>
      </c>
      <c r="E147" s="6">
        <v>3.3912221719842567E-2</v>
      </c>
      <c r="F147" s="15">
        <v>0.42612883757487824</v>
      </c>
      <c r="G147" s="6">
        <v>0.82061364033906736</v>
      </c>
      <c r="H147" s="6">
        <v>5.5576708230626283E-3</v>
      </c>
      <c r="I147" s="6">
        <v>0</v>
      </c>
      <c r="J147" s="6">
        <v>5.120070633902683E-3</v>
      </c>
      <c r="K147" s="5">
        <v>3.1343625655134467E-2</v>
      </c>
      <c r="L147" s="5">
        <v>3.4805787899352014E-2</v>
      </c>
      <c r="M147" s="5">
        <v>0.50936429144107687</v>
      </c>
      <c r="N147" s="5">
        <v>0.83877284215763648</v>
      </c>
      <c r="O147" s="5">
        <v>5.829970599520411E-3</v>
      </c>
      <c r="P147" s="5">
        <v>0</v>
      </c>
      <c r="Q147" s="5">
        <v>6.4699928559462114E-3</v>
      </c>
      <c r="R147" s="5">
        <v>2.9583382975029066E-2</v>
      </c>
      <c r="S147" s="5">
        <v>3.2851111881675103E-2</v>
      </c>
      <c r="T147" s="5">
        <v>0.32728673610876752</v>
      </c>
      <c r="U147" s="5">
        <v>0.79904958817951655</v>
      </c>
      <c r="V147" s="5">
        <v>5.2343148385190106E-3</v>
      </c>
      <c r="W147" s="5">
        <v>0</v>
      </c>
      <c r="X147" s="5">
        <v>3.5170379952259934E-3</v>
      </c>
      <c r="Y147" s="36">
        <v>10.037348199383731</v>
      </c>
      <c r="Z147" s="19">
        <v>11.146056181999615</v>
      </c>
      <c r="AA147" s="27">
        <v>131.21129824417457</v>
      </c>
      <c r="AB147" s="19">
        <v>272.4651165454618</v>
      </c>
      <c r="AC147" s="19">
        <v>1.7266928121462055</v>
      </c>
      <c r="AD147" s="19" t="s">
        <v>33</v>
      </c>
      <c r="AE147" s="19">
        <v>0.71776748328487494</v>
      </c>
    </row>
    <row r="148" spans="1:31" x14ac:dyDescent="0.25">
      <c r="A148" s="28" t="s">
        <v>34</v>
      </c>
      <c r="B148" s="28">
        <v>1121</v>
      </c>
      <c r="C148" s="29" t="s">
        <v>46</v>
      </c>
      <c r="D148" s="94">
        <v>0.26642153191525669</v>
      </c>
      <c r="E148" s="30">
        <v>0.33210481145913096</v>
      </c>
      <c r="F148" s="95">
        <v>0.72146247481892967</v>
      </c>
      <c r="G148" s="30">
        <v>1.927729777517365</v>
      </c>
      <c r="H148" s="30">
        <v>1.9491772806532845E-2</v>
      </c>
      <c r="I148" s="30">
        <v>0</v>
      </c>
      <c r="J148" s="30">
        <v>2.1858802279240008E-4</v>
      </c>
      <c r="K148" s="31">
        <v>0.28130072338968043</v>
      </c>
      <c r="L148" s="31">
        <v>0.35065230288654903</v>
      </c>
      <c r="M148" s="31">
        <v>0.84263067659710755</v>
      </c>
      <c r="N148" s="31">
        <v>2.0238037568338734</v>
      </c>
      <c r="O148" s="31">
        <v>2.071011268606673E-2</v>
      </c>
      <c r="P148" s="31">
        <v>0</v>
      </c>
      <c r="Q148" s="31">
        <v>2.2812473792154894E-4</v>
      </c>
      <c r="R148" s="31">
        <v>0.24875249203937852</v>
      </c>
      <c r="S148" s="31">
        <v>0.31007966538907206</v>
      </c>
      <c r="T148" s="31">
        <v>0.57757523520734333</v>
      </c>
      <c r="U148" s="31">
        <v>1.8136419270790112</v>
      </c>
      <c r="V148" s="31">
        <v>1.804499419958636E-2</v>
      </c>
      <c r="W148" s="31">
        <v>0</v>
      </c>
      <c r="X148" s="31">
        <v>2.0726317357653581E-4</v>
      </c>
      <c r="Y148" s="37">
        <v>73.592183664697785</v>
      </c>
      <c r="Z148" s="32">
        <v>81.764269536916842</v>
      </c>
      <c r="AA148" s="33">
        <v>196.26029337743611</v>
      </c>
      <c r="AB148" s="32">
        <v>536.39704999361595</v>
      </c>
      <c r="AC148" s="32">
        <v>5.4263518407829068</v>
      </c>
      <c r="AD148" s="32" t="s">
        <v>33</v>
      </c>
      <c r="AE148" s="32">
        <v>6.1317775800846845E-2</v>
      </c>
    </row>
    <row r="149" spans="1:31" x14ac:dyDescent="0.25">
      <c r="A149" s="24">
        <v>2027</v>
      </c>
      <c r="B149" s="7">
        <v>71</v>
      </c>
      <c r="C149" t="s">
        <v>40</v>
      </c>
      <c r="D149" s="39">
        <v>0</v>
      </c>
      <c r="E149" s="6">
        <v>0</v>
      </c>
      <c r="F149" s="15">
        <v>0</v>
      </c>
      <c r="G149" s="6">
        <v>0</v>
      </c>
      <c r="H149" s="6">
        <v>0</v>
      </c>
      <c r="I149" s="6">
        <v>0</v>
      </c>
      <c r="J149" s="6">
        <v>0</v>
      </c>
      <c r="K149" s="5">
        <v>0</v>
      </c>
      <c r="L149" s="5">
        <v>0</v>
      </c>
      <c r="M149" s="5">
        <v>0</v>
      </c>
      <c r="N149" s="5">
        <v>0</v>
      </c>
      <c r="O149" s="5">
        <v>0</v>
      </c>
      <c r="P149" s="5">
        <v>0</v>
      </c>
      <c r="Q149" s="5">
        <v>0</v>
      </c>
      <c r="R149" s="5">
        <v>0</v>
      </c>
      <c r="S149" s="5">
        <v>0</v>
      </c>
      <c r="T149" s="5">
        <v>0</v>
      </c>
      <c r="U149" s="5">
        <v>0</v>
      </c>
      <c r="V149" s="5">
        <v>0</v>
      </c>
      <c r="W149" s="5">
        <v>0</v>
      </c>
      <c r="X149" s="5">
        <v>0</v>
      </c>
      <c r="Y149" s="36">
        <v>0</v>
      </c>
      <c r="Z149" s="19">
        <v>0</v>
      </c>
      <c r="AA149" s="27">
        <v>0</v>
      </c>
      <c r="AB149" s="19">
        <v>0</v>
      </c>
      <c r="AC149" s="19">
        <v>0</v>
      </c>
      <c r="AD149" s="19">
        <v>0</v>
      </c>
      <c r="AE149" s="19">
        <v>0</v>
      </c>
    </row>
    <row r="150" spans="1:31" x14ac:dyDescent="0.25">
      <c r="A150" s="7">
        <v>2027</v>
      </c>
      <c r="B150" s="7">
        <v>109</v>
      </c>
      <c r="C150" t="s">
        <v>41</v>
      </c>
      <c r="D150" s="39">
        <v>8.5354539024875536E-3</v>
      </c>
      <c r="E150" s="6">
        <v>8.5352339839185106E-3</v>
      </c>
      <c r="F150" s="15">
        <v>0.22977999202542548</v>
      </c>
      <c r="G150" s="6">
        <v>0.6165504217982567</v>
      </c>
      <c r="H150" s="6">
        <v>1.5202267980575287E-4</v>
      </c>
      <c r="I150" s="6">
        <v>0</v>
      </c>
      <c r="J150" s="6">
        <v>4.0953814891608459E-3</v>
      </c>
      <c r="K150" s="5">
        <v>3.6353995908234914E-3</v>
      </c>
      <c r="L150" s="5">
        <v>3.6353059236459706E-3</v>
      </c>
      <c r="M150" s="5">
        <v>9.5674199980397917E-2</v>
      </c>
      <c r="N150" s="5">
        <v>0.26776067566276751</v>
      </c>
      <c r="O150" s="5">
        <v>1.4331828402826353E-4</v>
      </c>
      <c r="P150" s="5">
        <v>0</v>
      </c>
      <c r="Q150" s="5">
        <v>1.7552766038099112E-3</v>
      </c>
      <c r="R150" s="5">
        <v>1.4354268397588627E-2</v>
      </c>
      <c r="S150" s="5">
        <v>1.4353898555492154E-2</v>
      </c>
      <c r="T150" s="5">
        <v>0.38903062007889572</v>
      </c>
      <c r="U150" s="5">
        <v>1.03073824533415</v>
      </c>
      <c r="V150" s="5">
        <v>1.6235914979152152E-4</v>
      </c>
      <c r="W150" s="5">
        <v>0</v>
      </c>
      <c r="X150" s="5">
        <v>6.8742560405150822E-3</v>
      </c>
      <c r="Y150" s="36">
        <v>1.1581767857197203</v>
      </c>
      <c r="Z150" s="19">
        <v>1.1582147496948643</v>
      </c>
      <c r="AA150" s="27">
        <v>31.127584357984691</v>
      </c>
      <c r="AB150" s="19">
        <v>84.91337189737159</v>
      </c>
      <c r="AC150" s="19">
        <v>3.9711737648209011E-2</v>
      </c>
      <c r="AD150" s="19" t="s">
        <v>33</v>
      </c>
      <c r="AE150" s="19">
        <v>0.55837019071064498</v>
      </c>
    </row>
    <row r="151" spans="1:31" x14ac:dyDescent="0.25">
      <c r="A151" s="7">
        <v>2027</v>
      </c>
      <c r="B151" s="7">
        <v>110</v>
      </c>
      <c r="C151" t="s">
        <v>42</v>
      </c>
      <c r="D151" s="39">
        <v>0.1925520519208623</v>
      </c>
      <c r="E151" s="6">
        <v>0.1925520519208623</v>
      </c>
      <c r="F151" s="15">
        <v>1.925766326213425</v>
      </c>
      <c r="G151" s="6">
        <v>6.2524863413103402</v>
      </c>
      <c r="H151" s="6">
        <v>4.3956909163087752E-3</v>
      </c>
      <c r="I151" s="6">
        <v>0</v>
      </c>
      <c r="J151" s="6">
        <v>7.1198203696540327E-2</v>
      </c>
      <c r="K151" s="5">
        <v>0.32542074432014906</v>
      </c>
      <c r="L151" s="5">
        <v>0.32542074432014906</v>
      </c>
      <c r="M151" s="5">
        <v>3.3482192727279627</v>
      </c>
      <c r="N151" s="5">
        <v>9.4890561583908628</v>
      </c>
      <c r="O151" s="5">
        <v>5.7059030000064714E-3</v>
      </c>
      <c r="P151" s="5">
        <v>0</v>
      </c>
      <c r="Q151" s="5">
        <v>9.0432483608741884E-2</v>
      </c>
      <c r="R151" s="5">
        <v>3.4770479696709253E-2</v>
      </c>
      <c r="S151" s="5">
        <v>3.4770479696709253E-2</v>
      </c>
      <c r="T151" s="5">
        <v>0.23660345222741203</v>
      </c>
      <c r="U151" s="5">
        <v>2.4090596835272176</v>
      </c>
      <c r="V151" s="5">
        <v>2.8398140669177617E-3</v>
      </c>
      <c r="W151" s="5">
        <v>0</v>
      </c>
      <c r="X151" s="5">
        <v>4.8357496300800995E-2</v>
      </c>
      <c r="Y151" s="36">
        <v>29.429704723607937</v>
      </c>
      <c r="Z151" s="19">
        <v>29.429704723607937</v>
      </c>
      <c r="AA151" s="27">
        <v>275.16917479665017</v>
      </c>
      <c r="AB151" s="19">
        <v>1164.3784669107633</v>
      </c>
      <c r="AC151" s="19">
        <v>1.005514911389938</v>
      </c>
      <c r="AD151" s="19" t="s">
        <v>33</v>
      </c>
      <c r="AE151" s="19">
        <v>16.671576211801966</v>
      </c>
    </row>
    <row r="152" spans="1:31" x14ac:dyDescent="0.25">
      <c r="A152" s="7">
        <v>2027</v>
      </c>
      <c r="B152" s="7">
        <v>264</v>
      </c>
      <c r="C152" t="s">
        <v>43</v>
      </c>
      <c r="D152" s="39">
        <v>2.0489760788211867E-2</v>
      </c>
      <c r="E152" s="6">
        <v>3.1286410895612488E-2</v>
      </c>
      <c r="F152" s="15">
        <v>0.20152493623283249</v>
      </c>
      <c r="G152" s="6">
        <v>5.5497518542765439E-2</v>
      </c>
      <c r="H152" s="6">
        <v>8.204878298150531E-4</v>
      </c>
      <c r="I152" s="6">
        <v>0</v>
      </c>
      <c r="J152" s="6">
        <v>1.2272369904352837E-6</v>
      </c>
      <c r="K152" s="5">
        <v>2.1999772143225144E-2</v>
      </c>
      <c r="L152" s="5">
        <v>3.3592091093556341E-2</v>
      </c>
      <c r="M152" s="5">
        <v>0.19767439343393417</v>
      </c>
      <c r="N152" s="5">
        <v>6.0136564017565675E-2</v>
      </c>
      <c r="O152" s="5">
        <v>8.8907252430187283E-4</v>
      </c>
      <c r="P152" s="5">
        <v>0</v>
      </c>
      <c r="Q152" s="5">
        <v>1.329821905157176E-6</v>
      </c>
      <c r="R152" s="5">
        <v>1.8696622304133596E-2</v>
      </c>
      <c r="S152" s="5">
        <v>2.8548415660554154E-2</v>
      </c>
      <c r="T152" s="5">
        <v>0.20609745580652425</v>
      </c>
      <c r="U152" s="5">
        <v>4.9988652041440165E-2</v>
      </c>
      <c r="V152" s="5">
        <v>7.3904350511195475E-4</v>
      </c>
      <c r="W152" s="5">
        <v>0</v>
      </c>
      <c r="X152" s="5">
        <v>1.1054174042030362E-6</v>
      </c>
      <c r="Y152" s="36">
        <v>14.237956940590641</v>
      </c>
      <c r="Z152" s="19">
        <v>21.740350010022297</v>
      </c>
      <c r="AA152" s="27">
        <v>297.81177974620653</v>
      </c>
      <c r="AB152" s="19">
        <v>347.46802148610783</v>
      </c>
      <c r="AC152" s="19">
        <v>33.039947099687602</v>
      </c>
      <c r="AD152" s="19">
        <v>113.77254552289236</v>
      </c>
      <c r="AE152" s="19">
        <v>0.13518948330713224</v>
      </c>
    </row>
    <row r="153" spans="1:31" x14ac:dyDescent="0.25">
      <c r="A153" s="7">
        <v>2027</v>
      </c>
      <c r="B153" s="7">
        <v>315</v>
      </c>
      <c r="C153" t="s">
        <v>44</v>
      </c>
      <c r="D153" s="39">
        <v>0.12815153912874666</v>
      </c>
      <c r="E153" s="6">
        <v>0.15605168971397199</v>
      </c>
      <c r="F153" s="15">
        <v>1.6011253260243332</v>
      </c>
      <c r="G153" s="6">
        <v>1.7549277647534551</v>
      </c>
      <c r="H153" s="6">
        <v>5.5214045470231548E-3</v>
      </c>
      <c r="I153" s="6">
        <v>0</v>
      </c>
      <c r="J153" s="6">
        <v>1.7632119450415899E-4</v>
      </c>
      <c r="K153" s="5">
        <v>0.11784492298991886</v>
      </c>
      <c r="L153" s="5">
        <v>0.14350119773680162</v>
      </c>
      <c r="M153" s="5">
        <v>1.5147298413472421</v>
      </c>
      <c r="N153" s="5">
        <v>1.5243402278395206</v>
      </c>
      <c r="O153" s="5">
        <v>5.0365144619145628E-3</v>
      </c>
      <c r="P153" s="5">
        <v>0</v>
      </c>
      <c r="Q153" s="5">
        <v>1.6083665641580876E-4</v>
      </c>
      <c r="R153" s="5">
        <v>0.14039064579360463</v>
      </c>
      <c r="S153" s="5">
        <v>0.17095539893686179</v>
      </c>
      <c r="T153" s="5">
        <v>1.7037199640783787</v>
      </c>
      <c r="U153" s="5">
        <v>2.0287504648387529</v>
      </c>
      <c r="V153" s="5">
        <v>6.0972115230896089E-3</v>
      </c>
      <c r="W153" s="5">
        <v>0</v>
      </c>
      <c r="X153" s="5">
        <v>1.947090834840749E-4</v>
      </c>
      <c r="Y153" s="36">
        <v>50.827452197216815</v>
      </c>
      <c r="Z153" s="19">
        <v>61.893207472625662</v>
      </c>
      <c r="AA153" s="27">
        <v>564.5410742200097</v>
      </c>
      <c r="AB153" s="19">
        <v>693.95414439004514</v>
      </c>
      <c r="AC153" s="19">
        <v>2.1831267886409007</v>
      </c>
      <c r="AD153" s="19" t="s">
        <v>33</v>
      </c>
      <c r="AE153" s="19">
        <v>6.9716232500066783E-2</v>
      </c>
    </row>
    <row r="154" spans="1:31" x14ac:dyDescent="0.25">
      <c r="A154" s="7">
        <v>2027</v>
      </c>
      <c r="B154" s="7">
        <v>316</v>
      </c>
      <c r="C154" t="s">
        <v>45</v>
      </c>
      <c r="D154" s="39">
        <v>3.0743523654375736E-2</v>
      </c>
      <c r="E154" s="6">
        <v>3.4139399677829751E-2</v>
      </c>
      <c r="F154" s="15">
        <v>0.55838456164069372</v>
      </c>
      <c r="G154" s="6">
        <v>0.82611093074512687</v>
      </c>
      <c r="H154" s="6">
        <v>5.5949016573966E-3</v>
      </c>
      <c r="I154" s="6">
        <v>0</v>
      </c>
      <c r="J154" s="6">
        <v>5.1543699847670819E-3</v>
      </c>
      <c r="K154" s="5">
        <v>3.1553596589244087E-2</v>
      </c>
      <c r="L154" s="5">
        <v>3.5038951856772242E-2</v>
      </c>
      <c r="M154" s="5">
        <v>0.67073688583696578</v>
      </c>
      <c r="N154" s="5">
        <v>0.84439178104847834</v>
      </c>
      <c r="O154" s="5">
        <v>5.8690255699339125E-3</v>
      </c>
      <c r="P154" s="5">
        <v>0</v>
      </c>
      <c r="Q154" s="5">
        <v>6.5133353351664843E-3</v>
      </c>
      <c r="R154" s="5">
        <v>2.978156204421957E-2</v>
      </c>
      <c r="S154" s="5">
        <v>3.307118146533556E-2</v>
      </c>
      <c r="T154" s="5">
        <v>0.42496617665762071</v>
      </c>
      <c r="U154" s="5">
        <v>0.80440242100989701</v>
      </c>
      <c r="V154" s="5">
        <v>5.2693795112585427E-3</v>
      </c>
      <c r="W154" s="5">
        <v>0</v>
      </c>
      <c r="X154" s="5">
        <v>3.5405986311677932E-3</v>
      </c>
      <c r="Y154" s="36">
        <v>10.104140945860264</v>
      </c>
      <c r="Z154" s="19">
        <v>11.220226738802976</v>
      </c>
      <c r="AA154" s="27">
        <v>171.9271554996499</v>
      </c>
      <c r="AB154" s="19">
        <v>274.27821429714061</v>
      </c>
      <c r="AC154" s="19">
        <v>1.7381829540595464</v>
      </c>
      <c r="AD154" s="19" t="s">
        <v>33</v>
      </c>
      <c r="AE154" s="19">
        <v>0.72254381071596774</v>
      </c>
    </row>
    <row r="155" spans="1:31" x14ac:dyDescent="0.25">
      <c r="A155" s="28">
        <v>2027</v>
      </c>
      <c r="B155" s="28">
        <v>1121</v>
      </c>
      <c r="C155" s="29" t="s">
        <v>46</v>
      </c>
      <c r="D155" s="94">
        <v>0.26820628963724696</v>
      </c>
      <c r="E155" s="30">
        <v>0.33432958144112429</v>
      </c>
      <c r="F155" s="95">
        <v>1.9679541046773554</v>
      </c>
      <c r="G155" s="30">
        <v>1.9406436384264318</v>
      </c>
      <c r="H155" s="30">
        <v>1.9622348183761743E-2</v>
      </c>
      <c r="I155" s="30">
        <v>0</v>
      </c>
      <c r="J155" s="30">
        <v>2.2005234385837674E-4</v>
      </c>
      <c r="K155" s="31">
        <v>0.2831851568086387</v>
      </c>
      <c r="L155" s="31">
        <v>0.35300132250523891</v>
      </c>
      <c r="M155" s="31">
        <v>2.2984681208160129</v>
      </c>
      <c r="N155" s="31">
        <v>2.037361217286997</v>
      </c>
      <c r="O155" s="31">
        <v>2.0848849721598454E-2</v>
      </c>
      <c r="P155" s="31">
        <v>0</v>
      </c>
      <c r="Q155" s="31">
        <v>2.2965294543786927E-4</v>
      </c>
      <c r="R155" s="31">
        <v>0.25041888487121916</v>
      </c>
      <c r="S155" s="31">
        <v>0.31215688892748816</v>
      </c>
      <c r="T155" s="31">
        <v>1.5754687105126994</v>
      </c>
      <c r="U155" s="31">
        <v>1.8257915135295109</v>
      </c>
      <c r="V155" s="31">
        <v>1.8165877607580653E-2</v>
      </c>
      <c r="W155" s="31">
        <v>0</v>
      </c>
      <c r="X155" s="31">
        <v>2.0865162948272936E-4</v>
      </c>
      <c r="Y155" s="37">
        <v>74.08189707988771</v>
      </c>
      <c r="Z155" s="32">
        <v>82.308363456698729</v>
      </c>
      <c r="AA155" s="33">
        <v>535.32118521080929</v>
      </c>
      <c r="AB155" s="32">
        <v>539.96646209921414</v>
      </c>
      <c r="AC155" s="32">
        <v>5.4624610735796866</v>
      </c>
      <c r="AD155" s="32" t="s">
        <v>33</v>
      </c>
      <c r="AE155" s="32">
        <v>6.1725810131450454E-2</v>
      </c>
    </row>
    <row r="156" spans="1:31" x14ac:dyDescent="0.25">
      <c r="A156" s="24" t="s">
        <v>35</v>
      </c>
      <c r="B156" s="7">
        <v>71</v>
      </c>
      <c r="C156" t="s">
        <v>40</v>
      </c>
      <c r="D156" s="39">
        <v>0</v>
      </c>
      <c r="E156" s="6">
        <v>0</v>
      </c>
      <c r="F156" s="15">
        <v>0</v>
      </c>
      <c r="G156" s="6">
        <v>0</v>
      </c>
      <c r="H156" s="6">
        <v>0</v>
      </c>
      <c r="I156" s="6">
        <v>0</v>
      </c>
      <c r="J156" s="6">
        <v>0</v>
      </c>
      <c r="K156" s="5">
        <v>0</v>
      </c>
      <c r="L156" s="5">
        <v>0</v>
      </c>
      <c r="M156" s="5">
        <v>0</v>
      </c>
      <c r="N156" s="5">
        <v>0</v>
      </c>
      <c r="O156" s="5">
        <v>0</v>
      </c>
      <c r="P156" s="5">
        <v>0</v>
      </c>
      <c r="Q156" s="5">
        <v>0</v>
      </c>
      <c r="R156" s="5">
        <v>0</v>
      </c>
      <c r="S156" s="5">
        <v>0</v>
      </c>
      <c r="T156" s="5">
        <v>0</v>
      </c>
      <c r="U156" s="5">
        <v>0</v>
      </c>
      <c r="V156" s="5">
        <v>0</v>
      </c>
      <c r="W156" s="5">
        <v>0</v>
      </c>
      <c r="X156" s="5">
        <v>0</v>
      </c>
      <c r="Y156" s="36">
        <v>0</v>
      </c>
      <c r="Z156" s="19">
        <v>0</v>
      </c>
      <c r="AA156" s="27">
        <v>0</v>
      </c>
      <c r="AB156" s="19">
        <v>0</v>
      </c>
      <c r="AC156" s="19">
        <v>0</v>
      </c>
      <c r="AD156" s="19">
        <v>0</v>
      </c>
      <c r="AE156" s="19">
        <v>0</v>
      </c>
    </row>
    <row r="157" spans="1:31" x14ac:dyDescent="0.25">
      <c r="A157" s="7" t="s">
        <v>35</v>
      </c>
      <c r="B157" s="7">
        <v>109</v>
      </c>
      <c r="C157" t="s">
        <v>41</v>
      </c>
      <c r="D157" s="39">
        <v>8.5354539024875536E-3</v>
      </c>
      <c r="E157" s="6">
        <v>8.5352339839185106E-3</v>
      </c>
      <c r="F157" s="15">
        <v>9.6692110543042761E-2</v>
      </c>
      <c r="G157" s="6">
        <v>0.6165504217982567</v>
      </c>
      <c r="H157" s="6">
        <v>1.5202267980575287E-4</v>
      </c>
      <c r="I157" s="6">
        <v>0</v>
      </c>
      <c r="J157" s="6">
        <v>4.0953814891608459E-3</v>
      </c>
      <c r="K157" s="5">
        <v>3.6353995908234914E-3</v>
      </c>
      <c r="L157" s="5">
        <v>3.6353059236459706E-3</v>
      </c>
      <c r="M157" s="5">
        <v>3.9845940554355995E-2</v>
      </c>
      <c r="N157" s="5">
        <v>0.26776067566276751</v>
      </c>
      <c r="O157" s="5">
        <v>1.4331828402826353E-4</v>
      </c>
      <c r="P157" s="5">
        <v>0</v>
      </c>
      <c r="Q157" s="5">
        <v>1.7552766038099112E-3</v>
      </c>
      <c r="R157" s="5">
        <v>1.4354268397588627E-2</v>
      </c>
      <c r="S157" s="5">
        <v>1.4353898555492154E-2</v>
      </c>
      <c r="T157" s="5">
        <v>0.16419693740460828</v>
      </c>
      <c r="U157" s="5">
        <v>1.03073824533415</v>
      </c>
      <c r="V157" s="5">
        <v>1.6235914979152152E-4</v>
      </c>
      <c r="W157" s="5">
        <v>0</v>
      </c>
      <c r="X157" s="5">
        <v>6.8742560405150822E-3</v>
      </c>
      <c r="Y157" s="36">
        <v>1.1581767857197203</v>
      </c>
      <c r="Z157" s="19">
        <v>1.1582147496948643</v>
      </c>
      <c r="AA157" s="27">
        <v>13.098580956287554</v>
      </c>
      <c r="AB157" s="19">
        <v>84.91337189737159</v>
      </c>
      <c r="AC157" s="19">
        <v>3.9711737648209011E-2</v>
      </c>
      <c r="AD157" s="19" t="s">
        <v>33</v>
      </c>
      <c r="AE157" s="19">
        <v>0.55837019071064498</v>
      </c>
    </row>
    <row r="158" spans="1:31" x14ac:dyDescent="0.25">
      <c r="A158" s="7" t="s">
        <v>35</v>
      </c>
      <c r="B158" s="7">
        <v>110</v>
      </c>
      <c r="C158" t="s">
        <v>42</v>
      </c>
      <c r="D158" s="39">
        <v>0.1925520519208623</v>
      </c>
      <c r="E158" s="6">
        <v>0.1925520519208623</v>
      </c>
      <c r="F158" s="15">
        <v>1.9151704859845575E-2</v>
      </c>
      <c r="G158" s="6">
        <v>6.2524863413103402</v>
      </c>
      <c r="H158" s="6">
        <v>4.3956909163087752E-3</v>
      </c>
      <c r="I158" s="6">
        <v>0</v>
      </c>
      <c r="J158" s="6">
        <v>7.1198203696540327E-2</v>
      </c>
      <c r="K158" s="5">
        <v>0.32542074432014906</v>
      </c>
      <c r="L158" s="5">
        <v>0.32542074432014906</v>
      </c>
      <c r="M158" s="5">
        <v>2.716394661318924E-2</v>
      </c>
      <c r="N158" s="5">
        <v>9.4890561583908628</v>
      </c>
      <c r="O158" s="5">
        <v>5.7059030000064714E-3</v>
      </c>
      <c r="P158" s="5">
        <v>0</v>
      </c>
      <c r="Q158" s="5">
        <v>9.0432483608741884E-2</v>
      </c>
      <c r="R158" s="5">
        <v>3.4770479696709253E-2</v>
      </c>
      <c r="S158" s="5">
        <v>3.4770479696709253E-2</v>
      </c>
      <c r="T158" s="5">
        <v>9.6371677777499724E-3</v>
      </c>
      <c r="U158" s="5">
        <v>2.4090596835272176</v>
      </c>
      <c r="V158" s="5">
        <v>2.8398140669177617E-3</v>
      </c>
      <c r="W158" s="5">
        <v>0</v>
      </c>
      <c r="X158" s="5">
        <v>4.8357496300800995E-2</v>
      </c>
      <c r="Y158" s="36">
        <v>29.429704723607937</v>
      </c>
      <c r="Z158" s="19">
        <v>29.429704723607937</v>
      </c>
      <c r="AA158" s="27">
        <v>2.7365515485956489</v>
      </c>
      <c r="AB158" s="19">
        <v>1164.3784669107633</v>
      </c>
      <c r="AC158" s="19">
        <v>1.005514911389938</v>
      </c>
      <c r="AD158" s="19" t="s">
        <v>33</v>
      </c>
      <c r="AE158" s="19">
        <v>16.671576211801966</v>
      </c>
    </row>
    <row r="159" spans="1:31" x14ac:dyDescent="0.25">
      <c r="A159" s="7" t="s">
        <v>35</v>
      </c>
      <c r="B159" s="7">
        <v>264</v>
      </c>
      <c r="C159" t="s">
        <v>43</v>
      </c>
      <c r="D159" s="39">
        <v>2.0489760788211867E-2</v>
      </c>
      <c r="E159" s="6">
        <v>3.1286410895612488E-2</v>
      </c>
      <c r="F159" s="15">
        <v>0.20152493623283249</v>
      </c>
      <c r="G159" s="6">
        <v>5.5497518542765439E-2</v>
      </c>
      <c r="H159" s="6">
        <v>8.204878298150531E-4</v>
      </c>
      <c r="I159" s="6">
        <v>0</v>
      </c>
      <c r="J159" s="6">
        <v>1.2272369904352837E-6</v>
      </c>
      <c r="K159" s="5">
        <v>2.1999772143225144E-2</v>
      </c>
      <c r="L159" s="5">
        <v>3.3592091093556341E-2</v>
      </c>
      <c r="M159" s="5">
        <v>0.19767439343393417</v>
      </c>
      <c r="N159" s="5">
        <v>6.0136564017565675E-2</v>
      </c>
      <c r="O159" s="5">
        <v>8.8907252430187283E-4</v>
      </c>
      <c r="P159" s="5">
        <v>0</v>
      </c>
      <c r="Q159" s="5">
        <v>1.329821905157176E-6</v>
      </c>
      <c r="R159" s="5">
        <v>1.8696622304133596E-2</v>
      </c>
      <c r="S159" s="5">
        <v>2.8548415660554154E-2</v>
      </c>
      <c r="T159" s="5">
        <v>0.20609745580652425</v>
      </c>
      <c r="U159" s="5">
        <v>4.9988652041440165E-2</v>
      </c>
      <c r="V159" s="5">
        <v>7.3904350511195475E-4</v>
      </c>
      <c r="W159" s="5">
        <v>0</v>
      </c>
      <c r="X159" s="5">
        <v>1.1054174042030362E-6</v>
      </c>
      <c r="Y159" s="36">
        <v>14.237956940590639</v>
      </c>
      <c r="Z159" s="19">
        <v>21.740350010022297</v>
      </c>
      <c r="AA159" s="27">
        <v>297.81177974620653</v>
      </c>
      <c r="AB159" s="19">
        <v>347.46802148610783</v>
      </c>
      <c r="AC159" s="19">
        <v>33.039947099687602</v>
      </c>
      <c r="AD159" s="19">
        <v>0</v>
      </c>
      <c r="AE159" s="19">
        <v>0.13518948330713224</v>
      </c>
    </row>
    <row r="160" spans="1:31" x14ac:dyDescent="0.25">
      <c r="A160" s="7" t="s">
        <v>35</v>
      </c>
      <c r="B160" s="7">
        <v>315</v>
      </c>
      <c r="C160" t="s">
        <v>44</v>
      </c>
      <c r="D160" s="39">
        <v>0.12815153912874666</v>
      </c>
      <c r="E160" s="6">
        <v>0.15605168971397199</v>
      </c>
      <c r="F160" s="15">
        <v>1.6011253260243332</v>
      </c>
      <c r="G160" s="6">
        <v>1.7549277647534551</v>
      </c>
      <c r="H160" s="6">
        <v>5.5214045470231548E-3</v>
      </c>
      <c r="I160" s="6">
        <v>0</v>
      </c>
      <c r="J160" s="6">
        <v>1.7632119450415899E-4</v>
      </c>
      <c r="K160" s="5">
        <v>0.11784492298991886</v>
      </c>
      <c r="L160" s="5">
        <v>0.14350119773680162</v>
      </c>
      <c r="M160" s="5">
        <v>1.5147298413472421</v>
      </c>
      <c r="N160" s="5">
        <v>1.5243402278395206</v>
      </c>
      <c r="O160" s="5">
        <v>5.0365144619145628E-3</v>
      </c>
      <c r="P160" s="5">
        <v>0</v>
      </c>
      <c r="Q160" s="5">
        <v>1.6083665641580876E-4</v>
      </c>
      <c r="R160" s="5">
        <v>0.14039064579360463</v>
      </c>
      <c r="S160" s="5">
        <v>0.17095539893686179</v>
      </c>
      <c r="T160" s="5">
        <v>1.7037199640783787</v>
      </c>
      <c r="U160" s="5">
        <v>2.0287504648387529</v>
      </c>
      <c r="V160" s="5">
        <v>6.0972115230896089E-3</v>
      </c>
      <c r="W160" s="5">
        <v>0</v>
      </c>
      <c r="X160" s="5">
        <v>1.947090834840749E-4</v>
      </c>
      <c r="Y160" s="36">
        <v>50.827452197216815</v>
      </c>
      <c r="Z160" s="19">
        <v>61.893207472625654</v>
      </c>
      <c r="AA160" s="27">
        <v>564.5410742200097</v>
      </c>
      <c r="AB160" s="19">
        <v>693.95414439004514</v>
      </c>
      <c r="AC160" s="19">
        <v>2.1831267886409007</v>
      </c>
      <c r="AD160" s="19" t="s">
        <v>33</v>
      </c>
      <c r="AE160" s="19">
        <v>6.9716232500066783E-2</v>
      </c>
    </row>
    <row r="161" spans="1:31" x14ac:dyDescent="0.25">
      <c r="A161" s="7" t="s">
        <v>35</v>
      </c>
      <c r="B161" s="7">
        <v>316</v>
      </c>
      <c r="C161" t="s">
        <v>45</v>
      </c>
      <c r="D161" s="39">
        <v>3.0743523654375736E-2</v>
      </c>
      <c r="E161" s="6">
        <v>3.4139399677829751E-2</v>
      </c>
      <c r="F161" s="15">
        <v>0.42898347446536178</v>
      </c>
      <c r="G161" s="6">
        <v>0.82611093074512687</v>
      </c>
      <c r="H161" s="6">
        <v>5.5949016573966E-3</v>
      </c>
      <c r="I161" s="6">
        <v>0</v>
      </c>
      <c r="J161" s="6">
        <v>5.1543699847670819E-3</v>
      </c>
      <c r="K161" s="5">
        <v>3.1553596589244087E-2</v>
      </c>
      <c r="L161" s="5">
        <v>3.5038951856772242E-2</v>
      </c>
      <c r="M161" s="5">
        <v>0.51277652259942264</v>
      </c>
      <c r="N161" s="5">
        <v>0.84439178104847834</v>
      </c>
      <c r="O161" s="5">
        <v>5.8690255699339125E-3</v>
      </c>
      <c r="P161" s="5">
        <v>0</v>
      </c>
      <c r="Q161" s="5">
        <v>6.5133353351664843E-3</v>
      </c>
      <c r="R161" s="5">
        <v>2.978156204421957E-2</v>
      </c>
      <c r="S161" s="5">
        <v>3.307118146533556E-2</v>
      </c>
      <c r="T161" s="5">
        <v>0.32947922980616445</v>
      </c>
      <c r="U161" s="5">
        <v>0.80440242100989701</v>
      </c>
      <c r="V161" s="5">
        <v>5.2693795112585427E-3</v>
      </c>
      <c r="W161" s="5">
        <v>0</v>
      </c>
      <c r="X161" s="5">
        <v>3.5405986311677932E-3</v>
      </c>
      <c r="Y161" s="36">
        <v>10.104140945860264</v>
      </c>
      <c r="Z161" s="19">
        <v>11.220226738802976</v>
      </c>
      <c r="AA161" s="27">
        <v>132.08443353891491</v>
      </c>
      <c r="AB161" s="19">
        <v>274.27821429714061</v>
      </c>
      <c r="AC161" s="19">
        <v>1.7381829540595461</v>
      </c>
      <c r="AD161" s="19" t="s">
        <v>33</v>
      </c>
      <c r="AE161" s="19">
        <v>0.72254381071596774</v>
      </c>
    </row>
    <row r="162" spans="1:31" x14ac:dyDescent="0.25">
      <c r="A162" s="28" t="s">
        <v>35</v>
      </c>
      <c r="B162" s="28">
        <v>1121</v>
      </c>
      <c r="C162" s="29" t="s">
        <v>46</v>
      </c>
      <c r="D162" s="94">
        <v>0.26820628963724696</v>
      </c>
      <c r="E162" s="30">
        <v>0.33432958144112429</v>
      </c>
      <c r="F162" s="95">
        <v>0.7262955516119447</v>
      </c>
      <c r="G162" s="30">
        <v>1.9406436384264318</v>
      </c>
      <c r="H162" s="30">
        <v>1.9622348183761743E-2</v>
      </c>
      <c r="I162" s="30">
        <v>0</v>
      </c>
      <c r="J162" s="30">
        <v>2.2005234385837674E-4</v>
      </c>
      <c r="K162" s="31">
        <v>0.2831851568086387</v>
      </c>
      <c r="L162" s="31">
        <v>0.35300132250523891</v>
      </c>
      <c r="M162" s="31">
        <v>0.84827545911911773</v>
      </c>
      <c r="N162" s="31">
        <v>2.037361217286997</v>
      </c>
      <c r="O162" s="31">
        <v>2.0848849721598454E-2</v>
      </c>
      <c r="P162" s="31">
        <v>0</v>
      </c>
      <c r="Q162" s="31">
        <v>2.2965294543786927E-4</v>
      </c>
      <c r="R162" s="31">
        <v>0.25041888487121916</v>
      </c>
      <c r="S162" s="31">
        <v>0.31215688892748816</v>
      </c>
      <c r="T162" s="31">
        <v>0.58144441144717673</v>
      </c>
      <c r="U162" s="31">
        <v>1.8257915135295109</v>
      </c>
      <c r="V162" s="31">
        <v>1.8165877607580653E-2</v>
      </c>
      <c r="W162" s="31">
        <v>0</v>
      </c>
      <c r="X162" s="31">
        <v>2.0865162948272936E-4</v>
      </c>
      <c r="Y162" s="37">
        <v>74.08189707988771</v>
      </c>
      <c r="Z162" s="32">
        <v>82.308363456698729</v>
      </c>
      <c r="AA162" s="33">
        <v>197.56629210923009</v>
      </c>
      <c r="AB162" s="32">
        <v>539.96646209921414</v>
      </c>
      <c r="AC162" s="32">
        <v>5.4624610735796866</v>
      </c>
      <c r="AD162" s="32" t="s">
        <v>33</v>
      </c>
      <c r="AE162" s="32">
        <v>6.1725810131450454E-2</v>
      </c>
    </row>
    <row r="163" spans="1:31" x14ac:dyDescent="0.25">
      <c r="A163" s="24">
        <v>2028</v>
      </c>
      <c r="B163" s="7">
        <v>71</v>
      </c>
      <c r="C163" t="s">
        <v>40</v>
      </c>
      <c r="D163" s="39">
        <v>0</v>
      </c>
      <c r="E163" s="6">
        <v>0</v>
      </c>
      <c r="F163" s="15">
        <v>0</v>
      </c>
      <c r="G163" s="6">
        <v>0</v>
      </c>
      <c r="H163" s="6">
        <v>0</v>
      </c>
      <c r="I163" s="6">
        <v>0</v>
      </c>
      <c r="J163" s="6">
        <v>0</v>
      </c>
      <c r="K163" s="5">
        <v>0</v>
      </c>
      <c r="L163" s="5">
        <v>0</v>
      </c>
      <c r="M163" s="5">
        <v>0</v>
      </c>
      <c r="N163" s="5">
        <v>0</v>
      </c>
      <c r="O163" s="5">
        <v>0</v>
      </c>
      <c r="P163" s="5">
        <v>0</v>
      </c>
      <c r="Q163" s="5">
        <v>0</v>
      </c>
      <c r="R163" s="5">
        <v>0</v>
      </c>
      <c r="S163" s="5">
        <v>0</v>
      </c>
      <c r="T163" s="5">
        <v>0</v>
      </c>
      <c r="U163" s="5">
        <v>0</v>
      </c>
      <c r="V163" s="5">
        <v>0</v>
      </c>
      <c r="W163" s="5">
        <v>0</v>
      </c>
      <c r="X163" s="5">
        <v>0</v>
      </c>
      <c r="Y163" s="36">
        <v>0</v>
      </c>
      <c r="Z163" s="19">
        <v>0</v>
      </c>
      <c r="AA163" s="27">
        <v>0</v>
      </c>
      <c r="AB163" s="19">
        <v>0</v>
      </c>
      <c r="AC163" s="19">
        <v>0</v>
      </c>
      <c r="AD163" s="19">
        <v>0</v>
      </c>
      <c r="AE163" s="19">
        <v>0</v>
      </c>
    </row>
    <row r="164" spans="1:31" x14ac:dyDescent="0.25">
      <c r="A164" s="7">
        <v>2028</v>
      </c>
      <c r="B164" s="7">
        <v>109</v>
      </c>
      <c r="C164" t="s">
        <v>41</v>
      </c>
      <c r="D164" s="39">
        <v>8.5922524111420612E-3</v>
      </c>
      <c r="E164" s="6">
        <v>8.5920310291421453E-3</v>
      </c>
      <c r="F164" s="15">
        <v>0.23130904496329974</v>
      </c>
      <c r="G164" s="6">
        <v>0.6206532082310019</v>
      </c>
      <c r="H164" s="6">
        <v>1.5303430280709231E-4</v>
      </c>
      <c r="I164" s="6">
        <v>0</v>
      </c>
      <c r="J164" s="6">
        <v>4.1226338841257862E-3</v>
      </c>
      <c r="K164" s="5">
        <v>3.6595910723171473E-3</v>
      </c>
      <c r="L164" s="5">
        <v>3.6594967818387373E-3</v>
      </c>
      <c r="M164" s="5">
        <v>9.6310856441516601E-2</v>
      </c>
      <c r="N164" s="5">
        <v>0.26954246808150889</v>
      </c>
      <c r="O164" s="5">
        <v>1.4427198431048944E-4</v>
      </c>
      <c r="P164" s="5">
        <v>0</v>
      </c>
      <c r="Q164" s="5">
        <v>1.7669569543233741E-3</v>
      </c>
      <c r="R164" s="5">
        <v>1.4449787750996647E-2</v>
      </c>
      <c r="S164" s="5">
        <v>1.4449415447814943E-2</v>
      </c>
      <c r="T164" s="5">
        <v>0.39161939383291716</v>
      </c>
      <c r="U164" s="5">
        <v>1.0375972121585251</v>
      </c>
      <c r="V164" s="5">
        <v>1.6343955602180822E-4</v>
      </c>
      <c r="W164" s="5">
        <v>0</v>
      </c>
      <c r="X164" s="5">
        <v>6.9200002382661498E-3</v>
      </c>
      <c r="Y164" s="36">
        <v>1.1658328357330845</v>
      </c>
      <c r="Z164" s="19">
        <v>1.1658710506665415</v>
      </c>
      <c r="AA164" s="27">
        <v>31.333351168007436</v>
      </c>
      <c r="AB164" s="19">
        <v>85.474686050845733</v>
      </c>
      <c r="AC164" s="19">
        <v>3.9974249428190292E-2</v>
      </c>
      <c r="AD164" s="19" t="s">
        <v>33</v>
      </c>
      <c r="AE164" s="19">
        <v>0.56206125943068996</v>
      </c>
    </row>
    <row r="165" spans="1:31" x14ac:dyDescent="0.25">
      <c r="A165" s="7">
        <v>2028</v>
      </c>
      <c r="B165" s="7">
        <v>110</v>
      </c>
      <c r="C165" t="s">
        <v>42</v>
      </c>
      <c r="D165" s="39">
        <v>0.19383337445067902</v>
      </c>
      <c r="E165" s="6">
        <v>0.19383337445067902</v>
      </c>
      <c r="F165" s="15">
        <v>1.9385811872150303</v>
      </c>
      <c r="G165" s="6">
        <v>6.2940930213564439</v>
      </c>
      <c r="H165" s="6">
        <v>4.4249416968067806E-3</v>
      </c>
      <c r="I165" s="6">
        <v>0</v>
      </c>
      <c r="J165" s="6">
        <v>7.1671986559765033E-2</v>
      </c>
      <c r="K165" s="5">
        <v>0.32758623114414048</v>
      </c>
      <c r="L165" s="5">
        <v>0.32758623114414048</v>
      </c>
      <c r="M165" s="5">
        <v>3.3704997353151707</v>
      </c>
      <c r="N165" s="5">
        <v>9.5522003384769807</v>
      </c>
      <c r="O165" s="5">
        <v>5.7438724840702567E-3</v>
      </c>
      <c r="P165" s="5">
        <v>0</v>
      </c>
      <c r="Q165" s="5">
        <v>9.1034259479314136E-2</v>
      </c>
      <c r="R165" s="5">
        <v>3.5001857127193566E-2</v>
      </c>
      <c r="S165" s="5">
        <v>3.5001857127193566E-2</v>
      </c>
      <c r="T165" s="5">
        <v>0.2381779113461131</v>
      </c>
      <c r="U165" s="5">
        <v>2.425090582275808</v>
      </c>
      <c r="V165" s="5">
        <v>2.8587113869314039E-3</v>
      </c>
      <c r="W165" s="5">
        <v>0</v>
      </c>
      <c r="X165" s="5">
        <v>4.8679287467800446E-2</v>
      </c>
      <c r="Y165" s="36">
        <v>29.62424781411071</v>
      </c>
      <c r="Z165" s="19">
        <v>29.62424781411071</v>
      </c>
      <c r="AA165" s="27">
        <v>276.98816218299305</v>
      </c>
      <c r="AB165" s="19">
        <v>1172.0755127219634</v>
      </c>
      <c r="AC165" s="19">
        <v>1.0121618003154493</v>
      </c>
      <c r="AD165" s="19" t="s">
        <v>33</v>
      </c>
      <c r="AE165" s="19">
        <v>16.781782548911245</v>
      </c>
    </row>
    <row r="166" spans="1:31" x14ac:dyDescent="0.25">
      <c r="A166" s="7">
        <v>2028</v>
      </c>
      <c r="B166" s="7">
        <v>264</v>
      </c>
      <c r="C166" t="s">
        <v>43</v>
      </c>
      <c r="D166" s="39">
        <v>2.0626108294595654E-2</v>
      </c>
      <c r="E166" s="6">
        <v>3.1494603863476169E-2</v>
      </c>
      <c r="F166" s="15">
        <v>0.20286596811766106</v>
      </c>
      <c r="G166" s="6">
        <v>5.586682242786243E-2</v>
      </c>
      <c r="H166" s="6">
        <v>8.2594770173693034E-4</v>
      </c>
      <c r="I166" s="6">
        <v>0</v>
      </c>
      <c r="J166" s="6">
        <v>1.2354035427497485E-6</v>
      </c>
      <c r="K166" s="5">
        <v>2.2146167901757663E-2</v>
      </c>
      <c r="L166" s="5">
        <v>3.3815627029488662E-2</v>
      </c>
      <c r="M166" s="5">
        <v>0.1989898021836623</v>
      </c>
      <c r="N166" s="5">
        <v>6.0536738066986583E-2</v>
      </c>
      <c r="O166" s="5">
        <v>8.9498878769488695E-4</v>
      </c>
      <c r="P166" s="5">
        <v>0</v>
      </c>
      <c r="Q166" s="5">
        <v>1.3386711007420779E-6</v>
      </c>
      <c r="R166" s="5">
        <v>1.8821037511090773E-2</v>
      </c>
      <c r="S166" s="5">
        <v>2.8738388853836332E-2</v>
      </c>
      <c r="T166" s="5">
        <v>0.20746891516428459</v>
      </c>
      <c r="U166" s="5">
        <v>5.0321297606402492E-2</v>
      </c>
      <c r="V166" s="5">
        <v>7.4396141216185696E-4</v>
      </c>
      <c r="W166" s="5">
        <v>0</v>
      </c>
      <c r="X166" s="5">
        <v>1.1127733176338575E-6</v>
      </c>
      <c r="Y166" s="36">
        <v>14.332076000624768</v>
      </c>
      <c r="Z166" s="19">
        <v>21.884063136582107</v>
      </c>
      <c r="AA166" s="27">
        <v>299.78044455491192</v>
      </c>
      <c r="AB166" s="19">
        <v>349.76493555254649</v>
      </c>
      <c r="AC166" s="19">
        <v>33.258355455435229</v>
      </c>
      <c r="AD166" s="19">
        <v>114.52463130928612</v>
      </c>
      <c r="AE166" s="19">
        <v>0.13608314432524449</v>
      </c>
    </row>
    <row r="167" spans="1:31" x14ac:dyDescent="0.25">
      <c r="A167" s="7">
        <v>2028</v>
      </c>
      <c r="B167" s="7">
        <v>315</v>
      </c>
      <c r="C167" t="s">
        <v>44</v>
      </c>
      <c r="D167" s="39">
        <v>0.12900431349639579</v>
      </c>
      <c r="E167" s="6">
        <v>0.15709012344579568</v>
      </c>
      <c r="F167" s="15">
        <v>1.6117798889481205</v>
      </c>
      <c r="G167" s="6">
        <v>1.766605793944771</v>
      </c>
      <c r="H167" s="6">
        <v>5.5581463005996978E-3</v>
      </c>
      <c r="I167" s="6">
        <v>0</v>
      </c>
      <c r="J167" s="6">
        <v>1.7749451006609989E-4</v>
      </c>
      <c r="K167" s="5">
        <v>0.11862911278870412</v>
      </c>
      <c r="L167" s="5">
        <v>0.1444561152039571</v>
      </c>
      <c r="M167" s="5">
        <v>1.5248094922932713</v>
      </c>
      <c r="N167" s="5">
        <v>1.534483830348828</v>
      </c>
      <c r="O167" s="5">
        <v>5.0700295524442216E-3</v>
      </c>
      <c r="P167" s="5">
        <v>0</v>
      </c>
      <c r="Q167" s="5">
        <v>1.6190693133331872E-4</v>
      </c>
      <c r="R167" s="5">
        <v>0.14132486433677968</v>
      </c>
      <c r="S167" s="5">
        <v>0.17209300823297899</v>
      </c>
      <c r="T167" s="5">
        <v>1.715057234975754</v>
      </c>
      <c r="U167" s="5">
        <v>2.0422506257149537</v>
      </c>
      <c r="V167" s="5">
        <v>6.1377849390343254E-3</v>
      </c>
      <c r="W167" s="5">
        <v>0</v>
      </c>
      <c r="X167" s="5">
        <v>1.9600475981127754E-4</v>
      </c>
      <c r="Y167" s="36">
        <v>51.163443663175919</v>
      </c>
      <c r="Z167" s="19">
        <v>62.302348372133054</v>
      </c>
      <c r="AA167" s="27">
        <v>568.27293515188023</v>
      </c>
      <c r="AB167" s="19">
        <v>698.54148174815839</v>
      </c>
      <c r="AC167" s="19">
        <v>2.1975582019496755</v>
      </c>
      <c r="AD167" s="19" t="s">
        <v>33</v>
      </c>
      <c r="AE167" s="19">
        <v>7.0177086982167403E-2</v>
      </c>
    </row>
    <row r="168" spans="1:31" x14ac:dyDescent="0.25">
      <c r="A168" s="7">
        <v>2028</v>
      </c>
      <c r="B168" s="7">
        <v>316</v>
      </c>
      <c r="C168" t="s">
        <v>45</v>
      </c>
      <c r="D168" s="39">
        <v>3.0948104021665188E-2</v>
      </c>
      <c r="E168" s="6">
        <v>3.4366577635816957E-2</v>
      </c>
      <c r="F168" s="15">
        <v>0.56210028791831423</v>
      </c>
      <c r="G168" s="6">
        <v>0.83160822115118671</v>
      </c>
      <c r="H168" s="6">
        <v>5.6321324917305701E-3</v>
      </c>
      <c r="I168" s="6">
        <v>0</v>
      </c>
      <c r="J168" s="6">
        <v>5.1886693356314817E-3</v>
      </c>
      <c r="K168" s="5">
        <v>3.1763567523353707E-2</v>
      </c>
      <c r="L168" s="5">
        <v>3.5272115814192449E-2</v>
      </c>
      <c r="M168" s="5">
        <v>0.67520025184542198</v>
      </c>
      <c r="N168" s="5">
        <v>0.85001071993932042</v>
      </c>
      <c r="O168" s="5">
        <v>5.9080805403474062E-3</v>
      </c>
      <c r="P168" s="5">
        <v>0</v>
      </c>
      <c r="Q168" s="5">
        <v>6.5566778143867572E-3</v>
      </c>
      <c r="R168" s="5">
        <v>2.9979741113410063E-2</v>
      </c>
      <c r="S168" s="5">
        <v>3.3291251048996044E-2</v>
      </c>
      <c r="T168" s="5">
        <v>0.42779408075487391</v>
      </c>
      <c r="U168" s="5">
        <v>0.8097552538402778</v>
      </c>
      <c r="V168" s="5">
        <v>5.3044441839980756E-3</v>
      </c>
      <c r="W168" s="5">
        <v>0</v>
      </c>
      <c r="X168" s="5">
        <v>3.5641592671095922E-3</v>
      </c>
      <c r="Y168" s="36">
        <v>10.170933692336801</v>
      </c>
      <c r="Z168" s="19">
        <v>11.294397295606339</v>
      </c>
      <c r="AA168" s="27">
        <v>173.06366843739002</v>
      </c>
      <c r="AB168" s="19">
        <v>276.09131204881953</v>
      </c>
      <c r="AC168" s="19">
        <v>1.7496730959728877</v>
      </c>
      <c r="AD168" s="19" t="s">
        <v>33</v>
      </c>
      <c r="AE168" s="19">
        <v>0.72732013814706076</v>
      </c>
    </row>
    <row r="169" spans="1:31" x14ac:dyDescent="0.25">
      <c r="A169" s="28">
        <v>2028</v>
      </c>
      <c r="B169" s="28">
        <v>1121</v>
      </c>
      <c r="C169" s="29" t="s">
        <v>46</v>
      </c>
      <c r="D169" s="94">
        <v>0.26999104735923685</v>
      </c>
      <c r="E169" s="30">
        <v>0.33655435142311757</v>
      </c>
      <c r="F169" s="95">
        <v>1.9810497009424362</v>
      </c>
      <c r="G169" s="30">
        <v>1.9535574993354992</v>
      </c>
      <c r="H169" s="30">
        <v>1.9752923560990638E-2</v>
      </c>
      <c r="I169" s="30">
        <v>0</v>
      </c>
      <c r="J169" s="30">
        <v>2.2151666492435334E-4</v>
      </c>
      <c r="K169" s="31">
        <v>0.28506959022759676</v>
      </c>
      <c r="L169" s="31">
        <v>0.35535034212392896</v>
      </c>
      <c r="M169" s="31">
        <v>2.3137630966829934</v>
      </c>
      <c r="N169" s="31">
        <v>2.0509186777401203</v>
      </c>
      <c r="O169" s="31">
        <v>2.098758675713016E-2</v>
      </c>
      <c r="P169" s="31">
        <v>0</v>
      </c>
      <c r="Q169" s="31">
        <v>2.3118115295418947E-4</v>
      </c>
      <c r="R169" s="31">
        <v>0.25208527770305944</v>
      </c>
      <c r="S169" s="31">
        <v>0.31423411246590405</v>
      </c>
      <c r="T169" s="31">
        <v>1.5859525435005248</v>
      </c>
      <c r="U169" s="31">
        <v>1.8379410999800112</v>
      </c>
      <c r="V169" s="31">
        <v>1.8286761015574957E-2</v>
      </c>
      <c r="W169" s="31">
        <v>0</v>
      </c>
      <c r="X169" s="31">
        <v>2.1004008538892294E-4</v>
      </c>
      <c r="Y169" s="37">
        <v>74.571610495077664</v>
      </c>
      <c r="Z169" s="32">
        <v>82.852457376480629</v>
      </c>
      <c r="AA169" s="33">
        <v>538.85989002489384</v>
      </c>
      <c r="AB169" s="32">
        <v>543.53587420481244</v>
      </c>
      <c r="AC169" s="32">
        <v>5.4985703063764682</v>
      </c>
      <c r="AD169" s="32" t="s">
        <v>33</v>
      </c>
      <c r="AE169" s="32">
        <v>6.2133844462054083E-2</v>
      </c>
    </row>
    <row r="170" spans="1:31" x14ac:dyDescent="0.25">
      <c r="A170" s="24" t="s">
        <v>36</v>
      </c>
      <c r="B170" s="8">
        <v>71</v>
      </c>
      <c r="C170" t="s">
        <v>40</v>
      </c>
      <c r="D170" s="39">
        <v>0</v>
      </c>
      <c r="E170" s="6">
        <v>0</v>
      </c>
      <c r="F170" s="15">
        <v>0</v>
      </c>
      <c r="G170" s="6">
        <v>0</v>
      </c>
      <c r="H170" s="6">
        <v>0</v>
      </c>
      <c r="I170" s="6">
        <v>0</v>
      </c>
      <c r="J170" s="6">
        <v>0</v>
      </c>
      <c r="K170" s="5">
        <v>0</v>
      </c>
      <c r="L170" s="5">
        <v>0</v>
      </c>
      <c r="M170" s="5">
        <v>0</v>
      </c>
      <c r="N170" s="5">
        <v>0</v>
      </c>
      <c r="O170" s="5">
        <v>0</v>
      </c>
      <c r="P170" s="5">
        <v>0</v>
      </c>
      <c r="Q170" s="5">
        <v>0</v>
      </c>
      <c r="R170" s="5">
        <v>0</v>
      </c>
      <c r="S170" s="5">
        <v>0</v>
      </c>
      <c r="T170" s="5">
        <v>0</v>
      </c>
      <c r="U170" s="5">
        <v>0</v>
      </c>
      <c r="V170" s="5">
        <v>0</v>
      </c>
      <c r="W170" s="5">
        <v>0</v>
      </c>
      <c r="X170" s="5">
        <v>0</v>
      </c>
      <c r="Y170" s="36">
        <v>0</v>
      </c>
      <c r="Z170" s="19">
        <v>0</v>
      </c>
      <c r="AA170" s="27">
        <v>0</v>
      </c>
      <c r="AB170" s="19">
        <v>0</v>
      </c>
      <c r="AC170" s="19">
        <v>0</v>
      </c>
      <c r="AD170" s="19">
        <v>0</v>
      </c>
      <c r="AE170" s="19">
        <v>0</v>
      </c>
    </row>
    <row r="171" spans="1:31" x14ac:dyDescent="0.25">
      <c r="A171" s="8" t="s">
        <v>36</v>
      </c>
      <c r="B171" s="8">
        <v>109</v>
      </c>
      <c r="C171" t="s">
        <v>41</v>
      </c>
      <c r="D171" s="39">
        <v>8.5922524111420612E-3</v>
      </c>
      <c r="E171" s="6">
        <v>8.5920310291421453E-3</v>
      </c>
      <c r="F171" s="15">
        <v>9.733554061017731E-2</v>
      </c>
      <c r="G171" s="6">
        <v>0.6206532082310019</v>
      </c>
      <c r="H171" s="6">
        <v>1.5303430280709231E-4</v>
      </c>
      <c r="I171" s="6">
        <v>0</v>
      </c>
      <c r="J171" s="6">
        <v>4.1226338841257862E-3</v>
      </c>
      <c r="K171" s="5">
        <v>3.6595910723171473E-3</v>
      </c>
      <c r="L171" s="5">
        <v>3.6594967818387373E-3</v>
      </c>
      <c r="M171" s="5">
        <v>4.0111092241106247E-2</v>
      </c>
      <c r="N171" s="5">
        <v>0.26954246808150889</v>
      </c>
      <c r="O171" s="5">
        <v>1.4427198431048944E-4</v>
      </c>
      <c r="P171" s="5">
        <v>0</v>
      </c>
      <c r="Q171" s="5">
        <v>1.7669569543233741E-3</v>
      </c>
      <c r="R171" s="5">
        <v>1.4449787750996647E-2</v>
      </c>
      <c r="S171" s="5">
        <v>1.4449415447814943E-2</v>
      </c>
      <c r="T171" s="5">
        <v>0.16528957304844918</v>
      </c>
      <c r="U171" s="5">
        <v>1.0375972121585251</v>
      </c>
      <c r="V171" s="5">
        <v>1.6343955602180822E-4</v>
      </c>
      <c r="W171" s="5">
        <v>0</v>
      </c>
      <c r="X171" s="5">
        <v>6.9200002382661498E-3</v>
      </c>
      <c r="Y171" s="36">
        <v>1.1658328357330845</v>
      </c>
      <c r="Z171" s="19">
        <v>1.1658710506665415</v>
      </c>
      <c r="AA171" s="27">
        <v>13.185168247745926</v>
      </c>
      <c r="AB171" s="19">
        <v>85.474686050845733</v>
      </c>
      <c r="AC171" s="19">
        <v>3.9974249428190292E-2</v>
      </c>
      <c r="AD171" s="19" t="s">
        <v>33</v>
      </c>
      <c r="AE171" s="19">
        <v>0.56206125943068996</v>
      </c>
    </row>
    <row r="172" spans="1:31" x14ac:dyDescent="0.25">
      <c r="A172" s="8" t="s">
        <v>36</v>
      </c>
      <c r="B172" s="8">
        <v>110</v>
      </c>
      <c r="C172" t="s">
        <v>42</v>
      </c>
      <c r="D172" s="39">
        <v>0.19383337445067902</v>
      </c>
      <c r="E172" s="6">
        <v>0.19383337445067902</v>
      </c>
      <c r="F172" s="15">
        <v>1.9279148377982735E-2</v>
      </c>
      <c r="G172" s="6">
        <v>6.2940930213564439</v>
      </c>
      <c r="H172" s="6">
        <v>4.4249416968067806E-3</v>
      </c>
      <c r="I172" s="6">
        <v>0</v>
      </c>
      <c r="J172" s="6">
        <v>7.1671986559765033E-2</v>
      </c>
      <c r="K172" s="5">
        <v>0.32758623114414048</v>
      </c>
      <c r="L172" s="5">
        <v>0.32758623114414048</v>
      </c>
      <c r="M172" s="5">
        <v>2.7344706965764076E-2</v>
      </c>
      <c r="N172" s="5">
        <v>9.5522003384769807</v>
      </c>
      <c r="O172" s="5">
        <v>5.7438724840702567E-3</v>
      </c>
      <c r="P172" s="5">
        <v>0</v>
      </c>
      <c r="Q172" s="5">
        <v>9.1034259479314136E-2</v>
      </c>
      <c r="R172" s="5">
        <v>3.5001857127193566E-2</v>
      </c>
      <c r="S172" s="5">
        <v>3.5001857127193566E-2</v>
      </c>
      <c r="T172" s="5">
        <v>9.7012975549923917E-3</v>
      </c>
      <c r="U172" s="5">
        <v>2.425090582275808</v>
      </c>
      <c r="V172" s="5">
        <v>2.8587113869314039E-3</v>
      </c>
      <c r="W172" s="5">
        <v>0</v>
      </c>
      <c r="X172" s="5">
        <v>4.8679287467800446E-2</v>
      </c>
      <c r="Y172" s="36">
        <v>29.62424781411071</v>
      </c>
      <c r="Z172" s="19">
        <v>29.62424781411071</v>
      </c>
      <c r="AA172" s="27">
        <v>2.7546413391859343</v>
      </c>
      <c r="AB172" s="19">
        <v>1172.0755127219634</v>
      </c>
      <c r="AC172" s="19">
        <v>1.0121618003154493</v>
      </c>
      <c r="AD172" s="19" t="s">
        <v>33</v>
      </c>
      <c r="AE172" s="19">
        <v>16.781782548911245</v>
      </c>
    </row>
    <row r="173" spans="1:31" x14ac:dyDescent="0.25">
      <c r="A173" s="8" t="s">
        <v>36</v>
      </c>
      <c r="B173" s="8">
        <v>264</v>
      </c>
      <c r="C173" t="s">
        <v>43</v>
      </c>
      <c r="D173" s="39">
        <v>2.0626108294595654E-2</v>
      </c>
      <c r="E173" s="6">
        <v>3.1494603863476169E-2</v>
      </c>
      <c r="F173" s="15">
        <v>0.20286596811766106</v>
      </c>
      <c r="G173" s="6">
        <v>5.586682242786243E-2</v>
      </c>
      <c r="H173" s="6">
        <v>8.2594770173693034E-4</v>
      </c>
      <c r="I173" s="6">
        <v>0</v>
      </c>
      <c r="J173" s="6">
        <v>1.2354035427497485E-6</v>
      </c>
      <c r="K173" s="5">
        <v>2.2146167901757663E-2</v>
      </c>
      <c r="L173" s="5">
        <v>3.3815627029488662E-2</v>
      </c>
      <c r="M173" s="5">
        <v>0.1989898021836623</v>
      </c>
      <c r="N173" s="5">
        <v>6.0536738066986583E-2</v>
      </c>
      <c r="O173" s="5">
        <v>8.9498878769488695E-4</v>
      </c>
      <c r="P173" s="5">
        <v>0</v>
      </c>
      <c r="Q173" s="5">
        <v>1.3386711007420779E-6</v>
      </c>
      <c r="R173" s="5">
        <v>1.8821037511090773E-2</v>
      </c>
      <c r="S173" s="5">
        <v>2.8738388853836332E-2</v>
      </c>
      <c r="T173" s="5">
        <v>0.20746891516428459</v>
      </c>
      <c r="U173" s="5">
        <v>5.0321297606402492E-2</v>
      </c>
      <c r="V173" s="5">
        <v>7.4396141216185696E-4</v>
      </c>
      <c r="W173" s="5">
        <v>0</v>
      </c>
      <c r="X173" s="5">
        <v>1.1127733176338575E-6</v>
      </c>
      <c r="Y173" s="36">
        <v>14.332076000624768</v>
      </c>
      <c r="Z173" s="19">
        <v>21.884063136582107</v>
      </c>
      <c r="AA173" s="27">
        <v>299.78044455491192</v>
      </c>
      <c r="AB173" s="19">
        <v>349.76493555254649</v>
      </c>
      <c r="AC173" s="19">
        <v>33.258355455435229</v>
      </c>
      <c r="AD173" s="19">
        <v>0</v>
      </c>
      <c r="AE173" s="19">
        <v>0.13608314432524449</v>
      </c>
    </row>
    <row r="174" spans="1:31" x14ac:dyDescent="0.25">
      <c r="A174" s="8" t="s">
        <v>36</v>
      </c>
      <c r="B174" s="8">
        <v>315</v>
      </c>
      <c r="C174" t="s">
        <v>44</v>
      </c>
      <c r="D174" s="39">
        <v>0.12900431349639579</v>
      </c>
      <c r="E174" s="6">
        <v>0.15709012344579568</v>
      </c>
      <c r="F174" s="15">
        <v>1.6117798889481205</v>
      </c>
      <c r="G174" s="6">
        <v>1.766605793944771</v>
      </c>
      <c r="H174" s="6">
        <v>5.5581463005996978E-3</v>
      </c>
      <c r="I174" s="6">
        <v>0</v>
      </c>
      <c r="J174" s="6">
        <v>1.7749451006609989E-4</v>
      </c>
      <c r="K174" s="5">
        <v>0.11862911278870412</v>
      </c>
      <c r="L174" s="5">
        <v>0.1444561152039571</v>
      </c>
      <c r="M174" s="5">
        <v>1.5248094922932713</v>
      </c>
      <c r="N174" s="5">
        <v>1.534483830348828</v>
      </c>
      <c r="O174" s="5">
        <v>5.0700295524442216E-3</v>
      </c>
      <c r="P174" s="5">
        <v>0</v>
      </c>
      <c r="Q174" s="5">
        <v>1.6190693133331872E-4</v>
      </c>
      <c r="R174" s="5">
        <v>0.14132486433677968</v>
      </c>
      <c r="S174" s="5">
        <v>0.17209300823297899</v>
      </c>
      <c r="T174" s="5">
        <v>1.715057234975754</v>
      </c>
      <c r="U174" s="5">
        <v>2.0422506257149537</v>
      </c>
      <c r="V174" s="5">
        <v>6.1377849390343254E-3</v>
      </c>
      <c r="W174" s="5">
        <v>0</v>
      </c>
      <c r="X174" s="5">
        <v>1.9600475981127754E-4</v>
      </c>
      <c r="Y174" s="36">
        <v>51.163443663175919</v>
      </c>
      <c r="Z174" s="19">
        <v>62.302348372133054</v>
      </c>
      <c r="AA174" s="27">
        <v>568.27293515188023</v>
      </c>
      <c r="AB174" s="19">
        <v>698.54148174815839</v>
      </c>
      <c r="AC174" s="19">
        <v>2.1975582019496755</v>
      </c>
      <c r="AD174" s="19" t="s">
        <v>33</v>
      </c>
      <c r="AE174" s="19">
        <v>7.0177086982167403E-2</v>
      </c>
    </row>
    <row r="175" spans="1:31" x14ac:dyDescent="0.25">
      <c r="A175" s="8" t="s">
        <v>36</v>
      </c>
      <c r="B175" s="8">
        <v>316</v>
      </c>
      <c r="C175" t="s">
        <v>45</v>
      </c>
      <c r="D175" s="39">
        <v>3.0948104021665188E-2</v>
      </c>
      <c r="E175" s="6">
        <v>3.4366577635816957E-2</v>
      </c>
      <c r="F175" s="15">
        <v>0.43183811135584499</v>
      </c>
      <c r="G175" s="6">
        <v>0.83160822115118671</v>
      </c>
      <c r="H175" s="6">
        <v>5.6321324917305701E-3</v>
      </c>
      <c r="I175" s="6">
        <v>0</v>
      </c>
      <c r="J175" s="6">
        <v>5.1886693356314817E-3</v>
      </c>
      <c r="K175" s="5">
        <v>3.1763567523353707E-2</v>
      </c>
      <c r="L175" s="5">
        <v>3.5272115814192449E-2</v>
      </c>
      <c r="M175" s="5">
        <v>0.51618875375776818</v>
      </c>
      <c r="N175" s="5">
        <v>0.85001071993932042</v>
      </c>
      <c r="O175" s="5">
        <v>5.9080805403474062E-3</v>
      </c>
      <c r="P175" s="5">
        <v>0</v>
      </c>
      <c r="Q175" s="5">
        <v>6.5566778143867572E-3</v>
      </c>
      <c r="R175" s="5">
        <v>2.9979741113410063E-2</v>
      </c>
      <c r="S175" s="5">
        <v>3.3291251048996044E-2</v>
      </c>
      <c r="T175" s="5">
        <v>0.33167172350356128</v>
      </c>
      <c r="U175" s="5">
        <v>0.8097552538402778</v>
      </c>
      <c r="V175" s="5">
        <v>5.3044441839980756E-3</v>
      </c>
      <c r="W175" s="5">
        <v>0</v>
      </c>
      <c r="X175" s="5">
        <v>3.5641592671095922E-3</v>
      </c>
      <c r="Y175" s="36">
        <v>10.170933692336801</v>
      </c>
      <c r="Z175" s="19">
        <v>11.294397295606339</v>
      </c>
      <c r="AA175" s="27">
        <v>132.95756883365519</v>
      </c>
      <c r="AB175" s="19">
        <v>276.09131204881953</v>
      </c>
      <c r="AC175" s="19">
        <v>1.7496730959728877</v>
      </c>
      <c r="AD175" s="19" t="s">
        <v>33</v>
      </c>
      <c r="AE175" s="19">
        <v>0.72732013814706076</v>
      </c>
    </row>
    <row r="176" spans="1:31" x14ac:dyDescent="0.25">
      <c r="A176" s="28" t="s">
        <v>36</v>
      </c>
      <c r="B176" s="28">
        <v>1121</v>
      </c>
      <c r="C176" s="29" t="s">
        <v>46</v>
      </c>
      <c r="D176" s="94">
        <v>0.26999104735923685</v>
      </c>
      <c r="E176" s="30">
        <v>0.33655435142311757</v>
      </c>
      <c r="F176" s="95">
        <v>0.73112862840495962</v>
      </c>
      <c r="G176" s="30">
        <v>1.9535574993354992</v>
      </c>
      <c r="H176" s="30">
        <v>1.9752923560990638E-2</v>
      </c>
      <c r="I176" s="30">
        <v>0</v>
      </c>
      <c r="J176" s="30">
        <v>2.2151666492435334E-4</v>
      </c>
      <c r="K176" s="31">
        <v>0.28506959022759676</v>
      </c>
      <c r="L176" s="31">
        <v>0.35535034212392896</v>
      </c>
      <c r="M176" s="31">
        <v>0.85392024164112768</v>
      </c>
      <c r="N176" s="31">
        <v>2.0509186777401203</v>
      </c>
      <c r="O176" s="31">
        <v>2.098758675713016E-2</v>
      </c>
      <c r="P176" s="31">
        <v>0</v>
      </c>
      <c r="Q176" s="31">
        <v>2.3118115295418947E-4</v>
      </c>
      <c r="R176" s="31">
        <v>0.25208527770305944</v>
      </c>
      <c r="S176" s="31">
        <v>0.31423411246590405</v>
      </c>
      <c r="T176" s="31">
        <v>0.58531358768701003</v>
      </c>
      <c r="U176" s="31">
        <v>1.8379410999800112</v>
      </c>
      <c r="V176" s="31">
        <v>1.8286761015574957E-2</v>
      </c>
      <c r="W176" s="31">
        <v>0</v>
      </c>
      <c r="X176" s="31">
        <v>2.1004008538892294E-4</v>
      </c>
      <c r="Y176" s="37">
        <v>74.571610495077664</v>
      </c>
      <c r="Z176" s="32">
        <v>82.852457376480629</v>
      </c>
      <c r="AA176" s="33">
        <v>198.87229084102412</v>
      </c>
      <c r="AB176" s="32">
        <v>543.53587420481244</v>
      </c>
      <c r="AC176" s="32">
        <v>5.4985703063764682</v>
      </c>
      <c r="AD176" s="32" t="s">
        <v>33</v>
      </c>
      <c r="AE176" s="32">
        <v>6.2133844462054083E-2</v>
      </c>
    </row>
    <row r="177" spans="1:31" x14ac:dyDescent="0.25">
      <c r="A177" s="24">
        <v>2029</v>
      </c>
      <c r="B177" s="8">
        <v>71</v>
      </c>
      <c r="C177" t="s">
        <v>40</v>
      </c>
      <c r="D177" s="39">
        <v>0</v>
      </c>
      <c r="E177" s="6">
        <v>0</v>
      </c>
      <c r="F177" s="15">
        <v>0</v>
      </c>
      <c r="G177" s="6">
        <v>0</v>
      </c>
      <c r="H177" s="6">
        <v>0</v>
      </c>
      <c r="I177" s="6">
        <v>0</v>
      </c>
      <c r="J177" s="6">
        <v>0</v>
      </c>
      <c r="K177" s="5">
        <v>0</v>
      </c>
      <c r="L177" s="5">
        <v>0</v>
      </c>
      <c r="M177" s="5">
        <v>0</v>
      </c>
      <c r="N177" s="5">
        <v>0</v>
      </c>
      <c r="O177" s="5">
        <v>0</v>
      </c>
      <c r="P177" s="5">
        <v>0</v>
      </c>
      <c r="Q177" s="5">
        <v>0</v>
      </c>
      <c r="R177" s="5">
        <v>0</v>
      </c>
      <c r="S177" s="5">
        <v>0</v>
      </c>
      <c r="T177" s="5">
        <v>0</v>
      </c>
      <c r="U177" s="5">
        <v>0</v>
      </c>
      <c r="V177" s="5">
        <v>0</v>
      </c>
      <c r="W177" s="5">
        <v>0</v>
      </c>
      <c r="X177" s="5">
        <v>0</v>
      </c>
      <c r="Y177" s="36">
        <v>0</v>
      </c>
      <c r="Z177" s="19">
        <v>0</v>
      </c>
      <c r="AA177" s="27">
        <v>0</v>
      </c>
      <c r="AB177" s="19">
        <v>0</v>
      </c>
      <c r="AC177" s="19">
        <v>0</v>
      </c>
      <c r="AD177" s="19">
        <v>0</v>
      </c>
      <c r="AE177" s="19">
        <v>0</v>
      </c>
    </row>
    <row r="178" spans="1:31" x14ac:dyDescent="0.25">
      <c r="A178" s="8">
        <v>2029</v>
      </c>
      <c r="B178" s="8">
        <v>109</v>
      </c>
      <c r="C178" t="s">
        <v>41</v>
      </c>
      <c r="D178" s="39">
        <v>8.6490509197965706E-3</v>
      </c>
      <c r="E178" s="6">
        <v>8.6488280743657834E-3</v>
      </c>
      <c r="F178" s="15">
        <v>0.23283809790117393</v>
      </c>
      <c r="G178" s="6">
        <v>0.62475599466374721</v>
      </c>
      <c r="H178" s="6">
        <v>1.5404592580843169E-4</v>
      </c>
      <c r="I178" s="6">
        <v>0</v>
      </c>
      <c r="J178" s="6">
        <v>4.149886279090723E-3</v>
      </c>
      <c r="K178" s="5">
        <v>3.6837825538108058E-3</v>
      </c>
      <c r="L178" s="5">
        <v>3.6836876400315084E-3</v>
      </c>
      <c r="M178" s="5">
        <v>9.6947512902635327E-2</v>
      </c>
      <c r="N178" s="5">
        <v>0.2713242605002501</v>
      </c>
      <c r="O178" s="5">
        <v>1.4522568459271533E-4</v>
      </c>
      <c r="P178" s="5">
        <v>0</v>
      </c>
      <c r="Q178" s="5">
        <v>1.7786373048368359E-3</v>
      </c>
      <c r="R178" s="5">
        <v>1.4545307104404664E-2</v>
      </c>
      <c r="S178" s="5">
        <v>1.4544932340137734E-2</v>
      </c>
      <c r="T178" s="5">
        <v>0.39420816758693855</v>
      </c>
      <c r="U178" s="5">
        <v>1.0444561789829001</v>
      </c>
      <c r="V178" s="5">
        <v>1.6451996225209489E-4</v>
      </c>
      <c r="W178" s="5">
        <v>0</v>
      </c>
      <c r="X178" s="5">
        <v>6.9657444360172148E-3</v>
      </c>
      <c r="Y178" s="36">
        <v>1.1734888857464483</v>
      </c>
      <c r="Z178" s="19">
        <v>1.1735273516382185</v>
      </c>
      <c r="AA178" s="27">
        <v>31.539117978030173</v>
      </c>
      <c r="AB178" s="19">
        <v>86.036000204319862</v>
      </c>
      <c r="AC178" s="19">
        <v>4.0236761208171566E-2</v>
      </c>
      <c r="AD178" s="19" t="s">
        <v>33</v>
      </c>
      <c r="AE178" s="19">
        <v>0.56575232815073495</v>
      </c>
    </row>
    <row r="179" spans="1:31" x14ac:dyDescent="0.25">
      <c r="A179" s="8">
        <v>2029</v>
      </c>
      <c r="B179" s="8">
        <v>110</v>
      </c>
      <c r="C179" t="s">
        <v>42</v>
      </c>
      <c r="D179" s="39">
        <v>0.19511469698049594</v>
      </c>
      <c r="E179" s="6">
        <v>0.19511469698049594</v>
      </c>
      <c r="F179" s="15">
        <v>1.9513960482166368</v>
      </c>
      <c r="G179" s="6">
        <v>6.3356997014025573</v>
      </c>
      <c r="H179" s="6">
        <v>4.4541924773047826E-3</v>
      </c>
      <c r="I179" s="6">
        <v>0</v>
      </c>
      <c r="J179" s="6">
        <v>7.2145769422989836E-2</v>
      </c>
      <c r="K179" s="5">
        <v>0.32975171796813219</v>
      </c>
      <c r="L179" s="5">
        <v>0.32975171796813219</v>
      </c>
      <c r="M179" s="5">
        <v>3.3927801979023817</v>
      </c>
      <c r="N179" s="5">
        <v>9.615344518563111</v>
      </c>
      <c r="O179" s="5">
        <v>5.7818419681340315E-3</v>
      </c>
      <c r="P179" s="5">
        <v>0</v>
      </c>
      <c r="Q179" s="5">
        <v>9.1636035349886638E-2</v>
      </c>
      <c r="R179" s="5">
        <v>3.5233234557677892E-2</v>
      </c>
      <c r="S179" s="5">
        <v>3.5233234557677892E-2</v>
      </c>
      <c r="T179" s="5">
        <v>0.23975237046481435</v>
      </c>
      <c r="U179" s="5">
        <v>2.4411214810243997</v>
      </c>
      <c r="V179" s="5">
        <v>2.8776087069450496E-3</v>
      </c>
      <c r="W179" s="5">
        <v>0</v>
      </c>
      <c r="X179" s="5">
        <v>4.9001078634799883E-2</v>
      </c>
      <c r="Y179" s="36">
        <v>29.818790904613476</v>
      </c>
      <c r="Z179" s="19">
        <v>29.818790904613476</v>
      </c>
      <c r="AA179" s="27">
        <v>278.80714956933582</v>
      </c>
      <c r="AB179" s="19">
        <v>1179.7725585331632</v>
      </c>
      <c r="AC179" s="19">
        <v>1.0188086892409605</v>
      </c>
      <c r="AD179" s="19" t="s">
        <v>33</v>
      </c>
      <c r="AE179" s="19">
        <v>16.891988886020521</v>
      </c>
    </row>
    <row r="180" spans="1:31" x14ac:dyDescent="0.25">
      <c r="A180" s="8">
        <v>2029</v>
      </c>
      <c r="B180" s="8">
        <v>264</v>
      </c>
      <c r="C180" t="s">
        <v>43</v>
      </c>
      <c r="D180" s="39">
        <v>2.0762455800979452E-2</v>
      </c>
      <c r="E180" s="6">
        <v>3.1702796831339905E-2</v>
      </c>
      <c r="F180" s="15">
        <v>0.20420700000248948</v>
      </c>
      <c r="G180" s="6">
        <v>5.623612631295944E-2</v>
      </c>
      <c r="H180" s="6">
        <v>8.3140757365880724E-4</v>
      </c>
      <c r="I180" s="6">
        <v>0</v>
      </c>
      <c r="J180" s="6">
        <v>1.2435700950642137E-6</v>
      </c>
      <c r="K180" s="5">
        <v>2.2292563660290223E-2</v>
      </c>
      <c r="L180" s="5">
        <v>3.4039162965421081E-2</v>
      </c>
      <c r="M180" s="5">
        <v>0.20030521093339018</v>
      </c>
      <c r="N180" s="5">
        <v>6.0936912116407532E-2</v>
      </c>
      <c r="O180" s="5">
        <v>9.0090505108790042E-4</v>
      </c>
      <c r="P180" s="5">
        <v>0</v>
      </c>
      <c r="Q180" s="5">
        <v>1.3475202963269792E-6</v>
      </c>
      <c r="R180" s="5">
        <v>1.8945452718047914E-2</v>
      </c>
      <c r="S180" s="5">
        <v>2.8928362047118506E-2</v>
      </c>
      <c r="T180" s="5">
        <v>0.20884037452204493</v>
      </c>
      <c r="U180" s="5">
        <v>5.0653943171364825E-2</v>
      </c>
      <c r="V180" s="5">
        <v>7.4887931921175906E-4</v>
      </c>
      <c r="W180" s="5">
        <v>0</v>
      </c>
      <c r="X180" s="5">
        <v>1.1201292310646798E-6</v>
      </c>
      <c r="Y180" s="36">
        <v>14.426195060658893</v>
      </c>
      <c r="Z180" s="19">
        <v>22.027776263141913</v>
      </c>
      <c r="AA180" s="27">
        <v>301.74910936361726</v>
      </c>
      <c r="AB180" s="19">
        <v>352.06184961898504</v>
      </c>
      <c r="AC180" s="19">
        <v>33.476763811182849</v>
      </c>
      <c r="AD180" s="19">
        <v>115.27671709567986</v>
      </c>
      <c r="AE180" s="19">
        <v>0.13697680534335671</v>
      </c>
    </row>
    <row r="181" spans="1:31" x14ac:dyDescent="0.25">
      <c r="A181" s="8">
        <v>2029</v>
      </c>
      <c r="B181" s="8">
        <v>315</v>
      </c>
      <c r="C181" t="s">
        <v>44</v>
      </c>
      <c r="D181" s="39">
        <v>0.12985708786404504</v>
      </c>
      <c r="E181" s="6">
        <v>0.15812855717761942</v>
      </c>
      <c r="F181" s="15">
        <v>1.6224344518719087</v>
      </c>
      <c r="G181" s="6">
        <v>1.7782838231360876</v>
      </c>
      <c r="H181" s="6">
        <v>5.59488805417624E-3</v>
      </c>
      <c r="I181" s="6">
        <v>0</v>
      </c>
      <c r="J181" s="6">
        <v>1.7866782562804074E-4</v>
      </c>
      <c r="K181" s="5">
        <v>0.11941330258748943</v>
      </c>
      <c r="L181" s="5">
        <v>0.14541103267111261</v>
      </c>
      <c r="M181" s="5">
        <v>1.5348891432393017</v>
      </c>
      <c r="N181" s="5">
        <v>1.5446274328581364</v>
      </c>
      <c r="O181" s="5">
        <v>5.1035446429738814E-3</v>
      </c>
      <c r="P181" s="5">
        <v>0</v>
      </c>
      <c r="Q181" s="5">
        <v>1.6297720625082875E-4</v>
      </c>
      <c r="R181" s="5">
        <v>0.14225908287995481</v>
      </c>
      <c r="S181" s="5">
        <v>0.17323061752909627</v>
      </c>
      <c r="T181" s="5">
        <v>1.7263945058731296</v>
      </c>
      <c r="U181" s="5">
        <v>2.0557507865911546</v>
      </c>
      <c r="V181" s="5">
        <v>6.1783583549790411E-3</v>
      </c>
      <c r="W181" s="5">
        <v>0</v>
      </c>
      <c r="X181" s="5">
        <v>1.9730043613848001E-4</v>
      </c>
      <c r="Y181" s="36">
        <v>51.499435129135009</v>
      </c>
      <c r="Z181" s="19">
        <v>62.711489271640431</v>
      </c>
      <c r="AA181" s="27">
        <v>572.00479608375053</v>
      </c>
      <c r="AB181" s="19">
        <v>703.12881910627141</v>
      </c>
      <c r="AC181" s="19">
        <v>2.2119896152584499</v>
      </c>
      <c r="AD181" s="19" t="s">
        <v>33</v>
      </c>
      <c r="AE181" s="19">
        <v>7.0637941464268023E-2</v>
      </c>
    </row>
    <row r="182" spans="1:31" x14ac:dyDescent="0.25">
      <c r="A182" s="8">
        <v>2029</v>
      </c>
      <c r="B182" s="8">
        <v>316</v>
      </c>
      <c r="C182" t="s">
        <v>45</v>
      </c>
      <c r="D182" s="39">
        <v>3.115268438895465E-2</v>
      </c>
      <c r="E182" s="6">
        <v>3.4593755593804142E-2</v>
      </c>
      <c r="F182" s="15">
        <v>0.56581601419593464</v>
      </c>
      <c r="G182" s="6">
        <v>0.83710551155724655</v>
      </c>
      <c r="H182" s="6">
        <v>5.669363326064541E-3</v>
      </c>
      <c r="I182" s="6">
        <v>0</v>
      </c>
      <c r="J182" s="6">
        <v>5.2229686864958816E-3</v>
      </c>
      <c r="K182" s="5">
        <v>3.1973538457463355E-2</v>
      </c>
      <c r="L182" s="5">
        <v>3.5505279771612649E-2</v>
      </c>
      <c r="M182" s="5">
        <v>0.67966361785387797</v>
      </c>
      <c r="N182" s="5">
        <v>0.85562965883016251</v>
      </c>
      <c r="O182" s="5">
        <v>5.9471355107609033E-3</v>
      </c>
      <c r="P182" s="5">
        <v>0</v>
      </c>
      <c r="Q182" s="5">
        <v>6.6000202936070309E-3</v>
      </c>
      <c r="R182" s="5">
        <v>3.0177920182600564E-2</v>
      </c>
      <c r="S182" s="5">
        <v>3.3511320632656535E-2</v>
      </c>
      <c r="T182" s="5">
        <v>0.43062198485212705</v>
      </c>
      <c r="U182" s="5">
        <v>0.81510808667065882</v>
      </c>
      <c r="V182" s="5">
        <v>5.3395088567376112E-3</v>
      </c>
      <c r="W182" s="5">
        <v>0</v>
      </c>
      <c r="X182" s="5">
        <v>3.5877199030513924E-3</v>
      </c>
      <c r="Y182" s="36">
        <v>10.237726438813334</v>
      </c>
      <c r="Z182" s="19">
        <v>11.368567852409701</v>
      </c>
      <c r="AA182" s="27">
        <v>174.20018137513014</v>
      </c>
      <c r="AB182" s="19">
        <v>277.90440980049834</v>
      </c>
      <c r="AC182" s="19">
        <v>1.7611632378862283</v>
      </c>
      <c r="AD182" s="19" t="s">
        <v>33</v>
      </c>
      <c r="AE182" s="19">
        <v>0.73209646557815355</v>
      </c>
    </row>
    <row r="183" spans="1:31" x14ac:dyDescent="0.25">
      <c r="A183" s="28">
        <v>2029</v>
      </c>
      <c r="B183" s="28">
        <v>1121</v>
      </c>
      <c r="C183" s="29" t="s">
        <v>46</v>
      </c>
      <c r="D183" s="94">
        <v>0.27177580508122684</v>
      </c>
      <c r="E183" s="30">
        <v>0.33877912140511085</v>
      </c>
      <c r="F183" s="95">
        <v>1.9941452972075171</v>
      </c>
      <c r="G183" s="30">
        <v>1.9664713602445671</v>
      </c>
      <c r="H183" s="30">
        <v>1.9883498938219519E-2</v>
      </c>
      <c r="I183" s="30">
        <v>0</v>
      </c>
      <c r="J183" s="30">
        <v>2.2298098599032995E-4</v>
      </c>
      <c r="K183" s="31">
        <v>0.28695402364655476</v>
      </c>
      <c r="L183" s="31">
        <v>0.35769936174261885</v>
      </c>
      <c r="M183" s="31">
        <v>2.3290580725499748</v>
      </c>
      <c r="N183" s="31">
        <v>2.0644761381932448</v>
      </c>
      <c r="O183" s="31">
        <v>2.1126323792661873E-2</v>
      </c>
      <c r="P183" s="31">
        <v>0</v>
      </c>
      <c r="Q183" s="31">
        <v>2.3270936047050964E-4</v>
      </c>
      <c r="R183" s="31">
        <v>0.25375167053490005</v>
      </c>
      <c r="S183" s="31">
        <v>0.31631133600432015</v>
      </c>
      <c r="T183" s="31">
        <v>1.5964363764883489</v>
      </c>
      <c r="U183" s="31">
        <v>1.850090686430512</v>
      </c>
      <c r="V183" s="31">
        <v>1.8407644423569233E-2</v>
      </c>
      <c r="W183" s="31">
        <v>0</v>
      </c>
      <c r="X183" s="31">
        <v>2.1142854129511653E-4</v>
      </c>
      <c r="Y183" s="37">
        <v>75.061323910267589</v>
      </c>
      <c r="Z183" s="32">
        <v>83.396551296262501</v>
      </c>
      <c r="AA183" s="33">
        <v>542.39859483897828</v>
      </c>
      <c r="AB183" s="32">
        <v>547.10528631041063</v>
      </c>
      <c r="AC183" s="32">
        <v>5.534679539173248</v>
      </c>
      <c r="AD183" s="32" t="s">
        <v>33</v>
      </c>
      <c r="AE183" s="32">
        <v>6.2541878792657699E-2</v>
      </c>
    </row>
    <row r="184" spans="1:31" x14ac:dyDescent="0.25">
      <c r="A184" s="24" t="s">
        <v>37</v>
      </c>
      <c r="B184" s="8">
        <v>71</v>
      </c>
      <c r="C184" t="s">
        <v>40</v>
      </c>
      <c r="D184" s="39">
        <v>0</v>
      </c>
      <c r="E184" s="6">
        <v>0</v>
      </c>
      <c r="F184" s="15">
        <v>0</v>
      </c>
      <c r="G184" s="6">
        <v>0</v>
      </c>
      <c r="H184" s="6">
        <v>0</v>
      </c>
      <c r="I184" s="6">
        <v>0</v>
      </c>
      <c r="J184" s="6">
        <v>0</v>
      </c>
      <c r="K184" s="5">
        <v>0</v>
      </c>
      <c r="L184" s="5">
        <v>0</v>
      </c>
      <c r="M184" s="5">
        <v>0</v>
      </c>
      <c r="N184" s="5">
        <v>0</v>
      </c>
      <c r="O184" s="5">
        <v>0</v>
      </c>
      <c r="P184" s="5">
        <v>0</v>
      </c>
      <c r="Q184" s="5">
        <v>0</v>
      </c>
      <c r="R184" s="5">
        <v>0</v>
      </c>
      <c r="S184" s="5">
        <v>0</v>
      </c>
      <c r="T184" s="5">
        <v>0</v>
      </c>
      <c r="U184" s="5">
        <v>0</v>
      </c>
      <c r="V184" s="5">
        <v>0</v>
      </c>
      <c r="W184" s="5">
        <v>0</v>
      </c>
      <c r="X184" s="5">
        <v>0</v>
      </c>
      <c r="Y184" s="36">
        <v>0</v>
      </c>
      <c r="Z184" s="19">
        <v>0</v>
      </c>
      <c r="AA184" s="27">
        <v>0</v>
      </c>
      <c r="AB184" s="19">
        <v>0</v>
      </c>
      <c r="AC184" s="19">
        <v>0</v>
      </c>
      <c r="AD184" s="19">
        <v>0</v>
      </c>
      <c r="AE184" s="19">
        <v>0</v>
      </c>
    </row>
    <row r="185" spans="1:31" x14ac:dyDescent="0.25">
      <c r="A185" s="8" t="s">
        <v>37</v>
      </c>
      <c r="B185" s="8">
        <v>109</v>
      </c>
      <c r="C185" t="s">
        <v>41</v>
      </c>
      <c r="D185" s="39">
        <v>8.6490509197965706E-3</v>
      </c>
      <c r="E185" s="6">
        <v>8.6488280743657834E-3</v>
      </c>
      <c r="F185" s="15">
        <v>9.7978970677311872E-2</v>
      </c>
      <c r="G185" s="6">
        <v>0.62475599466374721</v>
      </c>
      <c r="H185" s="6">
        <v>1.5404592580843169E-4</v>
      </c>
      <c r="I185" s="6">
        <v>0</v>
      </c>
      <c r="J185" s="6">
        <v>4.149886279090723E-3</v>
      </c>
      <c r="K185" s="5">
        <v>3.6837825538108058E-3</v>
      </c>
      <c r="L185" s="5">
        <v>3.6836876400315084E-3</v>
      </c>
      <c r="M185" s="5">
        <v>4.0376243927856492E-2</v>
      </c>
      <c r="N185" s="5">
        <v>0.2713242605002501</v>
      </c>
      <c r="O185" s="5">
        <v>1.4522568459271533E-4</v>
      </c>
      <c r="P185" s="5">
        <v>0</v>
      </c>
      <c r="Q185" s="5">
        <v>1.7786373048368359E-3</v>
      </c>
      <c r="R185" s="5">
        <v>1.4545307104404664E-2</v>
      </c>
      <c r="S185" s="5">
        <v>1.4544932340137734E-2</v>
      </c>
      <c r="T185" s="5">
        <v>0.16638220869229015</v>
      </c>
      <c r="U185" s="5">
        <v>1.0444561789829001</v>
      </c>
      <c r="V185" s="5">
        <v>1.6451996225209489E-4</v>
      </c>
      <c r="W185" s="5">
        <v>0</v>
      </c>
      <c r="X185" s="5">
        <v>6.9657444360172148E-3</v>
      </c>
      <c r="Y185" s="36">
        <v>1.1734888857464483</v>
      </c>
      <c r="Z185" s="19">
        <v>1.1735273516382185</v>
      </c>
      <c r="AA185" s="27">
        <v>13.271755539204298</v>
      </c>
      <c r="AB185" s="19">
        <v>86.036000204319862</v>
      </c>
      <c r="AC185" s="19">
        <v>4.0236761208171566E-2</v>
      </c>
      <c r="AD185" s="19" t="s">
        <v>33</v>
      </c>
      <c r="AE185" s="19">
        <v>0.56575232815073495</v>
      </c>
    </row>
    <row r="186" spans="1:31" x14ac:dyDescent="0.25">
      <c r="A186" s="8" t="s">
        <v>37</v>
      </c>
      <c r="B186" s="8">
        <v>110</v>
      </c>
      <c r="C186" t="s">
        <v>42</v>
      </c>
      <c r="D186" s="39">
        <v>0.19511469698049594</v>
      </c>
      <c r="E186" s="6">
        <v>0.19511469698049594</v>
      </c>
      <c r="F186" s="15">
        <v>1.9406591896119887E-2</v>
      </c>
      <c r="G186" s="6">
        <v>6.3356997014025573</v>
      </c>
      <c r="H186" s="6">
        <v>4.4541924773047826E-3</v>
      </c>
      <c r="I186" s="6">
        <v>0</v>
      </c>
      <c r="J186" s="6">
        <v>7.2145769422989836E-2</v>
      </c>
      <c r="K186" s="5">
        <v>0.32975171796813219</v>
      </c>
      <c r="L186" s="5">
        <v>0.32975171796813219</v>
      </c>
      <c r="M186" s="5">
        <v>2.7525467318338895E-2</v>
      </c>
      <c r="N186" s="5">
        <v>9.615344518563111</v>
      </c>
      <c r="O186" s="5">
        <v>5.7818419681340315E-3</v>
      </c>
      <c r="P186" s="5">
        <v>0</v>
      </c>
      <c r="Q186" s="5">
        <v>9.1636035349886638E-2</v>
      </c>
      <c r="R186" s="5">
        <v>3.5233234557677892E-2</v>
      </c>
      <c r="S186" s="5">
        <v>3.5233234557677892E-2</v>
      </c>
      <c r="T186" s="5">
        <v>9.7654273322348162E-3</v>
      </c>
      <c r="U186" s="5">
        <v>2.4411214810243997</v>
      </c>
      <c r="V186" s="5">
        <v>2.8776087069450496E-3</v>
      </c>
      <c r="W186" s="5">
        <v>0</v>
      </c>
      <c r="X186" s="5">
        <v>4.9001078634799883E-2</v>
      </c>
      <c r="Y186" s="36">
        <v>29.818790904613476</v>
      </c>
      <c r="Z186" s="19">
        <v>29.818790904613476</v>
      </c>
      <c r="AA186" s="27">
        <v>2.7727311297762154</v>
      </c>
      <c r="AB186" s="19">
        <v>1179.7725585331632</v>
      </c>
      <c r="AC186" s="19">
        <v>1.0188086892409605</v>
      </c>
      <c r="AD186" s="19" t="s">
        <v>33</v>
      </c>
      <c r="AE186" s="19">
        <v>16.891988886020521</v>
      </c>
    </row>
    <row r="187" spans="1:31" x14ac:dyDescent="0.25">
      <c r="A187" s="8" t="s">
        <v>37</v>
      </c>
      <c r="B187" s="8">
        <v>264</v>
      </c>
      <c r="C187" t="s">
        <v>43</v>
      </c>
      <c r="D187" s="39">
        <v>2.0762455800979452E-2</v>
      </c>
      <c r="E187" s="6">
        <v>3.1702796831339905E-2</v>
      </c>
      <c r="F187" s="15">
        <v>0.20420700000248948</v>
      </c>
      <c r="G187" s="6">
        <v>5.623612631295944E-2</v>
      </c>
      <c r="H187" s="6">
        <v>8.3140757365880724E-4</v>
      </c>
      <c r="I187" s="6">
        <v>0</v>
      </c>
      <c r="J187" s="6">
        <v>1.2435700950642137E-6</v>
      </c>
      <c r="K187" s="5">
        <v>2.2292563660290223E-2</v>
      </c>
      <c r="L187" s="5">
        <v>3.4039162965421081E-2</v>
      </c>
      <c r="M187" s="5">
        <v>0.20030521093339018</v>
      </c>
      <c r="N187" s="5">
        <v>6.0936912116407532E-2</v>
      </c>
      <c r="O187" s="5">
        <v>9.0090505108790042E-4</v>
      </c>
      <c r="P187" s="5">
        <v>0</v>
      </c>
      <c r="Q187" s="5">
        <v>1.3475202963269792E-6</v>
      </c>
      <c r="R187" s="5">
        <v>1.8945452718047914E-2</v>
      </c>
      <c r="S187" s="5">
        <v>2.8928362047118506E-2</v>
      </c>
      <c r="T187" s="5">
        <v>0.20884037452204493</v>
      </c>
      <c r="U187" s="5">
        <v>5.0653943171364825E-2</v>
      </c>
      <c r="V187" s="5">
        <v>7.4887931921175906E-4</v>
      </c>
      <c r="W187" s="5">
        <v>0</v>
      </c>
      <c r="X187" s="5">
        <v>1.1201292310646798E-6</v>
      </c>
      <c r="Y187" s="36">
        <v>14.426195060658891</v>
      </c>
      <c r="Z187" s="19">
        <v>22.027776263141913</v>
      </c>
      <c r="AA187" s="27">
        <v>301.74910936361726</v>
      </c>
      <c r="AB187" s="19">
        <v>352.06184961898504</v>
      </c>
      <c r="AC187" s="19">
        <v>33.476763811182849</v>
      </c>
      <c r="AD187" s="19">
        <v>0</v>
      </c>
      <c r="AE187" s="19">
        <v>0.13697680534335671</v>
      </c>
    </row>
    <row r="188" spans="1:31" x14ac:dyDescent="0.25">
      <c r="A188" s="8" t="s">
        <v>37</v>
      </c>
      <c r="B188" s="8">
        <v>315</v>
      </c>
      <c r="C188" t="s">
        <v>44</v>
      </c>
      <c r="D188" s="39">
        <v>0.12985708786404504</v>
      </c>
      <c r="E188" s="6">
        <v>0.15812855717761942</v>
      </c>
      <c r="F188" s="15">
        <v>1.6224344518719087</v>
      </c>
      <c r="G188" s="6">
        <v>1.7782838231360876</v>
      </c>
      <c r="H188" s="6">
        <v>5.59488805417624E-3</v>
      </c>
      <c r="I188" s="6">
        <v>0</v>
      </c>
      <c r="J188" s="6">
        <v>1.7866782562804074E-4</v>
      </c>
      <c r="K188" s="5">
        <v>0.11941330258748943</v>
      </c>
      <c r="L188" s="5">
        <v>0.14541103267111261</v>
      </c>
      <c r="M188" s="5">
        <v>1.5348891432393017</v>
      </c>
      <c r="N188" s="5">
        <v>1.5446274328581364</v>
      </c>
      <c r="O188" s="5">
        <v>5.1035446429738814E-3</v>
      </c>
      <c r="P188" s="5">
        <v>0</v>
      </c>
      <c r="Q188" s="5">
        <v>1.6297720625082875E-4</v>
      </c>
      <c r="R188" s="5">
        <v>0.14225908287995481</v>
      </c>
      <c r="S188" s="5">
        <v>0.17323061752909627</v>
      </c>
      <c r="T188" s="5">
        <v>1.7263945058731296</v>
      </c>
      <c r="U188" s="5">
        <v>2.0557507865911546</v>
      </c>
      <c r="V188" s="5">
        <v>6.1783583549790411E-3</v>
      </c>
      <c r="W188" s="5">
        <v>0</v>
      </c>
      <c r="X188" s="5">
        <v>1.9730043613848001E-4</v>
      </c>
      <c r="Y188" s="36">
        <v>51.499435129135009</v>
      </c>
      <c r="Z188" s="19">
        <v>62.711489271640438</v>
      </c>
      <c r="AA188" s="27">
        <v>572.00479608375053</v>
      </c>
      <c r="AB188" s="19">
        <v>703.12881910627141</v>
      </c>
      <c r="AC188" s="19">
        <v>2.2119896152584499</v>
      </c>
      <c r="AD188" s="19" t="s">
        <v>33</v>
      </c>
      <c r="AE188" s="19">
        <v>7.0637941464268023E-2</v>
      </c>
    </row>
    <row r="189" spans="1:31" x14ac:dyDescent="0.25">
      <c r="A189" s="8" t="s">
        <v>37</v>
      </c>
      <c r="B189" s="8">
        <v>316</v>
      </c>
      <c r="C189" t="s">
        <v>45</v>
      </c>
      <c r="D189" s="39">
        <v>3.115268438895465E-2</v>
      </c>
      <c r="E189" s="6">
        <v>3.4593755593804142E-2</v>
      </c>
      <c r="F189" s="15">
        <v>0.43469274824632842</v>
      </c>
      <c r="G189" s="6">
        <v>0.83710551155724655</v>
      </c>
      <c r="H189" s="6">
        <v>5.669363326064541E-3</v>
      </c>
      <c r="I189" s="6">
        <v>0</v>
      </c>
      <c r="J189" s="6">
        <v>5.2229686864958816E-3</v>
      </c>
      <c r="K189" s="5">
        <v>3.1973538457463355E-2</v>
      </c>
      <c r="L189" s="5">
        <v>3.5505279771612649E-2</v>
      </c>
      <c r="M189" s="5">
        <v>0.51960098491611384</v>
      </c>
      <c r="N189" s="5">
        <v>0.85562965883016251</v>
      </c>
      <c r="O189" s="5">
        <v>5.9471355107609033E-3</v>
      </c>
      <c r="P189" s="5">
        <v>0</v>
      </c>
      <c r="Q189" s="5">
        <v>6.6000202936070309E-3</v>
      </c>
      <c r="R189" s="5">
        <v>3.0177920182600564E-2</v>
      </c>
      <c r="S189" s="5">
        <v>3.3511320632656535E-2</v>
      </c>
      <c r="T189" s="5">
        <v>0.33386421720095827</v>
      </c>
      <c r="U189" s="5">
        <v>0.81510808667065882</v>
      </c>
      <c r="V189" s="5">
        <v>5.3395088567376112E-3</v>
      </c>
      <c r="W189" s="5">
        <v>0</v>
      </c>
      <c r="X189" s="5">
        <v>3.5877199030513924E-3</v>
      </c>
      <c r="Y189" s="36">
        <v>10.237726438813334</v>
      </c>
      <c r="Z189" s="19">
        <v>11.368567852409701</v>
      </c>
      <c r="AA189" s="27">
        <v>133.83070412839558</v>
      </c>
      <c r="AB189" s="19">
        <v>277.90440980049834</v>
      </c>
      <c r="AC189" s="19">
        <v>1.7611632378862281</v>
      </c>
      <c r="AD189" s="19" t="s">
        <v>33</v>
      </c>
      <c r="AE189" s="19">
        <v>0.73209646557815355</v>
      </c>
    </row>
    <row r="190" spans="1:31" x14ac:dyDescent="0.25">
      <c r="A190" s="28" t="s">
        <v>37</v>
      </c>
      <c r="B190" s="28">
        <v>1121</v>
      </c>
      <c r="C190" s="29" t="s">
        <v>46</v>
      </c>
      <c r="D190" s="94">
        <v>0.27177580508122684</v>
      </c>
      <c r="E190" s="30">
        <v>0.33877912140511085</v>
      </c>
      <c r="F190" s="95">
        <v>0.73596170519797455</v>
      </c>
      <c r="G190" s="30">
        <v>1.9664713602445671</v>
      </c>
      <c r="H190" s="30">
        <v>1.9883498938219519E-2</v>
      </c>
      <c r="I190" s="30">
        <v>0</v>
      </c>
      <c r="J190" s="30">
        <v>2.2298098599032995E-4</v>
      </c>
      <c r="K190" s="31">
        <v>0.28695402364655476</v>
      </c>
      <c r="L190" s="31">
        <v>0.35769936174261885</v>
      </c>
      <c r="M190" s="31">
        <v>0.85956502416313785</v>
      </c>
      <c r="N190" s="31">
        <v>2.0644761381932448</v>
      </c>
      <c r="O190" s="31">
        <v>2.1126323792661873E-2</v>
      </c>
      <c r="P190" s="31">
        <v>0</v>
      </c>
      <c r="Q190" s="31">
        <v>2.3270936047050964E-4</v>
      </c>
      <c r="R190" s="31">
        <v>0.25375167053490005</v>
      </c>
      <c r="S190" s="31">
        <v>0.31631133600432015</v>
      </c>
      <c r="T190" s="31">
        <v>0.58918276392684321</v>
      </c>
      <c r="U190" s="31">
        <v>1.850090686430512</v>
      </c>
      <c r="V190" s="31">
        <v>1.8407644423569233E-2</v>
      </c>
      <c r="W190" s="31">
        <v>0</v>
      </c>
      <c r="X190" s="31">
        <v>2.1142854129511653E-4</v>
      </c>
      <c r="Y190" s="37">
        <v>75.061323910267589</v>
      </c>
      <c r="Z190" s="32">
        <v>83.396551296262501</v>
      </c>
      <c r="AA190" s="33">
        <v>200.1782895728181</v>
      </c>
      <c r="AB190" s="32">
        <v>547.10528631041063</v>
      </c>
      <c r="AC190" s="32">
        <v>5.534679539173248</v>
      </c>
      <c r="AD190" s="32" t="s">
        <v>33</v>
      </c>
      <c r="AE190" s="32">
        <v>6.2541878792657699E-2</v>
      </c>
    </row>
  </sheetData>
  <mergeCells count="32">
    <mergeCell ref="AI3:AP3"/>
    <mergeCell ref="B19:C19"/>
    <mergeCell ref="B20:C20"/>
    <mergeCell ref="B21:C21"/>
    <mergeCell ref="B22:C22"/>
    <mergeCell ref="B10:C10"/>
    <mergeCell ref="B5:C5"/>
    <mergeCell ref="B6:C6"/>
    <mergeCell ref="B7:C7"/>
    <mergeCell ref="B8:C8"/>
    <mergeCell ref="B9:C9"/>
    <mergeCell ref="B25:C25"/>
    <mergeCell ref="A1:AE1"/>
    <mergeCell ref="D3:J3"/>
    <mergeCell ref="K3:Q3"/>
    <mergeCell ref="R3:X3"/>
    <mergeCell ref="Y3:AE3"/>
    <mergeCell ref="B16:C16"/>
    <mergeCell ref="B17:C17"/>
    <mergeCell ref="B18:C18"/>
    <mergeCell ref="B23:C23"/>
    <mergeCell ref="B24:C24"/>
    <mergeCell ref="B11:C11"/>
    <mergeCell ref="B12:C12"/>
    <mergeCell ref="B13:C13"/>
    <mergeCell ref="B14:C14"/>
    <mergeCell ref="B15:C15"/>
    <mergeCell ref="D35:J35"/>
    <mergeCell ref="K35:Q35"/>
    <mergeCell ref="R35:X35"/>
    <mergeCell ref="Y35:AE35"/>
    <mergeCell ref="B26:C26"/>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2A42-68C6-4ABC-B4BA-C923F4D5586F}">
  <dimension ref="A1:O59"/>
  <sheetViews>
    <sheetView workbookViewId="0">
      <selection sqref="A1:O1"/>
    </sheetView>
  </sheetViews>
  <sheetFormatPr defaultRowHeight="15" x14ac:dyDescent="0.25"/>
  <cols>
    <col min="1" max="1" width="10.42578125" customWidth="1"/>
    <col min="2" max="2" width="21.28515625" customWidth="1"/>
    <col min="3" max="3" width="13.42578125" customWidth="1"/>
    <col min="4" max="4" width="35.140625" customWidth="1"/>
    <col min="5" max="15" width="9.7109375" customWidth="1"/>
  </cols>
  <sheetData>
    <row r="1" spans="1:15" ht="15.75" x14ac:dyDescent="0.25">
      <c r="A1" s="217" t="s">
        <v>303</v>
      </c>
      <c r="B1" s="217"/>
      <c r="C1" s="217"/>
      <c r="D1" s="217"/>
      <c r="E1" s="217"/>
      <c r="F1" s="217"/>
      <c r="G1" s="217"/>
      <c r="H1" s="217"/>
      <c r="I1" s="217"/>
      <c r="J1" s="217"/>
      <c r="K1" s="217"/>
      <c r="L1" s="217"/>
      <c r="M1" s="217"/>
      <c r="N1" s="217"/>
      <c r="O1" s="217"/>
    </row>
    <row r="2" spans="1:15" x14ac:dyDescent="0.25">
      <c r="A2" s="216" t="s">
        <v>283</v>
      </c>
      <c r="B2" s="216"/>
      <c r="C2" s="216"/>
      <c r="D2" s="216"/>
      <c r="E2" s="216"/>
      <c r="F2" s="216"/>
      <c r="G2" s="216"/>
      <c r="H2" s="216"/>
      <c r="I2" s="216"/>
      <c r="J2" s="216"/>
      <c r="K2" s="216"/>
      <c r="L2" s="216"/>
      <c r="M2" s="216"/>
      <c r="N2" s="216"/>
      <c r="O2" s="216"/>
    </row>
    <row r="4" spans="1:15" x14ac:dyDescent="0.25">
      <c r="A4" s="43" t="s">
        <v>52</v>
      </c>
      <c r="B4" s="44"/>
      <c r="C4" s="43"/>
      <c r="D4" s="43" t="s">
        <v>53</v>
      </c>
      <c r="E4" s="228" t="s">
        <v>54</v>
      </c>
      <c r="F4" s="228"/>
      <c r="G4" s="228"/>
      <c r="H4" s="228"/>
      <c r="I4" s="228"/>
      <c r="J4" s="228"/>
      <c r="K4" s="228"/>
      <c r="L4" s="228"/>
      <c r="M4" s="228"/>
      <c r="N4" s="228"/>
      <c r="O4" s="228"/>
    </row>
    <row r="5" spans="1:15" x14ac:dyDescent="0.25">
      <c r="A5" s="42" t="s">
        <v>55</v>
      </c>
      <c r="B5" s="42" t="s">
        <v>56</v>
      </c>
      <c r="C5" s="42" t="s">
        <v>57</v>
      </c>
      <c r="D5" s="42" t="s">
        <v>58</v>
      </c>
      <c r="E5" s="40">
        <v>2019</v>
      </c>
      <c r="F5" s="41">
        <v>2020</v>
      </c>
      <c r="G5" s="40">
        <v>2021</v>
      </c>
      <c r="H5" s="40">
        <v>2022</v>
      </c>
      <c r="I5" s="41">
        <v>2023</v>
      </c>
      <c r="J5" s="40">
        <v>2024</v>
      </c>
      <c r="K5" s="40">
        <v>2025</v>
      </c>
      <c r="L5" s="41">
        <v>2026</v>
      </c>
      <c r="M5" s="40">
        <v>2027</v>
      </c>
      <c r="N5" s="40">
        <v>2028</v>
      </c>
      <c r="O5" s="41">
        <v>2029</v>
      </c>
    </row>
    <row r="6" spans="1:15" x14ac:dyDescent="0.25">
      <c r="A6" s="45" t="s">
        <v>59</v>
      </c>
      <c r="B6" s="45" t="s">
        <v>60</v>
      </c>
      <c r="C6" s="45" t="s">
        <v>61</v>
      </c>
      <c r="D6" s="45" t="s">
        <v>103</v>
      </c>
      <c r="E6" s="46">
        <v>2616</v>
      </c>
      <c r="F6" s="47">
        <v>2791</v>
      </c>
      <c r="G6" s="46">
        <v>3111</v>
      </c>
      <c r="H6" s="46">
        <v>3428</v>
      </c>
      <c r="I6" s="47">
        <v>3645</v>
      </c>
      <c r="J6" s="46">
        <v>3754</v>
      </c>
      <c r="K6" s="46">
        <v>3791</v>
      </c>
      <c r="L6" s="47">
        <f>K6</f>
        <v>3791</v>
      </c>
      <c r="M6" s="46">
        <f t="shared" ref="M6:O6" si="0">L6</f>
        <v>3791</v>
      </c>
      <c r="N6" s="46">
        <f t="shared" si="0"/>
        <v>3791</v>
      </c>
      <c r="O6" s="47">
        <f t="shared" si="0"/>
        <v>3791</v>
      </c>
    </row>
    <row r="7" spans="1:15" s="129" customFormat="1" x14ac:dyDescent="0.25">
      <c r="A7" s="45" t="s">
        <v>82</v>
      </c>
      <c r="B7" s="45" t="s">
        <v>83</v>
      </c>
      <c r="C7" s="53" t="s">
        <v>84</v>
      </c>
      <c r="D7" s="45" t="s">
        <v>85</v>
      </c>
      <c r="E7" s="54">
        <v>0.3</v>
      </c>
      <c r="F7" s="54">
        <v>0.3</v>
      </c>
      <c r="G7" s="55">
        <v>0.3</v>
      </c>
      <c r="H7" s="55">
        <v>0.4</v>
      </c>
      <c r="I7" s="54">
        <v>0.45</v>
      </c>
      <c r="J7" s="55">
        <v>0.45</v>
      </c>
      <c r="K7" s="55">
        <v>0.45</v>
      </c>
      <c r="L7" s="54">
        <v>0.5</v>
      </c>
      <c r="M7" s="55">
        <v>0.5</v>
      </c>
      <c r="N7" s="55">
        <v>0.5</v>
      </c>
      <c r="O7" s="54">
        <v>0.5</v>
      </c>
    </row>
    <row r="8" spans="1:15" x14ac:dyDescent="0.25">
      <c r="A8" s="45" t="s">
        <v>62</v>
      </c>
      <c r="B8" s="45" t="s">
        <v>63</v>
      </c>
      <c r="C8" s="48">
        <v>2023</v>
      </c>
      <c r="D8" s="45" t="s">
        <v>64</v>
      </c>
      <c r="E8" s="45" t="str">
        <f>IF(E$5&lt;$C8,"n/a","")</f>
        <v>n/a</v>
      </c>
      <c r="F8" s="49" t="str">
        <f>IF(F$5&lt;$C8,"n/a","")</f>
        <v>n/a</v>
      </c>
      <c r="G8" s="50" t="str">
        <f t="shared" ref="G8:H8" si="1">IF(G$5&lt;$C8,"n/a","")</f>
        <v>n/a</v>
      </c>
      <c r="H8" s="50" t="str">
        <f t="shared" si="1"/>
        <v>n/a</v>
      </c>
      <c r="I8" s="51">
        <v>1</v>
      </c>
      <c r="J8" s="52">
        <v>1</v>
      </c>
      <c r="K8" s="52">
        <v>1</v>
      </c>
      <c r="L8" s="51">
        <v>1</v>
      </c>
      <c r="M8" s="52">
        <v>1</v>
      </c>
      <c r="N8" s="52">
        <v>1</v>
      </c>
      <c r="O8" s="51">
        <v>1</v>
      </c>
    </row>
    <row r="9" spans="1:15" x14ac:dyDescent="0.25">
      <c r="A9" s="45" t="s">
        <v>65</v>
      </c>
      <c r="B9" s="45" t="s">
        <v>66</v>
      </c>
      <c r="C9" s="48">
        <v>2022</v>
      </c>
      <c r="D9" s="45" t="s">
        <v>64</v>
      </c>
      <c r="E9" s="45" t="str">
        <f t="shared" ref="E9:O16" si="2">IF(E$5&lt;$C9,"n/a","")</f>
        <v>n/a</v>
      </c>
      <c r="F9" s="49" t="str">
        <f t="shared" si="2"/>
        <v>n/a</v>
      </c>
      <c r="G9" s="50" t="str">
        <f t="shared" si="2"/>
        <v>n/a</v>
      </c>
      <c r="H9" s="50">
        <v>0.5</v>
      </c>
      <c r="I9" s="51">
        <v>0.75</v>
      </c>
      <c r="J9" s="52">
        <v>0.75</v>
      </c>
      <c r="K9" s="52">
        <v>0.75</v>
      </c>
      <c r="L9" s="51">
        <v>0.75</v>
      </c>
      <c r="M9" s="52">
        <v>0.75</v>
      </c>
      <c r="N9" s="52">
        <v>0.75</v>
      </c>
      <c r="O9" s="51">
        <v>1</v>
      </c>
    </row>
    <row r="10" spans="1:15" x14ac:dyDescent="0.25">
      <c r="A10" s="45" t="s">
        <v>67</v>
      </c>
      <c r="B10" s="45" t="s">
        <v>68</v>
      </c>
      <c r="C10" s="48">
        <v>2024</v>
      </c>
      <c r="D10" s="45" t="s">
        <v>64</v>
      </c>
      <c r="E10" s="45" t="str">
        <f t="shared" si="2"/>
        <v>n/a</v>
      </c>
      <c r="F10" s="49" t="str">
        <f t="shared" si="2"/>
        <v>n/a</v>
      </c>
      <c r="G10" s="50" t="str">
        <f t="shared" si="2"/>
        <v>n/a</v>
      </c>
      <c r="H10" s="50" t="str">
        <f t="shared" si="2"/>
        <v>n/a</v>
      </c>
      <c r="I10" s="51" t="str">
        <f t="shared" si="2"/>
        <v>n/a</v>
      </c>
      <c r="J10" s="52">
        <v>0.15</v>
      </c>
      <c r="K10" s="52">
        <v>0.3</v>
      </c>
      <c r="L10" s="51">
        <v>0.5</v>
      </c>
      <c r="M10" s="52">
        <v>0.7</v>
      </c>
      <c r="N10" s="52">
        <v>0.9</v>
      </c>
      <c r="O10" s="51">
        <v>1</v>
      </c>
    </row>
    <row r="11" spans="1:15" x14ac:dyDescent="0.25">
      <c r="A11" s="45" t="s">
        <v>104</v>
      </c>
      <c r="B11" s="45" t="s">
        <v>69</v>
      </c>
      <c r="C11" s="48">
        <v>2020</v>
      </c>
      <c r="D11" s="45" t="s">
        <v>64</v>
      </c>
      <c r="E11" s="45" t="str">
        <f t="shared" si="2"/>
        <v>n/a</v>
      </c>
      <c r="F11" s="49">
        <v>1</v>
      </c>
      <c r="G11" s="50">
        <v>1</v>
      </c>
      <c r="H11" s="50">
        <v>1</v>
      </c>
      <c r="I11" s="49">
        <v>1</v>
      </c>
      <c r="J11" s="50">
        <v>1</v>
      </c>
      <c r="K11" s="50">
        <v>1</v>
      </c>
      <c r="L11" s="49">
        <v>1</v>
      </c>
      <c r="M11" s="50">
        <v>1</v>
      </c>
      <c r="N11" s="50">
        <v>1</v>
      </c>
      <c r="O11" s="49">
        <v>1</v>
      </c>
    </row>
    <row r="12" spans="1:15" x14ac:dyDescent="0.25">
      <c r="A12" s="45" t="s">
        <v>70</v>
      </c>
      <c r="B12" s="45" t="s">
        <v>71</v>
      </c>
      <c r="C12" s="48">
        <v>2024</v>
      </c>
      <c r="D12" s="45" t="s">
        <v>64</v>
      </c>
      <c r="E12" s="45" t="str">
        <f t="shared" si="2"/>
        <v>n/a</v>
      </c>
      <c r="F12" s="49" t="str">
        <f t="shared" si="2"/>
        <v>n/a</v>
      </c>
      <c r="G12" s="50" t="str">
        <f t="shared" si="2"/>
        <v>n/a</v>
      </c>
      <c r="H12" s="50" t="str">
        <f t="shared" si="2"/>
        <v>n/a</v>
      </c>
      <c r="I12" s="51" t="str">
        <f t="shared" si="2"/>
        <v>n/a</v>
      </c>
      <c r="J12" s="52">
        <v>0.25</v>
      </c>
      <c r="K12" s="52">
        <v>0.5</v>
      </c>
      <c r="L12" s="51">
        <v>0.75</v>
      </c>
      <c r="M12" s="52">
        <v>0.75</v>
      </c>
      <c r="N12" s="52">
        <v>0.75</v>
      </c>
      <c r="O12" s="51">
        <v>0.8</v>
      </c>
    </row>
    <row r="13" spans="1:15" x14ac:dyDescent="0.25">
      <c r="A13" s="45" t="s">
        <v>72</v>
      </c>
      <c r="B13" s="45" t="s">
        <v>73</v>
      </c>
      <c r="C13" s="48">
        <v>2020</v>
      </c>
      <c r="D13" s="45" t="s">
        <v>64</v>
      </c>
      <c r="E13" s="45" t="str">
        <f t="shared" si="2"/>
        <v>n/a</v>
      </c>
      <c r="F13" s="41" t="s">
        <v>74</v>
      </c>
      <c r="G13" s="45" t="s">
        <v>74</v>
      </c>
      <c r="H13" s="45" t="s">
        <v>74</v>
      </c>
      <c r="I13" s="41" t="s">
        <v>74</v>
      </c>
      <c r="J13" s="45" t="s">
        <v>74</v>
      </c>
      <c r="K13" s="45" t="s">
        <v>74</v>
      </c>
      <c r="L13" s="41" t="s">
        <v>74</v>
      </c>
      <c r="M13" s="45" t="s">
        <v>74</v>
      </c>
      <c r="N13" s="45" t="s">
        <v>74</v>
      </c>
      <c r="O13" s="41" t="s">
        <v>74</v>
      </c>
    </row>
    <row r="14" spans="1:15" x14ac:dyDescent="0.25">
      <c r="A14" s="45" t="s">
        <v>75</v>
      </c>
      <c r="B14" s="45" t="s">
        <v>76</v>
      </c>
      <c r="C14" s="48">
        <v>2020</v>
      </c>
      <c r="D14" s="45" t="s">
        <v>64</v>
      </c>
      <c r="E14" s="45" t="str">
        <f t="shared" si="2"/>
        <v>n/a</v>
      </c>
      <c r="F14" s="49">
        <v>0</v>
      </c>
      <c r="G14" s="50">
        <v>0.1</v>
      </c>
      <c r="H14" s="50">
        <v>0.3</v>
      </c>
      <c r="I14" s="51">
        <v>0.5</v>
      </c>
      <c r="J14" s="52">
        <v>0.7</v>
      </c>
      <c r="K14" s="52">
        <v>0.9</v>
      </c>
      <c r="L14" s="51">
        <v>1</v>
      </c>
      <c r="M14" s="52">
        <v>1</v>
      </c>
      <c r="N14" s="52">
        <v>1</v>
      </c>
      <c r="O14" s="51">
        <v>1</v>
      </c>
    </row>
    <row r="15" spans="1:15" x14ac:dyDescent="0.25">
      <c r="A15" s="45" t="s">
        <v>77</v>
      </c>
      <c r="B15" s="45" t="s">
        <v>78</v>
      </c>
      <c r="C15" s="48">
        <v>2035</v>
      </c>
      <c r="D15" s="45" t="s">
        <v>64</v>
      </c>
      <c r="E15" s="45" t="str">
        <f t="shared" si="2"/>
        <v>n/a</v>
      </c>
      <c r="F15" s="41" t="str">
        <f t="shared" si="2"/>
        <v>n/a</v>
      </c>
      <c r="G15" s="45" t="str">
        <f t="shared" si="2"/>
        <v>n/a</v>
      </c>
      <c r="H15" s="45" t="str">
        <f t="shared" si="2"/>
        <v>n/a</v>
      </c>
      <c r="I15" s="41" t="str">
        <f t="shared" si="2"/>
        <v>n/a</v>
      </c>
      <c r="J15" s="45" t="str">
        <f t="shared" si="2"/>
        <v>n/a</v>
      </c>
      <c r="K15" s="45" t="str">
        <f t="shared" si="2"/>
        <v>n/a</v>
      </c>
      <c r="L15" s="41" t="str">
        <f t="shared" si="2"/>
        <v>n/a</v>
      </c>
      <c r="M15" s="45" t="str">
        <f t="shared" si="2"/>
        <v>n/a</v>
      </c>
      <c r="N15" s="45" t="str">
        <f t="shared" si="2"/>
        <v>n/a</v>
      </c>
      <c r="O15" s="41" t="str">
        <f t="shared" si="2"/>
        <v>n/a</v>
      </c>
    </row>
    <row r="16" spans="1:15" x14ac:dyDescent="0.25">
      <c r="A16" s="45" t="s">
        <v>79</v>
      </c>
      <c r="B16" s="45" t="s">
        <v>80</v>
      </c>
      <c r="C16" s="48">
        <v>2020</v>
      </c>
      <c r="D16" s="45" t="s">
        <v>81</v>
      </c>
      <c r="E16" s="45" t="str">
        <f t="shared" si="2"/>
        <v>n/a</v>
      </c>
      <c r="F16" s="49">
        <v>0</v>
      </c>
      <c r="G16" s="50">
        <v>0</v>
      </c>
      <c r="H16" s="50">
        <v>0</v>
      </c>
      <c r="I16" s="49">
        <v>0</v>
      </c>
      <c r="J16" s="50">
        <v>0</v>
      </c>
      <c r="K16" s="50">
        <v>0</v>
      </c>
      <c r="L16" s="49">
        <v>0</v>
      </c>
      <c r="M16" s="52">
        <v>0.3</v>
      </c>
      <c r="N16" s="52">
        <v>0.6</v>
      </c>
      <c r="O16" s="51">
        <v>1</v>
      </c>
    </row>
    <row r="19" spans="1:15" x14ac:dyDescent="0.25">
      <c r="A19" s="56" t="s">
        <v>86</v>
      </c>
    </row>
    <row r="20" spans="1:15" x14ac:dyDescent="0.25">
      <c r="A20" s="57" t="s">
        <v>87</v>
      </c>
      <c r="B20" t="s">
        <v>88</v>
      </c>
    </row>
    <row r="21" spans="1:15" x14ac:dyDescent="0.25">
      <c r="A21" s="57" t="s">
        <v>89</v>
      </c>
      <c r="B21" t="s">
        <v>90</v>
      </c>
    </row>
    <row r="22" spans="1:15" x14ac:dyDescent="0.25">
      <c r="A22" s="57" t="s">
        <v>91</v>
      </c>
      <c r="B22" t="s">
        <v>92</v>
      </c>
    </row>
    <row r="25" spans="1:15" ht="15.75" x14ac:dyDescent="0.25">
      <c r="A25" s="217" t="s">
        <v>93</v>
      </c>
      <c r="B25" s="217"/>
      <c r="C25" s="217"/>
      <c r="D25" s="217"/>
      <c r="E25" s="217"/>
      <c r="F25" s="217"/>
      <c r="G25" s="217"/>
      <c r="H25" s="217"/>
      <c r="I25" s="217"/>
      <c r="J25" s="217"/>
      <c r="K25" s="217"/>
      <c r="L25" s="217"/>
      <c r="M25" s="217"/>
      <c r="N25" s="217"/>
      <c r="O25" s="217"/>
    </row>
    <row r="27" spans="1:15" x14ac:dyDescent="0.25">
      <c r="C27" s="43" t="s">
        <v>52</v>
      </c>
      <c r="D27" s="44"/>
      <c r="E27" s="228" t="s">
        <v>47</v>
      </c>
      <c r="F27" s="228"/>
      <c r="G27" s="228"/>
      <c r="H27" s="228"/>
      <c r="I27" s="228"/>
      <c r="J27" s="228"/>
      <c r="K27" s="228"/>
      <c r="L27" s="228"/>
      <c r="M27" s="228"/>
      <c r="N27" s="228"/>
      <c r="O27" s="228"/>
    </row>
    <row r="28" spans="1:15" x14ac:dyDescent="0.25">
      <c r="C28" s="42" t="s">
        <v>55</v>
      </c>
      <c r="D28" s="42" t="s">
        <v>56</v>
      </c>
      <c r="E28" s="40">
        <v>2019</v>
      </c>
      <c r="F28" s="41">
        <v>2020</v>
      </c>
      <c r="G28" s="40">
        <v>2021</v>
      </c>
      <c r="H28" s="40">
        <v>2022</v>
      </c>
      <c r="I28" s="41">
        <v>2023</v>
      </c>
      <c r="J28" s="40">
        <v>2024</v>
      </c>
      <c r="K28" s="40">
        <v>2025</v>
      </c>
      <c r="L28" s="41">
        <v>2026</v>
      </c>
      <c r="M28" s="40">
        <v>2027</v>
      </c>
      <c r="N28" s="40">
        <v>2028</v>
      </c>
      <c r="O28" s="41">
        <v>2029</v>
      </c>
    </row>
    <row r="29" spans="1:15" x14ac:dyDescent="0.25">
      <c r="C29" s="58" t="s">
        <v>94</v>
      </c>
      <c r="D29" s="58" t="s">
        <v>95</v>
      </c>
      <c r="E29" s="59">
        <v>2.4594859595772975</v>
      </c>
      <c r="F29" s="60">
        <v>2.5034373567279267</v>
      </c>
      <c r="G29" s="59">
        <v>2.5882506455525549</v>
      </c>
      <c r="H29" s="59">
        <v>2.6366777990289929</v>
      </c>
      <c r="I29" s="60">
        <v>2.6684158267578719</v>
      </c>
      <c r="J29" s="59">
        <v>2.707960014814863</v>
      </c>
      <c r="K29" s="59">
        <v>2.7287431994720563</v>
      </c>
      <c r="L29" s="60">
        <v>2.7482133759921927</v>
      </c>
      <c r="M29" s="59">
        <v>2.7676835525123242</v>
      </c>
      <c r="N29" s="59">
        <v>2.7871537290324624</v>
      </c>
      <c r="O29" s="60">
        <v>2.806623905552601</v>
      </c>
    </row>
    <row r="30" spans="1:15" x14ac:dyDescent="0.25">
      <c r="C30" s="45" t="s">
        <v>59</v>
      </c>
      <c r="D30" s="45" t="s">
        <v>60</v>
      </c>
      <c r="E30" s="59">
        <v>-0.19796934860198154</v>
      </c>
      <c r="F30" s="60">
        <v>-0.27861919933293988</v>
      </c>
      <c r="G30" s="59">
        <v>-0.42080899260909455</v>
      </c>
      <c r="H30" s="59">
        <v>-0.55782327125430076</v>
      </c>
      <c r="I30" s="60">
        <v>-0.65828586364330144</v>
      </c>
      <c r="J30" s="59">
        <v>-0.67610259765289971</v>
      </c>
      <c r="K30" s="59">
        <v>-0.65359185439640077</v>
      </c>
      <c r="L30" s="60">
        <v>-0.60872386803865419</v>
      </c>
      <c r="M30" s="59">
        <v>-0.55841873551997934</v>
      </c>
      <c r="N30" s="59">
        <v>-0.51490086916143607</v>
      </c>
      <c r="O30" s="60">
        <v>-0.47984059263372819</v>
      </c>
    </row>
    <row r="31" spans="1:15" s="129" customFormat="1" x14ac:dyDescent="0.25">
      <c r="C31" s="45" t="s">
        <v>82</v>
      </c>
      <c r="D31" s="45" t="s">
        <v>83</v>
      </c>
      <c r="E31" s="59">
        <v>-0.3520861396152184</v>
      </c>
      <c r="F31" s="60">
        <v>-0.2865317419469573</v>
      </c>
      <c r="G31" s="59">
        <v>-0.31989754122136183</v>
      </c>
      <c r="H31" s="59">
        <v>-0.34575562902959689</v>
      </c>
      <c r="I31" s="60">
        <v>-0.33369863752007323</v>
      </c>
      <c r="J31" s="59">
        <v>-0.27491533525760548</v>
      </c>
      <c r="K31" s="59">
        <v>-0.23067952650489243</v>
      </c>
      <c r="L31" s="60">
        <v>-0.20909504413796143</v>
      </c>
      <c r="M31" s="59">
        <v>-0.16677003895532638</v>
      </c>
      <c r="N31" s="59">
        <v>-0.13318415386961202</v>
      </c>
      <c r="O31" s="60">
        <v>-0.10934146686624491</v>
      </c>
    </row>
    <row r="32" spans="1:15" x14ac:dyDescent="0.25">
      <c r="C32" s="45" t="s">
        <v>62</v>
      </c>
      <c r="D32" s="45" t="s">
        <v>63</v>
      </c>
      <c r="E32" s="61"/>
      <c r="F32" s="60">
        <v>0</v>
      </c>
      <c r="G32" s="59">
        <v>0</v>
      </c>
      <c r="H32" s="59">
        <v>0</v>
      </c>
      <c r="I32" s="60">
        <v>-7.0250325093658287E-3</v>
      </c>
      <c r="J32" s="59">
        <v>-6.3803289986752339E-3</v>
      </c>
      <c r="K32" s="59">
        <v>-6.0242772349869966E-3</v>
      </c>
      <c r="L32" s="60">
        <v>-5.6418941231489222E-3</v>
      </c>
      <c r="M32" s="59">
        <v>-5.2038414187599389E-3</v>
      </c>
      <c r="N32" s="59">
        <v>-4.8239383036481698E-3</v>
      </c>
      <c r="O32" s="60">
        <v>-4.5190282752180788E-3</v>
      </c>
    </row>
    <row r="33" spans="3:15" x14ac:dyDescent="0.25">
      <c r="C33" s="45" t="s">
        <v>65</v>
      </c>
      <c r="D33" s="45" t="s">
        <v>66</v>
      </c>
      <c r="E33" s="61"/>
      <c r="F33" s="60">
        <v>0</v>
      </c>
      <c r="G33" s="59">
        <v>0</v>
      </c>
      <c r="H33" s="59">
        <v>-7.203949420219985E-2</v>
      </c>
      <c r="I33" s="60">
        <v>-0.10498457711000073</v>
      </c>
      <c r="J33" s="59">
        <v>-9.8406799654103233E-2</v>
      </c>
      <c r="K33" s="59">
        <v>-9.2376387181122316E-2</v>
      </c>
      <c r="L33" s="60">
        <v>-8.6035201422408378E-2</v>
      </c>
      <c r="M33" s="59">
        <v>-7.8925495245802793E-2</v>
      </c>
      <c r="N33" s="59">
        <v>-7.2775035302221541E-2</v>
      </c>
      <c r="O33" s="60">
        <v>-9.0426550884746104E-2</v>
      </c>
    </row>
    <row r="34" spans="3:15" x14ac:dyDescent="0.25">
      <c r="C34" s="45" t="s">
        <v>67</v>
      </c>
      <c r="D34" s="45" t="s">
        <v>68</v>
      </c>
      <c r="E34" s="61"/>
      <c r="F34" s="60">
        <v>0</v>
      </c>
      <c r="G34" s="59">
        <v>0</v>
      </c>
      <c r="H34" s="59">
        <v>0</v>
      </c>
      <c r="I34" s="60">
        <v>0</v>
      </c>
      <c r="J34" s="59">
        <v>-0.15517497591994583</v>
      </c>
      <c r="K34" s="59">
        <v>-0.29133093073192728</v>
      </c>
      <c r="L34" s="60">
        <v>-0.45221897540613742</v>
      </c>
      <c r="M34" s="59">
        <v>-0.58078609116188185</v>
      </c>
      <c r="N34" s="59">
        <v>-0.68853189667510262</v>
      </c>
      <c r="O34" s="60">
        <v>-0.71294275721118394</v>
      </c>
    </row>
    <row r="35" spans="3:15" x14ac:dyDescent="0.25">
      <c r="C35" s="45" t="s">
        <v>104</v>
      </c>
      <c r="D35" s="45" t="s">
        <v>69</v>
      </c>
      <c r="E35" s="61"/>
      <c r="F35" s="60">
        <v>-8.9334857420676345E-2</v>
      </c>
      <c r="G35" s="59">
        <v>-0.17826823813099549</v>
      </c>
      <c r="H35" s="59">
        <v>-0.25583457386692299</v>
      </c>
      <c r="I35" s="60">
        <v>-0.33140704630595463</v>
      </c>
      <c r="J35" s="59">
        <v>-0.38830379309165181</v>
      </c>
      <c r="K35" s="59">
        <v>-0.43741003663098621</v>
      </c>
      <c r="L35" s="60">
        <v>-0.47528131426704157</v>
      </c>
      <c r="M35" s="59">
        <v>-0.49829189500409865</v>
      </c>
      <c r="N35" s="59">
        <v>-0.51689395681201533</v>
      </c>
      <c r="O35" s="60">
        <v>-0.5352217452680581</v>
      </c>
    </row>
    <row r="36" spans="3:15" x14ac:dyDescent="0.25">
      <c r="C36" s="45" t="s">
        <v>70</v>
      </c>
      <c r="D36" s="45" t="s">
        <v>71</v>
      </c>
      <c r="E36" s="61"/>
      <c r="F36" s="60">
        <v>0</v>
      </c>
      <c r="G36" s="59">
        <v>0</v>
      </c>
      <c r="H36" s="59">
        <v>0</v>
      </c>
      <c r="I36" s="60">
        <v>0</v>
      </c>
      <c r="J36" s="59">
        <v>-1.7285653018282943E-2</v>
      </c>
      <c r="K36" s="59">
        <v>-3.2451678717197924E-2</v>
      </c>
      <c r="L36" s="60">
        <v>-4.5333229661003088E-2</v>
      </c>
      <c r="M36" s="59">
        <v>-4.1584472916239901E-2</v>
      </c>
      <c r="N36" s="59">
        <v>-3.8341587005945928E-2</v>
      </c>
      <c r="O36" s="60">
        <v>-3.8110772325805654E-2</v>
      </c>
    </row>
    <row r="37" spans="3:15" x14ac:dyDescent="0.25">
      <c r="C37" s="45" t="s">
        <v>72</v>
      </c>
      <c r="D37" s="45" t="s">
        <v>73</v>
      </c>
      <c r="E37" s="61"/>
      <c r="F37" s="60">
        <v>-0.29283716817907368</v>
      </c>
      <c r="G37" s="59">
        <v>-0.29217972011504478</v>
      </c>
      <c r="H37" s="59">
        <v>-0.31924029952811428</v>
      </c>
      <c r="I37" s="60">
        <v>-0.34372798463211507</v>
      </c>
      <c r="J37" s="59">
        <v>-0.3515877575364334</v>
      </c>
      <c r="K37" s="59">
        <v>-0.35763445853719028</v>
      </c>
      <c r="L37" s="60">
        <v>-0.35878271461515876</v>
      </c>
      <c r="M37" s="59">
        <v>-0.35270841994131791</v>
      </c>
      <c r="N37" s="59">
        <v>-0.3469601677396793</v>
      </c>
      <c r="O37" s="60">
        <v>-0.34359361918290643</v>
      </c>
    </row>
    <row r="38" spans="3:15" x14ac:dyDescent="0.25">
      <c r="C38" s="45" t="s">
        <v>75</v>
      </c>
      <c r="D38" s="45" t="s">
        <v>76</v>
      </c>
      <c r="E38" s="61"/>
      <c r="F38" s="60">
        <v>0</v>
      </c>
      <c r="G38" s="59">
        <v>-4.7576977490900763E-5</v>
      </c>
      <c r="H38" s="59">
        <v>-1.3655597063669711E-4</v>
      </c>
      <c r="I38" s="60">
        <v>-2.211169588325777E-4</v>
      </c>
      <c r="J38" s="59">
        <v>-2.9016709353133196E-4</v>
      </c>
      <c r="K38" s="59">
        <v>-3.5020996060869901E-4</v>
      </c>
      <c r="L38" s="60">
        <v>-3.6241085003232461E-4</v>
      </c>
      <c r="M38" s="59">
        <v>-3.3246224043596704E-4</v>
      </c>
      <c r="N38" s="59">
        <v>-3.0655431694196226E-4</v>
      </c>
      <c r="O38" s="60">
        <v>-2.8568158117105798E-4</v>
      </c>
    </row>
    <row r="39" spans="3:15" x14ac:dyDescent="0.25">
      <c r="C39" s="45" t="s">
        <v>77</v>
      </c>
      <c r="D39" s="45" t="s">
        <v>78</v>
      </c>
      <c r="E39" s="61"/>
      <c r="F39" s="62">
        <v>0</v>
      </c>
      <c r="G39" s="61">
        <v>0</v>
      </c>
      <c r="H39" s="61">
        <v>0</v>
      </c>
      <c r="I39" s="62">
        <v>0</v>
      </c>
      <c r="J39" s="61">
        <v>0</v>
      </c>
      <c r="K39" s="61">
        <v>0</v>
      </c>
      <c r="L39" s="62">
        <v>0</v>
      </c>
      <c r="M39" s="61">
        <v>0</v>
      </c>
      <c r="N39" s="61">
        <v>0</v>
      </c>
      <c r="O39" s="62">
        <v>0</v>
      </c>
    </row>
    <row r="40" spans="3:15" x14ac:dyDescent="0.25">
      <c r="C40" s="45" t="s">
        <v>79</v>
      </c>
      <c r="D40" s="45" t="s">
        <v>80</v>
      </c>
      <c r="E40" s="61"/>
      <c r="F40" s="60">
        <v>0</v>
      </c>
      <c r="G40" s="59">
        <v>0</v>
      </c>
      <c r="H40" s="59">
        <v>0</v>
      </c>
      <c r="I40" s="60">
        <v>0</v>
      </c>
      <c r="J40" s="59">
        <v>0</v>
      </c>
      <c r="K40" s="59">
        <v>0</v>
      </c>
      <c r="L40" s="60">
        <v>0</v>
      </c>
      <c r="M40" s="59">
        <v>-7.5619821853246685E-2</v>
      </c>
      <c r="N40" s="59">
        <v>-0.13945952133737846</v>
      </c>
      <c r="O40" s="60">
        <v>-0.216615184936604</v>
      </c>
    </row>
    <row r="42" spans="3:15" x14ac:dyDescent="0.25">
      <c r="C42" s="228" t="s">
        <v>96</v>
      </c>
      <c r="D42" s="228"/>
      <c r="E42" s="63">
        <v>1.9094304713600976</v>
      </c>
      <c r="F42" s="64">
        <v>1.5561143898482794</v>
      </c>
      <c r="G42" s="63">
        <v>1.3770485764985674</v>
      </c>
      <c r="H42" s="63">
        <v>1.0858479751772214</v>
      </c>
      <c r="I42" s="64">
        <v>0.88906556807822823</v>
      </c>
      <c r="J42" s="63">
        <v>0.73951260659173412</v>
      </c>
      <c r="K42" s="63">
        <v>0.62689383957674361</v>
      </c>
      <c r="L42" s="64">
        <v>0.50673872347064641</v>
      </c>
      <c r="M42" s="63">
        <v>0.40904227825523476</v>
      </c>
      <c r="N42" s="63">
        <v>0.33097604850848095</v>
      </c>
      <c r="O42" s="64">
        <v>0.27572650638693474</v>
      </c>
    </row>
    <row r="44" spans="3:15" x14ac:dyDescent="0.25">
      <c r="C44" s="43" t="s">
        <v>52</v>
      </c>
      <c r="D44" s="44"/>
      <c r="E44" s="228" t="s">
        <v>97</v>
      </c>
      <c r="F44" s="228"/>
      <c r="G44" s="228"/>
      <c r="H44" s="228"/>
      <c r="I44" s="228"/>
      <c r="J44" s="228"/>
      <c r="K44" s="228"/>
      <c r="L44" s="228"/>
      <c r="M44" s="228"/>
      <c r="N44" s="228"/>
      <c r="O44" s="228"/>
    </row>
    <row r="45" spans="3:15" x14ac:dyDescent="0.25">
      <c r="C45" s="42" t="s">
        <v>55</v>
      </c>
      <c r="D45" s="42" t="s">
        <v>56</v>
      </c>
      <c r="E45" s="40">
        <v>2019</v>
      </c>
      <c r="F45" s="41">
        <v>2020</v>
      </c>
      <c r="G45" s="40">
        <v>2021</v>
      </c>
      <c r="H45" s="40">
        <v>2022</v>
      </c>
      <c r="I45" s="41">
        <v>2023</v>
      </c>
      <c r="J45" s="40">
        <v>2024</v>
      </c>
      <c r="K45" s="40">
        <v>2025</v>
      </c>
      <c r="L45" s="41">
        <v>2026</v>
      </c>
      <c r="M45" s="40">
        <v>2027</v>
      </c>
      <c r="N45" s="40">
        <v>2028</v>
      </c>
      <c r="O45" s="41">
        <v>2029</v>
      </c>
    </row>
    <row r="46" spans="3:15" x14ac:dyDescent="0.25">
      <c r="C46" s="58" t="s">
        <v>94</v>
      </c>
      <c r="D46" s="58" t="s">
        <v>95</v>
      </c>
      <c r="E46" s="59">
        <v>3.8113418574800706</v>
      </c>
      <c r="F46" s="60">
        <v>3.9252055415799574</v>
      </c>
      <c r="G46" s="59">
        <v>4.0475646035746573</v>
      </c>
      <c r="H46" s="59">
        <v>4.0996975393875967</v>
      </c>
      <c r="I46" s="60">
        <v>4.1283922370161692</v>
      </c>
      <c r="J46" s="59">
        <v>4.1556763727866413</v>
      </c>
      <c r="K46" s="59">
        <v>4.1903632197367111</v>
      </c>
      <c r="L46" s="60">
        <v>4.2228981803869097</v>
      </c>
      <c r="M46" s="59">
        <v>4.2554331410371038</v>
      </c>
      <c r="N46" s="59">
        <v>4.2879681016873104</v>
      </c>
      <c r="O46" s="60">
        <v>4.320503062337508</v>
      </c>
    </row>
    <row r="47" spans="3:15" x14ac:dyDescent="0.25">
      <c r="C47" s="58" t="s">
        <v>59</v>
      </c>
      <c r="D47" s="58" t="s">
        <v>60</v>
      </c>
      <c r="E47" s="59">
        <v>2.6125018594833761E-3</v>
      </c>
      <c r="F47" s="60">
        <v>1.3300666348205676E-3</v>
      </c>
      <c r="G47" s="59">
        <v>-1.3341522536727891E-3</v>
      </c>
      <c r="H47" s="59">
        <v>-3.0129618161000567E-3</v>
      </c>
      <c r="I47" s="60">
        <v>-5.1554155909913774E-3</v>
      </c>
      <c r="J47" s="59">
        <v>-6.1554708463324994E-3</v>
      </c>
      <c r="K47" s="59">
        <v>-6.5343949841135465E-3</v>
      </c>
      <c r="L47" s="60">
        <v>-6.5551037501868394E-3</v>
      </c>
      <c r="M47" s="59">
        <v>-6.3177537402347829E-3</v>
      </c>
      <c r="N47" s="59">
        <v>-6.1228163461084836E-3</v>
      </c>
      <c r="O47" s="60">
        <v>-5.8958750051008174E-3</v>
      </c>
    </row>
    <row r="48" spans="3:15" s="129" customFormat="1" x14ac:dyDescent="0.25">
      <c r="C48" s="58" t="s">
        <v>82</v>
      </c>
      <c r="D48" s="58" t="s">
        <v>83</v>
      </c>
      <c r="E48" s="59">
        <v>6.7312495958451457E-2</v>
      </c>
      <c r="F48" s="60">
        <v>5.5716847398187941E-2</v>
      </c>
      <c r="G48" s="59">
        <v>7.0428458393088533E-2</v>
      </c>
      <c r="H48" s="59">
        <v>8.1170162505223686E-2</v>
      </c>
      <c r="I48" s="60">
        <v>8.5022195564798952E-2</v>
      </c>
      <c r="J48" s="59">
        <v>9.0945427835364079E-2</v>
      </c>
      <c r="K48" s="59">
        <v>9.4410364763642729E-2</v>
      </c>
      <c r="L48" s="60">
        <v>0.10468058668142977</v>
      </c>
      <c r="M48" s="59">
        <v>9.645379468515447E-2</v>
      </c>
      <c r="N48" s="59">
        <v>8.9456142265999183E-2</v>
      </c>
      <c r="O48" s="60">
        <v>8.0202721035016022E-2</v>
      </c>
    </row>
    <row r="49" spans="3:15" x14ac:dyDescent="0.25">
      <c r="C49" s="58" t="s">
        <v>62</v>
      </c>
      <c r="D49" s="58" t="s">
        <v>63</v>
      </c>
      <c r="E49" s="61"/>
      <c r="F49" s="60">
        <v>0</v>
      </c>
      <c r="G49" s="59">
        <v>0</v>
      </c>
      <c r="H49" s="59">
        <v>0</v>
      </c>
      <c r="I49" s="60">
        <v>-1.9259388448610593</v>
      </c>
      <c r="J49" s="59">
        <v>-1.9468649433395691</v>
      </c>
      <c r="K49" s="59">
        <v>-1.9638452332792777</v>
      </c>
      <c r="L49" s="60">
        <v>-1.9699868036773045</v>
      </c>
      <c r="M49" s="59">
        <v>-1.8985785227045804</v>
      </c>
      <c r="N49" s="59">
        <v>-1.8399222572498941</v>
      </c>
      <c r="O49" s="60">
        <v>-1.77165485826092</v>
      </c>
    </row>
    <row r="50" spans="3:15" x14ac:dyDescent="0.25">
      <c r="C50" s="58" t="s">
        <v>65</v>
      </c>
      <c r="D50" s="58" t="s">
        <v>66</v>
      </c>
      <c r="E50" s="61"/>
      <c r="F50" s="60">
        <v>0</v>
      </c>
      <c r="G50" s="59">
        <v>0</v>
      </c>
      <c r="H50" s="59">
        <v>-2.7726769066310059E-3</v>
      </c>
      <c r="I50" s="60">
        <v>-4.6916594845683411E-3</v>
      </c>
      <c r="J50" s="59">
        <v>-4.7901065042223129E-3</v>
      </c>
      <c r="K50" s="59">
        <v>-4.8322456345224968E-3</v>
      </c>
      <c r="L50" s="60">
        <v>-4.8478543087030453E-3</v>
      </c>
      <c r="M50" s="59">
        <v>-4.6726008545323874E-3</v>
      </c>
      <c r="N50" s="59">
        <v>-4.5286928096571998E-3</v>
      </c>
      <c r="O50" s="60">
        <v>-5.8147884477330438E-3</v>
      </c>
    </row>
    <row r="51" spans="3:15" x14ac:dyDescent="0.25">
      <c r="C51" s="58" t="s">
        <v>67</v>
      </c>
      <c r="D51" s="58" t="s">
        <v>68</v>
      </c>
      <c r="E51" s="61"/>
      <c r="F51" s="60">
        <v>0</v>
      </c>
      <c r="G51" s="59">
        <v>0</v>
      </c>
      <c r="H51" s="59">
        <v>0</v>
      </c>
      <c r="I51" s="60">
        <v>0</v>
      </c>
      <c r="J51" s="59">
        <v>-1.8106652505152918E-3</v>
      </c>
      <c r="K51" s="59">
        <v>-3.6533533335243989E-3</v>
      </c>
      <c r="L51" s="60">
        <v>-6.1091055992578049E-3</v>
      </c>
      <c r="M51" s="59">
        <v>-8.244245620987304E-3</v>
      </c>
      <c r="N51" s="59">
        <v>-1.0274133215432161E-2</v>
      </c>
      <c r="O51" s="60">
        <v>-1.0994111272088174E-2</v>
      </c>
    </row>
    <row r="52" spans="3:15" x14ac:dyDescent="0.25">
      <c r="C52" s="58" t="s">
        <v>104</v>
      </c>
      <c r="D52" s="58" t="s">
        <v>69</v>
      </c>
      <c r="E52" s="61"/>
      <c r="F52" s="60">
        <v>-1.4222754130807798E-3</v>
      </c>
      <c r="G52" s="59">
        <v>-2.938949420311524E-3</v>
      </c>
      <c r="H52" s="59">
        <v>-4.1452073029201106E-3</v>
      </c>
      <c r="I52" s="60">
        <v>-6.2347853151296408E-3</v>
      </c>
      <c r="J52" s="59">
        <v>-7.9570313296632809E-3</v>
      </c>
      <c r="K52" s="59">
        <v>-9.6324363241522513E-3</v>
      </c>
      <c r="L52" s="60">
        <v>-1.1274141820184502E-2</v>
      </c>
      <c r="M52" s="59">
        <v>-1.2418941034485214E-2</v>
      </c>
      <c r="N52" s="59">
        <v>-1.3541016461070188E-2</v>
      </c>
      <c r="O52" s="60">
        <v>-1.4488755254144741E-2</v>
      </c>
    </row>
    <row r="53" spans="3:15" x14ac:dyDescent="0.25">
      <c r="C53" s="58" t="s">
        <v>70</v>
      </c>
      <c r="D53" s="58" t="s">
        <v>71</v>
      </c>
      <c r="E53" s="61"/>
      <c r="F53" s="60">
        <v>0</v>
      </c>
      <c r="G53" s="59">
        <v>0</v>
      </c>
      <c r="H53" s="59">
        <v>0</v>
      </c>
      <c r="I53" s="60">
        <v>0</v>
      </c>
      <c r="J53" s="59">
        <v>-2.2416358007955609E-2</v>
      </c>
      <c r="K53" s="59">
        <v>-4.5225606364678095E-2</v>
      </c>
      <c r="L53" s="60">
        <v>-6.805330816619326E-2</v>
      </c>
      <c r="M53" s="59">
        <v>-6.5589114998341663E-2</v>
      </c>
      <c r="N53" s="59">
        <v>-6.3565244843145477E-2</v>
      </c>
      <c r="O53" s="60">
        <v>-6.5289734771925706E-2</v>
      </c>
    </row>
    <row r="54" spans="3:15" x14ac:dyDescent="0.25">
      <c r="C54" s="58" t="s">
        <v>72</v>
      </c>
      <c r="D54" s="58" t="s">
        <v>73</v>
      </c>
      <c r="E54" s="61"/>
      <c r="F54" s="60">
        <v>-4.0573701747597434E-3</v>
      </c>
      <c r="G54" s="59">
        <v>-4.2398265580633997E-3</v>
      </c>
      <c r="H54" s="59">
        <v>9.6732487899809034E-4</v>
      </c>
      <c r="I54" s="60">
        <v>6.8002850171213613E-3</v>
      </c>
      <c r="J54" s="59">
        <v>1.2645624874766349E-2</v>
      </c>
      <c r="K54" s="59">
        <v>1.8733960018249809E-2</v>
      </c>
      <c r="L54" s="60">
        <v>2.478906664652988E-2</v>
      </c>
      <c r="M54" s="59">
        <v>2.9669954106986151E-2</v>
      </c>
      <c r="N54" s="59">
        <v>3.4354467279812138E-2</v>
      </c>
      <c r="O54" s="60">
        <v>3.8473395294757087E-2</v>
      </c>
    </row>
    <row r="55" spans="3:15" x14ac:dyDescent="0.25">
      <c r="C55" s="58" t="s">
        <v>75</v>
      </c>
      <c r="D55" s="58" t="s">
        <v>76</v>
      </c>
      <c r="E55" s="61"/>
      <c r="F55" s="60">
        <v>0</v>
      </c>
      <c r="G55" s="59">
        <v>0</v>
      </c>
      <c r="H55" s="59">
        <v>0</v>
      </c>
      <c r="I55" s="60">
        <v>0</v>
      </c>
      <c r="J55" s="59">
        <v>0</v>
      </c>
      <c r="K55" s="59">
        <v>0</v>
      </c>
      <c r="L55" s="60">
        <v>0</v>
      </c>
      <c r="M55" s="59">
        <v>0</v>
      </c>
      <c r="N55" s="59">
        <v>0</v>
      </c>
      <c r="O55" s="60">
        <v>0</v>
      </c>
    </row>
    <row r="56" spans="3:15" x14ac:dyDescent="0.25">
      <c r="C56" s="58" t="s">
        <v>77</v>
      </c>
      <c r="D56" s="58" t="s">
        <v>78</v>
      </c>
      <c r="E56" s="61"/>
      <c r="F56" s="62">
        <v>0</v>
      </c>
      <c r="G56" s="61">
        <v>0</v>
      </c>
      <c r="H56" s="61">
        <v>0</v>
      </c>
      <c r="I56" s="62">
        <v>0</v>
      </c>
      <c r="J56" s="61">
        <v>0</v>
      </c>
      <c r="K56" s="61">
        <v>0</v>
      </c>
      <c r="L56" s="62">
        <v>0</v>
      </c>
      <c r="M56" s="61">
        <v>0</v>
      </c>
      <c r="N56" s="61">
        <v>0</v>
      </c>
      <c r="O56" s="62">
        <v>0</v>
      </c>
    </row>
    <row r="57" spans="3:15" x14ac:dyDescent="0.25">
      <c r="C57" s="58" t="s">
        <v>79</v>
      </c>
      <c r="D57" s="58" t="s">
        <v>80</v>
      </c>
      <c r="E57" s="61"/>
      <c r="F57" s="60">
        <v>0</v>
      </c>
      <c r="G57" s="59">
        <v>0</v>
      </c>
      <c r="H57" s="59">
        <v>0</v>
      </c>
      <c r="I57" s="60">
        <v>0</v>
      </c>
      <c r="J57" s="59">
        <v>0</v>
      </c>
      <c r="K57" s="59">
        <v>0</v>
      </c>
      <c r="L57" s="60">
        <v>0</v>
      </c>
      <c r="M57" s="59">
        <v>-0.18786419937796389</v>
      </c>
      <c r="N57" s="59">
        <v>-0.36440251849070265</v>
      </c>
      <c r="O57" s="60">
        <v>-0.58524990075619276</v>
      </c>
    </row>
    <row r="59" spans="3:15" x14ac:dyDescent="0.25">
      <c r="C59" s="228" t="s">
        <v>96</v>
      </c>
      <c r="D59" s="228"/>
      <c r="E59" s="63">
        <v>3.8812668552980054</v>
      </c>
      <c r="F59" s="64">
        <v>3.9767728100251256</v>
      </c>
      <c r="G59" s="63">
        <v>4.1094801337356985</v>
      </c>
      <c r="H59" s="63">
        <v>4.1719041807461679</v>
      </c>
      <c r="I59" s="64">
        <v>2.2781940123463409</v>
      </c>
      <c r="J59" s="63">
        <v>2.2692728502185142</v>
      </c>
      <c r="K59" s="63">
        <v>2.2697842745983352</v>
      </c>
      <c r="L59" s="64">
        <v>2.2855415163930388</v>
      </c>
      <c r="M59" s="63">
        <v>2.1978715114981182</v>
      </c>
      <c r="N59" s="63">
        <v>2.1094220318171115</v>
      </c>
      <c r="O59" s="64">
        <v>1.9797911548991758</v>
      </c>
    </row>
  </sheetData>
  <mergeCells count="8">
    <mergeCell ref="E44:O44"/>
    <mergeCell ref="C59:D59"/>
    <mergeCell ref="A1:O1"/>
    <mergeCell ref="A2:O2"/>
    <mergeCell ref="E4:O4"/>
    <mergeCell ref="A25:O25"/>
    <mergeCell ref="E27:O27"/>
    <mergeCell ref="C42:D42"/>
  </mergeCells>
  <conditionalFormatting sqref="F8 I8:O8">
    <cfRule type="cellIs" dxfId="17" priority="15" operator="notEqual">
      <formula>"n/a"</formula>
    </cfRule>
    <cfRule type="cellIs" dxfId="16" priority="16" operator="equal">
      <formula>"n/a"</formula>
    </cfRule>
  </conditionalFormatting>
  <conditionalFormatting sqref="G8:H8">
    <cfRule type="cellIs" dxfId="15" priority="11" operator="notEqual">
      <formula>"n/a"</formula>
    </cfRule>
    <cfRule type="cellIs" dxfId="14" priority="12" operator="equal">
      <formula>"n/a"</formula>
    </cfRule>
  </conditionalFormatting>
  <conditionalFormatting sqref="G11:O11">
    <cfRule type="cellIs" dxfId="13" priority="7" operator="notEqual">
      <formula>"n/a"</formula>
    </cfRule>
    <cfRule type="cellIs" dxfId="12" priority="8" operator="equal">
      <formula>"n/a"</formula>
    </cfRule>
  </conditionalFormatting>
  <conditionalFormatting sqref="G13:O13">
    <cfRule type="cellIs" dxfId="11" priority="5" operator="notEqual">
      <formula>"n/a"</formula>
    </cfRule>
    <cfRule type="cellIs" dxfId="10" priority="6" operator="equal">
      <formula>"n/a"</formula>
    </cfRule>
  </conditionalFormatting>
  <conditionalFormatting sqref="G16:L16">
    <cfRule type="cellIs" dxfId="9" priority="3" operator="notEqual">
      <formula>"n/a"</formula>
    </cfRule>
    <cfRule type="cellIs" dxfId="8" priority="4" operator="equal">
      <formula>"n/a"</formula>
    </cfRule>
  </conditionalFormatting>
  <conditionalFormatting sqref="F13">
    <cfRule type="cellIs" dxfId="7" priority="1" operator="notEqual">
      <formula>"n/a"</formula>
    </cfRule>
    <cfRule type="cellIs" dxfId="6" priority="2" operator="equal">
      <formula>"n/a"</formula>
    </cfRule>
  </conditionalFormatting>
  <conditionalFormatting sqref="E8 E15:O15 E7:O7">
    <cfRule type="cellIs" dxfId="5" priority="18" operator="equal">
      <formula>"n/a"</formula>
    </cfRule>
  </conditionalFormatting>
  <conditionalFormatting sqref="E9:E16">
    <cfRule type="cellIs" dxfId="4" priority="17" operator="equal">
      <formula>"n/a"</formula>
    </cfRule>
  </conditionalFormatting>
  <conditionalFormatting sqref="F9:F12 I9:O10 I12:O12 I14:O15 M16:O16 F14:F16">
    <cfRule type="cellIs" dxfId="3" priority="13" operator="notEqual">
      <formula>"n/a"</formula>
    </cfRule>
    <cfRule type="cellIs" dxfId="2" priority="14" operator="equal">
      <formula>"n/a"</formula>
    </cfRule>
  </conditionalFormatting>
  <conditionalFormatting sqref="G9:H10 G12:H12 G14:H15">
    <cfRule type="cellIs" dxfId="1" priority="9" operator="notEqual">
      <formula>"n/a"</formula>
    </cfRule>
    <cfRule type="cellIs" dxfId="0" priority="10" operator="equal">
      <formula>"n/a"</formula>
    </cfRule>
  </conditionalFormatting>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4122564B0E8674FB7AD9E9BCF1DFC70" ma:contentTypeVersion="8" ma:contentTypeDescription="Create a new document." ma:contentTypeScope="" ma:versionID="6c579e73bcad9253431455a1284c1201">
  <xsd:schema xmlns:xsd="http://www.w3.org/2001/XMLSchema" xmlns:xs="http://www.w3.org/2001/XMLSchema" xmlns:p="http://schemas.microsoft.com/office/2006/metadata/properties" xmlns:ns2="fbefbb8d-f2e8-45c2-98be-9b45bfc95b0b" targetNamespace="http://schemas.microsoft.com/office/2006/metadata/properties" ma:root="true" ma:fieldsID="2fda4f58065c936ced1098f718314854" ns2:_="">
    <xsd:import namespace="fbefbb8d-f2e8-45c2-98be-9b45bfc95b0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efbb8d-f2e8-45c2-98be-9b45bfc95b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4CF44F-C601-4277-AC2C-72ADE54FC68A}">
  <ds:schemaRefs>
    <ds:schemaRef ds:uri="http://schemas.microsoft.com/sharepoint/v3/contenttype/forms"/>
  </ds:schemaRefs>
</ds:datastoreItem>
</file>

<file path=customXml/itemProps2.xml><?xml version="1.0" encoding="utf-8"?>
<ds:datastoreItem xmlns:ds="http://schemas.openxmlformats.org/officeDocument/2006/customXml" ds:itemID="{9A6509EE-EB67-4C55-851E-68925439E4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efbb8d-f2e8-45c2-98be-9b45bfc95b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5FB858-3233-4043-835D-F090A188056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ReadMe</vt:lpstr>
      <vt:lpstr>Emissions-RFP</vt:lpstr>
      <vt:lpstr>Emissions-5Pct</vt:lpstr>
      <vt:lpstr>SectorSum2019</vt:lpstr>
      <vt:lpstr>SectorSum2023</vt:lpstr>
      <vt:lpstr>SectorSum2024</vt:lpstr>
      <vt:lpstr>SectorSum2024PB</vt:lpstr>
      <vt:lpstr>Points</vt:lpstr>
      <vt:lpstr>SpaceHeat</vt:lpstr>
      <vt:lpstr>OnRoad</vt:lpstr>
      <vt:lpstr>2019NRARSummary</vt:lpstr>
      <vt:lpstr>2020NRARSummary</vt:lpstr>
      <vt:lpstr>2021NRARSummary</vt:lpstr>
      <vt:lpstr>2022NRARSummary</vt:lpstr>
      <vt:lpstr>2023NRARSummary</vt:lpstr>
      <vt:lpstr>2024NRARSummary</vt:lpstr>
      <vt:lpstr>2026NRARSummary</vt:lpstr>
      <vt:lpstr>2029NRARSummary</vt:lpstr>
      <vt:lpstr>TabSpHt2019</vt:lpstr>
      <vt:lpstr>TabSpHt2020</vt:lpstr>
      <vt:lpstr>TabSpHt2021</vt:lpstr>
      <vt:lpstr>TabSpHt2022</vt:lpstr>
      <vt:lpstr>TabSpHt2023</vt:lpstr>
      <vt:lpstr>TabSpHt2024</vt:lpstr>
      <vt:lpstr>TabSpHt2025</vt:lpstr>
      <vt:lpstr>TabSpHt2026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Carlson</dc:creator>
  <cp:lastModifiedBy>Alimi, Adeyemi</cp:lastModifiedBy>
  <cp:lastPrinted>2020-08-18T21:41:33Z</cp:lastPrinted>
  <dcterms:created xsi:type="dcterms:W3CDTF">2020-04-10T15:04:01Z</dcterms:created>
  <dcterms:modified xsi:type="dcterms:W3CDTF">2020-09-09T00:55:48Z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0x01010044122564B0E8674FB7AD9E9BCF1DFC70</vt:lpwstr>
  </property>
</Properties>
</file>