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n-svrfile\groups\AQ\PERMITS\AIRFACS\Alaska Gasline Dev Corp (AK LNG Project)\Liquefaction Plant (1539)\Construction\CPT01\Application\Emissions\"/>
    </mc:Choice>
  </mc:AlternateContent>
  <bookViews>
    <workbookView xWindow="120" yWindow="105" windowWidth="19365" windowHeight="6930" tabRatio="855" activeTab="4"/>
  </bookViews>
  <sheets>
    <sheet name="LNG Model Emissions" sheetId="2" r:id="rId1"/>
    <sheet name="LNG Potential to Emit" sheetId="4" r:id="rId2"/>
    <sheet name="LNG Fuel" sheetId="13" r:id="rId3"/>
    <sheet name="LNG Turbines" sheetId="33" r:id="rId4"/>
    <sheet name="LNG Diesel Equip" sheetId="12" r:id="rId5"/>
    <sheet name="LNG Flares" sheetId="15" r:id="rId6"/>
    <sheet name="LNG Thermal Oxidizer" sheetId="16" r:id="rId7"/>
    <sheet name="LNG Misc" sheetId="31" r:id="rId8"/>
    <sheet name="LNG HAP Emission Unit Inventory" sheetId="28" r:id="rId9"/>
    <sheet name="LNG HAPs Calc" sheetId="29" r:id="rId10"/>
    <sheet name="LNG Emission Factor Summary" sheetId="35" r:id="rId11"/>
    <sheet name="LNG Annual Fuel Consumption" sheetId="37" r:id="rId12"/>
    <sheet name="AQRV Speciation" sheetId="10" r:id="rId13"/>
    <sheet name="Mobile Equip Assumptions" sheetId="18" state="hidden" r:id="rId14"/>
    <sheet name="Onsite Opper. Eqt and Vehic" sheetId="19" state="hidden" r:id="rId15"/>
    <sheet name="Mobile Eqt and Vehic" sheetId="20" state="hidden" r:id="rId16"/>
    <sheet name="Mobile Trip Assumptions" sheetId="21" state="hidden" r:id="rId17"/>
    <sheet name="Mobile Emissions" sheetId="22" r:id="rId18"/>
    <sheet name="Non-Road Emissions" sheetId="23" r:id="rId19"/>
    <sheet name="Emission Factors" sheetId="26" r:id="rId20"/>
    <sheet name="Emission Factor Look Up" sheetId="27"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A" localSheetId="11">#REF!</definedName>
    <definedName name="\A" localSheetId="10">#REF!</definedName>
    <definedName name="\A" localSheetId="7">#REF!</definedName>
    <definedName name="\A" localSheetId="3">#REF!</definedName>
    <definedName name="\A" localSheetId="16">#REF!</definedName>
    <definedName name="\A">#REF!</definedName>
    <definedName name="\B" localSheetId="11">#REF!</definedName>
    <definedName name="\B" localSheetId="10">#REF!</definedName>
    <definedName name="\B" localSheetId="7">#REF!</definedName>
    <definedName name="\B" localSheetId="3">#REF!</definedName>
    <definedName name="\B" localSheetId="16">#REF!</definedName>
    <definedName name="\B">#REF!</definedName>
    <definedName name="_xlnm._FilterDatabase" localSheetId="8" hidden="1">'LNG HAP Emission Unit Inventory'!$A$1:$M$28</definedName>
    <definedName name="_xlnm._FilterDatabase" localSheetId="18" hidden="1">'Non-Road Emissions'!$C$1:$C$23</definedName>
    <definedName name="_Order1" hidden="1">255</definedName>
    <definedName name="_Regression_Out" localSheetId="18" hidden="1">#REF!</definedName>
    <definedName name="_Regression_X" localSheetId="18" hidden="1">#REF!</definedName>
    <definedName name="_Regression_Y" localSheetId="18" hidden="1">#REF!</definedName>
    <definedName name="a" hidden="1">'[1]Exhaust Flow Comparison'!$B$166:$B$168</definedName>
    <definedName name="Annual_Hours">8760</definedName>
    <definedName name="API" localSheetId="11">'[2]CPF1 V-B Calculation'!#REF!</definedName>
    <definedName name="API" localSheetId="10">'[2]CPF1 V-B Calculation'!#REF!</definedName>
    <definedName name="API" localSheetId="7">'[2]CPF1 V-B Calculation'!#REF!</definedName>
    <definedName name="API" localSheetId="3">'[2]CPF1 V-B Calculation'!#REF!</definedName>
    <definedName name="API">'[2]CPF1 V-B Calculation'!#REF!</definedName>
    <definedName name="Avg_MW" localSheetId="11">'[3]cyl 3040'!#REF!</definedName>
    <definedName name="Avg_MW" localSheetId="10">'[3]cyl 3040'!#REF!</definedName>
    <definedName name="Avg_MW" localSheetId="7">'[3]cyl 3040'!#REF!</definedName>
    <definedName name="Avg_MW" localSheetId="3">'[3]cyl 3040'!#REF!</definedName>
    <definedName name="Avg_MW">'[3]cyl 3040'!#REF!</definedName>
    <definedName name="b" hidden="1">'[1]Exhaust Flow Comparison'!$B$166:$B$168</definedName>
    <definedName name="Boiler_Eff">'[4]Support Input Data'!$D$6</definedName>
    <definedName name="Boiler_hp_to_MMBtu">'[4]Support Input Data'!$D$4</definedName>
    <definedName name="BSFC_hp">'[4]Support Input Data'!$D$2</definedName>
    <definedName name="BSFC_kw">'[4]Support Input Data'!$D$3</definedName>
    <definedName name="CAL_Codes" localSheetId="11">'[3]cyl 3040'!#REF!</definedName>
    <definedName name="CAL_Codes" localSheetId="10">'[3]cyl 3040'!#REF!</definedName>
    <definedName name="CAL_Codes" localSheetId="7">'[3]cyl 3040'!#REF!</definedName>
    <definedName name="CAL_Codes" localSheetId="3">'[3]cyl 3040'!#REF!</definedName>
    <definedName name="CAL_Codes">'[3]cyl 3040'!#REF!</definedName>
    <definedName name="CAL_Factors" localSheetId="11">'[3]cyl 3040'!#REF!</definedName>
    <definedName name="CAL_Factors" localSheetId="10">'[3]cyl 3040'!#REF!</definedName>
    <definedName name="CAL_Factors" localSheetId="7">'[3]cyl 3040'!#REF!</definedName>
    <definedName name="CAL_Factors" localSheetId="3">'[3]cyl 3040'!#REF!</definedName>
    <definedName name="CAL_Factors">'[3]cyl 3040'!#REF!</definedName>
    <definedName name="CONV_tpy_to_gs">907184.7/31536000</definedName>
    <definedName name="_xlnm.Criteria" localSheetId="11">#REF!</definedName>
    <definedName name="_xlnm.Criteria" localSheetId="10">#REF!</definedName>
    <definedName name="_xlnm.Criteria" localSheetId="3">#REF!</definedName>
    <definedName name="_xlnm.Criteria">#REF!</definedName>
    <definedName name="Current_Calibration" localSheetId="11">'[3]cyl 3040'!#REF!</definedName>
    <definedName name="Current_Calibration" localSheetId="10">'[3]cyl 3040'!#REF!</definedName>
    <definedName name="Current_Calibration" localSheetId="7">'[3]cyl 3040'!#REF!</definedName>
    <definedName name="Current_Calibration" localSheetId="3">'[3]cyl 3040'!#REF!</definedName>
    <definedName name="Current_Calibration">'[3]cyl 3040'!#REF!</definedName>
    <definedName name="Current_FileRef" localSheetId="11">'[3]cyl 3040'!#REF!</definedName>
    <definedName name="Current_FileRef" localSheetId="10">'[3]cyl 3040'!#REF!</definedName>
    <definedName name="Current_FileRef" localSheetId="7">'[3]cyl 3040'!#REF!</definedName>
    <definedName name="Current_FileRef" localSheetId="3">'[3]cyl 3040'!#REF!</definedName>
    <definedName name="Current_FileRef">'[3]cyl 3040'!#REF!</definedName>
    <definedName name="Current_SampleNo" localSheetId="11">'[3]cyl 3040'!#REF!</definedName>
    <definedName name="Current_SampleNo" localSheetId="10">'[3]cyl 3040'!#REF!</definedName>
    <definedName name="Current_SampleNo" localSheetId="7">'[3]cyl 3040'!#REF!</definedName>
    <definedName name="Current_SampleNo" localSheetId="3">'[3]cyl 3040'!#REF!</definedName>
    <definedName name="Current_SampleNo">'[3]cyl 3040'!#REF!</definedName>
    <definedName name="Daily_Factor">1</definedName>
    <definedName name="DB_BTU" localSheetId="11">'[3]cyl 3040'!#REF!</definedName>
    <definedName name="DB_BTU" localSheetId="10">'[3]cyl 3040'!#REF!</definedName>
    <definedName name="DB_BTU" localSheetId="7">'[3]cyl 3040'!#REF!</definedName>
    <definedName name="DB_BTU" localSheetId="3">'[3]cyl 3040'!#REF!</definedName>
    <definedName name="DB_BTU">'[3]cyl 3040'!#REF!</definedName>
    <definedName name="DB_Code" localSheetId="11">'[3]cyl 3040'!#REF!</definedName>
    <definedName name="DB_Code" localSheetId="10">'[3]cyl 3040'!#REF!</definedName>
    <definedName name="DB_Code" localSheetId="7">'[3]cyl 3040'!#REF!</definedName>
    <definedName name="DB_Code" localSheetId="3">'[3]cyl 3040'!#REF!</definedName>
    <definedName name="DB_Code">'[3]cyl 3040'!#REF!</definedName>
    <definedName name="DB_Component" localSheetId="11">'[3]cyl 3040'!#REF!</definedName>
    <definedName name="DB_Component" localSheetId="10">'[3]cyl 3040'!#REF!</definedName>
    <definedName name="DB_Component" localSheetId="7">'[3]cyl 3040'!#REF!</definedName>
    <definedName name="DB_Component" localSheetId="3">'[3]cyl 3040'!#REF!</definedName>
    <definedName name="DB_Component">'[3]cyl 3040'!#REF!</definedName>
    <definedName name="DB_Density" localSheetId="11">'[3]cyl 3040'!#REF!</definedName>
    <definedName name="DB_Density" localSheetId="10">'[3]cyl 3040'!#REF!</definedName>
    <definedName name="DB_Density" localSheetId="7">'[3]cyl 3040'!#REF!</definedName>
    <definedName name="DB_Density" localSheetId="3">'[3]cyl 3040'!#REF!</definedName>
    <definedName name="DB_Density">'[3]cyl 3040'!#REF!</definedName>
    <definedName name="DB_GPM" localSheetId="11">'[3]cyl 3040'!#REF!</definedName>
    <definedName name="DB_GPM" localSheetId="10">'[3]cyl 3040'!#REF!</definedName>
    <definedName name="DB_GPM" localSheetId="7">'[3]cyl 3040'!#REF!</definedName>
    <definedName name="DB_GPM" localSheetId="3">'[3]cyl 3040'!#REF!</definedName>
    <definedName name="DB_GPM">'[3]cyl 3040'!#REF!</definedName>
    <definedName name="DB_MW" localSheetId="11">'[3]cyl 3040'!#REF!</definedName>
    <definedName name="DB_MW" localSheetId="10">'[3]cyl 3040'!#REF!</definedName>
    <definedName name="DB_MW" localSheetId="7">'[3]cyl 3040'!#REF!</definedName>
    <definedName name="DB_MW" localSheetId="3">'[3]cyl 3040'!#REF!</definedName>
    <definedName name="DB_MW">'[3]cyl 3040'!#REF!</definedName>
    <definedName name="DB_Pbase" localSheetId="11">'[3]cyl 3040'!#REF!</definedName>
    <definedName name="DB_Pbase" localSheetId="10">'[3]cyl 3040'!#REF!</definedName>
    <definedName name="DB_Pbase" localSheetId="7">'[3]cyl 3040'!#REF!</definedName>
    <definedName name="DB_Pbase" localSheetId="3">'[3]cyl 3040'!#REF!</definedName>
    <definedName name="DB_Pbase">'[3]cyl 3040'!#REF!</definedName>
    <definedName name="DB_Pc" localSheetId="11">'[3]cyl 3040'!#REF!</definedName>
    <definedName name="DB_Pc" localSheetId="10">'[3]cyl 3040'!#REF!</definedName>
    <definedName name="DB_Pc" localSheetId="7">'[3]cyl 3040'!#REF!</definedName>
    <definedName name="DB_Pc" localSheetId="3">'[3]cyl 3040'!#REF!</definedName>
    <definedName name="DB_Pc">'[3]cyl 3040'!#REF!</definedName>
    <definedName name="DB_Tc" localSheetId="11">'[3]cyl 3040'!#REF!</definedName>
    <definedName name="DB_Tc" localSheetId="10">'[3]cyl 3040'!#REF!</definedName>
    <definedName name="DB_Tc" localSheetId="7">'[3]cyl 3040'!#REF!</definedName>
    <definedName name="DB_Tc" localSheetId="3">'[3]cyl 3040'!#REF!</definedName>
    <definedName name="DB_Tc">'[3]cyl 3040'!#REF!</definedName>
    <definedName name="DB_Title" localSheetId="11">'[3]cyl 3040'!#REF!</definedName>
    <definedName name="DB_Title" localSheetId="10">'[3]cyl 3040'!#REF!</definedName>
    <definedName name="DB_Title" localSheetId="7">'[3]cyl 3040'!#REF!</definedName>
    <definedName name="DB_Title" localSheetId="3">'[3]cyl 3040'!#REF!</definedName>
    <definedName name="DB_Title">'[3]cyl 3040'!#REF!</definedName>
    <definedName name="DB_Zsum" localSheetId="11">'[3]cyl 3040'!#REF!</definedName>
    <definedName name="DB_Zsum" localSheetId="10">'[3]cyl 3040'!#REF!</definedName>
    <definedName name="DB_Zsum" localSheetId="7">'[3]cyl 3040'!#REF!</definedName>
    <definedName name="DB_Zsum" localSheetId="3">'[3]cyl 3040'!#REF!</definedName>
    <definedName name="DB_Zsum">'[3]cyl 3040'!#REF!</definedName>
    <definedName name="dgtz" localSheetId="11">'[3]cyl 3040'!#REF!</definedName>
    <definedName name="dgtz" localSheetId="10">'[3]cyl 3040'!#REF!</definedName>
    <definedName name="dgtz" localSheetId="7">'[3]cyl 3040'!#REF!</definedName>
    <definedName name="dgtz" localSheetId="3">'[3]cyl 3040'!#REF!</definedName>
    <definedName name="dgtz">'[3]cyl 3040'!#REF!</definedName>
    <definedName name="Egen_efficiency">'[4]Support Input Data'!$D$5</definedName>
    <definedName name="EXP_Company" localSheetId="11">'[3]cyl 3040'!#REF!</definedName>
    <definedName name="EXP_Company" localSheetId="10">'[3]cyl 3040'!#REF!</definedName>
    <definedName name="EXP_Company" localSheetId="7">'[3]cyl 3040'!#REF!</definedName>
    <definedName name="EXP_Company" localSheetId="3">'[3]cyl 3040'!#REF!</definedName>
    <definedName name="EXP_Company">'[3]cyl 3040'!#REF!</definedName>
    <definedName name="EXP_Components" localSheetId="11">'[3]cyl 3040'!#REF!</definedName>
    <definedName name="EXP_Components" localSheetId="10">'[3]cyl 3040'!#REF!</definedName>
    <definedName name="EXP_Components" localSheetId="7">'[3]cyl 3040'!#REF!</definedName>
    <definedName name="EXP_Components" localSheetId="3">'[3]cyl 3040'!#REF!</definedName>
    <definedName name="EXP_Components">'[3]cyl 3040'!#REF!</definedName>
    <definedName name="EXP_DBName" localSheetId="11">'[3]cyl 3040'!#REF!</definedName>
    <definedName name="EXP_DBName" localSheetId="10">'[3]cyl 3040'!#REF!</definedName>
    <definedName name="EXP_DBName" localSheetId="7">'[3]cyl 3040'!#REF!</definedName>
    <definedName name="EXP_DBName" localSheetId="3">'[3]cyl 3040'!#REF!</definedName>
    <definedName name="EXP_DBName">'[3]cyl 3040'!#REF!</definedName>
    <definedName name="EXP_DBPbase" localSheetId="11">'[3]cyl 3040'!#REF!</definedName>
    <definedName name="EXP_DBPbase" localSheetId="10">'[3]cyl 3040'!#REF!</definedName>
    <definedName name="EXP_DBPbase" localSheetId="7">'[3]cyl 3040'!#REF!</definedName>
    <definedName name="EXP_DBPbase" localSheetId="3">'[3]cyl 3040'!#REF!</definedName>
    <definedName name="EXP_DBPbase">'[3]cyl 3040'!#REF!</definedName>
    <definedName name="EXP_FileRef" localSheetId="11">'[3]cyl 3040'!#REF!</definedName>
    <definedName name="EXP_FileRef" localSheetId="10">'[3]cyl 3040'!#REF!</definedName>
    <definedName name="EXP_FileRef" localSheetId="7">'[3]cyl 3040'!#REF!</definedName>
    <definedName name="EXP_FileRef" localSheetId="3">'[3]cyl 3040'!#REF!</definedName>
    <definedName name="EXP_FileRef">'[3]cyl 3040'!#REF!</definedName>
    <definedName name="EXP_Flash_Data" localSheetId="11">'[3]cyl 3040'!#REF!</definedName>
    <definedName name="EXP_Flash_Data" localSheetId="10">'[3]cyl 3040'!#REF!</definedName>
    <definedName name="EXP_Flash_Data" localSheetId="7">'[3]cyl 3040'!#REF!</definedName>
    <definedName name="EXP_Flash_Data" localSheetId="3">'[3]cyl 3040'!#REF!</definedName>
    <definedName name="EXP_Flash_Data">'[3]cyl 3040'!#REF!</definedName>
    <definedName name="EXP_Gas_Dens" localSheetId="11">'[3]cyl 3040'!#REF!</definedName>
    <definedName name="EXP_Gas_Dens" localSheetId="10">'[3]cyl 3040'!#REF!</definedName>
    <definedName name="EXP_Gas_Dens" localSheetId="7">'[3]cyl 3040'!#REF!</definedName>
    <definedName name="EXP_Gas_Dens" localSheetId="3">'[3]cyl 3040'!#REF!</definedName>
    <definedName name="EXP_Gas_Dens">'[3]cyl 3040'!#REF!</definedName>
    <definedName name="EXP_Gas_MolePct" localSheetId="11">'[3]cyl 3040'!#REF!</definedName>
    <definedName name="EXP_Gas_MolePct" localSheetId="10">'[3]cyl 3040'!#REF!</definedName>
    <definedName name="EXP_Gas_MolePct" localSheetId="7">'[3]cyl 3040'!#REF!</definedName>
    <definedName name="EXP_Gas_MolePct" localSheetId="3">'[3]cyl 3040'!#REF!</definedName>
    <definedName name="EXP_Gas_MolePct">'[3]cyl 3040'!#REF!</definedName>
    <definedName name="EXP_Gas_MW" localSheetId="11">'[3]cyl 3040'!#REF!</definedName>
    <definedName name="EXP_Gas_MW" localSheetId="10">'[3]cyl 3040'!#REF!</definedName>
    <definedName name="EXP_Gas_MW" localSheetId="7">'[3]cyl 3040'!#REF!</definedName>
    <definedName name="EXP_Gas_MW" localSheetId="3">'[3]cyl 3040'!#REF!</definedName>
    <definedName name="EXP_Gas_MW">'[3]cyl 3040'!#REF!</definedName>
    <definedName name="EXP_GPM" localSheetId="11">'[3]cyl 3040'!#REF!</definedName>
    <definedName name="EXP_GPM" localSheetId="10">'[3]cyl 3040'!#REF!</definedName>
    <definedName name="EXP_GPM" localSheetId="7">'[3]cyl 3040'!#REF!</definedName>
    <definedName name="EXP_GPM" localSheetId="3">'[3]cyl 3040'!#REF!</definedName>
    <definedName name="EXP_GPM">'[3]cyl 3040'!#REF!</definedName>
    <definedName name="EXP_PBase" localSheetId="11">'[3]cyl 3040'!#REF!</definedName>
    <definedName name="EXP_PBase" localSheetId="10">'[3]cyl 3040'!#REF!</definedName>
    <definedName name="EXP_PBase" localSheetId="7">'[3]cyl 3040'!#REF!</definedName>
    <definedName name="EXP_PBase" localSheetId="3">'[3]cyl 3040'!#REF!</definedName>
    <definedName name="EXP_PBase">'[3]cyl 3040'!#REF!</definedName>
    <definedName name="EXP_Well" localSheetId="11">'[3]cyl 3040'!#REF!</definedName>
    <definedName name="EXP_Well" localSheetId="10">'[3]cyl 3040'!#REF!</definedName>
    <definedName name="EXP_Well" localSheetId="7">'[3]cyl 3040'!#REF!</definedName>
    <definedName name="EXP_Well" localSheetId="3">'[3]cyl 3040'!#REF!</definedName>
    <definedName name="EXP_Well">'[3]cyl 3040'!#REF!</definedName>
    <definedName name="Ext_Btus" localSheetId="11">'[3]cyl 3040'!#REF!</definedName>
    <definedName name="Ext_Btus" localSheetId="10">'[3]cyl 3040'!#REF!</definedName>
    <definedName name="Ext_Btus" localSheetId="7">'[3]cyl 3040'!#REF!</definedName>
    <definedName name="Ext_Btus" localSheetId="3">'[3]cyl 3040'!#REF!</definedName>
    <definedName name="Ext_Btus">'[3]cyl 3040'!#REF!</definedName>
    <definedName name="Factor_Ext" localSheetId="11">'[3]cyl 3040'!#REF!</definedName>
    <definedName name="Factor_Ext" localSheetId="10">'[3]cyl 3040'!#REF!</definedName>
    <definedName name="Factor_Ext" localSheetId="7">'[3]cyl 3040'!#REF!</definedName>
    <definedName name="Factor_Ext" localSheetId="3">'[3]cyl 3040'!#REF!</definedName>
    <definedName name="Factor_Ext">'[3]cyl 3040'!#REF!</definedName>
    <definedName name="Fin_BTU" localSheetId="11">'[3]cyl 3040'!#REF!</definedName>
    <definedName name="Fin_BTU" localSheetId="10">'[3]cyl 3040'!#REF!</definedName>
    <definedName name="Fin_BTU" localSheetId="7">'[3]cyl 3040'!#REF!</definedName>
    <definedName name="Fin_BTU" localSheetId="3">'[3]cyl 3040'!#REF!</definedName>
    <definedName name="Fin_BTU">'[3]cyl 3040'!#REF!</definedName>
    <definedName name="Fin_GasGravity" localSheetId="11">'[3]cyl 3040'!#REF!</definedName>
    <definedName name="Fin_GasGravity" localSheetId="10">'[3]cyl 3040'!#REF!</definedName>
    <definedName name="Fin_GasGravity" localSheetId="7">'[3]cyl 3040'!#REF!</definedName>
    <definedName name="Fin_GasGravity" localSheetId="3">'[3]cyl 3040'!#REF!</definedName>
    <definedName name="Fin_GasGravity">'[3]cyl 3040'!#REF!</definedName>
    <definedName name="Fin_MW" localSheetId="11">'[3]cyl 3040'!#REF!</definedName>
    <definedName name="Fin_MW" localSheetId="10">'[3]cyl 3040'!#REF!</definedName>
    <definedName name="Fin_MW" localSheetId="7">'[3]cyl 3040'!#REF!</definedName>
    <definedName name="Fin_MW" localSheetId="3">'[3]cyl 3040'!#REF!</definedName>
    <definedName name="Fin_MW">'[3]cyl 3040'!#REF!</definedName>
    <definedName name="Fin_Pc" localSheetId="11">'[3]cyl 3040'!#REF!</definedName>
    <definedName name="Fin_Pc" localSheetId="10">'[3]cyl 3040'!#REF!</definedName>
    <definedName name="Fin_Pc" localSheetId="7">'[3]cyl 3040'!#REF!</definedName>
    <definedName name="Fin_Pc" localSheetId="3">'[3]cyl 3040'!#REF!</definedName>
    <definedName name="Fin_Pc">'[3]cyl 3040'!#REF!</definedName>
    <definedName name="Fin_Tc" localSheetId="11">'[3]cyl 3040'!#REF!</definedName>
    <definedName name="Fin_Tc" localSheetId="10">'[3]cyl 3040'!#REF!</definedName>
    <definedName name="Fin_Tc" localSheetId="7">'[3]cyl 3040'!#REF!</definedName>
    <definedName name="Fin_Tc" localSheetId="3">'[3]cyl 3040'!#REF!</definedName>
    <definedName name="Fin_Tc">'[3]cyl 3040'!#REF!</definedName>
    <definedName name="frac_hrs">(8/12)</definedName>
    <definedName name="GRP_Codes" localSheetId="11">'[3]cyl 3040'!#REF!</definedName>
    <definedName name="GRP_Codes" localSheetId="10">'[3]cyl 3040'!#REF!</definedName>
    <definedName name="GRP_Codes" localSheetId="7">'[3]cyl 3040'!#REF!</definedName>
    <definedName name="GRP_Codes" localSheetId="3">'[3]cyl 3040'!#REF!</definedName>
    <definedName name="GRP_Codes">'[3]cyl 3040'!#REF!</definedName>
    <definedName name="GRP_MolePct" localSheetId="11">'[3]cyl 3040'!#REF!</definedName>
    <definedName name="GRP_MolePct" localSheetId="10">'[3]cyl 3040'!#REF!</definedName>
    <definedName name="GRP_MolePct" localSheetId="7">'[3]cyl 3040'!#REF!</definedName>
    <definedName name="GRP_MolePct" localSheetId="3">'[3]cyl 3040'!#REF!</definedName>
    <definedName name="GRP_MolePct">'[3]cyl 3040'!#REF!</definedName>
    <definedName name="HHV_LHV_Ratio">'[4]Support Input Data'!$D$9/'[4]Support Input Data'!$D$10</definedName>
    <definedName name="IMP_Codes" localSheetId="11">'[3]cyl 3040'!#REF!</definedName>
    <definedName name="IMP_Codes" localSheetId="10">'[3]cyl 3040'!#REF!</definedName>
    <definedName name="IMP_Codes" localSheetId="7">'[3]cyl 3040'!#REF!</definedName>
    <definedName name="IMP_Codes" localSheetId="3">'[3]cyl 3040'!#REF!</definedName>
    <definedName name="IMP_Codes">'[3]cyl 3040'!#REF!</definedName>
    <definedName name="IMP_Database" localSheetId="11">'[3]cyl 3040'!#REF!</definedName>
    <definedName name="IMP_Database" localSheetId="10">'[3]cyl 3040'!#REF!</definedName>
    <definedName name="IMP_Database" localSheetId="7">'[3]cyl 3040'!#REF!</definedName>
    <definedName name="IMP_Database" localSheetId="3">'[3]cyl 3040'!#REF!</definedName>
    <definedName name="IMP_Database">'[3]cyl 3040'!#REF!</definedName>
    <definedName name="IMP_DBTitle" localSheetId="11">'[3]cyl 3040'!#REF!</definedName>
    <definedName name="IMP_DBTitle" localSheetId="10">'[3]cyl 3040'!#REF!</definedName>
    <definedName name="IMP_DBTitle" localSheetId="7">'[3]cyl 3040'!#REF!</definedName>
    <definedName name="IMP_DBTitle" localSheetId="3">'[3]cyl 3040'!#REF!</definedName>
    <definedName name="IMP_DBTitle">'[3]cyl 3040'!#REF!</definedName>
    <definedName name="IMP_Factors" localSheetId="11">'[3]cyl 3040'!#REF!</definedName>
    <definedName name="IMP_Factors" localSheetId="10">'[3]cyl 3040'!#REF!</definedName>
    <definedName name="IMP_Factors" localSheetId="7">'[3]cyl 3040'!#REF!</definedName>
    <definedName name="IMP_Factors" localSheetId="3">'[3]cyl 3040'!#REF!</definedName>
    <definedName name="IMP_Factors">'[3]cyl 3040'!#REF!</definedName>
    <definedName name="IMP_PBase" localSheetId="11">'[3]cyl 3040'!#REF!</definedName>
    <definedName name="IMP_PBase" localSheetId="10">'[3]cyl 3040'!#REF!</definedName>
    <definedName name="IMP_PBase" localSheetId="7">'[3]cyl 3040'!#REF!</definedName>
    <definedName name="IMP_PBase" localSheetId="3">'[3]cyl 3040'!#REF!</definedName>
    <definedName name="IMP_PBase">'[3]cyl 3040'!#REF!</definedName>
    <definedName name="k" hidden="1">'[1]Exhaust Flow Comparison'!$C$166:$C$168</definedName>
    <definedName name="Liquid_Fuel_HHV">'[4]Support Input Data'!$D$9</definedName>
    <definedName name="LOCATION">#N/A</definedName>
    <definedName name="Max_MolePct" localSheetId="11">'[3]cyl 3040'!#REF!</definedName>
    <definedName name="Max_MolePct" localSheetId="10">'[3]cyl 3040'!#REF!</definedName>
    <definedName name="Max_MolePct" localSheetId="7">'[3]cyl 3040'!#REF!</definedName>
    <definedName name="Max_MolePct" localSheetId="3">'[3]cyl 3040'!#REF!</definedName>
    <definedName name="Max_MolePct">'[3]cyl 3040'!#REF!</definedName>
    <definedName name="Max_WtPct" localSheetId="11">'[3]cyl 3040'!#REF!</definedName>
    <definedName name="Max_WtPct" localSheetId="10">'[3]cyl 3040'!#REF!</definedName>
    <definedName name="Max_WtPct" localSheetId="7">'[3]cyl 3040'!#REF!</definedName>
    <definedName name="Max_WtPct" localSheetId="3">'[3]cyl 3040'!#REF!</definedName>
    <definedName name="Max_WtPct">'[3]cyl 3040'!#REF!</definedName>
    <definedName name="MW" localSheetId="11">#REF!</definedName>
    <definedName name="MW" localSheetId="10">#REF!</definedName>
    <definedName name="MW" localSheetId="3">#REF!</definedName>
    <definedName name="MW">#REF!</definedName>
    <definedName name="Non_ULSD_Fuel_Sulfur">'[4]Support Input Data'!$D$14</definedName>
    <definedName name="P_Sampling" localSheetId="11">'[3]cyl 3040'!#REF!</definedName>
    <definedName name="P_Sampling" localSheetId="10">'[3]cyl 3040'!#REF!</definedName>
    <definedName name="P_Sampling" localSheetId="7">'[3]cyl 3040'!#REF!</definedName>
    <definedName name="P_Sampling" localSheetId="3">'[3]cyl 3040'!#REF!</definedName>
    <definedName name="P_Sampling">'[3]cyl 3040'!#REF!</definedName>
    <definedName name="Pages" localSheetId="11">'[3]cyl 3040'!#REF!</definedName>
    <definedName name="Pages" localSheetId="10">'[3]cyl 3040'!#REF!</definedName>
    <definedName name="Pages" localSheetId="7">'[3]cyl 3040'!#REF!</definedName>
    <definedName name="Pages" localSheetId="3">'[3]cyl 3040'!#REF!</definedName>
    <definedName name="Pages">'[3]cyl 3040'!#REF!</definedName>
    <definedName name="PBase" localSheetId="11">'[3]cyl 3040'!#REF!</definedName>
    <definedName name="PBase" localSheetId="10">'[3]cyl 3040'!#REF!</definedName>
    <definedName name="PBase" localSheetId="7">'[3]cyl 3040'!#REF!</definedName>
    <definedName name="PBase" localSheetId="3">'[3]cyl 3040'!#REF!</definedName>
    <definedName name="PBase">'[3]cyl 3040'!#REF!</definedName>
    <definedName name="phIImnth_adj">8760/4380</definedName>
    <definedName name="Pi" localSheetId="11">'[2]CPF1 V-B Calculation'!#REF!</definedName>
    <definedName name="Pi" localSheetId="10">'[2]CPF1 V-B Calculation'!#REF!</definedName>
    <definedName name="Pi" localSheetId="7">'[2]CPF1 V-B Calculation'!#REF!</definedName>
    <definedName name="Pi" localSheetId="3">'[2]CPF1 V-B Calculation'!#REF!</definedName>
    <definedName name="Pi">'[2]CPF1 V-B Calculation'!#REF!</definedName>
    <definedName name="pph2gps">(4380/1)*(1/(8760*3600))*(453.592/1)</definedName>
    <definedName name="pph2gpsmp">(4380/1)*(1/(8760*3600))*(453.592/1)</definedName>
    <definedName name="pph2gpsPG5371">(730/1)*(1/(8760*3600))*(453.592/1)</definedName>
    <definedName name="pph2gpspgt10">(4380/1)*(1/(8760*3600))*(453.592/1)</definedName>
    <definedName name="pph2gpsuhm">(4380/1)*(1/(8760*3600))*(453.592/1)</definedName>
    <definedName name="pressure" localSheetId="11">'[2]CPF1 V-B Calculation'!#REF!</definedName>
    <definedName name="pressure" localSheetId="10">'[2]CPF1 V-B Calculation'!#REF!</definedName>
    <definedName name="pressure" localSheetId="7">'[2]CPF1 V-B Calculation'!#REF!</definedName>
    <definedName name="pressure" localSheetId="3">'[2]CPF1 V-B Calculation'!#REF!</definedName>
    <definedName name="pressure">'[2]CPF1 V-B Calculation'!#REF!</definedName>
    <definedName name="_xlnm.Print_Area" localSheetId="8">'LNG HAP Emission Unit Inventory'!$A$1:$N$28</definedName>
    <definedName name="_xlnm.Print_Area" localSheetId="9">'LNG HAPs Calc'!$B$1:$AD$86</definedName>
    <definedName name="_xlnm.Print_Area" localSheetId="0">'LNG Model Emissions'!$A$1:$AL$39</definedName>
    <definedName name="_xlnm.Print_Area" localSheetId="17">'Mobile Emissions'!$A$1:$N$23</definedName>
    <definedName name="_xlnm.Print_Area" localSheetId="15">'Mobile Eqt and Vehic'!$A$1:$DF$50</definedName>
    <definedName name="_xlnm.Print_Area" localSheetId="13">'Mobile Equip Assumptions'!$A$1:$S$73</definedName>
    <definedName name="_xlnm.Print_Area" localSheetId="18">'Non-Road Emissions'!$B$1:$Y$45</definedName>
    <definedName name="_xlnm.Print_Area" localSheetId="14">'Onsite Opper. Eqt and Vehic'!$A$1:$DG$26</definedName>
    <definedName name="_xlnm.Print_Titles" localSheetId="19">'Emission Factors'!$A$1:$A$65536</definedName>
    <definedName name="_xlnm.Print_Titles" localSheetId="8">'LNG HAP Emission Unit Inventory'!$A$1:$IU$1</definedName>
    <definedName name="_xlnm.Print_Titles" localSheetId="9">'LNG HAPs Calc'!$B$1:$B$65536</definedName>
    <definedName name="_xlnm.Print_Titles" localSheetId="18">'Non-Road Emissions'!$B:$B,'Non-Road Emissions'!$1:$2</definedName>
    <definedName name="Raw_Ext_Table" localSheetId="11">'[3]cyl 3040'!#REF!</definedName>
    <definedName name="Raw_Ext_Table" localSheetId="10">'[3]cyl 3040'!#REF!</definedName>
    <definedName name="Raw_Ext_Table" localSheetId="7">'[3]cyl 3040'!#REF!</definedName>
    <definedName name="Raw_Ext_Table" localSheetId="3">'[3]cyl 3040'!#REF!</definedName>
    <definedName name="Raw_Ext_Table">'[3]cyl 3040'!#REF!</definedName>
    <definedName name="Raw_Gas_Areas" localSheetId="11">'[3]cyl 3040'!#REF!</definedName>
    <definedName name="Raw_Gas_Areas" localSheetId="10">'[3]cyl 3040'!#REF!</definedName>
    <definedName name="Raw_Gas_Areas" localSheetId="7">'[3]cyl 3040'!#REF!</definedName>
    <definedName name="Raw_Gas_Areas" localSheetId="3">'[3]cyl 3040'!#REF!</definedName>
    <definedName name="Raw_Gas_Areas">'[3]cyl 3040'!#REF!</definedName>
    <definedName name="Raw_Gas_Codes" localSheetId="11">'[3]cyl 3040'!#REF!</definedName>
    <definedName name="Raw_Gas_Codes" localSheetId="10">'[3]cyl 3040'!#REF!</definedName>
    <definedName name="Raw_Gas_Codes" localSheetId="7">'[3]cyl 3040'!#REF!</definedName>
    <definedName name="Raw_Gas_Codes" localSheetId="3">'[3]cyl 3040'!#REF!</definedName>
    <definedName name="Raw_Gas_Codes">'[3]cyl 3040'!#REF!</definedName>
    <definedName name="Raw_Gas_Groups" localSheetId="11">'[3]cyl 3040'!#REF!</definedName>
    <definedName name="Raw_Gas_Groups" localSheetId="10">'[3]cyl 3040'!#REF!</definedName>
    <definedName name="Raw_Gas_Groups" localSheetId="7">'[3]cyl 3040'!#REF!</definedName>
    <definedName name="Raw_Gas_Groups" localSheetId="3">'[3]cyl 3040'!#REF!</definedName>
    <definedName name="Raw_Gas_Groups">'[3]cyl 3040'!#REF!</definedName>
    <definedName name="Raw_Gas_MoleP" localSheetId="11">'[3]cyl 3040'!#REF!</definedName>
    <definedName name="Raw_Gas_MoleP" localSheetId="10">'[3]cyl 3040'!#REF!</definedName>
    <definedName name="Raw_Gas_MoleP" localSheetId="7">'[3]cyl 3040'!#REF!</definedName>
    <definedName name="Raw_Gas_MoleP" localSheetId="3">'[3]cyl 3040'!#REF!</definedName>
    <definedName name="Raw_Gas_MoleP">'[3]cyl 3040'!#REF!</definedName>
    <definedName name="Raw_Gas_MolePct" localSheetId="11">'[3]cyl 3040'!#REF!</definedName>
    <definedName name="Raw_Gas_MolePct" localSheetId="10">'[3]cyl 3040'!#REF!</definedName>
    <definedName name="Raw_Gas_MolePct" localSheetId="7">'[3]cyl 3040'!#REF!</definedName>
    <definedName name="Raw_Gas_MolePct" localSheetId="3">'[3]cyl 3040'!#REF!</definedName>
    <definedName name="Raw_Gas_MolePct">'[3]cyl 3040'!#REF!</definedName>
    <definedName name="Raw_Gas_MWPct" localSheetId="11">'[3]cyl 3040'!#REF!</definedName>
    <definedName name="Raw_Gas_MWPct" localSheetId="10">'[3]cyl 3040'!#REF!</definedName>
    <definedName name="Raw_Gas_MWPct" localSheetId="7">'[3]cyl 3040'!#REF!</definedName>
    <definedName name="Raw_Gas_MWPct" localSheetId="3">'[3]cyl 3040'!#REF!</definedName>
    <definedName name="Raw_Gas_MWPct">'[3]cyl 3040'!#REF!</definedName>
    <definedName name="Raw_Gas_Table" localSheetId="11">'[3]cyl 3040'!#REF!</definedName>
    <definedName name="Raw_Gas_Table" localSheetId="10">'[3]cyl 3040'!#REF!</definedName>
    <definedName name="Raw_Gas_Table" localSheetId="7">'[3]cyl 3040'!#REF!</definedName>
    <definedName name="Raw_Gas_Table" localSheetId="3">'[3]cyl 3040'!#REF!</definedName>
    <definedName name="Raw_Gas_Table">'[3]cyl 3040'!#REF!</definedName>
    <definedName name="Rs" localSheetId="11">#REF!</definedName>
    <definedName name="Rs" localSheetId="10">#REF!</definedName>
    <definedName name="Rs" localSheetId="3">#REF!</definedName>
    <definedName name="Rs">#REF!</definedName>
    <definedName name="scenario_adj">8760/(7*730)</definedName>
    <definedName name="SGi" localSheetId="11">#REF!</definedName>
    <definedName name="SGi" localSheetId="10">#REF!</definedName>
    <definedName name="SGi" localSheetId="3">#REF!</definedName>
    <definedName name="SGi">#REF!</definedName>
    <definedName name="Support_Equipment">'[4]Support Equip Inventory'!$B$2:$D$84</definedName>
    <definedName name="T_Sampling" localSheetId="11">'[3]cyl 3040'!#REF!</definedName>
    <definedName name="T_Sampling" localSheetId="10">'[3]cyl 3040'!#REF!</definedName>
    <definedName name="T_Sampling" localSheetId="7">'[3]cyl 3040'!#REF!</definedName>
    <definedName name="T_Sampling" localSheetId="3">'[3]cyl 3040'!#REF!</definedName>
    <definedName name="T_Sampling">'[3]cyl 3040'!#REF!</definedName>
    <definedName name="T2_T3_T4_Avg_CO">'[5]A Coeff'!$D$15</definedName>
    <definedName name="T2_T3_T4_Avg_HC">'[5]A Coeff'!$G$15</definedName>
    <definedName name="T2_T3_T4_Avg_NOx">'[5]A Coeff'!$E$15</definedName>
    <definedName name="T2_T3_T4_Avg_PM">'[5]A Coeff'!$F$15</definedName>
    <definedName name="T3_T4_Avg_CO">'[6]A Coeff'!$D$15</definedName>
    <definedName name="T3_T4_Avg_HC">'[6]A Coeff'!$G$15</definedName>
    <definedName name="T3_T4_Avg_NOx">'[6]A Coeff'!$E$15</definedName>
    <definedName name="T3_T4_Avg_PM">'[6]A Coeff'!$F$15</definedName>
    <definedName name="Ti" localSheetId="11">#REF!</definedName>
    <definedName name="Ti" localSheetId="10">#REF!</definedName>
    <definedName name="Ti" localSheetId="3">#REF!</definedName>
    <definedName name="Ti">#REF!</definedName>
    <definedName name="Voc" localSheetId="11">#REF!</definedName>
    <definedName name="Voc" localSheetId="10">#REF!</definedName>
    <definedName name="Voc" localSheetId="3">#REF!</definedName>
    <definedName name="Voc">#REF!</definedName>
    <definedName name="X" hidden="1">'[1]Exhaust Flow Comparison'!$B$166:$B$168</definedName>
    <definedName name="y" hidden="1">'[1]Exhaust Flow Comparison'!$C$166:$C$168</definedName>
    <definedName name="z" hidden="1">'[1]Exhaust Flow Comparison'!$B$166:$B$168</definedName>
    <definedName name="Z_CO2MolFrac" localSheetId="11">'[3]cyl 3040'!#REF!</definedName>
    <definedName name="Z_CO2MolFrac" localSheetId="10">'[3]cyl 3040'!#REF!</definedName>
    <definedName name="Z_CO2MolFrac" localSheetId="7">'[3]cyl 3040'!#REF!</definedName>
    <definedName name="Z_CO2MolFrac" localSheetId="3">'[3]cyl 3040'!#REF!</definedName>
    <definedName name="Z_CO2MolFrac">'[3]cyl 3040'!#REF!</definedName>
    <definedName name="Z_CWA" localSheetId="11">'[3]cyl 3040'!#REF!</definedName>
    <definedName name="Z_CWA" localSheetId="10">'[3]cyl 3040'!#REF!</definedName>
    <definedName name="Z_CWA" localSheetId="7">'[3]cyl 3040'!#REF!</definedName>
    <definedName name="Z_CWA" localSheetId="3">'[3]cyl 3040'!#REF!</definedName>
    <definedName name="Z_CWA">'[3]cyl 3040'!#REF!</definedName>
    <definedName name="Z_FactBase" localSheetId="11">'[3]cyl 3040'!#REF!</definedName>
    <definedName name="Z_FactBase" localSheetId="10">'[3]cyl 3040'!#REF!</definedName>
    <definedName name="Z_FactBase" localSheetId="7">'[3]cyl 3040'!#REF!</definedName>
    <definedName name="Z_FactBase" localSheetId="3">'[3]cyl 3040'!#REF!</definedName>
    <definedName name="Z_FactBase">'[3]cyl 3040'!#REF!</definedName>
    <definedName name="Z_FactSampl" localSheetId="11">'[3]cyl 3040'!#REF!</definedName>
    <definedName name="Z_FactSampl" localSheetId="10">'[3]cyl 3040'!#REF!</definedName>
    <definedName name="Z_FactSampl" localSheetId="7">'[3]cyl 3040'!#REF!</definedName>
    <definedName name="Z_FactSampl" localSheetId="3">'[3]cyl 3040'!#REF!</definedName>
    <definedName name="Z_FactSampl">'[3]cyl 3040'!#REF!</definedName>
    <definedName name="Z_H2SMolFrac" localSheetId="11">'[3]cyl 3040'!#REF!</definedName>
    <definedName name="Z_H2SMolFrac" localSheetId="10">'[3]cyl 3040'!#REF!</definedName>
    <definedName name="Z_H2SMolFrac" localSheetId="7">'[3]cyl 3040'!#REF!</definedName>
    <definedName name="Z_H2SMolFrac" localSheetId="3">'[3]cyl 3040'!#REF!</definedName>
    <definedName name="Z_H2SMolFrac">'[3]cyl 3040'!#REF!</definedName>
    <definedName name="Z_Pc" localSheetId="11">'[3]cyl 3040'!#REF!</definedName>
    <definedName name="Z_Pc" localSheetId="10">'[3]cyl 3040'!#REF!</definedName>
    <definedName name="Z_Pc" localSheetId="7">'[3]cyl 3040'!#REF!</definedName>
    <definedName name="Z_Pc" localSheetId="3">'[3]cyl 3040'!#REF!</definedName>
    <definedName name="Z_Pc">'[3]cyl 3040'!#REF!</definedName>
    <definedName name="Z_Pr" localSheetId="11">'[3]cyl 3040'!#REF!</definedName>
    <definedName name="Z_Pr" localSheetId="10">'[3]cyl 3040'!#REF!</definedName>
    <definedName name="Z_Pr" localSheetId="7">'[3]cyl 3040'!#REF!</definedName>
    <definedName name="Z_Pr" localSheetId="3">'[3]cyl 3040'!#REF!</definedName>
    <definedName name="Z_Pr">'[3]cyl 3040'!#REF!</definedName>
    <definedName name="Z_PrBase" localSheetId="11">'[3]cyl 3040'!#REF!</definedName>
    <definedName name="Z_PrBase" localSheetId="10">'[3]cyl 3040'!#REF!</definedName>
    <definedName name="Z_PrBase" localSheetId="7">'[3]cyl 3040'!#REF!</definedName>
    <definedName name="Z_PrBase" localSheetId="3">'[3]cyl 3040'!#REF!</definedName>
    <definedName name="Z_PrBase">'[3]cyl 3040'!#REF!</definedName>
    <definedName name="Z_Tc" localSheetId="11">'[3]cyl 3040'!#REF!</definedName>
    <definedName name="Z_Tc" localSheetId="10">'[3]cyl 3040'!#REF!</definedName>
    <definedName name="Z_Tc" localSheetId="7">'[3]cyl 3040'!#REF!</definedName>
    <definedName name="Z_Tc" localSheetId="3">'[3]cyl 3040'!#REF!</definedName>
    <definedName name="Z_Tc">'[3]cyl 3040'!#REF!</definedName>
    <definedName name="Z_Tr" localSheetId="11">'[3]cyl 3040'!#REF!</definedName>
    <definedName name="Z_Tr" localSheetId="10">'[3]cyl 3040'!#REF!</definedName>
    <definedName name="Z_Tr" localSheetId="7">'[3]cyl 3040'!#REF!</definedName>
    <definedName name="Z_Tr" localSheetId="3">'[3]cyl 3040'!#REF!</definedName>
    <definedName name="Z_Tr">'[3]cyl 3040'!#REF!</definedName>
    <definedName name="Z_TrBase" localSheetId="11">'[3]cyl 3040'!#REF!</definedName>
    <definedName name="Z_TrBase" localSheetId="10">'[3]cyl 3040'!#REF!</definedName>
    <definedName name="Z_TrBase" localSheetId="7">'[3]cyl 3040'!#REF!</definedName>
    <definedName name="Z_TrBase" localSheetId="3">'[3]cyl 3040'!#REF!</definedName>
    <definedName name="Z_TrBase">'[3]cyl 3040'!#REF!</definedName>
  </definedNames>
  <calcPr calcId="152511"/>
</workbook>
</file>

<file path=xl/calcChain.xml><?xml version="1.0" encoding="utf-8"?>
<calcChain xmlns="http://schemas.openxmlformats.org/spreadsheetml/2006/main">
  <c r="AH14" i="26" l="1"/>
  <c r="C28" i="37" s="1"/>
  <c r="C15" i="37"/>
  <c r="C18" i="37"/>
  <c r="AE37" i="4" l="1"/>
  <c r="AD37" i="4"/>
  <c r="AA37" i="4"/>
  <c r="S37" i="4"/>
  <c r="Q37" i="4"/>
  <c r="R37" i="4" s="1"/>
  <c r="P37" i="4"/>
  <c r="N37" i="4"/>
  <c r="O37" i="4" s="1"/>
  <c r="M37" i="4"/>
  <c r="K37" i="4"/>
  <c r="L37" i="4" s="1"/>
  <c r="J37" i="4"/>
  <c r="I37" i="4"/>
  <c r="H37" i="4"/>
  <c r="F37" i="4"/>
  <c r="G37" i="4" s="1"/>
  <c r="E37" i="4"/>
  <c r="D37" i="4"/>
  <c r="F3" i="37"/>
  <c r="B20" i="37"/>
  <c r="C20" i="37" s="1"/>
  <c r="B19" i="37"/>
  <c r="C19" i="37" s="1"/>
  <c r="B10" i="37"/>
  <c r="C10" i="37" s="1"/>
  <c r="B11" i="37"/>
  <c r="C11" i="37" s="1"/>
  <c r="B12" i="37"/>
  <c r="C12" i="37" s="1"/>
  <c r="B9" i="37"/>
  <c r="C9" i="37" s="1"/>
  <c r="B4" i="37"/>
  <c r="C4" i="37" s="1"/>
  <c r="B5" i="37"/>
  <c r="C5" i="37" s="1"/>
  <c r="B6" i="37"/>
  <c r="C6" i="37" s="1"/>
  <c r="B7" i="37"/>
  <c r="C7" i="37" s="1"/>
  <c r="B8" i="37"/>
  <c r="C8" i="37" s="1"/>
  <c r="B3" i="37"/>
  <c r="C3" i="37" l="1"/>
  <c r="P6" i="23"/>
  <c r="P7" i="23"/>
  <c r="P8" i="23"/>
  <c r="P9" i="23"/>
  <c r="P10" i="23"/>
  <c r="P11" i="23"/>
  <c r="P12" i="23"/>
  <c r="P13" i="23"/>
  <c r="P14" i="23"/>
  <c r="P15" i="23"/>
  <c r="P16" i="23"/>
  <c r="P17" i="23"/>
  <c r="P18" i="23"/>
  <c r="P19" i="23"/>
  <c r="P20" i="23"/>
  <c r="P21" i="23"/>
  <c r="P22" i="23"/>
  <c r="P23" i="23"/>
  <c r="P5" i="23"/>
  <c r="O6" i="23"/>
  <c r="O7" i="23"/>
  <c r="O8" i="23"/>
  <c r="O9" i="23"/>
  <c r="O10" i="23"/>
  <c r="O11" i="23"/>
  <c r="O12" i="23"/>
  <c r="O13" i="23"/>
  <c r="O14" i="23"/>
  <c r="O15" i="23"/>
  <c r="O16" i="23"/>
  <c r="O17" i="23"/>
  <c r="O18" i="23"/>
  <c r="O19" i="23"/>
  <c r="O20" i="23"/>
  <c r="O21" i="23"/>
  <c r="O22" i="23"/>
  <c r="O23" i="23"/>
  <c r="O5" i="23"/>
  <c r="N6" i="23"/>
  <c r="N7" i="23"/>
  <c r="N8" i="23"/>
  <c r="N9" i="23"/>
  <c r="N10" i="23"/>
  <c r="N11" i="23"/>
  <c r="N12" i="23"/>
  <c r="N13" i="23"/>
  <c r="N14" i="23"/>
  <c r="N15" i="23"/>
  <c r="N16" i="23"/>
  <c r="N17" i="23"/>
  <c r="N18" i="23"/>
  <c r="N19" i="23"/>
  <c r="N20" i="23"/>
  <c r="N21" i="23"/>
  <c r="N22" i="23"/>
  <c r="N23" i="23"/>
  <c r="N5" i="23"/>
  <c r="M6" i="23"/>
  <c r="M7" i="23"/>
  <c r="M8" i="23"/>
  <c r="M9" i="23"/>
  <c r="M10" i="23"/>
  <c r="M11" i="23"/>
  <c r="M12" i="23"/>
  <c r="M13" i="23"/>
  <c r="M14" i="23"/>
  <c r="M15" i="23"/>
  <c r="M16" i="23"/>
  <c r="M17" i="23"/>
  <c r="M18" i="23"/>
  <c r="M19" i="23"/>
  <c r="M20" i="23"/>
  <c r="M21" i="23"/>
  <c r="M22" i="23"/>
  <c r="M23" i="23"/>
  <c r="M5" i="23"/>
  <c r="H8" i="35"/>
  <c r="H7" i="35"/>
  <c r="H6" i="35"/>
  <c r="H5" i="35"/>
  <c r="H4" i="35"/>
  <c r="J8" i="35"/>
  <c r="J7" i="35"/>
  <c r="J6" i="35"/>
  <c r="J5" i="35"/>
  <c r="J4" i="35"/>
  <c r="Q6" i="23" l="1"/>
  <c r="U6" i="23" s="1"/>
  <c r="R6" i="23"/>
  <c r="V6" i="23" s="1"/>
  <c r="S6" i="23"/>
  <c r="W6" i="23" s="1"/>
  <c r="T6" i="23"/>
  <c r="X6" i="23" s="1"/>
  <c r="Q7" i="23"/>
  <c r="U7" i="23" s="1"/>
  <c r="R7" i="23"/>
  <c r="V7" i="23" s="1"/>
  <c r="S7" i="23"/>
  <c r="W7" i="23" s="1"/>
  <c r="T7" i="23"/>
  <c r="X7" i="23" s="1"/>
  <c r="Q8" i="23"/>
  <c r="U8" i="23" s="1"/>
  <c r="R8" i="23"/>
  <c r="V8" i="23" s="1"/>
  <c r="S8" i="23"/>
  <c r="W8" i="23" s="1"/>
  <c r="T8" i="23"/>
  <c r="X8" i="23" s="1"/>
  <c r="Q9" i="23"/>
  <c r="U9" i="23" s="1"/>
  <c r="R9" i="23"/>
  <c r="V9" i="23" s="1"/>
  <c r="S9" i="23"/>
  <c r="W9" i="23" s="1"/>
  <c r="T9" i="23"/>
  <c r="X9" i="23" s="1"/>
  <c r="Q10" i="23"/>
  <c r="U10" i="23" s="1"/>
  <c r="R10" i="23"/>
  <c r="V10" i="23" s="1"/>
  <c r="S10" i="23"/>
  <c r="W10" i="23" s="1"/>
  <c r="T10" i="23"/>
  <c r="X10" i="23" s="1"/>
  <c r="Q11" i="23"/>
  <c r="U11" i="23" s="1"/>
  <c r="R11" i="23"/>
  <c r="V11" i="23" s="1"/>
  <c r="S11" i="23"/>
  <c r="W11" i="23" s="1"/>
  <c r="T11" i="23"/>
  <c r="X11" i="23" s="1"/>
  <c r="Q12" i="23"/>
  <c r="U12" i="23" s="1"/>
  <c r="R12" i="23"/>
  <c r="V12" i="23" s="1"/>
  <c r="S12" i="23"/>
  <c r="W12" i="23" s="1"/>
  <c r="T12" i="23"/>
  <c r="X12" i="23" s="1"/>
  <c r="Q13" i="23"/>
  <c r="U13" i="23" s="1"/>
  <c r="R13" i="23"/>
  <c r="V13" i="23" s="1"/>
  <c r="S13" i="23"/>
  <c r="W13" i="23" s="1"/>
  <c r="T13" i="23"/>
  <c r="X13" i="23" s="1"/>
  <c r="Q14" i="23"/>
  <c r="U14" i="23" s="1"/>
  <c r="R14" i="23"/>
  <c r="V14" i="23" s="1"/>
  <c r="S14" i="23"/>
  <c r="W14" i="23" s="1"/>
  <c r="T14" i="23"/>
  <c r="X14" i="23" s="1"/>
  <c r="Q15" i="23"/>
  <c r="U15" i="23" s="1"/>
  <c r="R15" i="23"/>
  <c r="V15" i="23" s="1"/>
  <c r="S15" i="23"/>
  <c r="W15" i="23" s="1"/>
  <c r="T15" i="23"/>
  <c r="X15" i="23" s="1"/>
  <c r="Q16" i="23"/>
  <c r="U16" i="23" s="1"/>
  <c r="R16" i="23"/>
  <c r="V16" i="23" s="1"/>
  <c r="S16" i="23"/>
  <c r="W16" i="23" s="1"/>
  <c r="T16" i="23"/>
  <c r="X16" i="23" s="1"/>
  <c r="Q17" i="23"/>
  <c r="U17" i="23" s="1"/>
  <c r="R17" i="23"/>
  <c r="V17" i="23" s="1"/>
  <c r="S17" i="23"/>
  <c r="W17" i="23" s="1"/>
  <c r="T17" i="23"/>
  <c r="X17" i="23" s="1"/>
  <c r="Q18" i="23"/>
  <c r="U18" i="23" s="1"/>
  <c r="R18" i="23"/>
  <c r="V18" i="23" s="1"/>
  <c r="S18" i="23"/>
  <c r="W18" i="23" s="1"/>
  <c r="T18" i="23"/>
  <c r="X18" i="23" s="1"/>
  <c r="Q19" i="23"/>
  <c r="U19" i="23" s="1"/>
  <c r="R19" i="23"/>
  <c r="V19" i="23" s="1"/>
  <c r="S19" i="23"/>
  <c r="W19" i="23" s="1"/>
  <c r="T19" i="23"/>
  <c r="X19" i="23" s="1"/>
  <c r="Q20" i="23"/>
  <c r="U20" i="23" s="1"/>
  <c r="R20" i="23"/>
  <c r="V20" i="23" s="1"/>
  <c r="S20" i="23"/>
  <c r="W20" i="23" s="1"/>
  <c r="T20" i="23"/>
  <c r="X20" i="23" s="1"/>
  <c r="Q21" i="23"/>
  <c r="U21" i="23" s="1"/>
  <c r="R21" i="23"/>
  <c r="V21" i="23" s="1"/>
  <c r="S21" i="23"/>
  <c r="W21" i="23" s="1"/>
  <c r="T21" i="23"/>
  <c r="X21" i="23" s="1"/>
  <c r="Q22" i="23"/>
  <c r="U22" i="23" s="1"/>
  <c r="R22" i="23"/>
  <c r="V22" i="23" s="1"/>
  <c r="S22" i="23"/>
  <c r="W22" i="23" s="1"/>
  <c r="T22" i="23"/>
  <c r="X22" i="23" s="1"/>
  <c r="Q23" i="23"/>
  <c r="U23" i="23" s="1"/>
  <c r="R23" i="23"/>
  <c r="V23" i="23" s="1"/>
  <c r="S23" i="23"/>
  <c r="W23" i="23" s="1"/>
  <c r="T23" i="23"/>
  <c r="X23" i="23" s="1"/>
  <c r="T5" i="23"/>
  <c r="X5" i="23" s="1"/>
  <c r="S5" i="23"/>
  <c r="W5" i="23" s="1"/>
  <c r="R5" i="23"/>
  <c r="V5" i="23" s="1"/>
  <c r="Q5" i="23"/>
  <c r="U5" i="23" s="1"/>
  <c r="D7" i="31"/>
  <c r="Z34" i="4" s="1"/>
  <c r="C9" i="16"/>
  <c r="C8" i="16"/>
  <c r="C6" i="16"/>
  <c r="C7" i="16"/>
  <c r="F23" i="23"/>
  <c r="F22" i="23"/>
  <c r="F20" i="23"/>
  <c r="F21" i="23"/>
  <c r="F18" i="23"/>
  <c r="F19" i="23"/>
  <c r="F17" i="23"/>
  <c r="F16" i="23"/>
  <c r="F15" i="23"/>
  <c r="F14" i="23"/>
  <c r="C9" i="15" l="1"/>
  <c r="C8" i="15"/>
  <c r="C7" i="15"/>
  <c r="AC1" i="29"/>
  <c r="AB1" i="29"/>
  <c r="AA1" i="29"/>
  <c r="Z1" i="29"/>
  <c r="Y1" i="29"/>
  <c r="X1" i="29"/>
  <c r="W1" i="29"/>
  <c r="V1" i="29"/>
  <c r="U1" i="29"/>
  <c r="T1" i="29"/>
  <c r="S1" i="29"/>
  <c r="R1" i="29"/>
  <c r="Q1" i="29"/>
  <c r="P1" i="29"/>
  <c r="O1" i="29"/>
  <c r="N1" i="29"/>
  <c r="M1" i="29"/>
  <c r="L1" i="29"/>
  <c r="K1" i="29"/>
  <c r="J1" i="29"/>
  <c r="I1" i="29"/>
  <c r="H1" i="29"/>
  <c r="G1" i="29"/>
  <c r="F1" i="29"/>
  <c r="E1" i="29"/>
  <c r="D1" i="29"/>
  <c r="C1" i="29"/>
  <c r="G9" i="28"/>
  <c r="G10" i="28"/>
  <c r="G11" i="28"/>
  <c r="G8" i="28"/>
  <c r="G4" i="28"/>
  <c r="G5" i="28"/>
  <c r="G6" i="28"/>
  <c r="G7" i="28"/>
  <c r="G3" i="28"/>
  <c r="G2" i="28"/>
  <c r="C6" i="33"/>
  <c r="D24" i="33"/>
  <c r="C24" i="33"/>
  <c r="AH68" i="26" l="1"/>
  <c r="AH64" i="26"/>
  <c r="AH56" i="26"/>
  <c r="AH39" i="26"/>
  <c r="AH36" i="26"/>
  <c r="AH34" i="26"/>
  <c r="AH27" i="26"/>
  <c r="AH24" i="26"/>
  <c r="AH11" i="26"/>
  <c r="AH10" i="26"/>
  <c r="L9" i="22"/>
  <c r="L10" i="22"/>
  <c r="S14" i="2" l="1"/>
  <c r="S13" i="2"/>
  <c r="S12" i="2"/>
  <c r="S11" i="2"/>
  <c r="S10" i="2"/>
  <c r="S9" i="2"/>
  <c r="S8" i="2"/>
  <c r="S7" i="2"/>
  <c r="S6" i="2"/>
  <c r="S5" i="2"/>
  <c r="O12" i="2"/>
  <c r="O13" i="2"/>
  <c r="O14" i="2"/>
  <c r="O11" i="2"/>
  <c r="O6" i="2"/>
  <c r="O7" i="2"/>
  <c r="O8" i="2"/>
  <c r="O9" i="2"/>
  <c r="O10" i="2"/>
  <c r="O5" i="2"/>
  <c r="I14" i="2"/>
  <c r="I12" i="2"/>
  <c r="I13" i="2"/>
  <c r="I11" i="2"/>
  <c r="M12" i="2"/>
  <c r="M13" i="2"/>
  <c r="M14" i="2"/>
  <c r="M11" i="2"/>
  <c r="M6" i="2"/>
  <c r="M7" i="2"/>
  <c r="M8" i="2"/>
  <c r="M9" i="2"/>
  <c r="M10" i="2"/>
  <c r="M5" i="2"/>
  <c r="I6" i="2"/>
  <c r="I7" i="2"/>
  <c r="I8" i="2"/>
  <c r="I9" i="2"/>
  <c r="I10" i="2"/>
  <c r="I5" i="2"/>
  <c r="F36" i="33"/>
  <c r="F35" i="33"/>
  <c r="E36" i="33"/>
  <c r="E35" i="33"/>
  <c r="D36" i="33"/>
  <c r="D35" i="33"/>
  <c r="C36" i="33"/>
  <c r="C35" i="33"/>
  <c r="E74" i="33"/>
  <c r="Q12" i="2" s="1"/>
  <c r="E32" i="33"/>
  <c r="E29" i="33"/>
  <c r="E33" i="33" s="1"/>
  <c r="E26" i="33"/>
  <c r="E50" i="33" s="1"/>
  <c r="E61" i="33" s="1"/>
  <c r="E23" i="33"/>
  <c r="C74" i="33"/>
  <c r="Q8" i="2" s="1"/>
  <c r="C32" i="33"/>
  <c r="C29" i="33"/>
  <c r="C31" i="33" s="1"/>
  <c r="C26" i="33"/>
  <c r="C50" i="33" s="1"/>
  <c r="C61" i="33" s="1"/>
  <c r="C23" i="33"/>
  <c r="F74" i="33"/>
  <c r="D74" i="33"/>
  <c r="F32" i="33"/>
  <c r="D32" i="33"/>
  <c r="F29" i="33"/>
  <c r="F31" i="33" s="1"/>
  <c r="D29" i="33"/>
  <c r="D33" i="33" s="1"/>
  <c r="F26" i="33"/>
  <c r="F50" i="33" s="1"/>
  <c r="F61" i="33" s="1"/>
  <c r="S12" i="4" s="1"/>
  <c r="D26" i="33"/>
  <c r="D50" i="33" s="1"/>
  <c r="D61" i="33" s="1"/>
  <c r="S8" i="4" s="1"/>
  <c r="D23" i="33"/>
  <c r="F23" i="33"/>
  <c r="D13" i="33"/>
  <c r="C43" i="33" s="1"/>
  <c r="C53" i="33" s="1"/>
  <c r="X9" i="4" s="1"/>
  <c r="D12" i="33"/>
  <c r="C42" i="33" s="1"/>
  <c r="C63" i="33" s="1"/>
  <c r="D11" i="33"/>
  <c r="E41" i="33" s="1"/>
  <c r="E51" i="33" s="1"/>
  <c r="T13" i="4" s="1"/>
  <c r="C10" i="33"/>
  <c r="E39" i="33" s="1"/>
  <c r="E49" i="33" s="1"/>
  <c r="E60" i="33" s="1"/>
  <c r="C9" i="33"/>
  <c r="E38" i="33" s="1"/>
  <c r="E48" i="33" s="1"/>
  <c r="C8" i="33"/>
  <c r="C37" i="33" s="1"/>
  <c r="C47" i="33" s="1"/>
  <c r="C58" i="33" s="1"/>
  <c r="C7" i="33"/>
  <c r="E43" i="33" l="1"/>
  <c r="E64" i="33" s="1"/>
  <c r="Q13" i="2"/>
  <c r="X10" i="4"/>
  <c r="Q9" i="2"/>
  <c r="X6" i="4"/>
  <c r="Q5" i="2"/>
  <c r="Q6" i="2"/>
  <c r="Q10" i="2"/>
  <c r="Q14" i="2"/>
  <c r="T15" i="4"/>
  <c r="X7" i="4"/>
  <c r="X11" i="4"/>
  <c r="E31" i="33"/>
  <c r="E45" i="33" s="1"/>
  <c r="Q7" i="2"/>
  <c r="Q11" i="2"/>
  <c r="T12" i="4"/>
  <c r="X8" i="4"/>
  <c r="T14" i="4"/>
  <c r="E59" i="33"/>
  <c r="L12" i="4"/>
  <c r="K14" i="4"/>
  <c r="Y13" i="2"/>
  <c r="L15" i="4"/>
  <c r="K15" i="4"/>
  <c r="Y12" i="2"/>
  <c r="L14" i="4"/>
  <c r="K12" i="4"/>
  <c r="Y11" i="2"/>
  <c r="L13" i="4"/>
  <c r="K13" i="4"/>
  <c r="Y14" i="2"/>
  <c r="AE5" i="2"/>
  <c r="AE6" i="2"/>
  <c r="AE7" i="2"/>
  <c r="AE8" i="2"/>
  <c r="AE9" i="2"/>
  <c r="AE10" i="2"/>
  <c r="AA12" i="2"/>
  <c r="AC8" i="2"/>
  <c r="AC14" i="2"/>
  <c r="AD13" i="2"/>
  <c r="AD9" i="2"/>
  <c r="AD5" i="2"/>
  <c r="AE12" i="2"/>
  <c r="I7" i="4"/>
  <c r="I11" i="4"/>
  <c r="N15" i="4"/>
  <c r="Q9" i="4"/>
  <c r="Q13" i="4"/>
  <c r="S7" i="4"/>
  <c r="S11" i="4"/>
  <c r="S15" i="4"/>
  <c r="O13" i="4"/>
  <c r="R7" i="4"/>
  <c r="R11" i="4"/>
  <c r="R15" i="4"/>
  <c r="AA13" i="2"/>
  <c r="AC9" i="2"/>
  <c r="AC11" i="2"/>
  <c r="AD14" i="2"/>
  <c r="AD10" i="2"/>
  <c r="AD6" i="2"/>
  <c r="AE13" i="2"/>
  <c r="I6" i="4"/>
  <c r="I10" i="4"/>
  <c r="N14" i="4"/>
  <c r="Q8" i="4"/>
  <c r="Q12" i="4"/>
  <c r="S6" i="4"/>
  <c r="S10" i="4"/>
  <c r="S14" i="4"/>
  <c r="O12" i="4"/>
  <c r="R6" i="4"/>
  <c r="R10" i="4"/>
  <c r="R14" i="4"/>
  <c r="C38" i="33"/>
  <c r="C48" i="33" s="1"/>
  <c r="AA14" i="2"/>
  <c r="AC10" i="2"/>
  <c r="AC6" i="2"/>
  <c r="AC12" i="2"/>
  <c r="AD11" i="2"/>
  <c r="AD7" i="2"/>
  <c r="AE14" i="2"/>
  <c r="I9" i="4"/>
  <c r="N13" i="4"/>
  <c r="Q7" i="4"/>
  <c r="Q11" i="4"/>
  <c r="Q15" i="4"/>
  <c r="S9" i="4"/>
  <c r="S13" i="4"/>
  <c r="O15" i="4"/>
  <c r="R9" i="4"/>
  <c r="R13" i="4"/>
  <c r="AA11" i="2"/>
  <c r="AC5" i="2"/>
  <c r="AC7" i="2"/>
  <c r="AC13" i="2"/>
  <c r="AD12" i="2"/>
  <c r="AD8" i="2"/>
  <c r="AE11" i="2"/>
  <c r="I8" i="4"/>
  <c r="N12" i="4"/>
  <c r="Q6" i="4"/>
  <c r="Q10" i="4"/>
  <c r="Q14" i="4"/>
  <c r="O14" i="4"/>
  <c r="R8" i="4"/>
  <c r="R12" i="4"/>
  <c r="F45" i="33"/>
  <c r="F33" i="33"/>
  <c r="E46" i="33"/>
  <c r="E37" i="33"/>
  <c r="E47" i="33" s="1"/>
  <c r="E42" i="33"/>
  <c r="C41" i="33"/>
  <c r="E62" i="33"/>
  <c r="C64" i="33"/>
  <c r="F43" i="33"/>
  <c r="F64" i="33" s="1"/>
  <c r="F41" i="33"/>
  <c r="F62" i="33" s="1"/>
  <c r="C39" i="33"/>
  <c r="C49" i="33" s="1"/>
  <c r="C46" i="33"/>
  <c r="C45" i="33"/>
  <c r="C33" i="33"/>
  <c r="C52" i="33"/>
  <c r="F38" i="33"/>
  <c r="F48" i="33" s="1"/>
  <c r="D37" i="33"/>
  <c r="D47" i="33" s="1"/>
  <c r="D58" i="33" s="1"/>
  <c r="D39" i="33"/>
  <c r="D49" i="33" s="1"/>
  <c r="D42" i="33"/>
  <c r="F46" i="33"/>
  <c r="F57" i="33" s="1"/>
  <c r="F37" i="33"/>
  <c r="F47" i="33" s="1"/>
  <c r="F58" i="33" s="1"/>
  <c r="F39" i="33"/>
  <c r="F49" i="33" s="1"/>
  <c r="F42" i="33"/>
  <c r="D31" i="33"/>
  <c r="D38" i="33"/>
  <c r="D48" i="33" s="1"/>
  <c r="D41" i="33"/>
  <c r="D43" i="33"/>
  <c r="C39" i="16"/>
  <c r="F51" i="33" l="1"/>
  <c r="E53" i="33"/>
  <c r="X13" i="4" s="1"/>
  <c r="E56" i="33"/>
  <c r="U13" i="2"/>
  <c r="U14" i="2"/>
  <c r="U11" i="2"/>
  <c r="U12" i="2"/>
  <c r="D15" i="4"/>
  <c r="T14" i="2"/>
  <c r="D14" i="4"/>
  <c r="T13" i="2"/>
  <c r="D12" i="4"/>
  <c r="T11" i="2"/>
  <c r="D13" i="4"/>
  <c r="T12" i="2"/>
  <c r="C56" i="33"/>
  <c r="U5" i="2"/>
  <c r="U9" i="2"/>
  <c r="U6" i="2"/>
  <c r="U10" i="2"/>
  <c r="U7" i="2"/>
  <c r="U8" i="2"/>
  <c r="D9" i="4"/>
  <c r="T8" i="2"/>
  <c r="D8" i="4"/>
  <c r="D10" i="4"/>
  <c r="T9" i="2"/>
  <c r="T7" i="2"/>
  <c r="D7" i="4"/>
  <c r="D11" i="4"/>
  <c r="T6" i="2"/>
  <c r="T10" i="2"/>
  <c r="D6" i="4"/>
  <c r="T5" i="2"/>
  <c r="C57" i="33"/>
  <c r="G7" i="4"/>
  <c r="G11" i="4"/>
  <c r="F11" i="4"/>
  <c r="F7" i="4"/>
  <c r="X8" i="2"/>
  <c r="W6" i="2"/>
  <c r="W10" i="2"/>
  <c r="F8" i="4"/>
  <c r="W9" i="2"/>
  <c r="G8" i="4"/>
  <c r="G6" i="4"/>
  <c r="F10" i="4"/>
  <c r="F6" i="4"/>
  <c r="X9" i="2"/>
  <c r="W7" i="2"/>
  <c r="W5" i="2"/>
  <c r="G9" i="4"/>
  <c r="F9" i="4"/>
  <c r="X6" i="2"/>
  <c r="X10" i="2"/>
  <c r="W8" i="2"/>
  <c r="G10" i="4"/>
  <c r="X7" i="2"/>
  <c r="X5" i="2"/>
  <c r="E57" i="33"/>
  <c r="G13" i="4"/>
  <c r="F15" i="4"/>
  <c r="X13" i="2"/>
  <c r="W14" i="2"/>
  <c r="G12" i="4"/>
  <c r="W13" i="2"/>
  <c r="G14" i="4"/>
  <c r="F14" i="4"/>
  <c r="X14" i="2"/>
  <c r="W11" i="2"/>
  <c r="G15" i="4"/>
  <c r="F13" i="4"/>
  <c r="X11" i="2"/>
  <c r="W12" i="2"/>
  <c r="F12" i="4"/>
  <c r="X12" i="2"/>
  <c r="V11" i="4"/>
  <c r="V7" i="4"/>
  <c r="V10" i="4"/>
  <c r="V6" i="4"/>
  <c r="V9" i="4"/>
  <c r="V8" i="4"/>
  <c r="F56" i="33"/>
  <c r="V14" i="2"/>
  <c r="V11" i="2"/>
  <c r="V12" i="2"/>
  <c r="V13" i="2"/>
  <c r="H13" i="4"/>
  <c r="H14" i="4"/>
  <c r="H12" i="4"/>
  <c r="H15" i="4"/>
  <c r="Y15" i="4"/>
  <c r="Y14" i="4"/>
  <c r="Y13" i="4"/>
  <c r="Y12" i="4"/>
  <c r="U15" i="4"/>
  <c r="U12" i="4"/>
  <c r="U14" i="4"/>
  <c r="U13" i="4"/>
  <c r="F60" i="33"/>
  <c r="AB11" i="2"/>
  <c r="AB13" i="2"/>
  <c r="AB12" i="2"/>
  <c r="AB14" i="2"/>
  <c r="J14" i="4"/>
  <c r="J15" i="4"/>
  <c r="J12" i="4"/>
  <c r="J13" i="4"/>
  <c r="J10" i="4"/>
  <c r="J6" i="4"/>
  <c r="J11" i="4"/>
  <c r="J7" i="4"/>
  <c r="J8" i="4"/>
  <c r="J9" i="4"/>
  <c r="E58" i="33"/>
  <c r="I12" i="4"/>
  <c r="I13" i="4"/>
  <c r="I14" i="4"/>
  <c r="I15" i="4"/>
  <c r="D59" i="33"/>
  <c r="Z10" i="2"/>
  <c r="Z9" i="2"/>
  <c r="Z8" i="2"/>
  <c r="Z7" i="2"/>
  <c r="Z6" i="2"/>
  <c r="Z5" i="2"/>
  <c r="C60" i="33"/>
  <c r="O10" i="4"/>
  <c r="O6" i="4"/>
  <c r="N8" i="4"/>
  <c r="AA9" i="2"/>
  <c r="O11" i="4"/>
  <c r="O7" i="4"/>
  <c r="N9" i="4"/>
  <c r="AA8" i="2"/>
  <c r="O8" i="4"/>
  <c r="N10" i="4"/>
  <c r="N6" i="4"/>
  <c r="AA7" i="2"/>
  <c r="AA5" i="2"/>
  <c r="O9" i="4"/>
  <c r="N11" i="4"/>
  <c r="N7" i="4"/>
  <c r="AA6" i="2"/>
  <c r="AA10" i="2"/>
  <c r="F59" i="33"/>
  <c r="Z13" i="2"/>
  <c r="Z12" i="2"/>
  <c r="Z11" i="2"/>
  <c r="Z14" i="2"/>
  <c r="D60" i="33"/>
  <c r="AB10" i="2"/>
  <c r="AB9" i="2"/>
  <c r="AB8" i="2"/>
  <c r="AB7" i="2"/>
  <c r="AB6" i="2"/>
  <c r="AB5" i="2"/>
  <c r="C59" i="33"/>
  <c r="L10" i="4"/>
  <c r="K10" i="4"/>
  <c r="K6" i="4"/>
  <c r="Y7" i="2"/>
  <c r="Y5" i="2"/>
  <c r="L9" i="4"/>
  <c r="K11" i="4"/>
  <c r="K7" i="4"/>
  <c r="Y6" i="2"/>
  <c r="Y10" i="2"/>
  <c r="L8" i="4"/>
  <c r="L6" i="4"/>
  <c r="K8" i="4"/>
  <c r="Y9" i="2"/>
  <c r="L7" i="4"/>
  <c r="L11" i="4"/>
  <c r="K9" i="4"/>
  <c r="Y8" i="2"/>
  <c r="E52" i="33"/>
  <c r="E63" i="33"/>
  <c r="E65" i="33" s="1"/>
  <c r="C51" i="33"/>
  <c r="C62" i="33"/>
  <c r="C65" i="33" s="1"/>
  <c r="F53" i="33"/>
  <c r="F52" i="33"/>
  <c r="F63" i="33"/>
  <c r="D63" i="33"/>
  <c r="D52" i="33"/>
  <c r="D62" i="33"/>
  <c r="D51" i="33"/>
  <c r="D64" i="33"/>
  <c r="D53" i="33"/>
  <c r="D46" i="33"/>
  <c r="D57" i="33" s="1"/>
  <c r="D45" i="33"/>
  <c r="C25" i="16"/>
  <c r="C24" i="16"/>
  <c r="C28" i="16"/>
  <c r="C38" i="16" s="1"/>
  <c r="C27" i="16"/>
  <c r="C37" i="16" s="1"/>
  <c r="C26" i="16"/>
  <c r="C36" i="16" s="1"/>
  <c r="X14" i="4" l="1"/>
  <c r="X15" i="4"/>
  <c r="X12" i="4"/>
  <c r="H9" i="4"/>
  <c r="H6" i="4"/>
  <c r="H8" i="4"/>
  <c r="H11" i="4"/>
  <c r="H7" i="4"/>
  <c r="H10" i="4"/>
  <c r="U11" i="4"/>
  <c r="U7" i="4"/>
  <c r="U10" i="4"/>
  <c r="U6" i="4"/>
  <c r="U9" i="4"/>
  <c r="U8" i="4"/>
  <c r="T9" i="4"/>
  <c r="T6" i="4"/>
  <c r="T8" i="4"/>
  <c r="T11" i="4"/>
  <c r="T7" i="4"/>
  <c r="T10" i="4"/>
  <c r="Y11" i="4"/>
  <c r="Y7" i="4"/>
  <c r="Y8" i="4"/>
  <c r="Y10" i="4"/>
  <c r="Y6" i="4"/>
  <c r="Y9" i="4"/>
  <c r="W9" i="4"/>
  <c r="W10" i="4"/>
  <c r="W8" i="4"/>
  <c r="W11" i="4"/>
  <c r="W7" i="4"/>
  <c r="W6" i="4"/>
  <c r="C54" i="33"/>
  <c r="E54" i="33"/>
  <c r="V15" i="4"/>
  <c r="V12" i="4"/>
  <c r="V14" i="4"/>
  <c r="V13" i="4"/>
  <c r="D56" i="33"/>
  <c r="V8" i="2"/>
  <c r="V7" i="2"/>
  <c r="V9" i="2"/>
  <c r="V10" i="2"/>
  <c r="V6" i="2"/>
  <c r="V5" i="2"/>
  <c r="F65" i="33"/>
  <c r="W13" i="4"/>
  <c r="W12" i="4"/>
  <c r="W15" i="4"/>
  <c r="W14" i="4"/>
  <c r="E15" i="4"/>
  <c r="E12" i="4"/>
  <c r="E13" i="4"/>
  <c r="E14" i="4"/>
  <c r="P14" i="4"/>
  <c r="P15" i="4"/>
  <c r="P12" i="4"/>
  <c r="P13" i="4"/>
  <c r="M8" i="4"/>
  <c r="M9" i="4"/>
  <c r="M10" i="4"/>
  <c r="M6" i="4"/>
  <c r="M11" i="4"/>
  <c r="M7" i="4"/>
  <c r="M12" i="4"/>
  <c r="M13" i="4"/>
  <c r="M14" i="4"/>
  <c r="M15" i="4"/>
  <c r="P10" i="4"/>
  <c r="P6" i="4"/>
  <c r="P11" i="4"/>
  <c r="P7" i="4"/>
  <c r="P8" i="4"/>
  <c r="P9" i="4"/>
  <c r="F54" i="33"/>
  <c r="D65" i="33"/>
  <c r="D54" i="33"/>
  <c r="C33" i="15"/>
  <c r="Z15" i="4" l="1"/>
  <c r="Z14" i="4"/>
  <c r="Z13" i="4"/>
  <c r="Z12" i="4"/>
  <c r="Z11" i="4"/>
  <c r="Z7" i="4"/>
  <c r="Z8" i="4"/>
  <c r="Z10" i="4"/>
  <c r="Z6" i="4"/>
  <c r="Z9" i="4"/>
  <c r="E11" i="4"/>
  <c r="E7" i="4"/>
  <c r="E8" i="4"/>
  <c r="E10" i="4"/>
  <c r="E6" i="4"/>
  <c r="E9" i="4"/>
  <c r="AA9" i="4"/>
  <c r="AA6" i="4"/>
  <c r="AA8" i="4"/>
  <c r="AA11" i="4"/>
  <c r="AA7" i="4"/>
  <c r="AA10" i="4"/>
  <c r="AA13" i="4"/>
  <c r="AA12" i="4"/>
  <c r="AA14" i="4"/>
  <c r="AA15" i="4"/>
  <c r="D10" i="31"/>
  <c r="D11" i="31" s="1"/>
  <c r="H22" i="15" l="1"/>
  <c r="H18" i="15"/>
  <c r="H44" i="15" l="1"/>
  <c r="H25" i="15"/>
  <c r="H27" i="15" s="1"/>
  <c r="H29" i="15" s="1"/>
  <c r="W34" i="4"/>
  <c r="V34" i="4"/>
  <c r="I34" i="4"/>
  <c r="D12" i="31"/>
  <c r="J34" i="4" s="1"/>
  <c r="C12" i="31"/>
  <c r="AA34" i="4"/>
  <c r="F44" i="15"/>
  <c r="G20" i="28" s="1"/>
  <c r="U7" i="29" s="1"/>
  <c r="G28" i="28"/>
  <c r="AC7" i="29" s="1"/>
  <c r="G27" i="28"/>
  <c r="AB7" i="29" s="1"/>
  <c r="J7" i="29"/>
  <c r="K7" i="29"/>
  <c r="L7" i="29"/>
  <c r="I7" i="29"/>
  <c r="D7" i="29"/>
  <c r="E7" i="29"/>
  <c r="F7" i="29"/>
  <c r="G7" i="29"/>
  <c r="H7" i="29"/>
  <c r="C7" i="29"/>
  <c r="T3" i="29"/>
  <c r="S3" i="29"/>
  <c r="R3" i="29"/>
  <c r="Q3" i="29"/>
  <c r="P3" i="29"/>
  <c r="O3" i="29"/>
  <c r="N3" i="29"/>
  <c r="M3" i="29"/>
  <c r="L3" i="29"/>
  <c r="K3" i="29"/>
  <c r="J3" i="29"/>
  <c r="I3" i="29"/>
  <c r="H3" i="29"/>
  <c r="G3" i="29"/>
  <c r="F3" i="29"/>
  <c r="E3" i="29"/>
  <c r="D3" i="29"/>
  <c r="AC2" i="29"/>
  <c r="AB2" i="29"/>
  <c r="AA2" i="29"/>
  <c r="Z2" i="29"/>
  <c r="Y2" i="29"/>
  <c r="X2" i="29"/>
  <c r="W2" i="29"/>
  <c r="V2" i="29"/>
  <c r="U2" i="29"/>
  <c r="T2" i="29"/>
  <c r="S2" i="29"/>
  <c r="R2" i="29"/>
  <c r="Q2" i="29"/>
  <c r="P2" i="29"/>
  <c r="O2" i="29"/>
  <c r="N2" i="29"/>
  <c r="M2" i="29"/>
  <c r="L2" i="29"/>
  <c r="K2" i="29"/>
  <c r="J2" i="29"/>
  <c r="I2" i="29"/>
  <c r="H2" i="29"/>
  <c r="G2" i="29"/>
  <c r="F2" i="29"/>
  <c r="E2" i="29"/>
  <c r="D2" i="29"/>
  <c r="C2" i="29"/>
  <c r="AC3" i="29"/>
  <c r="AB3" i="29"/>
  <c r="AA3" i="29"/>
  <c r="Z3" i="29"/>
  <c r="Y3" i="29"/>
  <c r="X3" i="29"/>
  <c r="W3" i="29"/>
  <c r="V3" i="29"/>
  <c r="U3" i="29"/>
  <c r="C3" i="29"/>
  <c r="B76" i="29"/>
  <c r="B75" i="29"/>
  <c r="B74" i="29"/>
  <c r="B73" i="29"/>
  <c r="B72" i="29"/>
  <c r="B71" i="29"/>
  <c r="B70" i="29"/>
  <c r="B69" i="29"/>
  <c r="B68" i="29"/>
  <c r="B67" i="29"/>
  <c r="B66" i="29"/>
  <c r="B65" i="29"/>
  <c r="B64" i="29"/>
  <c r="B63" i="29"/>
  <c r="B62" i="29"/>
  <c r="B61" i="29"/>
  <c r="B60" i="29"/>
  <c r="B59" i="29"/>
  <c r="B58" i="29"/>
  <c r="B57" i="29"/>
  <c r="B56"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AC10" i="29"/>
  <c r="AB10" i="29"/>
  <c r="AA10" i="29"/>
  <c r="Z10" i="29"/>
  <c r="Y10" i="29"/>
  <c r="X10" i="29"/>
  <c r="W10" i="29"/>
  <c r="V10" i="29"/>
  <c r="U10" i="29"/>
  <c r="T10" i="29"/>
  <c r="S10" i="29"/>
  <c r="R10" i="29"/>
  <c r="Q10" i="29"/>
  <c r="P10" i="29"/>
  <c r="O10" i="29"/>
  <c r="N10" i="29"/>
  <c r="M10" i="29"/>
  <c r="L10" i="29"/>
  <c r="K10" i="29"/>
  <c r="J10" i="29"/>
  <c r="I10" i="29"/>
  <c r="H10" i="29"/>
  <c r="G10" i="29"/>
  <c r="F10" i="29"/>
  <c r="E10" i="29"/>
  <c r="D10" i="29"/>
  <c r="C10" i="29"/>
  <c r="AC9" i="29"/>
  <c r="AB9" i="29"/>
  <c r="AA9" i="29"/>
  <c r="Z9" i="29"/>
  <c r="Y9" i="29"/>
  <c r="X9" i="29"/>
  <c r="W9" i="29"/>
  <c r="V9" i="29"/>
  <c r="U9" i="29"/>
  <c r="T9" i="29"/>
  <c r="S9" i="29"/>
  <c r="R9" i="29"/>
  <c r="Q9" i="29"/>
  <c r="P9" i="29"/>
  <c r="O9" i="29"/>
  <c r="N9" i="29"/>
  <c r="M9" i="29"/>
  <c r="L9" i="29"/>
  <c r="K9" i="29"/>
  <c r="J9" i="29"/>
  <c r="I9" i="29"/>
  <c r="H9" i="29"/>
  <c r="G9" i="29"/>
  <c r="F9" i="29"/>
  <c r="E9" i="29"/>
  <c r="D9" i="29"/>
  <c r="C9" i="29"/>
  <c r="AC8" i="29"/>
  <c r="AB8" i="29"/>
  <c r="AA8" i="29"/>
  <c r="Z8" i="29"/>
  <c r="Y8" i="29"/>
  <c r="X8" i="29"/>
  <c r="W8" i="29"/>
  <c r="V8" i="29"/>
  <c r="U8" i="29"/>
  <c r="T8" i="29"/>
  <c r="S8" i="29"/>
  <c r="R8" i="29"/>
  <c r="Q8" i="29"/>
  <c r="P8" i="29"/>
  <c r="O8" i="29"/>
  <c r="N8" i="29"/>
  <c r="M8" i="29"/>
  <c r="L8" i="29"/>
  <c r="K8" i="29"/>
  <c r="J8" i="29"/>
  <c r="I8" i="29"/>
  <c r="H8" i="29"/>
  <c r="G8" i="29"/>
  <c r="F8" i="29"/>
  <c r="E8" i="29"/>
  <c r="D8" i="29"/>
  <c r="C8" i="29"/>
  <c r="AC6" i="29"/>
  <c r="AB6" i="29"/>
  <c r="AA6" i="29"/>
  <c r="Z6" i="29"/>
  <c r="Y6" i="29"/>
  <c r="X6" i="29"/>
  <c r="W6" i="29"/>
  <c r="V6" i="29"/>
  <c r="U6" i="29"/>
  <c r="T6" i="29"/>
  <c r="S6" i="29"/>
  <c r="R6" i="29"/>
  <c r="Q6" i="29"/>
  <c r="P6" i="29"/>
  <c r="O6" i="29"/>
  <c r="N6" i="29"/>
  <c r="M6" i="29"/>
  <c r="L6" i="29"/>
  <c r="K6" i="29"/>
  <c r="J6" i="29"/>
  <c r="I6" i="29"/>
  <c r="H6" i="29"/>
  <c r="G6" i="29"/>
  <c r="F6" i="29"/>
  <c r="E6" i="29"/>
  <c r="D6" i="29"/>
  <c r="C6" i="29"/>
  <c r="AC5" i="29"/>
  <c r="AB5" i="29"/>
  <c r="AA5" i="29"/>
  <c r="Z5" i="29"/>
  <c r="Y5" i="29"/>
  <c r="X5" i="29"/>
  <c r="W5" i="29"/>
  <c r="V5" i="29"/>
  <c r="U5" i="29"/>
  <c r="T5" i="29"/>
  <c r="S5" i="29"/>
  <c r="R5" i="29"/>
  <c r="Q5" i="29"/>
  <c r="P5" i="29"/>
  <c r="O5" i="29"/>
  <c r="N5" i="29"/>
  <c r="M5" i="29"/>
  <c r="L5" i="29"/>
  <c r="K5" i="29"/>
  <c r="J5" i="29"/>
  <c r="I5" i="29"/>
  <c r="H5" i="29"/>
  <c r="G5" i="29"/>
  <c r="F5" i="29"/>
  <c r="E5" i="29"/>
  <c r="D5" i="29"/>
  <c r="C5" i="29"/>
  <c r="AC4" i="29"/>
  <c r="AB4" i="29"/>
  <c r="AA4" i="29"/>
  <c r="Z4" i="29"/>
  <c r="Y4" i="29"/>
  <c r="X4" i="29"/>
  <c r="W4" i="29"/>
  <c r="V4" i="29"/>
  <c r="U4" i="29"/>
  <c r="T4" i="29"/>
  <c r="S4" i="29"/>
  <c r="R4" i="29"/>
  <c r="Q4" i="29"/>
  <c r="P4" i="29"/>
  <c r="O4" i="29"/>
  <c r="N4" i="29"/>
  <c r="M4" i="29"/>
  <c r="L4" i="29"/>
  <c r="K4" i="29"/>
  <c r="J4" i="29"/>
  <c r="I4" i="29"/>
  <c r="H4" i="29"/>
  <c r="G4" i="29"/>
  <c r="F4" i="29"/>
  <c r="E4" i="29"/>
  <c r="D4" i="29"/>
  <c r="C4" i="29"/>
  <c r="BO14" i="27"/>
  <c r="BN14" i="27"/>
  <c r="BM14" i="27"/>
  <c r="BL14" i="27"/>
  <c r="BK14" i="27"/>
  <c r="BJ14" i="27"/>
  <c r="BI14" i="27"/>
  <c r="BH14" i="27"/>
  <c r="BG14" i="27"/>
  <c r="BF14" i="27"/>
  <c r="BE14" i="27"/>
  <c r="BD14" i="27"/>
  <c r="BC14" i="27"/>
  <c r="BB14" i="27"/>
  <c r="BA14" i="27"/>
  <c r="AZ14" i="27"/>
  <c r="AY14" i="27"/>
  <c r="AX14" i="27"/>
  <c r="AW14" i="27"/>
  <c r="AV14" i="27"/>
  <c r="AU14" i="27"/>
  <c r="AT14" i="27"/>
  <c r="AS14" i="27"/>
  <c r="AR14" i="27"/>
  <c r="AQ14" i="27"/>
  <c r="AP14" i="27"/>
  <c r="AO14" i="27"/>
  <c r="AN14" i="27"/>
  <c r="AM14" i="27"/>
  <c r="AL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BO13" i="27"/>
  <c r="BN13" i="27"/>
  <c r="BM13" i="27"/>
  <c r="BL13" i="27"/>
  <c r="BK13" i="27"/>
  <c r="BJ13" i="27"/>
  <c r="BI13" i="27"/>
  <c r="BH13" i="27"/>
  <c r="BG13" i="27"/>
  <c r="BF13" i="27"/>
  <c r="BE13" i="27"/>
  <c r="BD13" i="27"/>
  <c r="BC13" i="27"/>
  <c r="BB13" i="27"/>
  <c r="BA13" i="27"/>
  <c r="AZ13" i="27"/>
  <c r="AY13" i="27"/>
  <c r="AX13" i="27"/>
  <c r="AW13" i="27"/>
  <c r="AV13" i="27"/>
  <c r="AU13" i="27"/>
  <c r="AT13" i="27"/>
  <c r="AS13" i="27"/>
  <c r="AR13" i="27"/>
  <c r="AQ13" i="27"/>
  <c r="AP13" i="27"/>
  <c r="AO13" i="27"/>
  <c r="AN13" i="27"/>
  <c r="AM13" i="27"/>
  <c r="AL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BO12" i="27"/>
  <c r="BM12" i="27"/>
  <c r="BL12" i="27"/>
  <c r="BK12" i="27"/>
  <c r="BI12" i="27"/>
  <c r="BH12" i="27"/>
  <c r="BG12" i="27"/>
  <c r="BF12" i="27"/>
  <c r="BE12" i="27"/>
  <c r="BD12" i="27"/>
  <c r="BC12" i="27"/>
  <c r="BA12" i="27"/>
  <c r="AZ12" i="27"/>
  <c r="AY12" i="27"/>
  <c r="AX12" i="27"/>
  <c r="AW12" i="27"/>
  <c r="AV12" i="27"/>
  <c r="AU12" i="27"/>
  <c r="AT12" i="27"/>
  <c r="AS12" i="27"/>
  <c r="AR12" i="27"/>
  <c r="AQ12" i="27"/>
  <c r="AP12" i="27"/>
  <c r="AO12" i="27"/>
  <c r="AN12" i="27"/>
  <c r="AM12" i="27"/>
  <c r="AL12" i="27"/>
  <c r="AJ12" i="27"/>
  <c r="AI12" i="27"/>
  <c r="AG12" i="27"/>
  <c r="AF12" i="27"/>
  <c r="AE12" i="27"/>
  <c r="AD12" i="27"/>
  <c r="AC12" i="27"/>
  <c r="AB12" i="27"/>
  <c r="AA12" i="27"/>
  <c r="Z12" i="27"/>
  <c r="X12" i="27"/>
  <c r="W12" i="27"/>
  <c r="U12" i="27"/>
  <c r="T12" i="27"/>
  <c r="S12" i="27"/>
  <c r="R12" i="27"/>
  <c r="Q12" i="27"/>
  <c r="P12" i="27"/>
  <c r="O12" i="27"/>
  <c r="N12" i="27"/>
  <c r="M12" i="27"/>
  <c r="K12" i="27"/>
  <c r="J12" i="27"/>
  <c r="H12" i="27"/>
  <c r="G12" i="27"/>
  <c r="F12" i="27"/>
  <c r="E12" i="27"/>
  <c r="D12" i="27"/>
  <c r="C12" i="27"/>
  <c r="B12" i="27"/>
  <c r="BO11" i="27"/>
  <c r="BN11" i="27"/>
  <c r="BM11" i="27"/>
  <c r="BL11" i="27"/>
  <c r="BK11" i="27"/>
  <c r="BJ11" i="27"/>
  <c r="BI11" i="27"/>
  <c r="BH11" i="27"/>
  <c r="BG11" i="27"/>
  <c r="BF11" i="27"/>
  <c r="BE11" i="27"/>
  <c r="BD11" i="27"/>
  <c r="BC11" i="27"/>
  <c r="BB11" i="27"/>
  <c r="BA11" i="27"/>
  <c r="AZ11" i="27"/>
  <c r="AY11" i="27"/>
  <c r="AX11" i="27"/>
  <c r="AW11" i="27"/>
  <c r="AV11" i="27"/>
  <c r="AU11" i="27"/>
  <c r="AT11" i="27"/>
  <c r="AS11" i="27"/>
  <c r="AR11" i="27"/>
  <c r="AQ11" i="27"/>
  <c r="AP11" i="27"/>
  <c r="AO11" i="27"/>
  <c r="AN11" i="27"/>
  <c r="AM11" i="27"/>
  <c r="AL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BO10" i="27"/>
  <c r="BN10" i="27"/>
  <c r="BM10" i="27"/>
  <c r="BL10" i="27"/>
  <c r="BK10" i="27"/>
  <c r="BJ10" i="27"/>
  <c r="BI10" i="27"/>
  <c r="BH10" i="27"/>
  <c r="BG10" i="27"/>
  <c r="BF10" i="27"/>
  <c r="BE10" i="27"/>
  <c r="BD10" i="27"/>
  <c r="BC10" i="27"/>
  <c r="BB10" i="27"/>
  <c r="BA10" i="27"/>
  <c r="AZ10" i="27"/>
  <c r="AY10" i="27"/>
  <c r="AX10" i="27"/>
  <c r="AW10" i="27"/>
  <c r="AV10" i="27"/>
  <c r="AU10" i="27"/>
  <c r="AT10" i="27"/>
  <c r="AS10" i="27"/>
  <c r="AR10" i="27"/>
  <c r="AQ10" i="27"/>
  <c r="AP10" i="27"/>
  <c r="AO10" i="27"/>
  <c r="AN10" i="27"/>
  <c r="AM10" i="27"/>
  <c r="AL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BO9" i="27"/>
  <c r="BN9" i="27"/>
  <c r="BM9" i="27"/>
  <c r="BL9" i="27"/>
  <c r="BK9" i="27"/>
  <c r="BJ9" i="27"/>
  <c r="BI9" i="27"/>
  <c r="BH9" i="27"/>
  <c r="BG9" i="27"/>
  <c r="BF9" i="27"/>
  <c r="BE9" i="27"/>
  <c r="BD9" i="27"/>
  <c r="BC9" i="27"/>
  <c r="BB9" i="27"/>
  <c r="BA9" i="27"/>
  <c r="AZ9" i="27"/>
  <c r="AY9" i="27"/>
  <c r="AX9" i="27"/>
  <c r="AW9" i="27"/>
  <c r="AV9" i="27"/>
  <c r="AU9" i="27"/>
  <c r="AT9" i="27"/>
  <c r="AS9" i="27"/>
  <c r="AR9" i="27"/>
  <c r="AQ9" i="27"/>
  <c r="AP9" i="27"/>
  <c r="AO9" i="27"/>
  <c r="AN9" i="27"/>
  <c r="AM9" i="27"/>
  <c r="AL9" i="27"/>
  <c r="AJ9" i="27"/>
  <c r="AI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BO8" i="27"/>
  <c r="BN8" i="27"/>
  <c r="BM8" i="27"/>
  <c r="BL8" i="27"/>
  <c r="BK8" i="27"/>
  <c r="BJ8" i="27"/>
  <c r="BI8" i="27"/>
  <c r="BH8" i="27"/>
  <c r="BG8" i="27"/>
  <c r="BF8" i="27"/>
  <c r="BE8" i="27"/>
  <c r="BD8" i="27"/>
  <c r="BC8" i="27"/>
  <c r="BB8" i="27"/>
  <c r="BA8" i="27"/>
  <c r="AZ8" i="27"/>
  <c r="AY8" i="27"/>
  <c r="AX8" i="27"/>
  <c r="AW8" i="27"/>
  <c r="AV8" i="27"/>
  <c r="AS8" i="27"/>
  <c r="AR8" i="27"/>
  <c r="AQ8" i="27"/>
  <c r="AP8" i="27"/>
  <c r="AO8" i="27"/>
  <c r="AN8" i="27"/>
  <c r="AM8" i="27"/>
  <c r="AL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BO7" i="27"/>
  <c r="BN7" i="27"/>
  <c r="BM7" i="27"/>
  <c r="BL7" i="27"/>
  <c r="BK7" i="27"/>
  <c r="BJ7" i="27"/>
  <c r="BI7" i="27"/>
  <c r="BH7" i="27"/>
  <c r="BF7" i="27"/>
  <c r="BE7" i="27"/>
  <c r="BD7" i="27"/>
  <c r="BC7" i="27"/>
  <c r="BB7" i="27"/>
  <c r="BA7" i="27"/>
  <c r="AZ7" i="27"/>
  <c r="AX7" i="27"/>
  <c r="AW7" i="27"/>
  <c r="AV7" i="27"/>
  <c r="AU7" i="27"/>
  <c r="AT7" i="27"/>
  <c r="AS7" i="27"/>
  <c r="AR7" i="27"/>
  <c r="AQ7" i="27"/>
  <c r="AP7" i="27"/>
  <c r="AO7" i="27"/>
  <c r="AN7" i="27"/>
  <c r="AM7" i="27"/>
  <c r="AL7" i="27"/>
  <c r="AJ7" i="27"/>
  <c r="AI7" i="27"/>
  <c r="AH7" i="27"/>
  <c r="AF7" i="27"/>
  <c r="AE7" i="27"/>
  <c r="AD7" i="27"/>
  <c r="Z7" i="27"/>
  <c r="X7" i="27"/>
  <c r="W7" i="27"/>
  <c r="V7" i="27"/>
  <c r="U7" i="27"/>
  <c r="T7" i="27"/>
  <c r="R7" i="27"/>
  <c r="Q7" i="27"/>
  <c r="P7" i="27"/>
  <c r="N7" i="27"/>
  <c r="J7" i="27"/>
  <c r="I7" i="27"/>
  <c r="H7" i="27"/>
  <c r="G7" i="27"/>
  <c r="F7" i="27"/>
  <c r="E7" i="27"/>
  <c r="D7" i="27"/>
  <c r="C7" i="27"/>
  <c r="B7" i="27"/>
  <c r="BO6" i="27"/>
  <c r="BN6" i="27"/>
  <c r="BM6" i="27"/>
  <c r="BL6" i="27"/>
  <c r="BK6" i="27"/>
  <c r="BJ6" i="27"/>
  <c r="BI6" i="27"/>
  <c r="BH6" i="27"/>
  <c r="BG6" i="27"/>
  <c r="BF6" i="27"/>
  <c r="BE6" i="27"/>
  <c r="BD6" i="27"/>
  <c r="BC6" i="27"/>
  <c r="BB6" i="27"/>
  <c r="BA6" i="27"/>
  <c r="AZ6" i="27"/>
  <c r="AY6" i="27"/>
  <c r="AX6" i="27"/>
  <c r="AW6" i="27"/>
  <c r="AV6" i="27"/>
  <c r="AU6" i="27"/>
  <c r="AT6" i="27"/>
  <c r="AS6" i="27"/>
  <c r="AR6" i="27"/>
  <c r="AQ6" i="27"/>
  <c r="AP6" i="27"/>
  <c r="AO6" i="27"/>
  <c r="AN6" i="27"/>
  <c r="AM6" i="27"/>
  <c r="AL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BO5" i="27"/>
  <c r="BN5" i="27"/>
  <c r="BM5" i="27"/>
  <c r="BL5" i="27"/>
  <c r="BK5" i="27"/>
  <c r="BJ5" i="27"/>
  <c r="BI5" i="27"/>
  <c r="BH5" i="27"/>
  <c r="BG5" i="27"/>
  <c r="BF5" i="27"/>
  <c r="BE5" i="27"/>
  <c r="BD5" i="27"/>
  <c r="BC5" i="27"/>
  <c r="BB5" i="27"/>
  <c r="BA5" i="27"/>
  <c r="AZ5" i="27"/>
  <c r="AY5" i="27"/>
  <c r="AX5" i="27"/>
  <c r="AW5" i="27"/>
  <c r="AV5" i="27"/>
  <c r="AU5" i="27"/>
  <c r="AT5" i="27"/>
  <c r="AS5" i="27"/>
  <c r="AR5" i="27"/>
  <c r="AQ5" i="27"/>
  <c r="AP5" i="27"/>
  <c r="AO5" i="27"/>
  <c r="AN5" i="27"/>
  <c r="AM5" i="27"/>
  <c r="AL5" i="27"/>
  <c r="AJ5" i="27"/>
  <c r="AI5" i="27"/>
  <c r="AH5" i="27"/>
  <c r="AG5" i="27"/>
  <c r="AF5" i="27"/>
  <c r="AE5" i="27"/>
  <c r="AD5" i="27"/>
  <c r="AC5" i="27"/>
  <c r="AB5" i="27"/>
  <c r="AA5" i="27"/>
  <c r="Z5" i="27"/>
  <c r="Y5" i="27"/>
  <c r="X5" i="27"/>
  <c r="W5" i="27"/>
  <c r="V5" i="27"/>
  <c r="U5" i="27"/>
  <c r="T5" i="27"/>
  <c r="S5" i="27"/>
  <c r="R5" i="27"/>
  <c r="Q5" i="27"/>
  <c r="P5" i="27"/>
  <c r="O5" i="27"/>
  <c r="N5" i="27"/>
  <c r="M5" i="27"/>
  <c r="L5" i="27"/>
  <c r="K5" i="27"/>
  <c r="J5" i="27"/>
  <c r="I5" i="27"/>
  <c r="H5" i="27"/>
  <c r="G5" i="27"/>
  <c r="F5" i="27"/>
  <c r="E5" i="27"/>
  <c r="D5" i="27"/>
  <c r="C5" i="27"/>
  <c r="B5" i="27"/>
  <c r="BO4" i="27"/>
  <c r="BN4" i="27"/>
  <c r="BM4" i="27"/>
  <c r="BL4" i="27"/>
  <c r="BK4" i="27"/>
  <c r="BJ4" i="27"/>
  <c r="BI4" i="27"/>
  <c r="BH4" i="27"/>
  <c r="BG4" i="27"/>
  <c r="BF4" i="27"/>
  <c r="BE4" i="27"/>
  <c r="BD4" i="27"/>
  <c r="BC4" i="27"/>
  <c r="BB4" i="27"/>
  <c r="BA4" i="27"/>
  <c r="AZ4" i="27"/>
  <c r="AY4" i="27"/>
  <c r="AX4" i="27"/>
  <c r="AW4" i="27"/>
  <c r="AV4" i="27"/>
  <c r="AU4" i="27"/>
  <c r="AT4" i="27"/>
  <c r="AS4" i="27"/>
  <c r="AR4" i="27"/>
  <c r="AQ4" i="27"/>
  <c r="AP4" i="27"/>
  <c r="AO4" i="27"/>
  <c r="AN4" i="27"/>
  <c r="AM4" i="27"/>
  <c r="AL4" i="27"/>
  <c r="AJ4" i="27"/>
  <c r="AI4" i="27"/>
  <c r="AH4" i="27"/>
  <c r="AG4" i="27"/>
  <c r="AF4" i="27"/>
  <c r="AE4" i="27"/>
  <c r="AD4" i="27"/>
  <c r="AC4" i="27"/>
  <c r="AB4" i="27"/>
  <c r="AA4" i="27"/>
  <c r="Z4" i="27"/>
  <c r="Y4" i="27"/>
  <c r="X4" i="27"/>
  <c r="W4" i="27"/>
  <c r="V4" i="27"/>
  <c r="U4" i="27"/>
  <c r="T4" i="27"/>
  <c r="S4" i="27"/>
  <c r="R4" i="27"/>
  <c r="Q4" i="27"/>
  <c r="P4" i="27"/>
  <c r="O4" i="27"/>
  <c r="N4" i="27"/>
  <c r="M4" i="27"/>
  <c r="L4" i="27"/>
  <c r="K4" i="27"/>
  <c r="J4" i="27"/>
  <c r="I4" i="27"/>
  <c r="H4" i="27"/>
  <c r="G4" i="27"/>
  <c r="F4" i="27"/>
  <c r="E4" i="27"/>
  <c r="D4" i="27"/>
  <c r="C4" i="27"/>
  <c r="B4" i="27"/>
  <c r="BO3" i="27"/>
  <c r="BN3" i="27"/>
  <c r="BM3" i="27"/>
  <c r="BL3" i="27"/>
  <c r="BK3" i="27"/>
  <c r="BJ3" i="27"/>
  <c r="BI3" i="27"/>
  <c r="BH3" i="27"/>
  <c r="BG3" i="27"/>
  <c r="BF3" i="27"/>
  <c r="BE3" i="27"/>
  <c r="BD3" i="27"/>
  <c r="BC3" i="27"/>
  <c r="BB3" i="27"/>
  <c r="BA3" i="27"/>
  <c r="AZ3" i="27"/>
  <c r="AY3" i="27"/>
  <c r="AX3" i="27"/>
  <c r="AW3" i="27"/>
  <c r="AV3" i="27"/>
  <c r="AU3" i="27"/>
  <c r="AT3" i="27"/>
  <c r="AS3" i="27"/>
  <c r="AR3" i="27"/>
  <c r="AQ3" i="27"/>
  <c r="AP3" i="27"/>
  <c r="AO3" i="27"/>
  <c r="AN3" i="27"/>
  <c r="AM3" i="27"/>
  <c r="AL3" i="27"/>
  <c r="AJ3" i="27"/>
  <c r="AI3" i="27"/>
  <c r="AH3" i="27"/>
  <c r="AG3" i="27"/>
  <c r="AF3" i="27"/>
  <c r="AE3" i="27"/>
  <c r="AD3" i="27"/>
  <c r="AC3" i="27"/>
  <c r="AB3" i="27"/>
  <c r="AA3" i="27"/>
  <c r="Z3" i="27"/>
  <c r="Y3" i="27"/>
  <c r="X3" i="27"/>
  <c r="W3" i="27"/>
  <c r="V3" i="27"/>
  <c r="U3" i="27"/>
  <c r="T3" i="27"/>
  <c r="S3" i="27"/>
  <c r="R3" i="27"/>
  <c r="Q3" i="27"/>
  <c r="P3" i="27"/>
  <c r="O3" i="27"/>
  <c r="N3" i="27"/>
  <c r="M3" i="27"/>
  <c r="L3" i="27"/>
  <c r="K3" i="27"/>
  <c r="J3" i="27"/>
  <c r="I3" i="27"/>
  <c r="H3" i="27"/>
  <c r="G3" i="27"/>
  <c r="F3" i="27"/>
  <c r="E3" i="27"/>
  <c r="D3" i="27"/>
  <c r="C3" i="27"/>
  <c r="B3" i="27"/>
  <c r="BO2" i="27"/>
  <c r="BN2" i="27"/>
  <c r="BM2" i="27"/>
  <c r="BL2" i="27"/>
  <c r="BK2" i="27"/>
  <c r="BJ2" i="27"/>
  <c r="BI2" i="27"/>
  <c r="BH2" i="27"/>
  <c r="BF2" i="27"/>
  <c r="BD2" i="27"/>
  <c r="BB2" i="27"/>
  <c r="BA2" i="27"/>
  <c r="AZ2" i="27"/>
  <c r="AX2" i="27"/>
  <c r="AV2" i="27"/>
  <c r="AU2" i="27"/>
  <c r="AT2" i="27"/>
  <c r="AS2" i="27"/>
  <c r="AR2" i="27"/>
  <c r="AQ2" i="27"/>
  <c r="AP2" i="27"/>
  <c r="AO2" i="27"/>
  <c r="AN2" i="27"/>
  <c r="AM2" i="27"/>
  <c r="AH2" i="27"/>
  <c r="AG2" i="27"/>
  <c r="AE2" i="27"/>
  <c r="AD2" i="27"/>
  <c r="AC2" i="27"/>
  <c r="Z2" i="27"/>
  <c r="Y2" i="27"/>
  <c r="X2" i="27"/>
  <c r="W2" i="27"/>
  <c r="V2" i="27"/>
  <c r="U2" i="27"/>
  <c r="R2" i="27"/>
  <c r="Q2" i="27"/>
  <c r="P2" i="27"/>
  <c r="L2" i="27"/>
  <c r="J2" i="27"/>
  <c r="I2" i="27"/>
  <c r="H2" i="27"/>
  <c r="F2" i="27"/>
  <c r="E2" i="27"/>
  <c r="D2" i="27"/>
  <c r="C2" i="27"/>
  <c r="B2" i="27"/>
  <c r="BN12" i="27"/>
  <c r="BJ12" i="27"/>
  <c r="S61" i="26"/>
  <c r="BG7" i="27" s="1"/>
  <c r="BG2" i="27"/>
  <c r="BE2" i="27"/>
  <c r="BC2" i="27"/>
  <c r="BB12" i="27"/>
  <c r="AY7" i="27"/>
  <c r="AY2" i="27"/>
  <c r="AW2" i="27"/>
  <c r="V49" i="26"/>
  <c r="AU8" i="27" s="1"/>
  <c r="V48" i="26"/>
  <c r="AT8" i="27" s="1"/>
  <c r="AL2" i="27"/>
  <c r="AN39" i="26"/>
  <c r="AK14" i="27" s="1"/>
  <c r="AK39" i="26"/>
  <c r="AK13" i="27" s="1"/>
  <c r="AE39" i="26"/>
  <c r="AK11" i="27" s="1"/>
  <c r="AB39" i="26"/>
  <c r="AK10" i="27" s="1"/>
  <c r="Y39" i="26"/>
  <c r="AK9" i="27" s="1"/>
  <c r="Q39" i="26"/>
  <c r="S39" i="26" s="1"/>
  <c r="AK7" i="27" s="1"/>
  <c r="N39" i="26"/>
  <c r="N75" i="26" s="1"/>
  <c r="K39" i="26"/>
  <c r="H39" i="26"/>
  <c r="H75" i="26" s="1"/>
  <c r="E39" i="26"/>
  <c r="E75" i="26" s="1"/>
  <c r="AJ2" i="27"/>
  <c r="AI2" i="27"/>
  <c r="AH12" i="27"/>
  <c r="Y36" i="26"/>
  <c r="AH9" i="27" s="1"/>
  <c r="S35" i="26"/>
  <c r="AG7" i="27" s="1"/>
  <c r="AF2" i="27"/>
  <c r="S31" i="26"/>
  <c r="AC7" i="27" s="1"/>
  <c r="S30" i="26"/>
  <c r="AB7" i="27" s="1"/>
  <c r="AB2" i="27"/>
  <c r="S29" i="26"/>
  <c r="AA7" i="27" s="1"/>
  <c r="AA2" i="27"/>
  <c r="Y12" i="27"/>
  <c r="S27" i="26"/>
  <c r="Y7" i="27" s="1"/>
  <c r="V12" i="27"/>
  <c r="T2" i="27"/>
  <c r="S21" i="26"/>
  <c r="S7" i="27" s="1"/>
  <c r="S2" i="27"/>
  <c r="S17" i="26"/>
  <c r="O7" i="27" s="1"/>
  <c r="O2" i="27"/>
  <c r="N2" i="27"/>
  <c r="S15" i="26"/>
  <c r="M7" i="27" s="1"/>
  <c r="M2" i="27"/>
  <c r="L12" i="27"/>
  <c r="L7" i="27"/>
  <c r="S13" i="26"/>
  <c r="I12" i="27"/>
  <c r="G2" i="27"/>
  <c r="H28" i="23"/>
  <c r="G28" i="23"/>
  <c r="F28" i="23"/>
  <c r="E28" i="23"/>
  <c r="D28" i="23"/>
  <c r="C28" i="23"/>
  <c r="H27" i="23"/>
  <c r="G27" i="23"/>
  <c r="F27" i="23"/>
  <c r="E27" i="23"/>
  <c r="D27" i="23"/>
  <c r="C27" i="23"/>
  <c r="Y23" i="23"/>
  <c r="E23" i="23"/>
  <c r="Y22" i="23"/>
  <c r="E22" i="23"/>
  <c r="Y21" i="23"/>
  <c r="E21" i="23"/>
  <c r="Y20" i="23"/>
  <c r="E20" i="23"/>
  <c r="Y19" i="23"/>
  <c r="E19" i="23"/>
  <c r="Y18" i="23"/>
  <c r="E18" i="23"/>
  <c r="Y17" i="23"/>
  <c r="E17" i="23"/>
  <c r="Y16" i="23"/>
  <c r="E16" i="23"/>
  <c r="Y15" i="23"/>
  <c r="E15" i="23"/>
  <c r="Y14" i="23"/>
  <c r="E14" i="23"/>
  <c r="Y13" i="23"/>
  <c r="F13" i="23"/>
  <c r="E13" i="23"/>
  <c r="Y12" i="23"/>
  <c r="F12" i="23"/>
  <c r="E12" i="23"/>
  <c r="Y11" i="23"/>
  <c r="F11" i="23"/>
  <c r="E11" i="23"/>
  <c r="Y10" i="23"/>
  <c r="F10" i="23"/>
  <c r="E10" i="23"/>
  <c r="Y9" i="23"/>
  <c r="F9" i="23"/>
  <c r="E9" i="23"/>
  <c r="Y8" i="23"/>
  <c r="F8" i="23"/>
  <c r="E8" i="23"/>
  <c r="Y7" i="23"/>
  <c r="F7" i="23"/>
  <c r="E7" i="23"/>
  <c r="Y6" i="23"/>
  <c r="F6" i="23"/>
  <c r="E6" i="23"/>
  <c r="Y5" i="23"/>
  <c r="F5" i="23"/>
  <c r="E5" i="23"/>
  <c r="L8" i="22"/>
  <c r="L7" i="22"/>
  <c r="C27" i="21"/>
  <c r="D27" i="21" s="1"/>
  <c r="C26" i="21"/>
  <c r="D26" i="21" s="1"/>
  <c r="C24" i="21"/>
  <c r="D24" i="21" s="1"/>
  <c r="C23" i="21"/>
  <c r="D23" i="21" s="1"/>
  <c r="C22" i="21"/>
  <c r="D22" i="21" s="1"/>
  <c r="C21" i="21"/>
  <c r="D21" i="21" s="1"/>
  <c r="C20" i="21"/>
  <c r="D20" i="21" s="1"/>
  <c r="C19" i="21"/>
  <c r="D19" i="21" s="1"/>
  <c r="C18" i="21"/>
  <c r="D18" i="21" s="1"/>
  <c r="C17" i="21"/>
  <c r="D17" i="21" s="1"/>
  <c r="C16" i="21"/>
  <c r="D16" i="21" s="1"/>
  <c r="C15" i="21"/>
  <c r="D15" i="21" s="1"/>
  <c r="C14" i="21"/>
  <c r="D14" i="21" s="1"/>
  <c r="C13" i="21"/>
  <c r="D13" i="21" s="1"/>
  <c r="C12" i="21"/>
  <c r="D12" i="21" s="1"/>
  <c r="C11" i="21"/>
  <c r="D11" i="21" s="1"/>
  <c r="C10" i="21"/>
  <c r="D10" i="21" s="1"/>
  <c r="C9" i="21"/>
  <c r="D9" i="21" s="1"/>
  <c r="C8" i="21"/>
  <c r="D8" i="21" s="1"/>
  <c r="C7" i="21"/>
  <c r="D7" i="21" s="1"/>
  <c r="C6" i="21"/>
  <c r="D6" i="21" s="1"/>
  <c r="C5" i="21"/>
  <c r="D5" i="21" s="1"/>
  <c r="C4" i="21"/>
  <c r="D4" i="21" s="1"/>
  <c r="C3" i="21"/>
  <c r="D3" i="21" s="1"/>
  <c r="DK47" i="20"/>
  <c r="DF44" i="20"/>
  <c r="DE44" i="20"/>
  <c r="DD44" i="20"/>
  <c r="DC44" i="20"/>
  <c r="DB44" i="20"/>
  <c r="DA44" i="20"/>
  <c r="CZ44" i="20"/>
  <c r="CY44" i="20"/>
  <c r="CX44" i="20"/>
  <c r="CW44" i="20"/>
  <c r="CV44" i="20"/>
  <c r="CU44" i="20"/>
  <c r="CT44" i="20"/>
  <c r="CS44" i="20"/>
  <c r="CR44" i="20"/>
  <c r="CQ44" i="20"/>
  <c r="CP44" i="20"/>
  <c r="CO44" i="20"/>
  <c r="CN44" i="20"/>
  <c r="CM44" i="20"/>
  <c r="CL44" i="20"/>
  <c r="CK44" i="20"/>
  <c r="CJ44" i="20"/>
  <c r="CI44" i="20"/>
  <c r="CH44" i="20"/>
  <c r="CG44" i="20"/>
  <c r="CF44" i="20"/>
  <c r="CE44" i="20"/>
  <c r="CD44" i="20"/>
  <c r="CC44" i="20"/>
  <c r="CB44" i="20"/>
  <c r="CA44" i="20"/>
  <c r="BZ44" i="20"/>
  <c r="BY44" i="20"/>
  <c r="BX44" i="20"/>
  <c r="BW44" i="20"/>
  <c r="BV44" i="20"/>
  <c r="BU44" i="20"/>
  <c r="BT44" i="20"/>
  <c r="BS44" i="20"/>
  <c r="BR44" i="20"/>
  <c r="BQ44" i="20"/>
  <c r="BP44" i="20"/>
  <c r="BO44" i="20"/>
  <c r="BN44" i="20"/>
  <c r="BM44" i="20"/>
  <c r="BL44" i="20"/>
  <c r="BK44" i="20"/>
  <c r="BJ44" i="20"/>
  <c r="BI44" i="20"/>
  <c r="BH44" i="20"/>
  <c r="BG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T44" i="20"/>
  <c r="S44" i="20"/>
  <c r="R44" i="20"/>
  <c r="Q44" i="20"/>
  <c r="P44" i="20"/>
  <c r="O44" i="20"/>
  <c r="N44" i="20"/>
  <c r="M44" i="20"/>
  <c r="L44" i="20"/>
  <c r="K44" i="20"/>
  <c r="J44" i="20"/>
  <c r="I44" i="20"/>
  <c r="GT43" i="20"/>
  <c r="GR43" i="20"/>
  <c r="GQ43" i="20"/>
  <c r="GP43" i="20"/>
  <c r="GO43" i="20"/>
  <c r="GN43" i="20"/>
  <c r="GM43" i="20"/>
  <c r="GL43" i="20"/>
  <c r="GK43" i="20"/>
  <c r="GJ43" i="20"/>
  <c r="GI43" i="20"/>
  <c r="GH43" i="20"/>
  <c r="GG43" i="20"/>
  <c r="GF43" i="20"/>
  <c r="GE43" i="20"/>
  <c r="GD43" i="20"/>
  <c r="GC43" i="20"/>
  <c r="GB43" i="20"/>
  <c r="GA43" i="20"/>
  <c r="FZ43" i="20"/>
  <c r="FY43" i="20"/>
  <c r="FX43" i="20"/>
  <c r="FW43" i="20"/>
  <c r="FV43" i="20"/>
  <c r="FU43" i="20"/>
  <c r="FT43" i="20"/>
  <c r="FS43" i="20"/>
  <c r="FR43" i="20"/>
  <c r="FQ43" i="20"/>
  <c r="FP43" i="20"/>
  <c r="FO43" i="20"/>
  <c r="FN43" i="20"/>
  <c r="FM43" i="20"/>
  <c r="FL43" i="20"/>
  <c r="FK43" i="20"/>
  <c r="FJ43" i="20"/>
  <c r="FI43" i="20"/>
  <c r="FH43" i="20"/>
  <c r="FG43" i="20"/>
  <c r="FF43" i="20"/>
  <c r="FE43" i="20"/>
  <c r="FD43" i="20"/>
  <c r="FC43" i="20"/>
  <c r="FB43" i="20"/>
  <c r="FA43" i="20"/>
  <c r="EZ43" i="20"/>
  <c r="EY43" i="20"/>
  <c r="EX43" i="20"/>
  <c r="EW43" i="20"/>
  <c r="EV43" i="20"/>
  <c r="EU43" i="20"/>
  <c r="ET43" i="20"/>
  <c r="ES43" i="20"/>
  <c r="ER43" i="20"/>
  <c r="EQ43" i="20"/>
  <c r="EP43" i="20"/>
  <c r="EO43" i="20"/>
  <c r="EN43" i="20"/>
  <c r="EM43" i="20"/>
  <c r="EL43" i="20"/>
  <c r="EK43" i="20"/>
  <c r="EJ43" i="20"/>
  <c r="EI43" i="20"/>
  <c r="EH43" i="20"/>
  <c r="EG43" i="20"/>
  <c r="EF43" i="20"/>
  <c r="EE43" i="20"/>
  <c r="ED43" i="20"/>
  <c r="EC43" i="20"/>
  <c r="EB43" i="20"/>
  <c r="EA43" i="20"/>
  <c r="DZ43" i="20"/>
  <c r="DY43" i="20"/>
  <c r="DX43" i="20"/>
  <c r="DW43" i="20"/>
  <c r="DV43" i="20"/>
  <c r="DU43" i="20"/>
  <c r="DT43" i="20"/>
  <c r="DS43" i="20"/>
  <c r="DR43" i="20"/>
  <c r="DQ43" i="20"/>
  <c r="DP43" i="20"/>
  <c r="DO43" i="20"/>
  <c r="DN43" i="20"/>
  <c r="DM43" i="20"/>
  <c r="DL43" i="20"/>
  <c r="DK43" i="20"/>
  <c r="DJ43" i="20"/>
  <c r="DI43" i="20"/>
  <c r="DH43" i="20"/>
  <c r="DG43" i="20"/>
  <c r="GS43" i="20" s="1"/>
  <c r="GT42" i="20"/>
  <c r="EQ42" i="20"/>
  <c r="EP42" i="20"/>
  <c r="EO42" i="20"/>
  <c r="EN42" i="20"/>
  <c r="EM42" i="20"/>
  <c r="EL42" i="20"/>
  <c r="EK42" i="20"/>
  <c r="EJ42" i="20"/>
  <c r="EI42" i="20"/>
  <c r="EH42" i="20"/>
  <c r="EG42" i="20"/>
  <c r="EF42" i="20"/>
  <c r="GT41" i="20"/>
  <c r="GR41" i="20"/>
  <c r="GQ41" i="20"/>
  <c r="GP41" i="20"/>
  <c r="GO41" i="20"/>
  <c r="GN41" i="20"/>
  <c r="GM41" i="20"/>
  <c r="GL41" i="20"/>
  <c r="GK41" i="20"/>
  <c r="GJ41" i="20"/>
  <c r="GI41" i="20"/>
  <c r="GH41" i="20"/>
  <c r="GG41" i="20"/>
  <c r="GF41" i="20"/>
  <c r="GE41" i="20"/>
  <c r="GD41" i="20"/>
  <c r="GC41" i="20"/>
  <c r="GB41" i="20"/>
  <c r="GA41" i="20"/>
  <c r="FZ41" i="20"/>
  <c r="FY41" i="20"/>
  <c r="FX41" i="20"/>
  <c r="FW41" i="20"/>
  <c r="FV41" i="20"/>
  <c r="FU41" i="20"/>
  <c r="FT41" i="20"/>
  <c r="FS41" i="20"/>
  <c r="FR41" i="20"/>
  <c r="FQ41" i="20"/>
  <c r="FP41" i="20"/>
  <c r="FO41" i="20"/>
  <c r="FN41" i="20"/>
  <c r="FM41" i="20"/>
  <c r="FL41" i="20"/>
  <c r="FK41" i="20"/>
  <c r="FJ41" i="20"/>
  <c r="FI41" i="20"/>
  <c r="FH41" i="20"/>
  <c r="FG41" i="20"/>
  <c r="FF41" i="20"/>
  <c r="FE41" i="20"/>
  <c r="FD41" i="20"/>
  <c r="FC41" i="20"/>
  <c r="FB41" i="20"/>
  <c r="FA41" i="20"/>
  <c r="EZ41" i="20"/>
  <c r="EY41" i="20"/>
  <c r="EX41" i="20"/>
  <c r="EW41" i="20"/>
  <c r="EV41" i="20"/>
  <c r="EU41" i="20"/>
  <c r="ET41" i="20"/>
  <c r="ES41" i="20"/>
  <c r="ER41" i="20"/>
  <c r="EQ41" i="20"/>
  <c r="EP41" i="20"/>
  <c r="EO41" i="20"/>
  <c r="EN41" i="20"/>
  <c r="EM41" i="20"/>
  <c r="EL41" i="20"/>
  <c r="EK41" i="20"/>
  <c r="EJ41" i="20"/>
  <c r="EI41" i="20"/>
  <c r="EH41" i="20"/>
  <c r="EG41" i="20"/>
  <c r="EF41" i="20"/>
  <c r="EE41" i="20"/>
  <c r="ED41" i="20"/>
  <c r="EC41" i="20"/>
  <c r="EB41" i="20"/>
  <c r="EA41" i="20"/>
  <c r="DZ41" i="20"/>
  <c r="DY41" i="20"/>
  <c r="DX41" i="20"/>
  <c r="DW41" i="20"/>
  <c r="DV41" i="20"/>
  <c r="DU41" i="20"/>
  <c r="DT41" i="20"/>
  <c r="DS41" i="20"/>
  <c r="DR41" i="20"/>
  <c r="DQ41" i="20"/>
  <c r="DP41" i="20"/>
  <c r="DO41" i="20"/>
  <c r="DN41" i="20"/>
  <c r="DM41" i="20"/>
  <c r="DL41" i="20"/>
  <c r="DK41" i="20"/>
  <c r="DJ41" i="20"/>
  <c r="DI41" i="20"/>
  <c r="DH41" i="20"/>
  <c r="DG41" i="20"/>
  <c r="GS41" i="20" s="1"/>
  <c r="GT40" i="20"/>
  <c r="GR40" i="20"/>
  <c r="GQ40" i="20"/>
  <c r="GP40" i="20"/>
  <c r="GO40" i="20"/>
  <c r="GN40" i="20"/>
  <c r="GM40" i="20"/>
  <c r="GL40" i="20"/>
  <c r="GK40" i="20"/>
  <c r="GJ40" i="20"/>
  <c r="GI40" i="20"/>
  <c r="GH40" i="20"/>
  <c r="GG40" i="20"/>
  <c r="GF40" i="20"/>
  <c r="GE40" i="20"/>
  <c r="GD40" i="20"/>
  <c r="GC40" i="20"/>
  <c r="GB40" i="20"/>
  <c r="GA40" i="20"/>
  <c r="FZ40" i="20"/>
  <c r="FY40" i="20"/>
  <c r="FX40" i="20"/>
  <c r="FW40" i="20"/>
  <c r="FV40" i="20"/>
  <c r="FU40" i="20"/>
  <c r="FT40" i="20"/>
  <c r="FS40" i="20"/>
  <c r="FR40" i="20"/>
  <c r="FQ40" i="20"/>
  <c r="FP40" i="20"/>
  <c r="FO40" i="20"/>
  <c r="FN40" i="20"/>
  <c r="FM40" i="20"/>
  <c r="FL40" i="20"/>
  <c r="FK40" i="20"/>
  <c r="FJ40" i="20"/>
  <c r="FI40" i="20"/>
  <c r="FH40" i="20"/>
  <c r="FG40" i="20"/>
  <c r="FF40" i="20"/>
  <c r="FE40" i="20"/>
  <c r="FD40" i="20"/>
  <c r="FC40" i="20"/>
  <c r="FB40" i="20"/>
  <c r="FA40" i="20"/>
  <c r="EZ40" i="20"/>
  <c r="EY40" i="20"/>
  <c r="EX40" i="20"/>
  <c r="EW40" i="20"/>
  <c r="EV40" i="20"/>
  <c r="EU40" i="20"/>
  <c r="ET40" i="20"/>
  <c r="ES40" i="20"/>
  <c r="ER40" i="20"/>
  <c r="EQ40" i="20"/>
  <c r="EP40" i="20"/>
  <c r="EO40" i="20"/>
  <c r="EN40" i="20"/>
  <c r="EM40" i="20"/>
  <c r="EL40" i="20"/>
  <c r="EK40" i="20"/>
  <c r="EJ40" i="20"/>
  <c r="EI40" i="20"/>
  <c r="EH40" i="20"/>
  <c r="EG40" i="20"/>
  <c r="EF40" i="20"/>
  <c r="EE40" i="20"/>
  <c r="ED40" i="20"/>
  <c r="EC40" i="20"/>
  <c r="EB40" i="20"/>
  <c r="EA40" i="20"/>
  <c r="DZ40" i="20"/>
  <c r="DY40" i="20"/>
  <c r="DX40" i="20"/>
  <c r="DW40" i="20"/>
  <c r="DV40" i="20"/>
  <c r="DU40" i="20"/>
  <c r="DT40" i="20"/>
  <c r="DS40" i="20"/>
  <c r="DR40" i="20"/>
  <c r="DQ40" i="20"/>
  <c r="DP40" i="20"/>
  <c r="DO40" i="20"/>
  <c r="DN40" i="20"/>
  <c r="DM40" i="20"/>
  <c r="DL40" i="20"/>
  <c r="DK40" i="20"/>
  <c r="DJ40" i="20"/>
  <c r="DI40" i="20"/>
  <c r="DH40" i="20"/>
  <c r="DG40" i="20"/>
  <c r="GS40" i="20" s="1"/>
  <c r="H40" i="20"/>
  <c r="C25" i="21" s="1"/>
  <c r="D25" i="21" s="1"/>
  <c r="GT39" i="20"/>
  <c r="GR39" i="20"/>
  <c r="GQ39" i="20"/>
  <c r="GP39" i="20"/>
  <c r="GO39" i="20"/>
  <c r="GN39" i="20"/>
  <c r="GM39" i="20"/>
  <c r="GL39" i="20"/>
  <c r="GK39" i="20"/>
  <c r="GJ39" i="20"/>
  <c r="GI39" i="20"/>
  <c r="GH39" i="20"/>
  <c r="GG39" i="20"/>
  <c r="GF39" i="20"/>
  <c r="GE39" i="20"/>
  <c r="GD39" i="20"/>
  <c r="GC39" i="20"/>
  <c r="GB39" i="20"/>
  <c r="GA39" i="20"/>
  <c r="FZ39" i="20"/>
  <c r="FY39" i="20"/>
  <c r="FX39" i="20"/>
  <c r="FW39" i="20"/>
  <c r="FV39" i="20"/>
  <c r="FU39" i="20"/>
  <c r="FT39" i="20"/>
  <c r="FS39" i="20"/>
  <c r="FR39" i="20"/>
  <c r="FQ39" i="20"/>
  <c r="FP39" i="20"/>
  <c r="FO39" i="20"/>
  <c r="FN39" i="20"/>
  <c r="FM39" i="20"/>
  <c r="FL39" i="20"/>
  <c r="FK39" i="20"/>
  <c r="FJ39" i="20"/>
  <c r="FI39" i="20"/>
  <c r="FH39" i="20"/>
  <c r="FG39" i="20"/>
  <c r="FF39" i="20"/>
  <c r="FE39" i="20"/>
  <c r="FD39" i="20"/>
  <c r="FC39" i="20"/>
  <c r="FB39" i="20"/>
  <c r="FA39" i="20"/>
  <c r="EZ39" i="20"/>
  <c r="EY39" i="20"/>
  <c r="EX39" i="20"/>
  <c r="EW39" i="20"/>
  <c r="EV39" i="20"/>
  <c r="EU39" i="20"/>
  <c r="ET39" i="20"/>
  <c r="ES39" i="20"/>
  <c r="ER39" i="20"/>
  <c r="EQ39" i="20"/>
  <c r="EP39" i="20"/>
  <c r="EO39" i="20"/>
  <c r="EN39" i="20"/>
  <c r="EM39" i="20"/>
  <c r="EL39" i="20"/>
  <c r="EK39" i="20"/>
  <c r="EJ39" i="20"/>
  <c r="EI39" i="20"/>
  <c r="EH39" i="20"/>
  <c r="EG39" i="20"/>
  <c r="EF39" i="20"/>
  <c r="EE39" i="20"/>
  <c r="ED39" i="20"/>
  <c r="EC39" i="20"/>
  <c r="EB39" i="20"/>
  <c r="EA39" i="20"/>
  <c r="DZ39" i="20"/>
  <c r="DY39" i="20"/>
  <c r="DX39" i="20"/>
  <c r="DW39" i="20"/>
  <c r="DV39" i="20"/>
  <c r="DU39" i="20"/>
  <c r="DT39" i="20"/>
  <c r="DS39" i="20"/>
  <c r="DR39" i="20"/>
  <c r="DQ39" i="20"/>
  <c r="DP39" i="20"/>
  <c r="DO39" i="20"/>
  <c r="DN39" i="20"/>
  <c r="DM39" i="20"/>
  <c r="DL39" i="20"/>
  <c r="DK39" i="20"/>
  <c r="DJ39" i="20"/>
  <c r="DI39" i="20"/>
  <c r="DH39" i="20"/>
  <c r="DG39" i="20"/>
  <c r="GT38" i="20"/>
  <c r="GR38" i="20"/>
  <c r="GQ38" i="20"/>
  <c r="GP38" i="20"/>
  <c r="GO38" i="20"/>
  <c r="GN38" i="20"/>
  <c r="GM38" i="20"/>
  <c r="GL38" i="20"/>
  <c r="GK38" i="20"/>
  <c r="GJ38" i="20"/>
  <c r="GI38" i="20"/>
  <c r="GH38" i="20"/>
  <c r="GG38" i="20"/>
  <c r="GF38" i="20"/>
  <c r="GE38" i="20"/>
  <c r="GD38" i="20"/>
  <c r="GC38" i="20"/>
  <c r="GB38" i="20"/>
  <c r="GA38" i="20"/>
  <c r="FZ38" i="20"/>
  <c r="FY38" i="20"/>
  <c r="FX38" i="20"/>
  <c r="FW38" i="20"/>
  <c r="FV38" i="20"/>
  <c r="FU38" i="20"/>
  <c r="FT38" i="20"/>
  <c r="FS38" i="20"/>
  <c r="FR38" i="20"/>
  <c r="FQ38" i="20"/>
  <c r="FP38" i="20"/>
  <c r="FO38" i="20"/>
  <c r="FN38" i="20"/>
  <c r="FM38" i="20"/>
  <c r="FL38" i="20"/>
  <c r="FK38" i="20"/>
  <c r="FJ38" i="20"/>
  <c r="FI38" i="20"/>
  <c r="FH38" i="20"/>
  <c r="FG38" i="20"/>
  <c r="FF38" i="20"/>
  <c r="FE38" i="20"/>
  <c r="FD38" i="20"/>
  <c r="FC38" i="20"/>
  <c r="FB38" i="20"/>
  <c r="FA38" i="20"/>
  <c r="EZ38" i="20"/>
  <c r="EY38" i="20"/>
  <c r="EX38" i="20"/>
  <c r="EW38" i="20"/>
  <c r="EV38" i="20"/>
  <c r="EU38" i="20"/>
  <c r="ET38" i="20"/>
  <c r="ES38" i="20"/>
  <c r="ER38" i="20"/>
  <c r="EQ38" i="20"/>
  <c r="EP38" i="20"/>
  <c r="EO38" i="20"/>
  <c r="EN38" i="20"/>
  <c r="EM38" i="20"/>
  <c r="EL38" i="20"/>
  <c r="EK38" i="20"/>
  <c r="EJ38" i="20"/>
  <c r="EI38" i="20"/>
  <c r="EH38" i="20"/>
  <c r="EG38" i="20"/>
  <c r="EF38" i="20"/>
  <c r="EE38" i="20"/>
  <c r="ED38" i="20"/>
  <c r="EC38" i="20"/>
  <c r="EB38" i="20"/>
  <c r="EA38" i="20"/>
  <c r="DZ38" i="20"/>
  <c r="DY38" i="20"/>
  <c r="DX38" i="20"/>
  <c r="DW38" i="20"/>
  <c r="DV38" i="20"/>
  <c r="DU38" i="20"/>
  <c r="DT38" i="20"/>
  <c r="DS38" i="20"/>
  <c r="DR38" i="20"/>
  <c r="DQ38" i="20"/>
  <c r="DP38" i="20"/>
  <c r="DO38" i="20"/>
  <c r="DN38" i="20"/>
  <c r="DM38" i="20"/>
  <c r="DL38" i="20"/>
  <c r="DK38" i="20"/>
  <c r="DJ38" i="20"/>
  <c r="DI38" i="20"/>
  <c r="DH38" i="20"/>
  <c r="DG38" i="20"/>
  <c r="GS38" i="20" s="1"/>
  <c r="GT37" i="20"/>
  <c r="GS37" i="20"/>
  <c r="GR37" i="20"/>
  <c r="GQ37" i="20"/>
  <c r="GP37" i="20"/>
  <c r="GO37" i="20"/>
  <c r="GN37" i="20"/>
  <c r="GM37" i="20"/>
  <c r="GL37" i="20"/>
  <c r="GK37" i="20"/>
  <c r="GJ37" i="20"/>
  <c r="GI37" i="20"/>
  <c r="GH37" i="20"/>
  <c r="GG37" i="20"/>
  <c r="GF37" i="20"/>
  <c r="GE37" i="20"/>
  <c r="GD37" i="20"/>
  <c r="GC37" i="20"/>
  <c r="GB37" i="20"/>
  <c r="GA37" i="20"/>
  <c r="FZ37" i="20"/>
  <c r="FY37" i="20"/>
  <c r="FX37" i="20"/>
  <c r="FW37" i="20"/>
  <c r="FV37" i="20"/>
  <c r="FU37" i="20"/>
  <c r="FT37" i="20"/>
  <c r="FS37" i="20"/>
  <c r="FR37" i="20"/>
  <c r="FQ37" i="20"/>
  <c r="FP37" i="20"/>
  <c r="FO37" i="20"/>
  <c r="FN37" i="20"/>
  <c r="FM37" i="20"/>
  <c r="FL37" i="20"/>
  <c r="FK37" i="20"/>
  <c r="FJ37" i="20"/>
  <c r="FI37" i="20"/>
  <c r="FH37" i="20"/>
  <c r="FG37" i="20"/>
  <c r="FF37" i="20"/>
  <c r="FE37" i="20"/>
  <c r="FD37" i="20"/>
  <c r="FC37" i="20"/>
  <c r="FB37" i="20"/>
  <c r="FA37" i="20"/>
  <c r="EZ37" i="20"/>
  <c r="EY37" i="20"/>
  <c r="EX37" i="20"/>
  <c r="EW37" i="20"/>
  <c r="EV37" i="20"/>
  <c r="EU37" i="20"/>
  <c r="ET37" i="20"/>
  <c r="ES37" i="20"/>
  <c r="ER37" i="20"/>
  <c r="GT36" i="20"/>
  <c r="GR36" i="20"/>
  <c r="GQ36" i="20"/>
  <c r="GP36" i="20"/>
  <c r="GO36" i="20"/>
  <c r="GN36" i="20"/>
  <c r="GM36" i="20"/>
  <c r="GL36" i="20"/>
  <c r="GK36" i="20"/>
  <c r="GJ36" i="20"/>
  <c r="GI36" i="20"/>
  <c r="GH36" i="20"/>
  <c r="GG36" i="20"/>
  <c r="GF36" i="20"/>
  <c r="GE36" i="20"/>
  <c r="GD36" i="20"/>
  <c r="GC36" i="20"/>
  <c r="GB36" i="20"/>
  <c r="GA36" i="20"/>
  <c r="FZ36" i="20"/>
  <c r="FY36" i="20"/>
  <c r="FX36" i="20"/>
  <c r="FW36" i="20"/>
  <c r="FV36" i="20"/>
  <c r="FU36" i="20"/>
  <c r="FT36" i="20"/>
  <c r="FS36" i="20"/>
  <c r="FR36" i="20"/>
  <c r="FQ36" i="20"/>
  <c r="FP36" i="20"/>
  <c r="FO36" i="20"/>
  <c r="FN36" i="20"/>
  <c r="FM36" i="20"/>
  <c r="FL36" i="20"/>
  <c r="FK36" i="20"/>
  <c r="FJ36" i="20"/>
  <c r="FI36" i="20"/>
  <c r="FH36" i="20"/>
  <c r="FG36" i="20"/>
  <c r="FF36" i="20"/>
  <c r="FE36" i="20"/>
  <c r="FD36" i="20"/>
  <c r="FC36" i="20"/>
  <c r="FB36" i="20"/>
  <c r="FA36" i="20"/>
  <c r="EZ36" i="20"/>
  <c r="EY36" i="20"/>
  <c r="EX36" i="20"/>
  <c r="EW36" i="20"/>
  <c r="EV36" i="20"/>
  <c r="EU36" i="20"/>
  <c r="ET36" i="20"/>
  <c r="ES36" i="20"/>
  <c r="ER36" i="20"/>
  <c r="EQ36" i="20"/>
  <c r="EP36" i="20"/>
  <c r="EO36" i="20"/>
  <c r="EN36" i="20"/>
  <c r="EM36" i="20"/>
  <c r="EL36" i="20"/>
  <c r="EK36" i="20"/>
  <c r="EJ36" i="20"/>
  <c r="EI36" i="20"/>
  <c r="EH36" i="20"/>
  <c r="EG36" i="20"/>
  <c r="EF36" i="20"/>
  <c r="EE36" i="20"/>
  <c r="ED36" i="20"/>
  <c r="EC36" i="20"/>
  <c r="EB36" i="20"/>
  <c r="EA36" i="20"/>
  <c r="DZ36" i="20"/>
  <c r="DY36" i="20"/>
  <c r="DX36" i="20"/>
  <c r="DW36" i="20"/>
  <c r="DV36" i="20"/>
  <c r="DU36" i="20"/>
  <c r="DT36" i="20"/>
  <c r="DS36" i="20"/>
  <c r="DR36" i="20"/>
  <c r="DQ36" i="20"/>
  <c r="DP36" i="20"/>
  <c r="DO36" i="20"/>
  <c r="DN36" i="20"/>
  <c r="DM36" i="20"/>
  <c r="DL36" i="20"/>
  <c r="DK36" i="20"/>
  <c r="DJ36" i="20"/>
  <c r="DI36" i="20"/>
  <c r="DH36" i="20"/>
  <c r="DG36" i="20"/>
  <c r="GS36" i="20" s="1"/>
  <c r="GT35" i="20"/>
  <c r="GR35" i="20"/>
  <c r="GQ35" i="20"/>
  <c r="GP35" i="20"/>
  <c r="GO35" i="20"/>
  <c r="GN35" i="20"/>
  <c r="GM35" i="20"/>
  <c r="GL35" i="20"/>
  <c r="GK35" i="20"/>
  <c r="GJ35" i="20"/>
  <c r="GI35" i="20"/>
  <c r="GH35" i="20"/>
  <c r="GG35" i="20"/>
  <c r="GF35" i="20"/>
  <c r="GE35" i="20"/>
  <c r="GD35" i="20"/>
  <c r="GC35" i="20"/>
  <c r="GB35" i="20"/>
  <c r="GA35" i="20"/>
  <c r="FZ35" i="20"/>
  <c r="FY35" i="20"/>
  <c r="FX35" i="20"/>
  <c r="FW35" i="20"/>
  <c r="FV35" i="20"/>
  <c r="FU35" i="20"/>
  <c r="FT35" i="20"/>
  <c r="FS35" i="20"/>
  <c r="FR35" i="20"/>
  <c r="FQ35" i="20"/>
  <c r="FP35" i="20"/>
  <c r="FO35" i="20"/>
  <c r="FN35" i="20"/>
  <c r="FM35" i="20"/>
  <c r="FL35" i="20"/>
  <c r="FK35" i="20"/>
  <c r="FJ35" i="20"/>
  <c r="FI35" i="20"/>
  <c r="FH35" i="20"/>
  <c r="FG35" i="20"/>
  <c r="FF35" i="20"/>
  <c r="FE35" i="20"/>
  <c r="FD35" i="20"/>
  <c r="FC35" i="20"/>
  <c r="FB35" i="20"/>
  <c r="FA35" i="20"/>
  <c r="EZ35" i="20"/>
  <c r="EY35" i="20"/>
  <c r="EX35" i="20"/>
  <c r="EW35" i="20"/>
  <c r="EV35" i="20"/>
  <c r="EU35" i="20"/>
  <c r="ET35" i="20"/>
  <c r="ES35" i="20"/>
  <c r="ER35" i="20"/>
  <c r="EQ35" i="20"/>
  <c r="EP35" i="20"/>
  <c r="EO35" i="20"/>
  <c r="EN35" i="20"/>
  <c r="EM35" i="20"/>
  <c r="EL35" i="20"/>
  <c r="EK35" i="20"/>
  <c r="EJ35" i="20"/>
  <c r="EI35" i="20"/>
  <c r="EH35" i="20"/>
  <c r="EG35" i="20"/>
  <c r="EF35" i="20"/>
  <c r="EE35" i="20"/>
  <c r="ED35" i="20"/>
  <c r="EC35" i="20"/>
  <c r="EB35" i="20"/>
  <c r="EA35" i="20"/>
  <c r="DZ35" i="20"/>
  <c r="DY35" i="20"/>
  <c r="DX35" i="20"/>
  <c r="DW35" i="20"/>
  <c r="DV35" i="20"/>
  <c r="DU35" i="20"/>
  <c r="DT35" i="20"/>
  <c r="DS35" i="20"/>
  <c r="DR35" i="20"/>
  <c r="DQ35" i="20"/>
  <c r="DP35" i="20"/>
  <c r="DO35" i="20"/>
  <c r="DN35" i="20"/>
  <c r="DM35" i="20"/>
  <c r="DL35" i="20"/>
  <c r="DK35" i="20"/>
  <c r="DJ35" i="20"/>
  <c r="DI35" i="20"/>
  <c r="DH35" i="20"/>
  <c r="DG35" i="20"/>
  <c r="GS35" i="20" s="1"/>
  <c r="GT33" i="20"/>
  <c r="GR33" i="20"/>
  <c r="GQ33" i="20"/>
  <c r="GP33" i="20"/>
  <c r="GO33" i="20"/>
  <c r="GN33" i="20"/>
  <c r="GM33" i="20"/>
  <c r="GL33" i="20"/>
  <c r="GK33" i="20"/>
  <c r="GJ33" i="20"/>
  <c r="GI33" i="20"/>
  <c r="GH33" i="20"/>
  <c r="GG33" i="20"/>
  <c r="GF33" i="20"/>
  <c r="GE33" i="20"/>
  <c r="GD33" i="20"/>
  <c r="GC33" i="20"/>
  <c r="GB33" i="20"/>
  <c r="GA33" i="20"/>
  <c r="FZ33" i="20"/>
  <c r="FY33" i="20"/>
  <c r="FX33" i="20"/>
  <c r="FW33" i="20"/>
  <c r="FV33" i="20"/>
  <c r="FU33" i="20"/>
  <c r="FT33" i="20"/>
  <c r="FS33" i="20"/>
  <c r="FR33" i="20"/>
  <c r="FQ33" i="20"/>
  <c r="FP33" i="20"/>
  <c r="FO33" i="20"/>
  <c r="FN33" i="20"/>
  <c r="FM33" i="20"/>
  <c r="FL33" i="20"/>
  <c r="FK33" i="20"/>
  <c r="FJ33" i="20"/>
  <c r="FI33" i="20"/>
  <c r="FH33" i="20"/>
  <c r="FG33" i="20"/>
  <c r="FF33" i="20"/>
  <c r="FE33" i="20"/>
  <c r="FD33" i="20"/>
  <c r="FC33" i="20"/>
  <c r="FB33" i="20"/>
  <c r="FA33" i="20"/>
  <c r="EZ33" i="20"/>
  <c r="EY33" i="20"/>
  <c r="EX33" i="20"/>
  <c r="EW33" i="20"/>
  <c r="EV33" i="20"/>
  <c r="EU33" i="20"/>
  <c r="ET33" i="20"/>
  <c r="ES33" i="20"/>
  <c r="ER33" i="20"/>
  <c r="EQ33" i="20"/>
  <c r="EP33" i="20"/>
  <c r="EO33" i="20"/>
  <c r="EN33" i="20"/>
  <c r="EM33" i="20"/>
  <c r="EL33" i="20"/>
  <c r="EK33" i="20"/>
  <c r="EJ33" i="20"/>
  <c r="EI33" i="20"/>
  <c r="EH33" i="20"/>
  <c r="EG33" i="20"/>
  <c r="EF33" i="20"/>
  <c r="EE33" i="20"/>
  <c r="ED33" i="20"/>
  <c r="EC33" i="20"/>
  <c r="EB33" i="20"/>
  <c r="EA33" i="20"/>
  <c r="DZ33" i="20"/>
  <c r="DY33" i="20"/>
  <c r="DX33" i="20"/>
  <c r="DW33" i="20"/>
  <c r="DV33" i="20"/>
  <c r="DU33" i="20"/>
  <c r="DT33" i="20"/>
  <c r="DS33" i="20"/>
  <c r="DR33" i="20"/>
  <c r="DQ33" i="20"/>
  <c r="DP33" i="20"/>
  <c r="DO33" i="20"/>
  <c r="DN33" i="20"/>
  <c r="DM33" i="20"/>
  <c r="DL33" i="20"/>
  <c r="DK33" i="20"/>
  <c r="DJ33" i="20"/>
  <c r="DI33" i="20"/>
  <c r="DH33" i="20"/>
  <c r="DG33" i="20"/>
  <c r="GS33" i="20" s="1"/>
  <c r="GT29" i="20"/>
  <c r="GR29" i="20"/>
  <c r="GQ29" i="20"/>
  <c r="GP29" i="20"/>
  <c r="GO29" i="20"/>
  <c r="GN29" i="20"/>
  <c r="GM29" i="20"/>
  <c r="GL29" i="20"/>
  <c r="GK29" i="20"/>
  <c r="GJ29" i="20"/>
  <c r="GI29" i="20"/>
  <c r="GH29" i="20"/>
  <c r="GG29" i="20"/>
  <c r="GF29" i="20"/>
  <c r="GE29" i="20"/>
  <c r="GD29" i="20"/>
  <c r="GC29" i="20"/>
  <c r="GB29" i="20"/>
  <c r="GA29" i="20"/>
  <c r="FZ29" i="20"/>
  <c r="FY29" i="20"/>
  <c r="FX29" i="20"/>
  <c r="FW29" i="20"/>
  <c r="FV29" i="20"/>
  <c r="FU29" i="20"/>
  <c r="FT29" i="20"/>
  <c r="FS29" i="20"/>
  <c r="FR29" i="20"/>
  <c r="FQ29" i="20"/>
  <c r="FP29" i="20"/>
  <c r="FO29" i="20"/>
  <c r="FN29" i="20"/>
  <c r="FM29" i="20"/>
  <c r="FL29" i="20"/>
  <c r="FK29" i="20"/>
  <c r="FJ29" i="20"/>
  <c r="FI29" i="20"/>
  <c r="FH29" i="20"/>
  <c r="FG29" i="20"/>
  <c r="FF29" i="20"/>
  <c r="FE29" i="20"/>
  <c r="FD29" i="20"/>
  <c r="FC29" i="20"/>
  <c r="FB29" i="20"/>
  <c r="FA29" i="20"/>
  <c r="EZ29" i="20"/>
  <c r="EY29" i="20"/>
  <c r="EX29" i="20"/>
  <c r="EW29" i="20"/>
  <c r="EV29" i="20"/>
  <c r="EU29" i="20"/>
  <c r="ET29" i="20"/>
  <c r="ES29" i="20"/>
  <c r="ER29" i="20"/>
  <c r="EQ29" i="20"/>
  <c r="EP29" i="20"/>
  <c r="EO29" i="20"/>
  <c r="EN29" i="20"/>
  <c r="EM29" i="20"/>
  <c r="EL29" i="20"/>
  <c r="EK29" i="20"/>
  <c r="EJ29" i="20"/>
  <c r="EI29" i="20"/>
  <c r="EH29" i="20"/>
  <c r="EG29" i="20"/>
  <c r="EF29" i="20"/>
  <c r="EE29" i="20"/>
  <c r="ED29" i="20"/>
  <c r="EC29" i="20"/>
  <c r="EB29" i="20"/>
  <c r="EA29" i="20"/>
  <c r="DZ29" i="20"/>
  <c r="DY29" i="20"/>
  <c r="DX29" i="20"/>
  <c r="DW29" i="20"/>
  <c r="DV29" i="20"/>
  <c r="DU29" i="20"/>
  <c r="DT29" i="20"/>
  <c r="DS29" i="20"/>
  <c r="DR29" i="20"/>
  <c r="DQ29" i="20"/>
  <c r="DP29" i="20"/>
  <c r="DO29" i="20"/>
  <c r="DN29" i="20"/>
  <c r="DM29" i="20"/>
  <c r="DL29" i="20"/>
  <c r="DK29" i="20"/>
  <c r="DJ29" i="20"/>
  <c r="DI29" i="20"/>
  <c r="DH29" i="20"/>
  <c r="DG29" i="20"/>
  <c r="GS29" i="20" s="1"/>
  <c r="GT22" i="20"/>
  <c r="GR22" i="20"/>
  <c r="GQ22" i="20"/>
  <c r="GP22" i="20"/>
  <c r="GO22" i="20"/>
  <c r="GN22" i="20"/>
  <c r="GM22" i="20"/>
  <c r="GL22" i="20"/>
  <c r="GK22" i="20"/>
  <c r="GJ22" i="20"/>
  <c r="GI22" i="20"/>
  <c r="GH22" i="20"/>
  <c r="GG22" i="20"/>
  <c r="GF22" i="20"/>
  <c r="GE22" i="20"/>
  <c r="GD22" i="20"/>
  <c r="GC22" i="20"/>
  <c r="GB22" i="20"/>
  <c r="GA22" i="20"/>
  <c r="FZ22" i="20"/>
  <c r="FY22" i="20"/>
  <c r="FX22" i="20"/>
  <c r="FW22" i="20"/>
  <c r="FV22" i="20"/>
  <c r="FU22" i="20"/>
  <c r="FT22" i="20"/>
  <c r="FS22" i="20"/>
  <c r="FR22" i="20"/>
  <c r="FQ22" i="20"/>
  <c r="FP22" i="20"/>
  <c r="FO22" i="20"/>
  <c r="FN22" i="20"/>
  <c r="FM22" i="20"/>
  <c r="FL22" i="20"/>
  <c r="FK22" i="20"/>
  <c r="FJ22" i="20"/>
  <c r="FI22" i="20"/>
  <c r="FH22" i="20"/>
  <c r="FG22" i="20"/>
  <c r="FF22" i="20"/>
  <c r="FE22" i="20"/>
  <c r="FD22" i="20"/>
  <c r="FC22" i="20"/>
  <c r="FB22" i="20"/>
  <c r="FA22" i="20"/>
  <c r="EZ22" i="20"/>
  <c r="EY22" i="20"/>
  <c r="EX22" i="20"/>
  <c r="EW22" i="20"/>
  <c r="EV22" i="20"/>
  <c r="EU22" i="20"/>
  <c r="ET22" i="20"/>
  <c r="ES22" i="20"/>
  <c r="ER22" i="20"/>
  <c r="EQ22" i="20"/>
  <c r="EP22" i="20"/>
  <c r="EO22" i="20"/>
  <c r="EN22" i="20"/>
  <c r="EM22" i="20"/>
  <c r="EL22" i="20"/>
  <c r="EK22" i="20"/>
  <c r="EJ22" i="20"/>
  <c r="EI22" i="20"/>
  <c r="EH22" i="20"/>
  <c r="EG22" i="20"/>
  <c r="EF22" i="20"/>
  <c r="EE22" i="20"/>
  <c r="ED22" i="20"/>
  <c r="EC22" i="20"/>
  <c r="EB22" i="20"/>
  <c r="EA22" i="20"/>
  <c r="DZ22" i="20"/>
  <c r="DY22" i="20"/>
  <c r="DX22" i="20"/>
  <c r="DW22" i="20"/>
  <c r="DV22" i="20"/>
  <c r="DU22" i="20"/>
  <c r="DT22" i="20"/>
  <c r="DS22" i="20"/>
  <c r="DR22" i="20"/>
  <c r="DQ22" i="20"/>
  <c r="DP22" i="20"/>
  <c r="DO22" i="20"/>
  <c r="DN22" i="20"/>
  <c r="DM22" i="20"/>
  <c r="DL22" i="20"/>
  <c r="DK22" i="20"/>
  <c r="DJ22" i="20"/>
  <c r="DI22" i="20"/>
  <c r="DH22" i="20"/>
  <c r="DG22" i="20"/>
  <c r="GS22" i="20" s="1"/>
  <c r="GT21" i="20"/>
  <c r="GR21" i="20"/>
  <c r="GQ21" i="20"/>
  <c r="GP21" i="20"/>
  <c r="GO21" i="20"/>
  <c r="GN21" i="20"/>
  <c r="GM21" i="20"/>
  <c r="GL21" i="20"/>
  <c r="GK21" i="20"/>
  <c r="GJ21" i="20"/>
  <c r="GI21" i="20"/>
  <c r="GH21" i="20"/>
  <c r="GG21" i="20"/>
  <c r="GF21" i="20"/>
  <c r="GE21" i="20"/>
  <c r="GD21" i="20"/>
  <c r="GC21" i="20"/>
  <c r="GB21" i="20"/>
  <c r="GA21" i="20"/>
  <c r="FZ21" i="20"/>
  <c r="FY21" i="20"/>
  <c r="FX21" i="20"/>
  <c r="FW21" i="20"/>
  <c r="FV21" i="20"/>
  <c r="FU21" i="20"/>
  <c r="FT21" i="20"/>
  <c r="FS21" i="20"/>
  <c r="FR21" i="20"/>
  <c r="FQ21" i="20"/>
  <c r="FP21" i="20"/>
  <c r="FO21" i="20"/>
  <c r="FN21" i="20"/>
  <c r="FM21" i="20"/>
  <c r="FL21" i="20"/>
  <c r="FK21" i="20"/>
  <c r="FJ21" i="20"/>
  <c r="FI21" i="20"/>
  <c r="FH21" i="20"/>
  <c r="FG21" i="20"/>
  <c r="FF21" i="20"/>
  <c r="FE21" i="20"/>
  <c r="FD21" i="20"/>
  <c r="FC21" i="20"/>
  <c r="FB21" i="20"/>
  <c r="FA21" i="20"/>
  <c r="EZ21" i="20"/>
  <c r="EY21" i="20"/>
  <c r="EX21" i="20"/>
  <c r="EW21" i="20"/>
  <c r="EV21" i="20"/>
  <c r="EU21" i="20"/>
  <c r="ET21" i="20"/>
  <c r="ES21" i="20"/>
  <c r="ER21" i="20"/>
  <c r="EQ21" i="20"/>
  <c r="EP21" i="20"/>
  <c r="EO21" i="20"/>
  <c r="EN21" i="20"/>
  <c r="EM21" i="20"/>
  <c r="EL21" i="20"/>
  <c r="EK21" i="20"/>
  <c r="EJ21" i="20"/>
  <c r="EI21" i="20"/>
  <c r="EH21" i="20"/>
  <c r="EG21" i="20"/>
  <c r="EF21" i="20"/>
  <c r="EE21" i="20"/>
  <c r="ED21" i="20"/>
  <c r="EC21" i="20"/>
  <c r="EB21" i="20"/>
  <c r="EA21" i="20"/>
  <c r="DZ21" i="20"/>
  <c r="DY21" i="20"/>
  <c r="DX21" i="20"/>
  <c r="DW21" i="20"/>
  <c r="DV21" i="20"/>
  <c r="DU21" i="20"/>
  <c r="DT21" i="20"/>
  <c r="DS21" i="20"/>
  <c r="DR21" i="20"/>
  <c r="DQ21" i="20"/>
  <c r="DP21" i="20"/>
  <c r="DO21" i="20"/>
  <c r="DN21" i="20"/>
  <c r="DM21" i="20"/>
  <c r="DL21" i="20"/>
  <c r="DK21" i="20"/>
  <c r="DJ21" i="20"/>
  <c r="DI21" i="20"/>
  <c r="DH21" i="20"/>
  <c r="DG21" i="20"/>
  <c r="GS21" i="20" s="1"/>
  <c r="GT20" i="20"/>
  <c r="GR20" i="20"/>
  <c r="GQ20" i="20"/>
  <c r="GP20" i="20"/>
  <c r="GO20" i="20"/>
  <c r="GN20" i="20"/>
  <c r="GM20" i="20"/>
  <c r="GL20" i="20"/>
  <c r="GK20" i="20"/>
  <c r="GJ20" i="20"/>
  <c r="GI20" i="20"/>
  <c r="GH20" i="20"/>
  <c r="GG20" i="20"/>
  <c r="GF20" i="20"/>
  <c r="GE20" i="20"/>
  <c r="GD20" i="20"/>
  <c r="GC20" i="20"/>
  <c r="GB20" i="20"/>
  <c r="GA20" i="20"/>
  <c r="FZ20" i="20"/>
  <c r="FY20" i="20"/>
  <c r="FX20" i="20"/>
  <c r="FW20" i="20"/>
  <c r="FV20" i="20"/>
  <c r="FU20" i="20"/>
  <c r="FT20" i="20"/>
  <c r="FS20" i="20"/>
  <c r="FR20" i="20"/>
  <c r="FQ20" i="20"/>
  <c r="FP20" i="20"/>
  <c r="FO20" i="20"/>
  <c r="FN20" i="20"/>
  <c r="FM20" i="20"/>
  <c r="FL20" i="20"/>
  <c r="FK20" i="20"/>
  <c r="FJ20" i="20"/>
  <c r="FI20" i="20"/>
  <c r="FH20" i="20"/>
  <c r="FG20" i="20"/>
  <c r="FF20" i="20"/>
  <c r="FE20" i="20"/>
  <c r="FD20" i="20"/>
  <c r="FC20" i="20"/>
  <c r="FB20" i="20"/>
  <c r="FA20" i="20"/>
  <c r="EZ20" i="20"/>
  <c r="EY20" i="20"/>
  <c r="EX20" i="20"/>
  <c r="EW20" i="20"/>
  <c r="EV20" i="20"/>
  <c r="EU20" i="20"/>
  <c r="ET20" i="20"/>
  <c r="ES20" i="20"/>
  <c r="ER20" i="20"/>
  <c r="EQ20" i="20"/>
  <c r="EP20" i="20"/>
  <c r="EO20" i="20"/>
  <c r="EN20" i="20"/>
  <c r="EM20" i="20"/>
  <c r="EL20" i="20"/>
  <c r="EK20" i="20"/>
  <c r="EJ20" i="20"/>
  <c r="EI20" i="20"/>
  <c r="EH20" i="20"/>
  <c r="EG20" i="20"/>
  <c r="EF20" i="20"/>
  <c r="EE20" i="20"/>
  <c r="ED20" i="20"/>
  <c r="EC20" i="20"/>
  <c r="EB20" i="20"/>
  <c r="EA20" i="20"/>
  <c r="DZ20" i="20"/>
  <c r="DY20" i="20"/>
  <c r="DX20" i="20"/>
  <c r="DW20" i="20"/>
  <c r="DV20" i="20"/>
  <c r="DU20" i="20"/>
  <c r="DT20" i="20"/>
  <c r="DS20" i="20"/>
  <c r="DR20" i="20"/>
  <c r="DQ20" i="20"/>
  <c r="DP20" i="20"/>
  <c r="DO20" i="20"/>
  <c r="DN20" i="20"/>
  <c r="DM20" i="20"/>
  <c r="DL20" i="20"/>
  <c r="DK20" i="20"/>
  <c r="DJ20" i="20"/>
  <c r="DI20" i="20"/>
  <c r="DH20" i="20"/>
  <c r="DG20" i="20"/>
  <c r="GS20" i="20" s="1"/>
  <c r="GT19" i="20"/>
  <c r="GR19" i="20"/>
  <c r="GQ19" i="20"/>
  <c r="GP19" i="20"/>
  <c r="GO19" i="20"/>
  <c r="GN19" i="20"/>
  <c r="GM19" i="20"/>
  <c r="GL19" i="20"/>
  <c r="GK19" i="20"/>
  <c r="GJ19" i="20"/>
  <c r="GI19" i="20"/>
  <c r="GH19" i="20"/>
  <c r="GG19" i="20"/>
  <c r="GF19" i="20"/>
  <c r="GE19" i="20"/>
  <c r="GD19" i="20"/>
  <c r="GC19" i="20"/>
  <c r="GB19" i="20"/>
  <c r="GA19" i="20"/>
  <c r="FZ19" i="20"/>
  <c r="FY19" i="20"/>
  <c r="FX19" i="20"/>
  <c r="FW19" i="20"/>
  <c r="FV19" i="20"/>
  <c r="FU19" i="20"/>
  <c r="FT19" i="20"/>
  <c r="FS19" i="20"/>
  <c r="FR19" i="20"/>
  <c r="FQ19" i="20"/>
  <c r="FP19" i="20"/>
  <c r="FO19" i="20"/>
  <c r="FN19" i="20"/>
  <c r="FM19" i="20"/>
  <c r="FL19" i="20"/>
  <c r="FK19" i="20"/>
  <c r="FJ19" i="20"/>
  <c r="FI19" i="20"/>
  <c r="FH19" i="20"/>
  <c r="FG19" i="20"/>
  <c r="FF19" i="20"/>
  <c r="FE19" i="20"/>
  <c r="FD19" i="20"/>
  <c r="FC19" i="20"/>
  <c r="FB19" i="20"/>
  <c r="FA19" i="20"/>
  <c r="EZ19" i="20"/>
  <c r="EY19" i="20"/>
  <c r="EX19" i="20"/>
  <c r="EW19" i="20"/>
  <c r="EV19" i="20"/>
  <c r="EU19" i="20"/>
  <c r="ET19" i="20"/>
  <c r="ES19" i="20"/>
  <c r="ER19" i="20"/>
  <c r="EQ19" i="20"/>
  <c r="EP19" i="20"/>
  <c r="EO19" i="20"/>
  <c r="EN19" i="20"/>
  <c r="EM19" i="20"/>
  <c r="EL19" i="20"/>
  <c r="EK19" i="20"/>
  <c r="EJ19" i="20"/>
  <c r="EI19" i="20"/>
  <c r="EH19" i="20"/>
  <c r="EG19" i="20"/>
  <c r="EF19" i="20"/>
  <c r="EE19" i="20"/>
  <c r="ED19" i="20"/>
  <c r="EC19" i="20"/>
  <c r="EB19" i="20"/>
  <c r="EA19" i="20"/>
  <c r="DZ19" i="20"/>
  <c r="DY19" i="20"/>
  <c r="DX19" i="20"/>
  <c r="DW19" i="20"/>
  <c r="DV19" i="20"/>
  <c r="DU19" i="20"/>
  <c r="DT19" i="20"/>
  <c r="DS19" i="20"/>
  <c r="DR19" i="20"/>
  <c r="DQ19" i="20"/>
  <c r="DP19" i="20"/>
  <c r="DO19" i="20"/>
  <c r="DN19" i="20"/>
  <c r="DM19" i="20"/>
  <c r="DL19" i="20"/>
  <c r="DK19" i="20"/>
  <c r="DJ19" i="20"/>
  <c r="DI19" i="20"/>
  <c r="DH19" i="20"/>
  <c r="DG19" i="20"/>
  <c r="GS19" i="20" s="1"/>
  <c r="GR18" i="20"/>
  <c r="GQ18" i="20"/>
  <c r="GP18" i="20"/>
  <c r="EI18" i="20"/>
  <c r="GT17" i="20"/>
  <c r="GR17" i="20"/>
  <c r="GQ17" i="20"/>
  <c r="GP17" i="20"/>
  <c r="GO17" i="20"/>
  <c r="GN17" i="20"/>
  <c r="GM17" i="20"/>
  <c r="GL17" i="20"/>
  <c r="GK17" i="20"/>
  <c r="GJ17" i="20"/>
  <c r="GI17" i="20"/>
  <c r="GH17" i="20"/>
  <c r="GG17" i="20"/>
  <c r="GF17" i="20"/>
  <c r="GE17" i="20"/>
  <c r="GD17" i="20"/>
  <c r="GC17" i="20"/>
  <c r="GB17" i="20"/>
  <c r="GA17" i="20"/>
  <c r="FZ17" i="20"/>
  <c r="FY17" i="20"/>
  <c r="FX17" i="20"/>
  <c r="FW17" i="20"/>
  <c r="FV17" i="20"/>
  <c r="FU17" i="20"/>
  <c r="FT17" i="20"/>
  <c r="FS17" i="20"/>
  <c r="FR17" i="20"/>
  <c r="FQ17" i="20"/>
  <c r="FP17" i="20"/>
  <c r="FO17" i="20"/>
  <c r="FN17" i="20"/>
  <c r="FM17" i="20"/>
  <c r="FL17" i="20"/>
  <c r="FK17" i="20"/>
  <c r="FJ17" i="20"/>
  <c r="FI17" i="20"/>
  <c r="FH17" i="20"/>
  <c r="FG17" i="20"/>
  <c r="FF17" i="20"/>
  <c r="FE17" i="20"/>
  <c r="FD17" i="20"/>
  <c r="FC17" i="20"/>
  <c r="FB17" i="20"/>
  <c r="FA17" i="20"/>
  <c r="EZ17" i="20"/>
  <c r="EY17" i="20"/>
  <c r="EX17" i="20"/>
  <c r="EW17" i="20"/>
  <c r="EV17" i="20"/>
  <c r="EU17" i="20"/>
  <c r="ET17" i="20"/>
  <c r="ES17" i="20"/>
  <c r="ER17" i="20"/>
  <c r="EQ17" i="20"/>
  <c r="EP17" i="20"/>
  <c r="EO17" i="20"/>
  <c r="EN17" i="20"/>
  <c r="EM17" i="20"/>
  <c r="EL17" i="20"/>
  <c r="EK17" i="20"/>
  <c r="EJ17" i="20"/>
  <c r="EI17" i="20"/>
  <c r="EH17" i="20"/>
  <c r="EG17" i="20"/>
  <c r="EF17" i="20"/>
  <c r="EE17" i="20"/>
  <c r="ED17" i="20"/>
  <c r="EC17" i="20"/>
  <c r="EB17" i="20"/>
  <c r="EA17" i="20"/>
  <c r="DZ17" i="20"/>
  <c r="DY17" i="20"/>
  <c r="DX17" i="20"/>
  <c r="DW17" i="20"/>
  <c r="DV17" i="20"/>
  <c r="DU17" i="20"/>
  <c r="DT17" i="20"/>
  <c r="DS17" i="20"/>
  <c r="DR17" i="20"/>
  <c r="DQ17" i="20"/>
  <c r="DP17" i="20"/>
  <c r="DO17" i="20"/>
  <c r="DN17" i="20"/>
  <c r="DM17" i="20"/>
  <c r="DL17" i="20"/>
  <c r="DK17" i="20"/>
  <c r="DJ17" i="20"/>
  <c r="DI17" i="20"/>
  <c r="DH17" i="20"/>
  <c r="DG17" i="20"/>
  <c r="GS17" i="20" s="1"/>
  <c r="GT16" i="20"/>
  <c r="GR16" i="20"/>
  <c r="GQ16" i="20"/>
  <c r="GP16" i="20"/>
  <c r="GO16" i="20"/>
  <c r="GN16" i="20"/>
  <c r="GM16" i="20"/>
  <c r="GL16" i="20"/>
  <c r="GK16" i="20"/>
  <c r="GJ16" i="20"/>
  <c r="GI16" i="20"/>
  <c r="GH16" i="20"/>
  <c r="GG16" i="20"/>
  <c r="GF16" i="20"/>
  <c r="GE16" i="20"/>
  <c r="GD16" i="20"/>
  <c r="GC16" i="20"/>
  <c r="GB16" i="20"/>
  <c r="GA16" i="20"/>
  <c r="FZ16" i="20"/>
  <c r="FY16" i="20"/>
  <c r="FX16" i="20"/>
  <c r="FW16" i="20"/>
  <c r="FV16" i="20"/>
  <c r="FU16" i="20"/>
  <c r="FT16" i="20"/>
  <c r="FS16" i="20"/>
  <c r="FR16" i="20"/>
  <c r="FQ16" i="20"/>
  <c r="FP16" i="20"/>
  <c r="FO16" i="20"/>
  <c r="FN16" i="20"/>
  <c r="FM16" i="20"/>
  <c r="FL16" i="20"/>
  <c r="FK16" i="20"/>
  <c r="FJ16" i="20"/>
  <c r="FI16" i="20"/>
  <c r="FH16" i="20"/>
  <c r="FG16" i="20"/>
  <c r="FF16" i="20"/>
  <c r="FE16" i="20"/>
  <c r="FD16" i="20"/>
  <c r="FC16" i="20"/>
  <c r="FB16" i="20"/>
  <c r="FA16" i="20"/>
  <c r="EZ16" i="20"/>
  <c r="EY16" i="20"/>
  <c r="EX16" i="20"/>
  <c r="EW16" i="20"/>
  <c r="EV16" i="20"/>
  <c r="EU16" i="20"/>
  <c r="ET16" i="20"/>
  <c r="ES16" i="20"/>
  <c r="ER16" i="20"/>
  <c r="EQ16" i="20"/>
  <c r="EP16" i="20"/>
  <c r="EO16" i="20"/>
  <c r="EN16" i="20"/>
  <c r="EM16" i="20"/>
  <c r="EL16" i="20"/>
  <c r="EK16" i="20"/>
  <c r="EJ16" i="20"/>
  <c r="EI16" i="20"/>
  <c r="EH16" i="20"/>
  <c r="EG16" i="20"/>
  <c r="EF16" i="20"/>
  <c r="EE16" i="20"/>
  <c r="ED16" i="20"/>
  <c r="EC16" i="20"/>
  <c r="EB16" i="20"/>
  <c r="EA16" i="20"/>
  <c r="DZ16" i="20"/>
  <c r="DY16" i="20"/>
  <c r="DX16" i="20"/>
  <c r="DW16" i="20"/>
  <c r="DV16" i="20"/>
  <c r="DU16" i="20"/>
  <c r="DT16" i="20"/>
  <c r="DS16" i="20"/>
  <c r="DR16" i="20"/>
  <c r="DQ16" i="20"/>
  <c r="DP16" i="20"/>
  <c r="DO16" i="20"/>
  <c r="DN16" i="20"/>
  <c r="DM16" i="20"/>
  <c r="DL16" i="20"/>
  <c r="DK16" i="20"/>
  <c r="DJ16" i="20"/>
  <c r="DI16" i="20"/>
  <c r="DH16" i="20"/>
  <c r="DG16" i="20"/>
  <c r="GS16" i="20" s="1"/>
  <c r="GT15" i="20"/>
  <c r="GR15" i="20"/>
  <c r="GQ15" i="20"/>
  <c r="GP15" i="20"/>
  <c r="GO15" i="20"/>
  <c r="GN15" i="20"/>
  <c r="GM15" i="20"/>
  <c r="GL15" i="20"/>
  <c r="GK15" i="20"/>
  <c r="GJ15" i="20"/>
  <c r="GI15" i="20"/>
  <c r="GH15" i="20"/>
  <c r="GG15" i="20"/>
  <c r="GF15" i="20"/>
  <c r="GE15" i="20"/>
  <c r="GD15" i="20"/>
  <c r="GC15" i="20"/>
  <c r="GB15" i="20"/>
  <c r="GA15" i="20"/>
  <c r="FZ15" i="20"/>
  <c r="FY15" i="20"/>
  <c r="FX15" i="20"/>
  <c r="FW15" i="20"/>
  <c r="FV15" i="20"/>
  <c r="FU15" i="20"/>
  <c r="FT15" i="20"/>
  <c r="FS15" i="20"/>
  <c r="FR15" i="20"/>
  <c r="FQ15" i="20"/>
  <c r="FP15" i="20"/>
  <c r="FO15" i="20"/>
  <c r="FN15" i="20"/>
  <c r="FM15" i="20"/>
  <c r="FL15" i="20"/>
  <c r="FK15" i="20"/>
  <c r="FJ15" i="20"/>
  <c r="FI15" i="20"/>
  <c r="FH15" i="20"/>
  <c r="FG15" i="20"/>
  <c r="FF15" i="20"/>
  <c r="FE15" i="20"/>
  <c r="FD15" i="20"/>
  <c r="FC15" i="20"/>
  <c r="FB15" i="20"/>
  <c r="FA15" i="20"/>
  <c r="EZ15" i="20"/>
  <c r="EY15" i="20"/>
  <c r="EX15" i="20"/>
  <c r="EW15" i="20"/>
  <c r="EV15" i="20"/>
  <c r="EU15" i="20"/>
  <c r="ET15" i="20"/>
  <c r="ES15" i="20"/>
  <c r="ER15" i="20"/>
  <c r="EQ15" i="20"/>
  <c r="EP15" i="20"/>
  <c r="EO15" i="20"/>
  <c r="EN15" i="20"/>
  <c r="EM15" i="20"/>
  <c r="EL15" i="20"/>
  <c r="EK15" i="20"/>
  <c r="EJ15" i="20"/>
  <c r="EI15" i="20"/>
  <c r="EH15" i="20"/>
  <c r="EG15" i="20"/>
  <c r="EF15" i="20"/>
  <c r="EE15" i="20"/>
  <c r="ED15" i="20"/>
  <c r="EC15" i="20"/>
  <c r="EB15" i="20"/>
  <c r="EA15" i="20"/>
  <c r="DZ15" i="20"/>
  <c r="DY15" i="20"/>
  <c r="DX15" i="20"/>
  <c r="DW15" i="20"/>
  <c r="DV15" i="20"/>
  <c r="DU15" i="20"/>
  <c r="DT15" i="20"/>
  <c r="DS15" i="20"/>
  <c r="DR15" i="20"/>
  <c r="DQ15" i="20"/>
  <c r="DP15" i="20"/>
  <c r="DO15" i="20"/>
  <c r="DN15" i="20"/>
  <c r="DM15" i="20"/>
  <c r="DL15" i="20"/>
  <c r="DK15" i="20"/>
  <c r="DJ15" i="20"/>
  <c r="DI15" i="20"/>
  <c r="DH15" i="20"/>
  <c r="DG15" i="20"/>
  <c r="GS15" i="20" s="1"/>
  <c r="GT14" i="20"/>
  <c r="GR14" i="20"/>
  <c r="GQ14" i="20"/>
  <c r="GP14" i="20"/>
  <c r="GO14" i="20"/>
  <c r="GN14" i="20"/>
  <c r="GM14" i="20"/>
  <c r="GL14" i="20"/>
  <c r="GK14" i="20"/>
  <c r="GJ14" i="20"/>
  <c r="GI14" i="20"/>
  <c r="GH14" i="20"/>
  <c r="GG14" i="20"/>
  <c r="GF14" i="20"/>
  <c r="GE14" i="20"/>
  <c r="GD14" i="20"/>
  <c r="GC14" i="20"/>
  <c r="GB14" i="20"/>
  <c r="GA14" i="20"/>
  <c r="FZ14" i="20"/>
  <c r="FY14" i="20"/>
  <c r="FX14" i="20"/>
  <c r="FW14" i="20"/>
  <c r="FV14" i="20"/>
  <c r="FU14" i="20"/>
  <c r="FT14" i="20"/>
  <c r="FS14" i="20"/>
  <c r="FR14" i="20"/>
  <c r="FQ14" i="20"/>
  <c r="FP14" i="20"/>
  <c r="FO14" i="20"/>
  <c r="FN14" i="20"/>
  <c r="FM14" i="20"/>
  <c r="FL14" i="20"/>
  <c r="FK14" i="20"/>
  <c r="FJ14" i="20"/>
  <c r="FI14" i="20"/>
  <c r="FH14" i="20"/>
  <c r="FG14" i="20"/>
  <c r="FF14" i="20"/>
  <c r="FE14" i="20"/>
  <c r="FD14" i="20"/>
  <c r="FC14" i="20"/>
  <c r="FB14" i="20"/>
  <c r="FA14" i="20"/>
  <c r="EZ14" i="20"/>
  <c r="EY14" i="20"/>
  <c r="EX14" i="20"/>
  <c r="EW14" i="20"/>
  <c r="EV14" i="20"/>
  <c r="EU14" i="20"/>
  <c r="ET14" i="20"/>
  <c r="ES14" i="20"/>
  <c r="ER14" i="20"/>
  <c r="EQ14" i="20"/>
  <c r="EP14" i="20"/>
  <c r="EO14" i="20"/>
  <c r="EN14" i="20"/>
  <c r="EM14" i="20"/>
  <c r="EL14" i="20"/>
  <c r="EK14" i="20"/>
  <c r="EJ14" i="20"/>
  <c r="EI14" i="20"/>
  <c r="EH14" i="20"/>
  <c r="EG14" i="20"/>
  <c r="EF14" i="20"/>
  <c r="EE14" i="20"/>
  <c r="ED14" i="20"/>
  <c r="EC14" i="20"/>
  <c r="EB14" i="20"/>
  <c r="EA14" i="20"/>
  <c r="DZ14" i="20"/>
  <c r="DY14" i="20"/>
  <c r="DX14" i="20"/>
  <c r="DW14" i="20"/>
  <c r="DV14" i="20"/>
  <c r="DU14" i="20"/>
  <c r="DT14" i="20"/>
  <c r="DS14" i="20"/>
  <c r="DR14" i="20"/>
  <c r="DQ14" i="20"/>
  <c r="DP14" i="20"/>
  <c r="DO14" i="20"/>
  <c r="DN14" i="20"/>
  <c r="DM14" i="20"/>
  <c r="DL14" i="20"/>
  <c r="DK14" i="20"/>
  <c r="DJ14" i="20"/>
  <c r="DI14" i="20"/>
  <c r="DH14" i="20"/>
  <c r="DG14" i="20"/>
  <c r="GS14" i="20" s="1"/>
  <c r="GT13" i="20"/>
  <c r="GR13" i="20"/>
  <c r="GQ13" i="20"/>
  <c r="GP13" i="20"/>
  <c r="GO13" i="20"/>
  <c r="GN13" i="20"/>
  <c r="GM13" i="20"/>
  <c r="GL13" i="20"/>
  <c r="GK13" i="20"/>
  <c r="GJ13" i="20"/>
  <c r="GI13" i="20"/>
  <c r="GH13" i="20"/>
  <c r="GG13" i="20"/>
  <c r="GF13" i="20"/>
  <c r="GE13" i="20"/>
  <c r="GD13" i="20"/>
  <c r="GC13" i="20"/>
  <c r="GB13" i="20"/>
  <c r="GA13" i="20"/>
  <c r="FZ13" i="20"/>
  <c r="FY13" i="20"/>
  <c r="FX13" i="20"/>
  <c r="FW13" i="20"/>
  <c r="FV13" i="20"/>
  <c r="FU13" i="20"/>
  <c r="FT13" i="20"/>
  <c r="FS13" i="20"/>
  <c r="FR13" i="20"/>
  <c r="FQ13" i="20"/>
  <c r="FP13" i="20"/>
  <c r="FO13" i="20"/>
  <c r="FN13" i="20"/>
  <c r="FM13" i="20"/>
  <c r="FL13" i="20"/>
  <c r="FK13" i="20"/>
  <c r="FJ13" i="20"/>
  <c r="FI13" i="20"/>
  <c r="FH13" i="20"/>
  <c r="FG13" i="20"/>
  <c r="FF13" i="20"/>
  <c r="FE13" i="20"/>
  <c r="FD13" i="20"/>
  <c r="FC13" i="20"/>
  <c r="FB13" i="20"/>
  <c r="FA13" i="20"/>
  <c r="EZ13" i="20"/>
  <c r="EY13" i="20"/>
  <c r="EX13" i="20"/>
  <c r="EW13" i="20"/>
  <c r="EV13" i="20"/>
  <c r="EU13" i="20"/>
  <c r="ET13" i="20"/>
  <c r="ES13" i="20"/>
  <c r="ER13" i="20"/>
  <c r="EQ13" i="20"/>
  <c r="EP13" i="20"/>
  <c r="EO13" i="20"/>
  <c r="EN13" i="20"/>
  <c r="EM13" i="20"/>
  <c r="EL13" i="20"/>
  <c r="EK13" i="20"/>
  <c r="EJ13" i="20"/>
  <c r="EI13" i="20"/>
  <c r="EH13" i="20"/>
  <c r="EG13" i="20"/>
  <c r="EF13" i="20"/>
  <c r="EE13" i="20"/>
  <c r="ED13" i="20"/>
  <c r="EC13" i="20"/>
  <c r="EB13" i="20"/>
  <c r="EA13" i="20"/>
  <c r="DZ13" i="20"/>
  <c r="DY13" i="20"/>
  <c r="DX13" i="20"/>
  <c r="DW13" i="20"/>
  <c r="DV13" i="20"/>
  <c r="DU13" i="20"/>
  <c r="DT13" i="20"/>
  <c r="DS13" i="20"/>
  <c r="DR13" i="20"/>
  <c r="DQ13" i="20"/>
  <c r="DP13" i="20"/>
  <c r="DO13" i="20"/>
  <c r="DN13" i="20"/>
  <c r="DM13" i="20"/>
  <c r="DL13" i="20"/>
  <c r="DK13" i="20"/>
  <c r="DJ13" i="20"/>
  <c r="DI13" i="20"/>
  <c r="DH13" i="20"/>
  <c r="DG13" i="20"/>
  <c r="GS13" i="20" s="1"/>
  <c r="GT12" i="20"/>
  <c r="GR12" i="20"/>
  <c r="GQ12" i="20"/>
  <c r="GP12" i="20"/>
  <c r="GO12" i="20"/>
  <c r="GN12" i="20"/>
  <c r="GM12" i="20"/>
  <c r="GL12" i="20"/>
  <c r="GK12" i="20"/>
  <c r="GJ12" i="20"/>
  <c r="GI12" i="20"/>
  <c r="GH12" i="20"/>
  <c r="GG12" i="20"/>
  <c r="GF12" i="20"/>
  <c r="GE12" i="20"/>
  <c r="GD12" i="20"/>
  <c r="GC12" i="20"/>
  <c r="GB12" i="20"/>
  <c r="GA12" i="20"/>
  <c r="FZ12" i="20"/>
  <c r="FY12" i="20"/>
  <c r="FX12" i="20"/>
  <c r="FW12" i="20"/>
  <c r="FV12" i="20"/>
  <c r="FU12" i="20"/>
  <c r="FT12" i="20"/>
  <c r="FS12" i="20"/>
  <c r="FR12" i="20"/>
  <c r="FQ12" i="20"/>
  <c r="FP12" i="20"/>
  <c r="FO12" i="20"/>
  <c r="FN12" i="20"/>
  <c r="FM12" i="20"/>
  <c r="FL12" i="20"/>
  <c r="FK12" i="20"/>
  <c r="FJ12" i="20"/>
  <c r="FI12" i="20"/>
  <c r="FH12" i="20"/>
  <c r="FG12" i="20"/>
  <c r="FF12" i="20"/>
  <c r="FE12" i="20"/>
  <c r="FD12" i="20"/>
  <c r="FC12" i="20"/>
  <c r="FB12" i="20"/>
  <c r="FA12" i="20"/>
  <c r="EZ12" i="20"/>
  <c r="EY12" i="20"/>
  <c r="EX12" i="20"/>
  <c r="EW12" i="20"/>
  <c r="EV12" i="20"/>
  <c r="EU12" i="20"/>
  <c r="ET12" i="20"/>
  <c r="ES12" i="20"/>
  <c r="ER12" i="20"/>
  <c r="EQ12" i="20"/>
  <c r="EP12" i="20"/>
  <c r="EO12" i="20"/>
  <c r="EN12" i="20"/>
  <c r="EM12" i="20"/>
  <c r="EL12" i="20"/>
  <c r="EK12" i="20"/>
  <c r="EJ12" i="20"/>
  <c r="EI12" i="20"/>
  <c r="EH12" i="20"/>
  <c r="EG12" i="20"/>
  <c r="EF12" i="20"/>
  <c r="EE12" i="20"/>
  <c r="ED12" i="20"/>
  <c r="EC12" i="20"/>
  <c r="EB12" i="20"/>
  <c r="EA12" i="20"/>
  <c r="DZ12" i="20"/>
  <c r="DY12" i="20"/>
  <c r="DX12" i="20"/>
  <c r="DW12" i="20"/>
  <c r="DV12" i="20"/>
  <c r="DU12" i="20"/>
  <c r="DT12" i="20"/>
  <c r="DS12" i="20"/>
  <c r="DR12" i="20"/>
  <c r="DQ12" i="20"/>
  <c r="DP12" i="20"/>
  <c r="DO12" i="20"/>
  <c r="DN12" i="20"/>
  <c r="DM12" i="20"/>
  <c r="DL12" i="20"/>
  <c r="DK12" i="20"/>
  <c r="DJ12" i="20"/>
  <c r="DI12" i="20"/>
  <c r="DH12" i="20"/>
  <c r="DG12" i="20"/>
  <c r="GS12" i="20" s="1"/>
  <c r="GT11" i="20"/>
  <c r="GR11" i="20"/>
  <c r="GQ11" i="20"/>
  <c r="GP11" i="20"/>
  <c r="GO11" i="20"/>
  <c r="GN11" i="20"/>
  <c r="GM11" i="20"/>
  <c r="GL11" i="20"/>
  <c r="GK11" i="20"/>
  <c r="GJ11" i="20"/>
  <c r="GI11" i="20"/>
  <c r="GH11" i="20"/>
  <c r="GG11" i="20"/>
  <c r="GF11" i="20"/>
  <c r="GE11" i="20"/>
  <c r="GD11" i="20"/>
  <c r="GC11" i="20"/>
  <c r="GB11" i="20"/>
  <c r="GA11" i="20"/>
  <c r="FZ11" i="20"/>
  <c r="FY11" i="20"/>
  <c r="FX11" i="20"/>
  <c r="FW11" i="20"/>
  <c r="FV11" i="20"/>
  <c r="FU11" i="20"/>
  <c r="FT11" i="20"/>
  <c r="FS11" i="20"/>
  <c r="FR11" i="20"/>
  <c r="FQ11" i="20"/>
  <c r="FP11" i="20"/>
  <c r="FO11" i="20"/>
  <c r="FN11" i="20"/>
  <c r="FM11" i="20"/>
  <c r="FL11" i="20"/>
  <c r="FK11" i="20"/>
  <c r="FJ11" i="20"/>
  <c r="FI11" i="20"/>
  <c r="FH11" i="20"/>
  <c r="FG11" i="20"/>
  <c r="FF11" i="20"/>
  <c r="FE11" i="20"/>
  <c r="FD11" i="20"/>
  <c r="FC11" i="20"/>
  <c r="FB11" i="20"/>
  <c r="FA11" i="20"/>
  <c r="EZ11" i="20"/>
  <c r="EY11" i="20"/>
  <c r="EX11" i="20"/>
  <c r="EW11" i="20"/>
  <c r="EV11" i="20"/>
  <c r="EU11" i="20"/>
  <c r="ET11" i="20"/>
  <c r="ES11" i="20"/>
  <c r="ER11" i="20"/>
  <c r="EQ11" i="20"/>
  <c r="EP11" i="20"/>
  <c r="EO11" i="20"/>
  <c r="EN11" i="20"/>
  <c r="EM11" i="20"/>
  <c r="EL11" i="20"/>
  <c r="EK11" i="20"/>
  <c r="EJ11" i="20"/>
  <c r="EI11" i="20"/>
  <c r="EH11" i="20"/>
  <c r="EG11" i="20"/>
  <c r="EF11" i="20"/>
  <c r="EE11" i="20"/>
  <c r="ED11" i="20"/>
  <c r="EC11" i="20"/>
  <c r="EB11" i="20"/>
  <c r="EA11" i="20"/>
  <c r="DZ11" i="20"/>
  <c r="DY11" i="20"/>
  <c r="DX11" i="20"/>
  <c r="DW11" i="20"/>
  <c r="DV11" i="20"/>
  <c r="DU11" i="20"/>
  <c r="DT11" i="20"/>
  <c r="DS11" i="20"/>
  <c r="DR11" i="20"/>
  <c r="DQ11" i="20"/>
  <c r="DP11" i="20"/>
  <c r="DO11" i="20"/>
  <c r="DN11" i="20"/>
  <c r="DM11" i="20"/>
  <c r="DL11" i="20"/>
  <c r="DK11" i="20"/>
  <c r="DJ11" i="20"/>
  <c r="DI11" i="20"/>
  <c r="DH11" i="20"/>
  <c r="DG11" i="20"/>
  <c r="GS11" i="20" s="1"/>
  <c r="GT8" i="20"/>
  <c r="GR8" i="20"/>
  <c r="GQ8" i="20"/>
  <c r="GP8" i="20"/>
  <c r="GO8" i="20"/>
  <c r="GN8" i="20"/>
  <c r="GM8" i="20"/>
  <c r="GL8" i="20"/>
  <c r="GK8" i="20"/>
  <c r="GJ8" i="20"/>
  <c r="GI8" i="20"/>
  <c r="GH8" i="20"/>
  <c r="GG8" i="20"/>
  <c r="GF8" i="20"/>
  <c r="GE8" i="20"/>
  <c r="GD8" i="20"/>
  <c r="GC8" i="20"/>
  <c r="GB8" i="20"/>
  <c r="GA8" i="20"/>
  <c r="FZ8" i="20"/>
  <c r="FY8" i="20"/>
  <c r="FX8" i="20"/>
  <c r="FW8" i="20"/>
  <c r="FV8" i="20"/>
  <c r="FU8" i="20"/>
  <c r="FT8" i="20"/>
  <c r="FS8" i="20"/>
  <c r="FR8" i="20"/>
  <c r="FQ8" i="20"/>
  <c r="FP8" i="20"/>
  <c r="FO8" i="20"/>
  <c r="FN8" i="20"/>
  <c r="FM8" i="20"/>
  <c r="FL8" i="20"/>
  <c r="FK8" i="20"/>
  <c r="FJ8" i="20"/>
  <c r="FI8" i="20"/>
  <c r="FH8" i="20"/>
  <c r="FG8" i="20"/>
  <c r="FF8" i="20"/>
  <c r="FE8" i="20"/>
  <c r="FD8" i="20"/>
  <c r="FC8" i="20"/>
  <c r="FB8" i="20"/>
  <c r="FA8" i="20"/>
  <c r="EZ8" i="20"/>
  <c r="EY8" i="20"/>
  <c r="EX8" i="20"/>
  <c r="EW8" i="20"/>
  <c r="EV8" i="20"/>
  <c r="EU8" i="20"/>
  <c r="ET8" i="20"/>
  <c r="ES8" i="20"/>
  <c r="ER8" i="20"/>
  <c r="EQ8" i="20"/>
  <c r="EP8" i="20"/>
  <c r="EO8" i="20"/>
  <c r="EN8" i="20"/>
  <c r="EM8" i="20"/>
  <c r="EL8" i="20"/>
  <c r="EK8" i="20"/>
  <c r="EJ8" i="20"/>
  <c r="EI8" i="20"/>
  <c r="EH8" i="20"/>
  <c r="EG8" i="20"/>
  <c r="EF8" i="20"/>
  <c r="EE8" i="20"/>
  <c r="ED8" i="20"/>
  <c r="EC8" i="20"/>
  <c r="EB8" i="20"/>
  <c r="EA8" i="20"/>
  <c r="DZ8" i="20"/>
  <c r="DY8" i="20"/>
  <c r="DX8" i="20"/>
  <c r="DW8" i="20"/>
  <c r="DV8" i="20"/>
  <c r="DU8" i="20"/>
  <c r="DT8" i="20"/>
  <c r="DS8" i="20"/>
  <c r="DR8" i="20"/>
  <c r="DQ8" i="20"/>
  <c r="DP8" i="20"/>
  <c r="DO8" i="20"/>
  <c r="DN8" i="20"/>
  <c r="DM8" i="20"/>
  <c r="DL8" i="20"/>
  <c r="DK8" i="20"/>
  <c r="DJ8" i="20"/>
  <c r="DI8" i="20"/>
  <c r="DH8" i="20"/>
  <c r="DG8" i="20"/>
  <c r="GS8" i="20" s="1"/>
  <c r="AY7" i="20"/>
  <c r="AZ7" i="20" s="1"/>
  <c r="BA7" i="20" s="1"/>
  <c r="BB7" i="20" s="1"/>
  <c r="BC7" i="20" s="1"/>
  <c r="BD7" i="20" s="1"/>
  <c r="BE7" i="20" s="1"/>
  <c r="BF7" i="20" s="1"/>
  <c r="BG7" i="20" s="1"/>
  <c r="BH7" i="20" s="1"/>
  <c r="BI7" i="20" s="1"/>
  <c r="BJ7" i="20" s="1"/>
  <c r="BK7" i="20" s="1"/>
  <c r="BL7" i="20" s="1"/>
  <c r="BM7" i="20" s="1"/>
  <c r="BN7" i="20" s="1"/>
  <c r="BO7" i="20" s="1"/>
  <c r="BP7" i="20" s="1"/>
  <c r="BQ7" i="20" s="1"/>
  <c r="BR7" i="20" s="1"/>
  <c r="BS7" i="20" s="1"/>
  <c r="BT7" i="20" s="1"/>
  <c r="BU7" i="20" s="1"/>
  <c r="BV7" i="20" s="1"/>
  <c r="BW7" i="20" s="1"/>
  <c r="BX7" i="20" s="1"/>
  <c r="BY7" i="20" s="1"/>
  <c r="BZ7" i="20" s="1"/>
  <c r="CA7" i="20" s="1"/>
  <c r="CB7" i="20" s="1"/>
  <c r="CC7" i="20" s="1"/>
  <c r="CD7" i="20" s="1"/>
  <c r="CE7" i="20" s="1"/>
  <c r="CF7" i="20" s="1"/>
  <c r="CG7" i="20" s="1"/>
  <c r="CH7" i="20" s="1"/>
  <c r="CI7" i="20" s="1"/>
  <c r="CJ7" i="20" s="1"/>
  <c r="CK7" i="20" s="1"/>
  <c r="CL7" i="20" s="1"/>
  <c r="CM7" i="20" s="1"/>
  <c r="CN7" i="20" s="1"/>
  <c r="CO7" i="20" s="1"/>
  <c r="CP7" i="20" s="1"/>
  <c r="CQ7" i="20" s="1"/>
  <c r="CR7" i="20" s="1"/>
  <c r="CS7" i="20" s="1"/>
  <c r="CT7" i="20" s="1"/>
  <c r="CU7" i="20" s="1"/>
  <c r="CV7" i="20" s="1"/>
  <c r="CW7" i="20" s="1"/>
  <c r="CX7" i="20" s="1"/>
  <c r="CY7" i="20" s="1"/>
  <c r="CZ7" i="20" s="1"/>
  <c r="DA7" i="20" s="1"/>
  <c r="DB7" i="20" s="1"/>
  <c r="DC7" i="20" s="1"/>
  <c r="DD7" i="20" s="1"/>
  <c r="DE7" i="20" s="1"/>
  <c r="DF7" i="20" s="1"/>
  <c r="DG20" i="19"/>
  <c r="DF20" i="19"/>
  <c r="DE20" i="19"/>
  <c r="DD20" i="19"/>
  <c r="DC20" i="19"/>
  <c r="DB20" i="19"/>
  <c r="DA20" i="19"/>
  <c r="CZ20" i="19"/>
  <c r="CY20" i="19"/>
  <c r="CX20" i="19"/>
  <c r="CW20" i="19"/>
  <c r="CV20" i="19"/>
  <c r="CU20" i="19"/>
  <c r="CT20" i="19"/>
  <c r="CS20" i="19"/>
  <c r="CR20" i="19"/>
  <c r="CQ20" i="19"/>
  <c r="CP20" i="19"/>
  <c r="CO20" i="19"/>
  <c r="CN20" i="19"/>
  <c r="CM20" i="19"/>
  <c r="CL20" i="19"/>
  <c r="CK20" i="19"/>
  <c r="CJ20" i="19"/>
  <c r="CI20" i="19"/>
  <c r="CH20" i="19"/>
  <c r="CG20" i="19"/>
  <c r="CF20" i="19"/>
  <c r="CE20" i="19"/>
  <c r="CD20" i="19"/>
  <c r="CC20" i="19"/>
  <c r="CA20" i="19"/>
  <c r="BZ20" i="19"/>
  <c r="BY20" i="19"/>
  <c r="BX20" i="19"/>
  <c r="BW20" i="19"/>
  <c r="BV20" i="19"/>
  <c r="BU20" i="19"/>
  <c r="BT20" i="19"/>
  <c r="BS20" i="19"/>
  <c r="BR20" i="19"/>
  <c r="BP20" i="19"/>
  <c r="BO20" i="19"/>
  <c r="BN20" i="19"/>
  <c r="BM20" i="19"/>
  <c r="BL20" i="19"/>
  <c r="BK20" i="19"/>
  <c r="BJ20" i="19"/>
  <c r="BI20" i="19"/>
  <c r="BH20" i="19"/>
  <c r="BG20" i="19"/>
  <c r="BF20" i="19"/>
  <c r="BD20"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16" i="19"/>
  <c r="GU15" i="19"/>
  <c r="GT15" i="19"/>
  <c r="GS15" i="19"/>
  <c r="GR15" i="19"/>
  <c r="GQ15" i="19"/>
  <c r="GP15" i="19"/>
  <c r="GO15" i="19"/>
  <c r="GN15" i="19"/>
  <c r="GM15" i="19"/>
  <c r="GL15" i="19"/>
  <c r="GK15" i="19"/>
  <c r="GJ15" i="19"/>
  <c r="GI15" i="19"/>
  <c r="GH15" i="19"/>
  <c r="GG15" i="19"/>
  <c r="GF15" i="19"/>
  <c r="GE15" i="19"/>
  <c r="GD15" i="19"/>
  <c r="GC15" i="19"/>
  <c r="GB15" i="19"/>
  <c r="GA15" i="19"/>
  <c r="FZ15" i="19"/>
  <c r="FY15" i="19"/>
  <c r="FX15" i="19"/>
  <c r="FW15" i="19"/>
  <c r="FV15" i="19"/>
  <c r="FU15" i="19"/>
  <c r="FT15" i="19"/>
  <c r="FS15" i="19"/>
  <c r="FR15" i="19"/>
  <c r="FQ15" i="19"/>
  <c r="FP15" i="19"/>
  <c r="FO15" i="19"/>
  <c r="FN15" i="19"/>
  <c r="FM15" i="19"/>
  <c r="FL15" i="19"/>
  <c r="FK15" i="19"/>
  <c r="FJ15" i="19"/>
  <c r="FI15" i="19"/>
  <c r="FH15" i="19"/>
  <c r="FG15" i="19"/>
  <c r="FF15" i="19"/>
  <c r="FE15" i="19"/>
  <c r="FD15" i="19"/>
  <c r="FC15" i="19"/>
  <c r="FB15" i="19"/>
  <c r="FA15" i="19"/>
  <c r="EZ15" i="19"/>
  <c r="EY15" i="19"/>
  <c r="EX15" i="19"/>
  <c r="EW15" i="19"/>
  <c r="EV15" i="19"/>
  <c r="EU15" i="19"/>
  <c r="ET15" i="19"/>
  <c r="ES15" i="19"/>
  <c r="ER15" i="19"/>
  <c r="EQ15" i="19"/>
  <c r="EP15" i="19"/>
  <c r="EO15" i="19"/>
  <c r="EN15" i="19"/>
  <c r="EM15" i="19"/>
  <c r="EL15" i="19"/>
  <c r="EK15" i="19"/>
  <c r="EJ15" i="19"/>
  <c r="EI15" i="19"/>
  <c r="EH15" i="19"/>
  <c r="EG15" i="19"/>
  <c r="EF15" i="19"/>
  <c r="EE15" i="19"/>
  <c r="ED15" i="19"/>
  <c r="EC15" i="19"/>
  <c r="EB15" i="19"/>
  <c r="EA15" i="19"/>
  <c r="DZ15" i="19"/>
  <c r="DY15" i="19"/>
  <c r="DX15" i="19"/>
  <c r="DW15" i="19"/>
  <c r="DV15" i="19"/>
  <c r="DU15" i="19"/>
  <c r="DT15" i="19"/>
  <c r="DS15" i="19"/>
  <c r="DR15" i="19"/>
  <c r="DQ15" i="19"/>
  <c r="DP15" i="19"/>
  <c r="DO15" i="19"/>
  <c r="DN15" i="19"/>
  <c r="DM15" i="19"/>
  <c r="DL15" i="19"/>
  <c r="DK15" i="19"/>
  <c r="DJ15" i="19"/>
  <c r="DI15" i="19"/>
  <c r="DH15" i="19"/>
  <c r="GU14" i="19"/>
  <c r="GT14" i="19"/>
  <c r="GS14" i="19"/>
  <c r="GR14" i="19"/>
  <c r="GQ14" i="19"/>
  <c r="GP14" i="19"/>
  <c r="GO14" i="19"/>
  <c r="GN14" i="19"/>
  <c r="GM14" i="19"/>
  <c r="GL14" i="19"/>
  <c r="GK14" i="19"/>
  <c r="GJ14" i="19"/>
  <c r="GI14" i="19"/>
  <c r="GH14" i="19"/>
  <c r="GG14" i="19"/>
  <c r="GF14" i="19"/>
  <c r="GE14" i="19"/>
  <c r="GD14" i="19"/>
  <c r="GC14" i="19"/>
  <c r="GB14" i="19"/>
  <c r="GA14" i="19"/>
  <c r="FZ14" i="19"/>
  <c r="FY14" i="19"/>
  <c r="FX14" i="19"/>
  <c r="FW14" i="19"/>
  <c r="FV14" i="19"/>
  <c r="FU14" i="19"/>
  <c r="FT14" i="19"/>
  <c r="FS14" i="19"/>
  <c r="FR14" i="19"/>
  <c r="FQ14" i="19"/>
  <c r="FP14" i="19"/>
  <c r="FO14" i="19"/>
  <c r="FN14" i="19"/>
  <c r="FM14" i="19"/>
  <c r="FL14" i="19"/>
  <c r="FK14" i="19"/>
  <c r="FJ14" i="19"/>
  <c r="FI14" i="19"/>
  <c r="FH14" i="19"/>
  <c r="FG14" i="19"/>
  <c r="FF14" i="19"/>
  <c r="FE14" i="19"/>
  <c r="FD14" i="19"/>
  <c r="FC14" i="19"/>
  <c r="FB14" i="19"/>
  <c r="FA14" i="19"/>
  <c r="EZ14" i="19"/>
  <c r="EY14" i="19"/>
  <c r="EX14" i="19"/>
  <c r="EW14" i="19"/>
  <c r="EV14" i="19"/>
  <c r="EU14" i="19"/>
  <c r="ET14" i="19"/>
  <c r="ES14" i="19"/>
  <c r="ER14" i="19"/>
  <c r="EQ14" i="19"/>
  <c r="EP14" i="19"/>
  <c r="EO14" i="19"/>
  <c r="EN14" i="19"/>
  <c r="EM14" i="19"/>
  <c r="EL14" i="19"/>
  <c r="EK14" i="19"/>
  <c r="EJ14" i="19"/>
  <c r="EI14" i="19"/>
  <c r="EH14" i="19"/>
  <c r="EG14" i="19"/>
  <c r="EF14" i="19"/>
  <c r="EE14" i="19"/>
  <c r="ED14" i="19"/>
  <c r="EC14" i="19"/>
  <c r="EB14" i="19"/>
  <c r="EA14" i="19"/>
  <c r="DZ14" i="19"/>
  <c r="DY14" i="19"/>
  <c r="DX14" i="19"/>
  <c r="DW14" i="19"/>
  <c r="DV14" i="19"/>
  <c r="DU14" i="19"/>
  <c r="DT14" i="19"/>
  <c r="DS14" i="19"/>
  <c r="DR14" i="19"/>
  <c r="DQ14" i="19"/>
  <c r="DP14" i="19"/>
  <c r="DO14" i="19"/>
  <c r="DN14" i="19"/>
  <c r="DM14" i="19"/>
  <c r="DL14" i="19"/>
  <c r="DK14" i="19"/>
  <c r="DJ14" i="19"/>
  <c r="DI14" i="19"/>
  <c r="DH14" i="19"/>
  <c r="GU13" i="19"/>
  <c r="GT13" i="19"/>
  <c r="GS13" i="19"/>
  <c r="GR13" i="19"/>
  <c r="GQ13" i="19"/>
  <c r="GP13" i="19"/>
  <c r="GO13" i="19"/>
  <c r="GN13" i="19"/>
  <c r="GM13" i="19"/>
  <c r="GL13" i="19"/>
  <c r="GK13" i="19"/>
  <c r="GJ13" i="19"/>
  <c r="GI13" i="19"/>
  <c r="GH13" i="19"/>
  <c r="GG13" i="19"/>
  <c r="GF13" i="19"/>
  <c r="GE13" i="19"/>
  <c r="GD13" i="19"/>
  <c r="GC13" i="19"/>
  <c r="GB13" i="19"/>
  <c r="GA13" i="19"/>
  <c r="FZ13" i="19"/>
  <c r="FY13" i="19"/>
  <c r="FX13" i="19"/>
  <c r="FW13" i="19"/>
  <c r="FV13" i="19"/>
  <c r="FU13" i="19"/>
  <c r="FT13" i="19"/>
  <c r="FS13" i="19"/>
  <c r="FR13" i="19"/>
  <c r="FQ13" i="19"/>
  <c r="FP13" i="19"/>
  <c r="FO13" i="19"/>
  <c r="FN13" i="19"/>
  <c r="FM13" i="19"/>
  <c r="FL13" i="19"/>
  <c r="FK13" i="19"/>
  <c r="FJ13" i="19"/>
  <c r="FI13" i="19"/>
  <c r="FH13" i="19"/>
  <c r="FG13" i="19"/>
  <c r="FF13" i="19"/>
  <c r="FE13" i="19"/>
  <c r="FD13" i="19"/>
  <c r="FC13" i="19"/>
  <c r="FB13" i="19"/>
  <c r="FA13" i="19"/>
  <c r="EZ13" i="19"/>
  <c r="EY13" i="19"/>
  <c r="EX13" i="19"/>
  <c r="EW13" i="19"/>
  <c r="EV13" i="19"/>
  <c r="EU13" i="19"/>
  <c r="ET13" i="19"/>
  <c r="ES13" i="19"/>
  <c r="ER13" i="19"/>
  <c r="EQ13" i="19"/>
  <c r="EP13" i="19"/>
  <c r="EO13" i="19"/>
  <c r="EN13" i="19"/>
  <c r="EM13" i="19"/>
  <c r="EL13" i="19"/>
  <c r="EK13" i="19"/>
  <c r="EJ13" i="19"/>
  <c r="EI13" i="19"/>
  <c r="EH13" i="19"/>
  <c r="EG13" i="19"/>
  <c r="EF13" i="19"/>
  <c r="EE13" i="19"/>
  <c r="ED13" i="19"/>
  <c r="EC13" i="19"/>
  <c r="EB13" i="19"/>
  <c r="EA13" i="19"/>
  <c r="DZ13" i="19"/>
  <c r="DY13" i="19"/>
  <c r="DX13" i="19"/>
  <c r="DW13" i="19"/>
  <c r="DV13" i="19"/>
  <c r="DU13" i="19"/>
  <c r="DT13" i="19"/>
  <c r="DS13" i="19"/>
  <c r="DR13" i="19"/>
  <c r="DQ13" i="19"/>
  <c r="DP13" i="19"/>
  <c r="DO13" i="19"/>
  <c r="DN13" i="19"/>
  <c r="DM13" i="19"/>
  <c r="DL13" i="19"/>
  <c r="DK13" i="19"/>
  <c r="DJ13" i="19"/>
  <c r="DI13" i="19"/>
  <c r="DH13" i="19"/>
  <c r="GU12" i="19"/>
  <c r="GT12" i="19"/>
  <c r="GS12" i="19"/>
  <c r="GR12" i="19"/>
  <c r="GQ12" i="19"/>
  <c r="GP12" i="19"/>
  <c r="GO12" i="19"/>
  <c r="GN12" i="19"/>
  <c r="GM12" i="19"/>
  <c r="GL12" i="19"/>
  <c r="GK12" i="19"/>
  <c r="GJ12" i="19"/>
  <c r="GI12" i="19"/>
  <c r="GH12" i="19"/>
  <c r="GG12" i="19"/>
  <c r="GF12" i="19"/>
  <c r="GE12" i="19"/>
  <c r="GD12" i="19"/>
  <c r="GC12" i="19"/>
  <c r="GB12" i="19"/>
  <c r="GA12" i="19"/>
  <c r="FZ12" i="19"/>
  <c r="FY12" i="19"/>
  <c r="FX12" i="19"/>
  <c r="FW12" i="19"/>
  <c r="FV12" i="19"/>
  <c r="FU12" i="19"/>
  <c r="FT12" i="19"/>
  <c r="FS12" i="19"/>
  <c r="FR12" i="19"/>
  <c r="FQ12" i="19"/>
  <c r="FP12" i="19"/>
  <c r="FO12" i="19"/>
  <c r="FN12" i="19"/>
  <c r="FM12" i="19"/>
  <c r="FL12" i="19"/>
  <c r="FK12" i="19"/>
  <c r="FJ12" i="19"/>
  <c r="FI12" i="19"/>
  <c r="FH12" i="19"/>
  <c r="FG12" i="19"/>
  <c r="FF12" i="19"/>
  <c r="FE12" i="19"/>
  <c r="FD12" i="19"/>
  <c r="FC12" i="19"/>
  <c r="FB12" i="19"/>
  <c r="FA12" i="19"/>
  <c r="EZ12" i="19"/>
  <c r="EY12" i="19"/>
  <c r="EX12" i="19"/>
  <c r="EW12" i="19"/>
  <c r="EV12" i="19"/>
  <c r="EU12" i="19"/>
  <c r="ET12" i="19"/>
  <c r="ES12" i="19"/>
  <c r="ER12" i="19"/>
  <c r="EQ12" i="19"/>
  <c r="EP12" i="19"/>
  <c r="EO12" i="19"/>
  <c r="EN12" i="19"/>
  <c r="EM12" i="19"/>
  <c r="EL12" i="19"/>
  <c r="EK12" i="19"/>
  <c r="EJ12" i="19"/>
  <c r="EI12" i="19"/>
  <c r="EH12" i="19"/>
  <c r="EG12" i="19"/>
  <c r="EF12" i="19"/>
  <c r="EE12" i="19"/>
  <c r="ED12" i="19"/>
  <c r="EC12" i="19"/>
  <c r="EB12" i="19"/>
  <c r="EA12" i="19"/>
  <c r="DZ12" i="19"/>
  <c r="DY12" i="19"/>
  <c r="DX12" i="19"/>
  <c r="DW12" i="19"/>
  <c r="DV12" i="19"/>
  <c r="DU12" i="19"/>
  <c r="DT12" i="19"/>
  <c r="DS12" i="19"/>
  <c r="DR12" i="19"/>
  <c r="DQ12" i="19"/>
  <c r="DP12" i="19"/>
  <c r="DO12" i="19"/>
  <c r="DN12" i="19"/>
  <c r="DM12" i="19"/>
  <c r="DL12" i="19"/>
  <c r="DK12" i="19"/>
  <c r="DJ12" i="19"/>
  <c r="DI12" i="19"/>
  <c r="DH12" i="19"/>
  <c r="GU11" i="19"/>
  <c r="GT11" i="19"/>
  <c r="GS11" i="19"/>
  <c r="GR11" i="19"/>
  <c r="GQ11" i="19"/>
  <c r="GP11" i="19"/>
  <c r="GO11" i="19"/>
  <c r="GN11" i="19"/>
  <c r="GM11" i="19"/>
  <c r="GL11" i="19"/>
  <c r="GK11" i="19"/>
  <c r="GJ11" i="19"/>
  <c r="GI11" i="19"/>
  <c r="GH11" i="19"/>
  <c r="GG11" i="19"/>
  <c r="GF11" i="19"/>
  <c r="GE11" i="19"/>
  <c r="GD11" i="19"/>
  <c r="GC11" i="19"/>
  <c r="GB11" i="19"/>
  <c r="GA11" i="19"/>
  <c r="FZ11" i="19"/>
  <c r="FY11" i="19"/>
  <c r="FX11" i="19"/>
  <c r="FW11" i="19"/>
  <c r="FV11" i="19"/>
  <c r="FU11" i="19"/>
  <c r="FT11" i="19"/>
  <c r="FS11" i="19"/>
  <c r="FR11" i="19"/>
  <c r="FQ11" i="19"/>
  <c r="FP11" i="19"/>
  <c r="FO11" i="19"/>
  <c r="FN11" i="19"/>
  <c r="FM11" i="19"/>
  <c r="FL11" i="19"/>
  <c r="FK11" i="19"/>
  <c r="FJ11" i="19"/>
  <c r="FI11" i="19"/>
  <c r="FH11" i="19"/>
  <c r="FG11" i="19"/>
  <c r="FF11" i="19"/>
  <c r="FE11" i="19"/>
  <c r="FD11" i="19"/>
  <c r="FC11" i="19"/>
  <c r="FB11" i="19"/>
  <c r="FA11" i="19"/>
  <c r="EZ11" i="19"/>
  <c r="EY11" i="19"/>
  <c r="EX11" i="19"/>
  <c r="EW11" i="19"/>
  <c r="EV11" i="19"/>
  <c r="EU11" i="19"/>
  <c r="ET11" i="19"/>
  <c r="ES11" i="19"/>
  <c r="ER11" i="19"/>
  <c r="EQ11" i="19"/>
  <c r="EP11" i="19"/>
  <c r="EO11" i="19"/>
  <c r="EN11" i="19"/>
  <c r="EM11" i="19"/>
  <c r="EL11" i="19"/>
  <c r="EK11" i="19"/>
  <c r="EJ11" i="19"/>
  <c r="EI11" i="19"/>
  <c r="EH11" i="19"/>
  <c r="EG11" i="19"/>
  <c r="EF11" i="19"/>
  <c r="EE11" i="19"/>
  <c r="ED11" i="19"/>
  <c r="EC11" i="19"/>
  <c r="EB11" i="19"/>
  <c r="EA11" i="19"/>
  <c r="DZ11" i="19"/>
  <c r="DY11" i="19"/>
  <c r="DX11" i="19"/>
  <c r="DW11" i="19"/>
  <c r="DV11" i="19"/>
  <c r="DU11" i="19"/>
  <c r="DT11" i="19"/>
  <c r="DS11" i="19"/>
  <c r="DR11" i="19"/>
  <c r="DQ11" i="19"/>
  <c r="DP11" i="19"/>
  <c r="DO11" i="19"/>
  <c r="DN11" i="19"/>
  <c r="DM11" i="19"/>
  <c r="DL11" i="19"/>
  <c r="DK11" i="19"/>
  <c r="DJ11" i="19"/>
  <c r="DI11" i="19"/>
  <c r="DH11" i="19"/>
  <c r="GU9" i="19"/>
  <c r="GT9" i="19"/>
  <c r="GS9" i="19"/>
  <c r="GR9" i="19"/>
  <c r="GQ9" i="19"/>
  <c r="GP9" i="19"/>
  <c r="GO9" i="19"/>
  <c r="GN9" i="19"/>
  <c r="GM9" i="19"/>
  <c r="GL9" i="19"/>
  <c r="GK9" i="19"/>
  <c r="GJ9" i="19"/>
  <c r="GI9" i="19"/>
  <c r="GH9" i="19"/>
  <c r="GG9" i="19"/>
  <c r="GF9" i="19"/>
  <c r="GE9" i="19"/>
  <c r="GD9" i="19"/>
  <c r="GC9" i="19"/>
  <c r="GB9" i="19"/>
  <c r="GA9" i="19"/>
  <c r="FZ9" i="19"/>
  <c r="FY9" i="19"/>
  <c r="FX9" i="19"/>
  <c r="FW9" i="19"/>
  <c r="FV9" i="19"/>
  <c r="FU9" i="19"/>
  <c r="FT9" i="19"/>
  <c r="FS9" i="19"/>
  <c r="FR9" i="19"/>
  <c r="FQ9" i="19"/>
  <c r="FP9" i="19"/>
  <c r="FO9" i="19"/>
  <c r="FN9" i="19"/>
  <c r="FM9" i="19"/>
  <c r="FL9" i="19"/>
  <c r="FK9" i="19"/>
  <c r="FJ9" i="19"/>
  <c r="FI9" i="19"/>
  <c r="FH9" i="19"/>
  <c r="FG9" i="19"/>
  <c r="FF9" i="19"/>
  <c r="FE9" i="19"/>
  <c r="FD9" i="19"/>
  <c r="FC9" i="19"/>
  <c r="FB9" i="19"/>
  <c r="FA9" i="19"/>
  <c r="EZ9" i="19"/>
  <c r="EY9" i="19"/>
  <c r="EX9" i="19"/>
  <c r="EW9" i="19"/>
  <c r="EV9" i="19"/>
  <c r="EU9" i="19"/>
  <c r="ET9" i="19"/>
  <c r="ES9" i="19"/>
  <c r="ER9" i="19"/>
  <c r="EQ9" i="19"/>
  <c r="EP9" i="19"/>
  <c r="EO9" i="19"/>
  <c r="EN9" i="19"/>
  <c r="EM9" i="19"/>
  <c r="EL9" i="19"/>
  <c r="EK9" i="19"/>
  <c r="EJ9" i="19"/>
  <c r="EI9" i="19"/>
  <c r="EH9" i="19"/>
  <c r="EG9" i="19"/>
  <c r="EF9" i="19"/>
  <c r="EE9" i="19"/>
  <c r="ED9" i="19"/>
  <c r="EC9" i="19"/>
  <c r="EB9" i="19"/>
  <c r="EA9" i="19"/>
  <c r="DZ9" i="19"/>
  <c r="DY9" i="19"/>
  <c r="DX9" i="19"/>
  <c r="DW9" i="19"/>
  <c r="DV9" i="19"/>
  <c r="DU9" i="19"/>
  <c r="DT9" i="19"/>
  <c r="DS9" i="19"/>
  <c r="DR9" i="19"/>
  <c r="DQ9" i="19"/>
  <c r="DP9" i="19"/>
  <c r="DO9" i="19"/>
  <c r="DN9" i="19"/>
  <c r="DM9" i="19"/>
  <c r="DL9" i="19"/>
  <c r="DK9" i="19"/>
  <c r="DJ9" i="19"/>
  <c r="DI9" i="19"/>
  <c r="DH9" i="19"/>
  <c r="GU8" i="19"/>
  <c r="GT8" i="19"/>
  <c r="GS8" i="19"/>
  <c r="GR8" i="19"/>
  <c r="GQ8" i="19"/>
  <c r="GP8" i="19"/>
  <c r="GO8" i="19"/>
  <c r="GN8" i="19"/>
  <c r="GM8" i="19"/>
  <c r="GL8" i="19"/>
  <c r="GK8" i="19"/>
  <c r="GJ8" i="19"/>
  <c r="GI8" i="19"/>
  <c r="GH8" i="19"/>
  <c r="GG8" i="19"/>
  <c r="GF8" i="19"/>
  <c r="GE8" i="19"/>
  <c r="GD8" i="19"/>
  <c r="GC8" i="19"/>
  <c r="GB8" i="19"/>
  <c r="GA8" i="19"/>
  <c r="FZ8" i="19"/>
  <c r="FY8" i="19"/>
  <c r="FX8" i="19"/>
  <c r="FW8" i="19"/>
  <c r="FV8" i="19"/>
  <c r="FU8" i="19"/>
  <c r="FT8" i="19"/>
  <c r="FS8" i="19"/>
  <c r="FR8" i="19"/>
  <c r="FQ8" i="19"/>
  <c r="FP8" i="19"/>
  <c r="FO8" i="19"/>
  <c r="FN8" i="19"/>
  <c r="FM8" i="19"/>
  <c r="FL8" i="19"/>
  <c r="FK8" i="19"/>
  <c r="FJ8" i="19"/>
  <c r="FI8" i="19"/>
  <c r="FH8" i="19"/>
  <c r="FG8" i="19"/>
  <c r="FF8" i="19"/>
  <c r="FE8" i="19"/>
  <c r="FD8" i="19"/>
  <c r="FC8" i="19"/>
  <c r="FB8" i="19"/>
  <c r="FA8" i="19"/>
  <c r="EZ8" i="19"/>
  <c r="EY8" i="19"/>
  <c r="EX8" i="19"/>
  <c r="EW8" i="19"/>
  <c r="EV8" i="19"/>
  <c r="EU8" i="19"/>
  <c r="ET8" i="19"/>
  <c r="ES8" i="19"/>
  <c r="ER8" i="19"/>
  <c r="EQ8" i="19"/>
  <c r="EP8" i="19"/>
  <c r="EO8" i="19"/>
  <c r="EN8" i="19"/>
  <c r="EM8" i="19"/>
  <c r="EL8" i="19"/>
  <c r="EK8" i="19"/>
  <c r="EJ8" i="19"/>
  <c r="EI8" i="19"/>
  <c r="EH8" i="19"/>
  <c r="EG8" i="19"/>
  <c r="EF8" i="19"/>
  <c r="EE8" i="19"/>
  <c r="ED8" i="19"/>
  <c r="EC8" i="19"/>
  <c r="EB8" i="19"/>
  <c r="EA8" i="19"/>
  <c r="DZ8" i="19"/>
  <c r="DY8" i="19"/>
  <c r="DX8" i="19"/>
  <c r="DW8" i="19"/>
  <c r="DV8" i="19"/>
  <c r="DU8" i="19"/>
  <c r="DT8" i="19"/>
  <c r="DS8" i="19"/>
  <c r="DR8" i="19"/>
  <c r="DQ8" i="19"/>
  <c r="DP8" i="19"/>
  <c r="DO8" i="19"/>
  <c r="DN8" i="19"/>
  <c r="DM8" i="19"/>
  <c r="DL8" i="19"/>
  <c r="DK8" i="19"/>
  <c r="DJ8" i="19"/>
  <c r="DI8" i="19"/>
  <c r="DH8" i="19"/>
  <c r="GU7" i="19"/>
  <c r="GT7" i="19"/>
  <c r="GS7" i="19"/>
  <c r="GR7" i="19"/>
  <c r="GQ7" i="19"/>
  <c r="GP7" i="19"/>
  <c r="GO7" i="19"/>
  <c r="GN7" i="19"/>
  <c r="GM7" i="19"/>
  <c r="GL7" i="19"/>
  <c r="GK7" i="19"/>
  <c r="GJ7" i="19"/>
  <c r="GI7" i="19"/>
  <c r="GH7" i="19"/>
  <c r="GG7" i="19"/>
  <c r="GF7" i="19"/>
  <c r="GE7" i="19"/>
  <c r="GD7" i="19"/>
  <c r="GC7" i="19"/>
  <c r="GB7" i="19"/>
  <c r="GA7" i="19"/>
  <c r="FZ7" i="19"/>
  <c r="FY7" i="19"/>
  <c r="FX7" i="19"/>
  <c r="FW7" i="19"/>
  <c r="FV7" i="19"/>
  <c r="FU7" i="19"/>
  <c r="FT7" i="19"/>
  <c r="FS7" i="19"/>
  <c r="FR7" i="19"/>
  <c r="FQ7" i="19"/>
  <c r="FP7" i="19"/>
  <c r="FO7" i="19"/>
  <c r="FN7" i="19"/>
  <c r="FM7" i="19"/>
  <c r="FL7" i="19"/>
  <c r="FK7" i="19"/>
  <c r="FJ7" i="19"/>
  <c r="FI7" i="19"/>
  <c r="FH7" i="19"/>
  <c r="FG7" i="19"/>
  <c r="FF7" i="19"/>
  <c r="FE7" i="19"/>
  <c r="FD7" i="19"/>
  <c r="FC7" i="19"/>
  <c r="FB7" i="19"/>
  <c r="FA7" i="19"/>
  <c r="EZ7" i="19"/>
  <c r="EY7" i="19"/>
  <c r="EX7" i="19"/>
  <c r="EW7" i="19"/>
  <c r="EV7" i="19"/>
  <c r="EU7" i="19"/>
  <c r="ET7" i="19"/>
  <c r="ES7" i="19"/>
  <c r="ER7" i="19"/>
  <c r="EQ7" i="19"/>
  <c r="EP7" i="19"/>
  <c r="EO7" i="19"/>
  <c r="EN7" i="19"/>
  <c r="EM7" i="19"/>
  <c r="EL7" i="19"/>
  <c r="EK7" i="19"/>
  <c r="EJ7" i="19"/>
  <c r="EI7" i="19"/>
  <c r="EH7" i="19"/>
  <c r="EG7" i="19"/>
  <c r="EG20" i="19" s="1"/>
  <c r="EF7" i="19"/>
  <c r="EF20" i="19" s="1"/>
  <c r="EE7" i="19"/>
  <c r="EE20" i="19" s="1"/>
  <c r="ED7" i="19"/>
  <c r="ED20" i="19" s="1"/>
  <c r="EC7" i="19"/>
  <c r="EB7" i="19"/>
  <c r="EA7" i="19"/>
  <c r="DZ7" i="19"/>
  <c r="DY7" i="19"/>
  <c r="DY20" i="19" s="1"/>
  <c r="DX7" i="19"/>
  <c r="DX20" i="19" s="1"/>
  <c r="DW7" i="19"/>
  <c r="DW20" i="19" s="1"/>
  <c r="DV7" i="19"/>
  <c r="DV20" i="19" s="1"/>
  <c r="DU7" i="19"/>
  <c r="DT7" i="19"/>
  <c r="DS7" i="19"/>
  <c r="DR7" i="19"/>
  <c r="DQ7" i="19"/>
  <c r="DQ20" i="19" s="1"/>
  <c r="DP7" i="19"/>
  <c r="DP20" i="19" s="1"/>
  <c r="DO7" i="19"/>
  <c r="DO20" i="19" s="1"/>
  <c r="DN7" i="19"/>
  <c r="DN20" i="19" s="1"/>
  <c r="DM7" i="19"/>
  <c r="DL7" i="19"/>
  <c r="DK7" i="19"/>
  <c r="DJ7" i="19"/>
  <c r="DI7" i="19"/>
  <c r="DI20" i="19" s="1"/>
  <c r="DH7" i="19"/>
  <c r="DH20" i="19" s="1"/>
  <c r="AZ6" i="19"/>
  <c r="BA6" i="19" s="1"/>
  <c r="BB6" i="19" s="1"/>
  <c r="BC6" i="19" s="1"/>
  <c r="BD6" i="19" s="1"/>
  <c r="BE6" i="19" s="1"/>
  <c r="BF6" i="19" s="1"/>
  <c r="BG6" i="19" s="1"/>
  <c r="BH6" i="19" s="1"/>
  <c r="BI6" i="19" s="1"/>
  <c r="BJ6" i="19" s="1"/>
  <c r="BK6" i="19" s="1"/>
  <c r="BL6" i="19" s="1"/>
  <c r="BM6" i="19" s="1"/>
  <c r="BN6" i="19" s="1"/>
  <c r="BO6" i="19" s="1"/>
  <c r="BP6" i="19" s="1"/>
  <c r="BQ6" i="19" s="1"/>
  <c r="BR6" i="19" s="1"/>
  <c r="BS6" i="19" s="1"/>
  <c r="BT6" i="19" s="1"/>
  <c r="BU6" i="19" s="1"/>
  <c r="BV6" i="19" s="1"/>
  <c r="BW6" i="19" s="1"/>
  <c r="BX6" i="19" s="1"/>
  <c r="BY6" i="19" s="1"/>
  <c r="BZ6" i="19" s="1"/>
  <c r="CA6" i="19" s="1"/>
  <c r="CB6" i="19" s="1"/>
  <c r="CC6" i="19" s="1"/>
  <c r="CD6" i="19" s="1"/>
  <c r="CE6" i="19" s="1"/>
  <c r="CF6" i="19" s="1"/>
  <c r="CG6" i="19" s="1"/>
  <c r="CH6" i="19" s="1"/>
  <c r="CI6" i="19" s="1"/>
  <c r="CJ6" i="19" s="1"/>
  <c r="CK6" i="19" s="1"/>
  <c r="CL6" i="19" s="1"/>
  <c r="CM6" i="19" s="1"/>
  <c r="CN6" i="19" s="1"/>
  <c r="CO6" i="19" s="1"/>
  <c r="CP6" i="19" s="1"/>
  <c r="CQ6" i="19" s="1"/>
  <c r="CR6" i="19" s="1"/>
  <c r="CS6" i="19" s="1"/>
  <c r="CT6" i="19" s="1"/>
  <c r="CU6" i="19" s="1"/>
  <c r="CV6" i="19" s="1"/>
  <c r="CW6" i="19" s="1"/>
  <c r="CX6" i="19" s="1"/>
  <c r="CY6" i="19" s="1"/>
  <c r="CZ6" i="19" s="1"/>
  <c r="DA6" i="19" s="1"/>
  <c r="DB6" i="19" s="1"/>
  <c r="DC6" i="19" s="1"/>
  <c r="DD6" i="19" s="1"/>
  <c r="DE6" i="19" s="1"/>
  <c r="DF6" i="19" s="1"/>
  <c r="DG6" i="19" s="1"/>
  <c r="R52" i="18"/>
  <c r="Q52" i="18"/>
  <c r="P52" i="18"/>
  <c r="O52" i="18"/>
  <c r="N52" i="18"/>
  <c r="M52" i="18"/>
  <c r="L52" i="18"/>
  <c r="K52" i="18"/>
  <c r="J52" i="18"/>
  <c r="I52" i="18"/>
  <c r="H52" i="18"/>
  <c r="G52" i="18"/>
  <c r="R51" i="18"/>
  <c r="Q51" i="18"/>
  <c r="P51" i="18"/>
  <c r="O51" i="18"/>
  <c r="N51" i="18"/>
  <c r="M51" i="18"/>
  <c r="L51" i="18"/>
  <c r="K51" i="18"/>
  <c r="J51" i="18"/>
  <c r="I51" i="18"/>
  <c r="H51" i="18"/>
  <c r="G51" i="18"/>
  <c r="R48" i="18"/>
  <c r="Q48" i="18"/>
  <c r="P48" i="18"/>
  <c r="O48" i="18"/>
  <c r="N48" i="18"/>
  <c r="M48" i="18"/>
  <c r="L48" i="18"/>
  <c r="K48" i="18"/>
  <c r="J48" i="18"/>
  <c r="I48" i="18"/>
  <c r="H48" i="18"/>
  <c r="G48" i="18"/>
  <c r="I36" i="18"/>
  <c r="H36" i="18"/>
  <c r="G36" i="18"/>
  <c r="G35" i="18"/>
  <c r="G34" i="18"/>
  <c r="G33" i="18"/>
  <c r="G32" i="18"/>
  <c r="H31" i="18"/>
  <c r="I30" i="18"/>
  <c r="H30" i="18"/>
  <c r="I29" i="18"/>
  <c r="H29" i="18"/>
  <c r="G28" i="18"/>
  <c r="DJ20" i="19" l="1"/>
  <c r="EH20" i="19"/>
  <c r="DK20" i="19"/>
  <c r="DL24" i="19" s="1"/>
  <c r="DS20" i="19"/>
  <c r="EA20" i="19"/>
  <c r="EI20" i="19"/>
  <c r="GU20" i="19"/>
  <c r="DR20" i="19"/>
  <c r="DT20" i="19"/>
  <c r="EJ20" i="19"/>
  <c r="DZ20" i="19"/>
  <c r="DL20" i="19"/>
  <c r="EB20" i="19"/>
  <c r="DM20" i="19"/>
  <c r="DU20" i="19"/>
  <c r="EC20" i="19"/>
  <c r="EK20" i="19"/>
  <c r="B27" i="37"/>
  <c r="C27" i="37" s="1"/>
  <c r="I37" i="18"/>
  <c r="CB10" i="19" s="1"/>
  <c r="CB20" i="19" s="1"/>
  <c r="D28" i="21"/>
  <c r="D29" i="21" s="1"/>
  <c r="D30" i="21" s="1"/>
  <c r="W7" i="29"/>
  <c r="W11" i="29" s="1"/>
  <c r="AC14" i="23"/>
  <c r="AC16" i="23"/>
  <c r="AC18" i="23"/>
  <c r="AC20" i="23"/>
  <c r="AC22" i="23"/>
  <c r="AC8" i="23"/>
  <c r="AC12" i="23"/>
  <c r="AC15" i="23"/>
  <c r="AC17" i="23"/>
  <c r="AC19" i="23"/>
  <c r="AC21" i="23"/>
  <c r="AC23" i="23"/>
  <c r="AC7" i="23"/>
  <c r="AC11" i="23"/>
  <c r="DJ44" i="20"/>
  <c r="DN44" i="20"/>
  <c r="DR44" i="20"/>
  <c r="DV44" i="20"/>
  <c r="DZ44" i="20"/>
  <c r="ED44" i="20"/>
  <c r="EH44" i="20"/>
  <c r="EL44" i="20"/>
  <c r="EP44" i="20"/>
  <c r="ET44" i="20"/>
  <c r="EX44" i="20"/>
  <c r="FB44" i="20"/>
  <c r="FF44" i="20"/>
  <c r="FJ44" i="20"/>
  <c r="FN44" i="20"/>
  <c r="FR44" i="20"/>
  <c r="FV44" i="20"/>
  <c r="FZ44" i="20"/>
  <c r="GD44" i="20"/>
  <c r="GH44" i="20"/>
  <c r="GL44" i="20"/>
  <c r="GP44" i="20"/>
  <c r="AB75" i="26"/>
  <c r="DG44" i="20"/>
  <c r="DK44" i="20"/>
  <c r="DO44" i="20"/>
  <c r="DS44" i="20"/>
  <c r="DW44" i="20"/>
  <c r="EA44" i="20"/>
  <c r="EE44" i="20"/>
  <c r="EI44" i="20"/>
  <c r="EM44" i="20"/>
  <c r="EQ44" i="20"/>
  <c r="EU44" i="20"/>
  <c r="EY44" i="20"/>
  <c r="FC44" i="20"/>
  <c r="FG44" i="20"/>
  <c r="FK44" i="20"/>
  <c r="FO44" i="20"/>
  <c r="FS44" i="20"/>
  <c r="FW44" i="20"/>
  <c r="GA44" i="20"/>
  <c r="GE44" i="20"/>
  <c r="GI44" i="20"/>
  <c r="GM44" i="20"/>
  <c r="GQ44" i="20"/>
  <c r="AC6" i="23"/>
  <c r="AC10" i="23"/>
  <c r="V39" i="26"/>
  <c r="V75" i="26" s="1"/>
  <c r="G37" i="18"/>
  <c r="BE10" i="19" s="1"/>
  <c r="BE20" i="19" s="1"/>
  <c r="AC5" i="23"/>
  <c r="AB5" i="23"/>
  <c r="Z5" i="23"/>
  <c r="AC9" i="23"/>
  <c r="AC13" i="23"/>
  <c r="G21" i="28"/>
  <c r="V7" i="29" s="1"/>
  <c r="V68" i="29" s="1"/>
  <c r="Z21" i="23"/>
  <c r="U73" i="29"/>
  <c r="DH44" i="20"/>
  <c r="DL44" i="20"/>
  <c r="DP44" i="20"/>
  <c r="DT44" i="20"/>
  <c r="DX44" i="20"/>
  <c r="EB44" i="20"/>
  <c r="EF44" i="20"/>
  <c r="EJ44" i="20"/>
  <c r="EN44" i="20"/>
  <c r="ER44" i="20"/>
  <c r="EV44" i="20"/>
  <c r="EZ44" i="20"/>
  <c r="FD44" i="20"/>
  <c r="FH44" i="20"/>
  <c r="FL44" i="20"/>
  <c r="FP44" i="20"/>
  <c r="FT44" i="20"/>
  <c r="FX44" i="20"/>
  <c r="GB44" i="20"/>
  <c r="GF44" i="20"/>
  <c r="GJ44" i="20"/>
  <c r="GN44" i="20"/>
  <c r="GR44" i="20"/>
  <c r="D49" i="20"/>
  <c r="AK12" i="27"/>
  <c r="AB46" i="29" s="1"/>
  <c r="B39" i="26"/>
  <c r="AK2" i="27" s="1"/>
  <c r="J46" i="29" s="1"/>
  <c r="AE75" i="26"/>
  <c r="H37" i="18"/>
  <c r="BQ10" i="19" s="1"/>
  <c r="BQ20" i="19" s="1"/>
  <c r="DI44" i="20"/>
  <c r="DM44" i="20"/>
  <c r="DQ44" i="20"/>
  <c r="DU44" i="20"/>
  <c r="DY44" i="20"/>
  <c r="EC44" i="20"/>
  <c r="EG44" i="20"/>
  <c r="EK44" i="20"/>
  <c r="EO44" i="20"/>
  <c r="ES44" i="20"/>
  <c r="EW44" i="20"/>
  <c r="FA44" i="20"/>
  <c r="FE44" i="20"/>
  <c r="FI44" i="20"/>
  <c r="FM44" i="20"/>
  <c r="FQ44" i="20"/>
  <c r="FU44" i="20"/>
  <c r="FY44" i="20"/>
  <c r="GC44" i="20"/>
  <c r="GG44" i="20"/>
  <c r="GK44" i="20"/>
  <c r="GO44" i="20"/>
  <c r="GT44" i="20"/>
  <c r="AK75" i="26"/>
  <c r="AK5" i="27"/>
  <c r="Y75" i="26"/>
  <c r="AN75" i="26"/>
  <c r="AK3" i="27"/>
  <c r="H74" i="29"/>
  <c r="D74" i="29"/>
  <c r="J76" i="29"/>
  <c r="Z10" i="23"/>
  <c r="Z12" i="23"/>
  <c r="Z20" i="23"/>
  <c r="B7" i="22"/>
  <c r="U7" i="22" s="1"/>
  <c r="B9" i="22"/>
  <c r="O9" i="22" s="1"/>
  <c r="B10" i="22"/>
  <c r="S10" i="22" s="1"/>
  <c r="G73" i="29"/>
  <c r="B8" i="22"/>
  <c r="S8" i="22" s="1"/>
  <c r="I75" i="29"/>
  <c r="L71" i="29"/>
  <c r="AB74" i="29"/>
  <c r="J14" i="29"/>
  <c r="J33" i="29"/>
  <c r="J58" i="29"/>
  <c r="Z19" i="23"/>
  <c r="AB18" i="23"/>
  <c r="Z23" i="23"/>
  <c r="J30" i="29"/>
  <c r="J49" i="29"/>
  <c r="J74" i="29"/>
  <c r="J26" i="29"/>
  <c r="J65" i="29"/>
  <c r="J17" i="29"/>
  <c r="J42" i="29"/>
  <c r="J62" i="29"/>
  <c r="L12" i="29"/>
  <c r="L15" i="29"/>
  <c r="J19" i="29"/>
  <c r="J23" i="29"/>
  <c r="L28" i="29"/>
  <c r="L31" i="29"/>
  <c r="J35" i="29"/>
  <c r="J39" i="29"/>
  <c r="L44" i="29"/>
  <c r="L47" i="29"/>
  <c r="J51" i="29"/>
  <c r="J55" i="29"/>
  <c r="L60" i="29"/>
  <c r="L63" i="29"/>
  <c r="J67" i="29"/>
  <c r="J71" i="29"/>
  <c r="L76" i="29"/>
  <c r="G11" i="29"/>
  <c r="G15" i="29"/>
  <c r="G19" i="29"/>
  <c r="G23" i="29"/>
  <c r="G27" i="29"/>
  <c r="G31" i="29"/>
  <c r="G35" i="29"/>
  <c r="G39" i="29"/>
  <c r="G43" i="29"/>
  <c r="G47" i="29"/>
  <c r="G51" i="29"/>
  <c r="G55" i="29"/>
  <c r="G59" i="29"/>
  <c r="G63" i="29"/>
  <c r="G67" i="29"/>
  <c r="G71" i="29"/>
  <c r="G75" i="29"/>
  <c r="L22" i="29"/>
  <c r="L38" i="29"/>
  <c r="L54" i="29"/>
  <c r="L70" i="29"/>
  <c r="J13" i="29"/>
  <c r="J16" i="29"/>
  <c r="L25" i="29"/>
  <c r="J29" i="29"/>
  <c r="J32" i="29"/>
  <c r="J36" i="29"/>
  <c r="L41" i="29"/>
  <c r="J45" i="29"/>
  <c r="J48" i="29"/>
  <c r="J52" i="29"/>
  <c r="L57" i="29"/>
  <c r="J61" i="29"/>
  <c r="J64" i="29"/>
  <c r="J68" i="29"/>
  <c r="L73" i="29"/>
  <c r="AA13" i="23"/>
  <c r="AC68" i="29"/>
  <c r="AC64" i="29"/>
  <c r="AC63" i="29"/>
  <c r="AC60" i="29"/>
  <c r="AC55" i="29"/>
  <c r="AC51" i="29"/>
  <c r="AC49" i="29"/>
  <c r="AC43" i="29"/>
  <c r="AC42" i="29"/>
  <c r="AC41" i="29"/>
  <c r="AC24" i="29"/>
  <c r="AC22" i="29"/>
  <c r="AC21" i="29"/>
  <c r="AC18" i="29"/>
  <c r="AC14" i="29"/>
  <c r="AC13" i="29"/>
  <c r="AC75" i="29"/>
  <c r="AC56" i="29"/>
  <c r="AC53" i="29"/>
  <c r="AC36" i="29"/>
  <c r="AC31" i="29"/>
  <c r="AC23" i="29"/>
  <c r="AC17" i="29"/>
  <c r="AC72" i="29"/>
  <c r="AC69" i="29"/>
  <c r="AC66" i="29"/>
  <c r="AC61" i="29"/>
  <c r="AC48" i="29"/>
  <c r="AC44" i="29"/>
  <c r="AC35" i="29"/>
  <c r="AC27" i="29"/>
  <c r="AC25" i="29"/>
  <c r="AC76" i="29"/>
  <c r="AC71" i="29"/>
  <c r="AC67" i="29"/>
  <c r="AC65" i="29"/>
  <c r="AC59" i="29"/>
  <c r="AC58" i="29"/>
  <c r="AC57" i="29"/>
  <c r="AC40" i="29"/>
  <c r="AC38" i="29"/>
  <c r="AC37" i="29"/>
  <c r="AC34" i="29"/>
  <c r="AC32" i="4" s="1"/>
  <c r="AB32" i="4" s="1"/>
  <c r="AC30" i="29"/>
  <c r="AC29" i="29"/>
  <c r="AC20" i="29"/>
  <c r="AC16" i="29"/>
  <c r="AC15" i="29"/>
  <c r="AC12" i="29"/>
  <c r="AC74" i="29"/>
  <c r="AC73" i="29"/>
  <c r="AC54" i="29"/>
  <c r="AC50" i="29"/>
  <c r="AC45" i="29"/>
  <c r="AC32" i="29"/>
  <c r="AC28" i="29"/>
  <c r="AC19" i="29"/>
  <c r="AC11" i="29"/>
  <c r="AC70" i="29"/>
  <c r="AC62" i="29"/>
  <c r="AC52" i="29"/>
  <c r="AC47" i="29"/>
  <c r="AC39" i="29"/>
  <c r="AC33" i="29"/>
  <c r="AC26" i="29"/>
  <c r="AB18" i="29"/>
  <c r="AB22" i="29"/>
  <c r="AB28" i="29"/>
  <c r="AB32" i="29"/>
  <c r="AB37" i="29"/>
  <c r="AB39" i="29"/>
  <c r="AB47" i="29"/>
  <c r="AB57" i="29"/>
  <c r="AB11" i="29"/>
  <c r="AB13" i="29"/>
  <c r="AB19" i="29"/>
  <c r="AB21" i="29"/>
  <c r="AB26" i="29"/>
  <c r="AB40" i="29"/>
  <c r="AB62" i="29"/>
  <c r="AB70" i="29"/>
  <c r="AB76" i="29"/>
  <c r="AB17" i="29"/>
  <c r="AB30" i="29"/>
  <c r="AB34" i="29"/>
  <c r="AC31" i="4" s="1"/>
  <c r="AB38" i="29"/>
  <c r="AB43" i="29"/>
  <c r="AB44" i="29"/>
  <c r="AB45" i="29"/>
  <c r="AB48" i="29"/>
  <c r="AB51" i="29"/>
  <c r="AB52" i="29"/>
  <c r="AB53" i="29"/>
  <c r="AB55" i="29"/>
  <c r="AB58" i="29"/>
  <c r="AB63" i="29"/>
  <c r="AB72" i="29"/>
  <c r="AB73" i="29"/>
  <c r="AB14" i="29"/>
  <c r="AB27" i="29"/>
  <c r="AB29" i="29"/>
  <c r="AB35" i="29"/>
  <c r="AB36" i="29"/>
  <c r="AB42" i="29"/>
  <c r="AB56" i="29"/>
  <c r="AB65" i="29"/>
  <c r="AB12" i="29"/>
  <c r="AB16" i="29"/>
  <c r="AB20" i="29"/>
  <c r="AB23" i="29"/>
  <c r="AB31" i="29"/>
  <c r="AB41" i="29"/>
  <c r="AB49" i="29"/>
  <c r="AB66" i="29"/>
  <c r="AB75" i="29"/>
  <c r="AB15" i="29"/>
  <c r="AB24" i="29"/>
  <c r="AB25" i="29"/>
  <c r="AB33" i="29"/>
  <c r="AB50" i="29"/>
  <c r="AB54" i="29"/>
  <c r="AB59" i="29"/>
  <c r="AB60" i="29"/>
  <c r="AB61" i="29"/>
  <c r="AB64" i="29"/>
  <c r="AB67" i="29"/>
  <c r="AB68" i="29"/>
  <c r="AB69" i="29"/>
  <c r="AB71" i="29"/>
  <c r="W69" i="29"/>
  <c r="W31" i="29"/>
  <c r="W47" i="29"/>
  <c r="W63" i="29"/>
  <c r="W13" i="29"/>
  <c r="W32" i="29"/>
  <c r="W24" i="29"/>
  <c r="W34" i="29"/>
  <c r="W44" i="29"/>
  <c r="W58" i="29"/>
  <c r="U14" i="29"/>
  <c r="U18" i="29"/>
  <c r="U22" i="29"/>
  <c r="U26" i="29"/>
  <c r="U31" i="29"/>
  <c r="U34" i="29"/>
  <c r="AC24" i="4" s="1"/>
  <c r="AB24" i="4" s="1"/>
  <c r="U39" i="29"/>
  <c r="U50" i="29"/>
  <c r="U54" i="29"/>
  <c r="U58" i="29"/>
  <c r="U63" i="29"/>
  <c r="U66" i="29"/>
  <c r="U70" i="29"/>
  <c r="U74" i="29"/>
  <c r="U11" i="29"/>
  <c r="U27" i="29"/>
  <c r="U32" i="29"/>
  <c r="U43" i="29"/>
  <c r="U52" i="29"/>
  <c r="U59" i="29"/>
  <c r="U68" i="29"/>
  <c r="U75" i="29"/>
  <c r="U12" i="29"/>
  <c r="U17" i="29"/>
  <c r="U24" i="29"/>
  <c r="U28" i="29"/>
  <c r="U33" i="29"/>
  <c r="U40" i="29"/>
  <c r="U44" i="29"/>
  <c r="U49" i="29"/>
  <c r="U56" i="29"/>
  <c r="U60" i="29"/>
  <c r="U65" i="29"/>
  <c r="U72" i="29"/>
  <c r="U76" i="29"/>
  <c r="U15" i="29"/>
  <c r="U19" i="29"/>
  <c r="U23" i="29"/>
  <c r="U30" i="29"/>
  <c r="U35" i="29"/>
  <c r="U38" i="29"/>
  <c r="U42" i="29"/>
  <c r="U47" i="29"/>
  <c r="U51" i="29"/>
  <c r="U55" i="29"/>
  <c r="U62" i="29"/>
  <c r="U67" i="29"/>
  <c r="U71" i="29"/>
  <c r="U16" i="29"/>
  <c r="U20" i="29"/>
  <c r="U36" i="29"/>
  <c r="U48" i="29"/>
  <c r="U64" i="29"/>
  <c r="U13" i="29"/>
  <c r="U21" i="29"/>
  <c r="U25" i="29"/>
  <c r="U29" i="29"/>
  <c r="U37" i="29"/>
  <c r="U41" i="29"/>
  <c r="U45" i="29"/>
  <c r="U53" i="29"/>
  <c r="U57" i="29"/>
  <c r="U61" i="29"/>
  <c r="U69" i="29"/>
  <c r="K75" i="29"/>
  <c r="K72" i="29"/>
  <c r="K69" i="29"/>
  <c r="K66" i="29"/>
  <c r="K59" i="29"/>
  <c r="K56" i="29"/>
  <c r="K53" i="29"/>
  <c r="K50" i="29"/>
  <c r="K43" i="29"/>
  <c r="K40" i="29"/>
  <c r="K37" i="29"/>
  <c r="K34" i="29"/>
  <c r="AC14" i="4" s="1"/>
  <c r="AB14" i="4" s="1"/>
  <c r="K27" i="29"/>
  <c r="K24" i="29"/>
  <c r="K21" i="29"/>
  <c r="K18" i="29"/>
  <c r="K11" i="29"/>
  <c r="K76" i="29"/>
  <c r="K57" i="29"/>
  <c r="K54" i="29"/>
  <c r="K41" i="29"/>
  <c r="K38" i="29"/>
  <c r="K25" i="29"/>
  <c r="K22" i="29"/>
  <c r="K74" i="29"/>
  <c r="K67" i="29"/>
  <c r="K64" i="29"/>
  <c r="K51" i="29"/>
  <c r="K42" i="29"/>
  <c r="K35" i="29"/>
  <c r="K29" i="29"/>
  <c r="K26" i="29"/>
  <c r="K16" i="29"/>
  <c r="K13" i="29"/>
  <c r="K71" i="29"/>
  <c r="K68" i="29"/>
  <c r="K65" i="29"/>
  <c r="K62" i="29"/>
  <c r="K55" i="29"/>
  <c r="K52" i="29"/>
  <c r="K49" i="29"/>
  <c r="K39" i="29"/>
  <c r="K36" i="29"/>
  <c r="K33" i="29"/>
  <c r="K30" i="29"/>
  <c r="K23" i="29"/>
  <c r="K17" i="29"/>
  <c r="K14" i="29"/>
  <c r="K73" i="29"/>
  <c r="K70" i="29"/>
  <c r="K63" i="29"/>
  <c r="K60" i="29"/>
  <c r="K47" i="29"/>
  <c r="K44" i="29"/>
  <c r="K31" i="29"/>
  <c r="K28" i="29"/>
  <c r="K15" i="29"/>
  <c r="K12" i="29"/>
  <c r="K61" i="29"/>
  <c r="K58" i="29"/>
  <c r="K48" i="29"/>
  <c r="K45" i="29"/>
  <c r="K32" i="29"/>
  <c r="K19" i="29"/>
  <c r="L18" i="29"/>
  <c r="L21" i="29"/>
  <c r="L24" i="29"/>
  <c r="L34" i="29"/>
  <c r="AC15" i="4" s="1"/>
  <c r="AB15" i="4" s="1"/>
  <c r="L37" i="29"/>
  <c r="L40" i="29"/>
  <c r="L50" i="29"/>
  <c r="L53" i="29"/>
  <c r="L56" i="29"/>
  <c r="L66" i="29"/>
  <c r="L69" i="29"/>
  <c r="L75" i="29"/>
  <c r="J11" i="29"/>
  <c r="L13" i="29"/>
  <c r="L16" i="29"/>
  <c r="J18" i="29"/>
  <c r="L19" i="29"/>
  <c r="J21" i="29"/>
  <c r="J24" i="29"/>
  <c r="L26" i="29"/>
  <c r="J27" i="29"/>
  <c r="L29" i="29"/>
  <c r="L32" i="29"/>
  <c r="J34" i="29"/>
  <c r="AC13" i="4" s="1"/>
  <c r="AB13" i="4" s="1"/>
  <c r="L35" i="29"/>
  <c r="J37" i="29"/>
  <c r="J40" i="29"/>
  <c r="L42" i="29"/>
  <c r="J43" i="29"/>
  <c r="L45" i="29"/>
  <c r="L48" i="29"/>
  <c r="J50" i="29"/>
  <c r="L51" i="29"/>
  <c r="J53" i="29"/>
  <c r="J56" i="29"/>
  <c r="L58" i="29"/>
  <c r="J59" i="29"/>
  <c r="L61" i="29"/>
  <c r="L64" i="29"/>
  <c r="J66" i="29"/>
  <c r="L67" i="29"/>
  <c r="J69" i="29"/>
  <c r="J72" i="29"/>
  <c r="L74" i="29"/>
  <c r="J75" i="29"/>
  <c r="L11" i="29"/>
  <c r="L27" i="29"/>
  <c r="L43" i="29"/>
  <c r="L59" i="29"/>
  <c r="L72" i="29"/>
  <c r="J12" i="29"/>
  <c r="L14" i="29"/>
  <c r="J15" i="29"/>
  <c r="L17" i="29"/>
  <c r="J22" i="29"/>
  <c r="L23" i="29"/>
  <c r="J25" i="29"/>
  <c r="J28" i="29"/>
  <c r="L30" i="29"/>
  <c r="J31" i="29"/>
  <c r="L33" i="29"/>
  <c r="L36" i="29"/>
  <c r="J38" i="29"/>
  <c r="L39" i="29"/>
  <c r="J41" i="29"/>
  <c r="J44" i="29"/>
  <c r="J47" i="29"/>
  <c r="L49" i="29"/>
  <c r="L52" i="29"/>
  <c r="J54" i="29"/>
  <c r="L55" i="29"/>
  <c r="J57" i="29"/>
  <c r="J60" i="29"/>
  <c r="L62" i="29"/>
  <c r="J63" i="29"/>
  <c r="L65" i="29"/>
  <c r="L68" i="29"/>
  <c r="J70" i="29"/>
  <c r="J73" i="29"/>
  <c r="I18" i="29"/>
  <c r="I23" i="29"/>
  <c r="I34" i="29"/>
  <c r="AC12" i="4" s="1"/>
  <c r="AB12" i="4" s="1"/>
  <c r="I39" i="29"/>
  <c r="I48" i="29"/>
  <c r="I55" i="29"/>
  <c r="I64" i="29"/>
  <c r="I66" i="29"/>
  <c r="I73" i="29"/>
  <c r="I12" i="29"/>
  <c r="I19" i="29"/>
  <c r="I28" i="29"/>
  <c r="I35" i="29"/>
  <c r="I44" i="29"/>
  <c r="I51" i="29"/>
  <c r="I60" i="29"/>
  <c r="I67" i="29"/>
  <c r="I76" i="29"/>
  <c r="I15" i="29"/>
  <c r="I17" i="29"/>
  <c r="I24" i="29"/>
  <c r="I26" i="29"/>
  <c r="I31" i="29"/>
  <c r="I33" i="29"/>
  <c r="I40" i="29"/>
  <c r="I42" i="29"/>
  <c r="I47" i="29"/>
  <c r="I49" i="29"/>
  <c r="I56" i="29"/>
  <c r="I58" i="29"/>
  <c r="I63" i="29"/>
  <c r="I65" i="29"/>
  <c r="I72" i="29"/>
  <c r="I74" i="29"/>
  <c r="I16" i="29"/>
  <c r="I25" i="29"/>
  <c r="I32" i="29"/>
  <c r="I41" i="29"/>
  <c r="I50" i="29"/>
  <c r="I57" i="29"/>
  <c r="I71" i="29"/>
  <c r="I14" i="29"/>
  <c r="I21" i="29"/>
  <c r="I30" i="29"/>
  <c r="I37" i="29"/>
  <c r="I53" i="29"/>
  <c r="I62" i="29"/>
  <c r="I69" i="29"/>
  <c r="I11" i="29"/>
  <c r="I13" i="29"/>
  <c r="I22" i="29"/>
  <c r="I27" i="29"/>
  <c r="I29" i="29"/>
  <c r="I36" i="29"/>
  <c r="I38" i="29"/>
  <c r="I43" i="29"/>
  <c r="I45" i="29"/>
  <c r="I52" i="29"/>
  <c r="I54" i="29"/>
  <c r="I59" i="29"/>
  <c r="I61" i="29"/>
  <c r="I68" i="29"/>
  <c r="I70" i="29"/>
  <c r="E75" i="29"/>
  <c r="E71" i="29"/>
  <c r="E67" i="29"/>
  <c r="E63" i="29"/>
  <c r="E59" i="29"/>
  <c r="E55" i="29"/>
  <c r="E51" i="29"/>
  <c r="E47" i="29"/>
  <c r="E43" i="29"/>
  <c r="E39" i="29"/>
  <c r="E35" i="29"/>
  <c r="E31" i="29"/>
  <c r="E27" i="29"/>
  <c r="E23" i="29"/>
  <c r="E19" i="29"/>
  <c r="E15" i="29"/>
  <c r="E11" i="29"/>
  <c r="E70" i="29"/>
  <c r="E62" i="29"/>
  <c r="E54" i="29"/>
  <c r="E42" i="29"/>
  <c r="E38" i="29"/>
  <c r="E34" i="29"/>
  <c r="AC8" i="4" s="1"/>
  <c r="AB8" i="4" s="1"/>
  <c r="E30" i="29"/>
  <c r="E14" i="29"/>
  <c r="E73" i="29"/>
  <c r="E65" i="29"/>
  <c r="E57" i="29"/>
  <c r="E49" i="29"/>
  <c r="E41" i="29"/>
  <c r="E33" i="29"/>
  <c r="E25" i="29"/>
  <c r="E17" i="29"/>
  <c r="E76" i="29"/>
  <c r="E72" i="29"/>
  <c r="E68" i="29"/>
  <c r="E64" i="29"/>
  <c r="E60" i="29"/>
  <c r="E56" i="29"/>
  <c r="E52" i="29"/>
  <c r="E48" i="29"/>
  <c r="E44" i="29"/>
  <c r="E40" i="29"/>
  <c r="E36" i="29"/>
  <c r="E32" i="29"/>
  <c r="E28" i="29"/>
  <c r="E24" i="29"/>
  <c r="E16" i="29"/>
  <c r="E12" i="29"/>
  <c r="E74" i="29"/>
  <c r="E66" i="29"/>
  <c r="E58" i="29"/>
  <c r="E50" i="29"/>
  <c r="E26" i="29"/>
  <c r="E22" i="29"/>
  <c r="E18" i="29"/>
  <c r="E69" i="29"/>
  <c r="E61" i="29"/>
  <c r="E53" i="29"/>
  <c r="E45" i="29"/>
  <c r="E37" i="29"/>
  <c r="E29" i="29"/>
  <c r="E21" i="29"/>
  <c r="E13" i="29"/>
  <c r="F76" i="29"/>
  <c r="F72" i="29"/>
  <c r="F68" i="29"/>
  <c r="F64" i="29"/>
  <c r="F60" i="29"/>
  <c r="F56" i="29"/>
  <c r="F52" i="29"/>
  <c r="F48" i="29"/>
  <c r="F44" i="29"/>
  <c r="F40" i="29"/>
  <c r="F36" i="29"/>
  <c r="F32" i="29"/>
  <c r="F28" i="29"/>
  <c r="F24" i="29"/>
  <c r="F16" i="29"/>
  <c r="F12" i="29"/>
  <c r="F75" i="29"/>
  <c r="F67" i="29"/>
  <c r="F59" i="29"/>
  <c r="F51" i="29"/>
  <c r="F47" i="29"/>
  <c r="F43" i="29"/>
  <c r="F39" i="29"/>
  <c r="F35" i="29"/>
  <c r="F31" i="29"/>
  <c r="F70" i="29"/>
  <c r="F62" i="29"/>
  <c r="F54" i="29"/>
  <c r="F38" i="29"/>
  <c r="F30" i="29"/>
  <c r="F22" i="29"/>
  <c r="F14" i="29"/>
  <c r="F73" i="29"/>
  <c r="F69" i="29"/>
  <c r="F65" i="29"/>
  <c r="F61" i="29"/>
  <c r="F57" i="29"/>
  <c r="F53" i="29"/>
  <c r="F49" i="29"/>
  <c r="F45" i="29"/>
  <c r="F41" i="29"/>
  <c r="F37" i="29"/>
  <c r="F33" i="29"/>
  <c r="F29" i="29"/>
  <c r="F25" i="29"/>
  <c r="F21" i="29"/>
  <c r="F17" i="29"/>
  <c r="F13" i="29"/>
  <c r="F71" i="29"/>
  <c r="F63" i="29"/>
  <c r="F55" i="29"/>
  <c r="F27" i="29"/>
  <c r="F23" i="29"/>
  <c r="F19" i="29"/>
  <c r="F15" i="29"/>
  <c r="F11" i="29"/>
  <c r="F74" i="29"/>
  <c r="F66" i="29"/>
  <c r="F58" i="29"/>
  <c r="F50" i="29"/>
  <c r="F42" i="29"/>
  <c r="F34" i="29"/>
  <c r="AC9" i="4" s="1"/>
  <c r="AB9" i="4" s="1"/>
  <c r="F26" i="29"/>
  <c r="F18" i="29"/>
  <c r="D12" i="29"/>
  <c r="H16" i="29"/>
  <c r="H24" i="29"/>
  <c r="D28" i="29"/>
  <c r="H32" i="29"/>
  <c r="D36" i="29"/>
  <c r="H40" i="29"/>
  <c r="D44" i="29"/>
  <c r="H48" i="29"/>
  <c r="D52" i="29"/>
  <c r="H56" i="29"/>
  <c r="D60" i="29"/>
  <c r="H64" i="29"/>
  <c r="D68" i="29"/>
  <c r="H72" i="29"/>
  <c r="D76" i="29"/>
  <c r="H13" i="29"/>
  <c r="D17" i="29"/>
  <c r="H21" i="29"/>
  <c r="G24" i="29"/>
  <c r="D25" i="29"/>
  <c r="H25" i="29"/>
  <c r="D49" i="29"/>
  <c r="G52" i="29"/>
  <c r="H53" i="29"/>
  <c r="D57" i="29"/>
  <c r="G60" i="29"/>
  <c r="H61" i="29"/>
  <c r="D65" i="29"/>
  <c r="G68" i="29"/>
  <c r="H69" i="29"/>
  <c r="D73" i="29"/>
  <c r="G76" i="29"/>
  <c r="D11" i="29"/>
  <c r="H11" i="29"/>
  <c r="G14" i="29"/>
  <c r="D15" i="29"/>
  <c r="H15" i="29"/>
  <c r="G18" i="29"/>
  <c r="D19" i="29"/>
  <c r="H19" i="29"/>
  <c r="G22" i="29"/>
  <c r="D23" i="29"/>
  <c r="H23" i="29"/>
  <c r="G26" i="29"/>
  <c r="D27" i="29"/>
  <c r="H27" i="29"/>
  <c r="G30" i="29"/>
  <c r="D31" i="29"/>
  <c r="H31" i="29"/>
  <c r="G34" i="29"/>
  <c r="AC10" i="4" s="1"/>
  <c r="AB10" i="4" s="1"/>
  <c r="D35" i="29"/>
  <c r="H35" i="29"/>
  <c r="G38" i="29"/>
  <c r="D39" i="29"/>
  <c r="H39" i="29"/>
  <c r="G42" i="29"/>
  <c r="D43" i="29"/>
  <c r="H43" i="29"/>
  <c r="D47" i="29"/>
  <c r="H47" i="29"/>
  <c r="G50" i="29"/>
  <c r="D51" i="29"/>
  <c r="H51" i="29"/>
  <c r="G54" i="29"/>
  <c r="D55" i="29"/>
  <c r="H55" i="29"/>
  <c r="G58" i="29"/>
  <c r="D59" i="29"/>
  <c r="H59" i="29"/>
  <c r="G62" i="29"/>
  <c r="D63" i="29"/>
  <c r="H63" i="29"/>
  <c r="G66" i="29"/>
  <c r="D67" i="29"/>
  <c r="H67" i="29"/>
  <c r="G70" i="29"/>
  <c r="D71" i="29"/>
  <c r="H71" i="29"/>
  <c r="G74" i="29"/>
  <c r="D75" i="29"/>
  <c r="H75" i="29"/>
  <c r="H12" i="29"/>
  <c r="D16" i="29"/>
  <c r="D24" i="29"/>
  <c r="H28" i="29"/>
  <c r="D32" i="29"/>
  <c r="H36" i="29"/>
  <c r="D40" i="29"/>
  <c r="H44" i="29"/>
  <c r="D48" i="29"/>
  <c r="H52" i="29"/>
  <c r="D56" i="29"/>
  <c r="H60" i="29"/>
  <c r="D64" i="29"/>
  <c r="H68" i="29"/>
  <c r="D72" i="29"/>
  <c r="H76" i="29"/>
  <c r="G12" i="29"/>
  <c r="D13" i="29"/>
  <c r="G16" i="29"/>
  <c r="H17" i="29"/>
  <c r="D21" i="29"/>
  <c r="G28" i="29"/>
  <c r="D29" i="29"/>
  <c r="H29" i="29"/>
  <c r="G32" i="29"/>
  <c r="D33" i="29"/>
  <c r="H33" i="29"/>
  <c r="G36" i="29"/>
  <c r="D37" i="29"/>
  <c r="H37" i="29"/>
  <c r="G40" i="29"/>
  <c r="D41" i="29"/>
  <c r="H41" i="29"/>
  <c r="G44" i="29"/>
  <c r="D45" i="29"/>
  <c r="H45" i="29"/>
  <c r="G48" i="29"/>
  <c r="H49" i="29"/>
  <c r="D53" i="29"/>
  <c r="G56" i="29"/>
  <c r="H57" i="29"/>
  <c r="D61" i="29"/>
  <c r="G64" i="29"/>
  <c r="H65" i="29"/>
  <c r="D69" i="29"/>
  <c r="G72" i="29"/>
  <c r="H73" i="29"/>
  <c r="G13" i="29"/>
  <c r="D14" i="29"/>
  <c r="H14" i="29"/>
  <c r="G17" i="29"/>
  <c r="D18" i="29"/>
  <c r="H18" i="29"/>
  <c r="G21" i="29"/>
  <c r="D22" i="29"/>
  <c r="H22" i="29"/>
  <c r="G25" i="29"/>
  <c r="D26" i="29"/>
  <c r="H26" i="29"/>
  <c r="G29" i="29"/>
  <c r="D30" i="29"/>
  <c r="H30" i="29"/>
  <c r="G33" i="29"/>
  <c r="D34" i="29"/>
  <c r="AC7" i="4" s="1"/>
  <c r="AB7" i="4" s="1"/>
  <c r="H34" i="29"/>
  <c r="AC11" i="4" s="1"/>
  <c r="AB11" i="4" s="1"/>
  <c r="G37" i="29"/>
  <c r="D38" i="29"/>
  <c r="H38" i="29"/>
  <c r="G41" i="29"/>
  <c r="D42" i="29"/>
  <c r="H42" i="29"/>
  <c r="G45" i="29"/>
  <c r="G49" i="29"/>
  <c r="D50" i="29"/>
  <c r="H50" i="29"/>
  <c r="G53" i="29"/>
  <c r="D54" i="29"/>
  <c r="H54" i="29"/>
  <c r="G57" i="29"/>
  <c r="D58" i="29"/>
  <c r="H58" i="29"/>
  <c r="G61" i="29"/>
  <c r="D62" i="29"/>
  <c r="H62" i="29"/>
  <c r="G65" i="29"/>
  <c r="D66" i="29"/>
  <c r="H66" i="29"/>
  <c r="G69" i="29"/>
  <c r="D70" i="29"/>
  <c r="H70" i="29"/>
  <c r="C76" i="29"/>
  <c r="C75" i="29"/>
  <c r="C74" i="29"/>
  <c r="C73" i="29"/>
  <c r="C72" i="29"/>
  <c r="C71" i="29"/>
  <c r="C70" i="29"/>
  <c r="C69" i="29"/>
  <c r="C68" i="29"/>
  <c r="C67" i="29"/>
  <c r="C66" i="29"/>
  <c r="C65" i="29"/>
  <c r="C64" i="29"/>
  <c r="C63" i="29"/>
  <c r="C62" i="29"/>
  <c r="C61" i="29"/>
  <c r="C60" i="29"/>
  <c r="C59" i="29"/>
  <c r="C58" i="29"/>
  <c r="C57" i="29"/>
  <c r="C56" i="29"/>
  <c r="C55" i="29"/>
  <c r="C54" i="29"/>
  <c r="C53" i="29"/>
  <c r="C52" i="29"/>
  <c r="C51" i="29"/>
  <c r="C50" i="29"/>
  <c r="C49" i="29"/>
  <c r="C48" i="29"/>
  <c r="C47" i="29"/>
  <c r="C45" i="29"/>
  <c r="C44" i="29"/>
  <c r="C43" i="29"/>
  <c r="C42" i="29"/>
  <c r="C41" i="29"/>
  <c r="C40" i="29"/>
  <c r="C39" i="29"/>
  <c r="C38" i="29"/>
  <c r="C37" i="29"/>
  <c r="C36" i="29"/>
  <c r="C35" i="29"/>
  <c r="C34" i="29"/>
  <c r="AC6" i="4" s="1"/>
  <c r="C33" i="29"/>
  <c r="C32" i="29"/>
  <c r="C31" i="29"/>
  <c r="C30" i="29"/>
  <c r="C29" i="29"/>
  <c r="C28" i="29"/>
  <c r="C27" i="29"/>
  <c r="C26" i="29"/>
  <c r="C25" i="29"/>
  <c r="C24" i="29"/>
  <c r="C23" i="29"/>
  <c r="C22" i="29"/>
  <c r="C21" i="29"/>
  <c r="C19" i="29"/>
  <c r="C18" i="29"/>
  <c r="C17" i="29"/>
  <c r="C16" i="29"/>
  <c r="C15" i="29"/>
  <c r="C14" i="29"/>
  <c r="C13" i="29"/>
  <c r="C12" i="29"/>
  <c r="C11" i="29"/>
  <c r="E87" i="29"/>
  <c r="E85" i="29"/>
  <c r="E88" i="29"/>
  <c r="E86" i="29"/>
  <c r="AA7" i="23"/>
  <c r="AB14" i="23"/>
  <c r="AA16" i="23"/>
  <c r="AA11" i="23"/>
  <c r="K2" i="27"/>
  <c r="AA15" i="23"/>
  <c r="AA18" i="23"/>
  <c r="AK8" i="27"/>
  <c r="AA9" i="23"/>
  <c r="AA14" i="23"/>
  <c r="AH75" i="26"/>
  <c r="AK4" i="27"/>
  <c r="K75" i="26"/>
  <c r="K7" i="27"/>
  <c r="S75" i="26"/>
  <c r="AK6" i="27"/>
  <c r="N76" i="26"/>
  <c r="Z15" i="23"/>
  <c r="AB6" i="23"/>
  <c r="Z7" i="23"/>
  <c r="Z9" i="23"/>
  <c r="Z11" i="23"/>
  <c r="Z13" i="23"/>
  <c r="AB20" i="23"/>
  <c r="AA6" i="23"/>
  <c r="AA8" i="23"/>
  <c r="AA10" i="23"/>
  <c r="AA12" i="23"/>
  <c r="Z14" i="23"/>
  <c r="AA20" i="23"/>
  <c r="AB22" i="23"/>
  <c r="AB8" i="23"/>
  <c r="AB10" i="23"/>
  <c r="AB12" i="23"/>
  <c r="AB16" i="23"/>
  <c r="AA22" i="23"/>
  <c r="Z18" i="23"/>
  <c r="Z22" i="23"/>
  <c r="Z6" i="23"/>
  <c r="AB11" i="23"/>
  <c r="L27" i="23"/>
  <c r="AA5" i="23"/>
  <c r="AA23" i="23"/>
  <c r="AB7" i="23"/>
  <c r="AB15" i="23"/>
  <c r="AB9" i="23"/>
  <c r="J28" i="23"/>
  <c r="Z8" i="23"/>
  <c r="AB13" i="23"/>
  <c r="Z16" i="23"/>
  <c r="I28" i="23"/>
  <c r="AB21" i="23"/>
  <c r="AA21" i="23"/>
  <c r="Z17" i="23"/>
  <c r="AB17" i="23"/>
  <c r="AA17" i="23"/>
  <c r="AB19" i="23"/>
  <c r="AA19" i="23"/>
  <c r="AB23" i="23"/>
  <c r="K27" i="23"/>
  <c r="GS39" i="20"/>
  <c r="GS44" i="20" s="1"/>
  <c r="J27" i="23"/>
  <c r="L28" i="23"/>
  <c r="I27" i="23"/>
  <c r="K28" i="23"/>
  <c r="W12" i="29" l="1"/>
  <c r="W15" i="29"/>
  <c r="W57" i="29"/>
  <c r="W27" i="29"/>
  <c r="W70" i="29"/>
  <c r="W37" i="29"/>
  <c r="Q10" i="22"/>
  <c r="E25" i="19"/>
  <c r="W60" i="29"/>
  <c r="W38" i="29"/>
  <c r="W14" i="29"/>
  <c r="W73" i="29"/>
  <c r="W21" i="29"/>
  <c r="W49" i="29"/>
  <c r="W33" i="29"/>
  <c r="W75" i="29"/>
  <c r="W43" i="29"/>
  <c r="W76" i="29"/>
  <c r="W74" i="29"/>
  <c r="W62" i="29"/>
  <c r="W54" i="29"/>
  <c r="W40" i="29"/>
  <c r="W28" i="29"/>
  <c r="W18" i="29"/>
  <c r="W48" i="29"/>
  <c r="W16" i="29"/>
  <c r="W45" i="29"/>
  <c r="W25" i="29"/>
  <c r="W67" i="29"/>
  <c r="W51" i="29"/>
  <c r="W35" i="29"/>
  <c r="W19" i="29"/>
  <c r="W64" i="29"/>
  <c r="W59" i="29"/>
  <c r="W72" i="29"/>
  <c r="W50" i="29"/>
  <c r="W26" i="29"/>
  <c r="W36" i="29"/>
  <c r="W41" i="29"/>
  <c r="W65" i="29"/>
  <c r="W17" i="29"/>
  <c r="W66" i="29"/>
  <c r="W56" i="29"/>
  <c r="W42" i="29"/>
  <c r="W30" i="29"/>
  <c r="W22" i="29"/>
  <c r="W52" i="29"/>
  <c r="W20" i="29"/>
  <c r="W53" i="29"/>
  <c r="W29" i="29"/>
  <c r="W71" i="29"/>
  <c r="W55" i="29"/>
  <c r="W39" i="29"/>
  <c r="W23" i="29"/>
  <c r="W68" i="29"/>
  <c r="W61" i="29"/>
  <c r="B26" i="37"/>
  <c r="C26" i="37" s="1"/>
  <c r="T10" i="22"/>
  <c r="R8" i="22"/>
  <c r="Q7" i="22"/>
  <c r="R10" i="22"/>
  <c r="O10" i="22"/>
  <c r="N10" i="22"/>
  <c r="X10" i="22"/>
  <c r="V10" i="22"/>
  <c r="W10" i="22"/>
  <c r="Q8" i="22"/>
  <c r="O8" i="22"/>
  <c r="V7" i="22"/>
  <c r="X8" i="22"/>
  <c r="X9" i="22"/>
  <c r="U10" i="22"/>
  <c r="P10" i="22"/>
  <c r="V8" i="22"/>
  <c r="X7" i="22"/>
  <c r="W9" i="22"/>
  <c r="C46" i="29"/>
  <c r="K46" i="29"/>
  <c r="N9" i="22"/>
  <c r="R9" i="22"/>
  <c r="T9" i="22"/>
  <c r="B75" i="26"/>
  <c r="V29" i="29"/>
  <c r="V38" i="29"/>
  <c r="V24" i="29"/>
  <c r="V39" i="29"/>
  <c r="V36" i="29"/>
  <c r="V18" i="29"/>
  <c r="V67" i="29"/>
  <c r="V20" i="29"/>
  <c r="V57" i="29"/>
  <c r="V44" i="29"/>
  <c r="V12" i="29"/>
  <c r="V19" i="29"/>
  <c r="V43" i="29"/>
  <c r="V58" i="29"/>
  <c r="V55" i="29"/>
  <c r="V64" i="29"/>
  <c r="V48" i="29"/>
  <c r="V59" i="29"/>
  <c r="V45" i="29"/>
  <c r="V72" i="29"/>
  <c r="V66" i="29"/>
  <c r="V60" i="29"/>
  <c r="V54" i="29"/>
  <c r="V26" i="29"/>
  <c r="V14" i="29"/>
  <c r="V21" i="29"/>
  <c r="V17" i="29"/>
  <c r="V65" i="29"/>
  <c r="V33" i="29"/>
  <c r="V51" i="29"/>
  <c r="V32" i="29"/>
  <c r="V16" i="29"/>
  <c r="V61" i="29"/>
  <c r="V25" i="29"/>
  <c r="V11" i="29"/>
  <c r="V74" i="29"/>
  <c r="V62" i="29"/>
  <c r="V40" i="29"/>
  <c r="V34" i="29"/>
  <c r="AC25" i="4" s="1"/>
  <c r="AB25" i="4" s="1"/>
  <c r="V28" i="29"/>
  <c r="V22" i="29"/>
  <c r="V73" i="29"/>
  <c r="V37" i="29"/>
  <c r="V15" i="29"/>
  <c r="V63" i="29"/>
  <c r="V31" i="29"/>
  <c r="V49" i="29"/>
  <c r="V52" i="29"/>
  <c r="V69" i="29"/>
  <c r="V41" i="29"/>
  <c r="V27" i="29"/>
  <c r="V13" i="29"/>
  <c r="V76" i="29"/>
  <c r="V70" i="29"/>
  <c r="V56" i="29"/>
  <c r="V50" i="29"/>
  <c r="V42" i="29"/>
  <c r="V30" i="29"/>
  <c r="V75" i="29"/>
  <c r="V53" i="29"/>
  <c r="V35" i="29"/>
  <c r="V23" i="29"/>
  <c r="V71" i="29"/>
  <c r="V47" i="29"/>
  <c r="V46" i="29"/>
  <c r="W46" i="29"/>
  <c r="U46" i="29"/>
  <c r="U77" i="29" s="1"/>
  <c r="AE24" i="4" s="1"/>
  <c r="AD24" i="4" s="1"/>
  <c r="E46" i="29"/>
  <c r="D46" i="29"/>
  <c r="G46" i="29"/>
  <c r="F46" i="29"/>
  <c r="I46" i="29"/>
  <c r="H46" i="29"/>
  <c r="L46" i="29"/>
  <c r="R7" i="22"/>
  <c r="T7" i="22"/>
  <c r="N8" i="22"/>
  <c r="T8" i="22"/>
  <c r="W8" i="22"/>
  <c r="N7" i="22"/>
  <c r="S7" i="22"/>
  <c r="P7" i="22"/>
  <c r="U9" i="22"/>
  <c r="P9" i="22"/>
  <c r="S9" i="22"/>
  <c r="AB6" i="4"/>
  <c r="W7" i="22"/>
  <c r="U8" i="22"/>
  <c r="P8" i="22"/>
  <c r="O7" i="22"/>
  <c r="Q9" i="22"/>
  <c r="V9" i="22"/>
  <c r="AC46" i="29"/>
  <c r="AC77" i="29" s="1"/>
  <c r="AE32" i="4" s="1"/>
  <c r="AD32" i="4" s="1"/>
  <c r="C20" i="29"/>
  <c r="D20" i="29"/>
  <c r="I20" i="29"/>
  <c r="I77" i="29" s="1"/>
  <c r="AE12" i="4" s="1"/>
  <c r="AD12" i="4" s="1"/>
  <c r="H20" i="29"/>
  <c r="G20" i="29"/>
  <c r="K20" i="29"/>
  <c r="J20" i="29"/>
  <c r="J77" i="29" s="1"/>
  <c r="AE13" i="4" s="1"/>
  <c r="AD13" i="4" s="1"/>
  <c r="F20" i="29"/>
  <c r="E20" i="29"/>
  <c r="L20" i="29"/>
  <c r="AB31" i="4"/>
  <c r="AB77" i="29"/>
  <c r="AE31" i="4" s="1"/>
  <c r="D32" i="23"/>
  <c r="F32" i="23"/>
  <c r="C32" i="23"/>
  <c r="E32" i="23"/>
  <c r="K77" i="29" l="1"/>
  <c r="AE14" i="4" s="1"/>
  <c r="AD14" i="4" s="1"/>
  <c r="W77" i="29"/>
  <c r="V11" i="22"/>
  <c r="Y35" i="4" s="1"/>
  <c r="O11" i="22"/>
  <c r="E35" i="4" s="1"/>
  <c r="T11" i="22"/>
  <c r="X11" i="22"/>
  <c r="Q11" i="22"/>
  <c r="N11" i="22"/>
  <c r="S11" i="22"/>
  <c r="C77" i="29"/>
  <c r="AE6" i="4" s="1"/>
  <c r="AD6" i="4" s="1"/>
  <c r="U11" i="22"/>
  <c r="R11" i="22"/>
  <c r="V77" i="29"/>
  <c r="AE25" i="4" s="1"/>
  <c r="AD25" i="4" s="1"/>
  <c r="E77" i="29"/>
  <c r="AE8" i="4" s="1"/>
  <c r="AD8" i="4" s="1"/>
  <c r="F77" i="29"/>
  <c r="AE9" i="4" s="1"/>
  <c r="AD9" i="4" s="1"/>
  <c r="H77" i="29"/>
  <c r="AE11" i="4" s="1"/>
  <c r="AD11" i="4" s="1"/>
  <c r="D77" i="29"/>
  <c r="AE7" i="4" s="1"/>
  <c r="AD7" i="4" s="1"/>
  <c r="L77" i="29"/>
  <c r="AE15" i="4" s="1"/>
  <c r="AD15" i="4" s="1"/>
  <c r="G77" i="29"/>
  <c r="AE10" i="4" s="1"/>
  <c r="AD10" i="4" s="1"/>
  <c r="P11" i="22"/>
  <c r="H35" i="4" s="1"/>
  <c r="W11" i="22"/>
  <c r="AE35" i="4"/>
  <c r="AD31" i="4"/>
  <c r="J36" i="4"/>
  <c r="E36" i="4"/>
  <c r="P36" i="4"/>
  <c r="M36" i="4"/>
  <c r="H36" i="4"/>
  <c r="D12" i="16"/>
  <c r="D11" i="16"/>
  <c r="D10" i="16"/>
  <c r="D14" i="15"/>
  <c r="D13" i="15"/>
  <c r="D12" i="15"/>
  <c r="I14" i="12"/>
  <c r="I13" i="12"/>
  <c r="I12" i="12"/>
  <c r="S29" i="2"/>
  <c r="O29" i="2"/>
  <c r="P29" i="2" s="1"/>
  <c r="M29" i="2"/>
  <c r="N29" i="2" s="1"/>
  <c r="I29" i="2"/>
  <c r="K29" i="2" s="1"/>
  <c r="L29" i="2" s="1"/>
  <c r="S28" i="2"/>
  <c r="S27" i="2"/>
  <c r="S26" i="2"/>
  <c r="S25" i="2"/>
  <c r="S24" i="2"/>
  <c r="S23" i="2"/>
  <c r="S22" i="2"/>
  <c r="S21" i="2"/>
  <c r="S20" i="2"/>
  <c r="S19" i="2"/>
  <c r="P28" i="2"/>
  <c r="P27" i="2"/>
  <c r="P26" i="2"/>
  <c r="P25" i="2"/>
  <c r="P24" i="2"/>
  <c r="P23" i="2"/>
  <c r="P22" i="2"/>
  <c r="P21" i="2"/>
  <c r="P20" i="2"/>
  <c r="P19" i="2"/>
  <c r="N28" i="2"/>
  <c r="N27" i="2"/>
  <c r="N26" i="2"/>
  <c r="N25" i="2"/>
  <c r="N24" i="2"/>
  <c r="N23" i="2"/>
  <c r="N22" i="2"/>
  <c r="N21" i="2"/>
  <c r="N20" i="2"/>
  <c r="N19" i="2"/>
  <c r="S17" i="2"/>
  <c r="S16" i="2"/>
  <c r="O17" i="2"/>
  <c r="O16" i="2"/>
  <c r="M17" i="2"/>
  <c r="M16" i="2"/>
  <c r="I17" i="2"/>
  <c r="I16" i="2"/>
  <c r="C4" i="13"/>
  <c r="J5" i="2"/>
  <c r="C59" i="16"/>
  <c r="L32" i="4"/>
  <c r="U35" i="4" l="1"/>
  <c r="P35" i="4"/>
  <c r="M35" i="4"/>
  <c r="S35" i="4"/>
  <c r="W35" i="4"/>
  <c r="J35" i="4"/>
  <c r="AA35" i="4"/>
  <c r="E80" i="29"/>
  <c r="E83" i="29"/>
  <c r="AA29" i="2"/>
  <c r="J29" i="2"/>
  <c r="K32" i="4"/>
  <c r="R32" i="4"/>
  <c r="C35" i="16"/>
  <c r="W29" i="2" s="1"/>
  <c r="I32" i="4"/>
  <c r="Q32" i="4"/>
  <c r="Y29" i="2"/>
  <c r="Z29" i="2"/>
  <c r="C34" i="16"/>
  <c r="Q29" i="2"/>
  <c r="R29" i="2" s="1"/>
  <c r="AE29" i="2"/>
  <c r="AD29" i="2"/>
  <c r="AC29" i="2"/>
  <c r="C50" i="16"/>
  <c r="G54" i="15"/>
  <c r="F54" i="15"/>
  <c r="C54" i="15"/>
  <c r="G53" i="15"/>
  <c r="F53" i="15"/>
  <c r="D53" i="15"/>
  <c r="C53" i="15"/>
  <c r="H50" i="15"/>
  <c r="G50" i="15"/>
  <c r="F50" i="15"/>
  <c r="E50" i="15"/>
  <c r="D50" i="15"/>
  <c r="C50" i="15"/>
  <c r="H49" i="15"/>
  <c r="H64" i="15" s="1"/>
  <c r="G49" i="15"/>
  <c r="F49" i="15"/>
  <c r="E49" i="15"/>
  <c r="D49" i="15"/>
  <c r="C49" i="15"/>
  <c r="H48" i="15"/>
  <c r="H63" i="15" s="1"/>
  <c r="I31" i="4" s="1"/>
  <c r="G48" i="15"/>
  <c r="F48" i="15"/>
  <c r="F63" i="15" s="1"/>
  <c r="E48" i="15"/>
  <c r="D48" i="15"/>
  <c r="C48" i="15"/>
  <c r="H47" i="15"/>
  <c r="G47" i="15"/>
  <c r="F47" i="15"/>
  <c r="F62" i="15" s="1"/>
  <c r="E47" i="15"/>
  <c r="D47" i="15"/>
  <c r="C47" i="15"/>
  <c r="H46" i="15"/>
  <c r="H61" i="15" s="1"/>
  <c r="H72" i="15" s="1"/>
  <c r="G46" i="15"/>
  <c r="F46" i="15"/>
  <c r="F61" i="15" s="1"/>
  <c r="E46" i="15"/>
  <c r="D46" i="15"/>
  <c r="C46" i="15"/>
  <c r="G44" i="15"/>
  <c r="E44" i="15"/>
  <c r="H33" i="15"/>
  <c r="G33" i="15"/>
  <c r="F33" i="15"/>
  <c r="E33" i="15"/>
  <c r="J27" i="2" s="1"/>
  <c r="I27" i="2" s="1"/>
  <c r="D33" i="15"/>
  <c r="H31" i="15"/>
  <c r="H36" i="15" s="1"/>
  <c r="H86" i="15" s="1"/>
  <c r="G31" i="15"/>
  <c r="G36" i="15" s="1"/>
  <c r="F31" i="15"/>
  <c r="F36" i="15" s="1"/>
  <c r="E31" i="15"/>
  <c r="E36" i="15" s="1"/>
  <c r="G25" i="15"/>
  <c r="F25" i="15"/>
  <c r="E25" i="15"/>
  <c r="D22" i="15"/>
  <c r="C22" i="15"/>
  <c r="G20" i="15"/>
  <c r="F20" i="15"/>
  <c r="D20" i="15"/>
  <c r="H19" i="15"/>
  <c r="H66" i="15" s="1"/>
  <c r="H77" i="15" s="1"/>
  <c r="G19" i="15"/>
  <c r="F19" i="15"/>
  <c r="E19" i="15"/>
  <c r="E21" i="15" s="1"/>
  <c r="D18" i="15"/>
  <c r="D19" i="15" s="1"/>
  <c r="C18" i="15"/>
  <c r="C19" i="15" s="1"/>
  <c r="C21" i="15" s="1"/>
  <c r="D54" i="15"/>
  <c r="E53" i="15"/>
  <c r="F52" i="15"/>
  <c r="D63" i="12"/>
  <c r="Q17" i="2" s="1"/>
  <c r="C63" i="12"/>
  <c r="D35" i="12"/>
  <c r="D32" i="12"/>
  <c r="D42" i="12" s="1"/>
  <c r="AB17" i="2" s="1"/>
  <c r="D31" i="12"/>
  <c r="D41" i="12" s="1"/>
  <c r="Z17" i="2" s="1"/>
  <c r="D24" i="12"/>
  <c r="B25" i="37" s="1"/>
  <c r="C25" i="37" s="1"/>
  <c r="C24" i="12"/>
  <c r="B24" i="37" s="1"/>
  <c r="D36" i="12"/>
  <c r="D34" i="12"/>
  <c r="H11" i="12"/>
  <c r="G11" i="12"/>
  <c r="D11" i="12"/>
  <c r="C11" i="12"/>
  <c r="H10" i="12"/>
  <c r="G10" i="12"/>
  <c r="D10" i="12"/>
  <c r="C10" i="12"/>
  <c r="H9" i="12"/>
  <c r="G9" i="12"/>
  <c r="F9" i="12"/>
  <c r="E9" i="12"/>
  <c r="D9" i="12"/>
  <c r="C9" i="12"/>
  <c r="H8" i="12"/>
  <c r="G8" i="12"/>
  <c r="F8" i="12"/>
  <c r="E8" i="12"/>
  <c r="D8" i="12"/>
  <c r="C8" i="12"/>
  <c r="H7" i="12"/>
  <c r="G7" i="12"/>
  <c r="F7" i="12"/>
  <c r="E7" i="12"/>
  <c r="D7" i="12"/>
  <c r="C7" i="12"/>
  <c r="C72" i="13"/>
  <c r="C70" i="13"/>
  <c r="O28" i="2"/>
  <c r="M28" i="2"/>
  <c r="O27" i="2"/>
  <c r="M27" i="2"/>
  <c r="F21" i="15" l="1"/>
  <c r="C24" i="37"/>
  <c r="C29" i="37" s="1"/>
  <c r="B29" i="37"/>
  <c r="G12" i="28"/>
  <c r="M7" i="29" s="1"/>
  <c r="M64" i="29" s="1"/>
  <c r="D25" i="15"/>
  <c r="B17" i="37"/>
  <c r="C17" i="37" s="1"/>
  <c r="B16" i="37"/>
  <c r="C16" i="37" s="1"/>
  <c r="C25" i="15"/>
  <c r="B14" i="37"/>
  <c r="C14" i="37" s="1"/>
  <c r="B13" i="37"/>
  <c r="G13" i="28"/>
  <c r="N7" i="29" s="1"/>
  <c r="H62" i="15"/>
  <c r="G31" i="4" s="1"/>
  <c r="V28" i="2"/>
  <c r="H21" i="15"/>
  <c r="E61" i="15"/>
  <c r="D30" i="4" s="1"/>
  <c r="G32" i="15"/>
  <c r="G35" i="15"/>
  <c r="G83" i="15" s="1"/>
  <c r="L25" i="2" s="1"/>
  <c r="G21" i="15"/>
  <c r="X29" i="2"/>
  <c r="G61" i="15"/>
  <c r="D28" i="4" s="1"/>
  <c r="E62" i="15"/>
  <c r="X27" i="2" s="1"/>
  <c r="G63" i="15"/>
  <c r="I28" i="4" s="1"/>
  <c r="U24" i="2"/>
  <c r="U23" i="2"/>
  <c r="D25" i="4"/>
  <c r="D24" i="4"/>
  <c r="I24" i="4"/>
  <c r="I25" i="4"/>
  <c r="F68" i="15"/>
  <c r="F79" i="15"/>
  <c r="G80" i="15"/>
  <c r="G69" i="15"/>
  <c r="E63" i="15"/>
  <c r="I30" i="4" s="1"/>
  <c r="G26" i="28"/>
  <c r="AA7" i="29" s="1"/>
  <c r="U28" i="2"/>
  <c r="T28" i="2"/>
  <c r="D31" i="4"/>
  <c r="G79" i="15"/>
  <c r="G68" i="15"/>
  <c r="F67" i="15"/>
  <c r="F78" i="15"/>
  <c r="G24" i="28"/>
  <c r="Y7" i="29" s="1"/>
  <c r="Z7" i="29"/>
  <c r="G23" i="28"/>
  <c r="X7" i="29" s="1"/>
  <c r="G62" i="15"/>
  <c r="H53" i="15"/>
  <c r="F24" i="4"/>
  <c r="W23" i="2"/>
  <c r="X23" i="2"/>
  <c r="G25" i="4"/>
  <c r="F25" i="4"/>
  <c r="X24" i="2"/>
  <c r="W24" i="2"/>
  <c r="G24" i="4"/>
  <c r="D32" i="4"/>
  <c r="U29" i="2"/>
  <c r="E68" i="15"/>
  <c r="V30" i="4" s="1"/>
  <c r="E79" i="15"/>
  <c r="W30" i="4" s="1"/>
  <c r="F32" i="15"/>
  <c r="H75" i="15"/>
  <c r="Y28" i="2"/>
  <c r="Z28" i="2"/>
  <c r="K31" i="4"/>
  <c r="L31" i="4"/>
  <c r="F69" i="15"/>
  <c r="F80" i="15"/>
  <c r="AB29" i="2"/>
  <c r="N32" i="4"/>
  <c r="O32" i="4"/>
  <c r="F32" i="4"/>
  <c r="G32" i="4"/>
  <c r="C49" i="16"/>
  <c r="S32" i="4"/>
  <c r="O17" i="4"/>
  <c r="N17" i="4"/>
  <c r="L17" i="4"/>
  <c r="K17" i="4"/>
  <c r="C34" i="12"/>
  <c r="D44" i="12"/>
  <c r="T17" i="4" s="1"/>
  <c r="D55" i="12"/>
  <c r="N75" i="29"/>
  <c r="N59" i="29"/>
  <c r="N43" i="29"/>
  <c r="N27" i="29"/>
  <c r="N11" i="29"/>
  <c r="N58" i="29"/>
  <c r="N40" i="29"/>
  <c r="N14" i="29"/>
  <c r="N67" i="29"/>
  <c r="N51" i="29"/>
  <c r="N35" i="29"/>
  <c r="N19" i="29"/>
  <c r="N70" i="29"/>
  <c r="N50" i="29"/>
  <c r="N28" i="29"/>
  <c r="N64" i="29"/>
  <c r="N20" i="29"/>
  <c r="N69" i="29"/>
  <c r="N53" i="29"/>
  <c r="N37" i="29"/>
  <c r="N21" i="29"/>
  <c r="N72" i="29"/>
  <c r="N46" i="29"/>
  <c r="N32" i="29"/>
  <c r="N47" i="29"/>
  <c r="N31" i="29"/>
  <c r="N15" i="29"/>
  <c r="N60" i="29"/>
  <c r="N38" i="29"/>
  <c r="N18" i="29"/>
  <c r="N48" i="29"/>
  <c r="N61" i="29"/>
  <c r="N45" i="29"/>
  <c r="N29" i="29"/>
  <c r="N13" i="29"/>
  <c r="N62" i="29"/>
  <c r="N44" i="29"/>
  <c r="N22" i="29"/>
  <c r="N71" i="29"/>
  <c r="N55" i="29"/>
  <c r="N39" i="29"/>
  <c r="N23" i="29"/>
  <c r="N74" i="29"/>
  <c r="N56" i="29"/>
  <c r="N30" i="29"/>
  <c r="N68" i="29"/>
  <c r="N36" i="29"/>
  <c r="N63" i="29"/>
  <c r="N73" i="29"/>
  <c r="N57" i="29"/>
  <c r="N41" i="29"/>
  <c r="N25" i="29"/>
  <c r="N76" i="29"/>
  <c r="N54" i="29"/>
  <c r="N34" i="29"/>
  <c r="AC17" i="4" s="1"/>
  <c r="AB17" i="4" s="1"/>
  <c r="N12" i="29"/>
  <c r="N65" i="29"/>
  <c r="N49" i="29"/>
  <c r="N33" i="29"/>
  <c r="N17" i="29"/>
  <c r="N66" i="29"/>
  <c r="N42" i="29"/>
  <c r="N24" i="29"/>
  <c r="N52" i="29"/>
  <c r="N16" i="29"/>
  <c r="N26" i="29"/>
  <c r="M40" i="29"/>
  <c r="M21" i="29"/>
  <c r="M61" i="29"/>
  <c r="M20" i="29"/>
  <c r="M43" i="29"/>
  <c r="M41" i="29"/>
  <c r="M14" i="29"/>
  <c r="M22" i="29"/>
  <c r="M31" i="29"/>
  <c r="M39" i="29"/>
  <c r="M17" i="29"/>
  <c r="M60" i="29"/>
  <c r="M37" i="29"/>
  <c r="M11" i="29"/>
  <c r="M32" i="29"/>
  <c r="M18" i="29"/>
  <c r="M26" i="29"/>
  <c r="M35" i="29"/>
  <c r="M63" i="29"/>
  <c r="M71" i="29"/>
  <c r="M16" i="29"/>
  <c r="M36" i="29"/>
  <c r="M59" i="29"/>
  <c r="M12" i="29"/>
  <c r="M56" i="29"/>
  <c r="M30" i="29"/>
  <c r="M38" i="29"/>
  <c r="M47" i="29"/>
  <c r="M55" i="29"/>
  <c r="M66" i="29"/>
  <c r="M29" i="29"/>
  <c r="M73" i="29"/>
  <c r="M27" i="29"/>
  <c r="M48" i="29"/>
  <c r="M68" i="29"/>
  <c r="M15" i="29"/>
  <c r="M23" i="29"/>
  <c r="M34" i="29"/>
  <c r="M42" i="29"/>
  <c r="M51" i="29"/>
  <c r="M54" i="29"/>
  <c r="C35" i="12"/>
  <c r="D56" i="12"/>
  <c r="W17" i="4" s="1"/>
  <c r="D45" i="12"/>
  <c r="V17" i="4" s="1"/>
  <c r="C36" i="12"/>
  <c r="D57" i="12"/>
  <c r="Y17" i="4" s="1"/>
  <c r="D46" i="12"/>
  <c r="X17" i="4" s="1"/>
  <c r="C32" i="16"/>
  <c r="T29" i="2"/>
  <c r="V29" i="2"/>
  <c r="G86" i="15"/>
  <c r="R28" i="2"/>
  <c r="T24" i="2"/>
  <c r="T23" i="2"/>
  <c r="V23" i="2"/>
  <c r="V24" i="2"/>
  <c r="J22" i="2"/>
  <c r="I22" i="2" s="1"/>
  <c r="J21" i="2"/>
  <c r="I21" i="2" s="1"/>
  <c r="H35" i="15"/>
  <c r="H83" i="15" s="1"/>
  <c r="L28" i="2" s="1"/>
  <c r="J28" i="2"/>
  <c r="I28" i="2" s="1"/>
  <c r="J19" i="2"/>
  <c r="I19" i="2" s="1"/>
  <c r="J20" i="2"/>
  <c r="I20" i="2" s="1"/>
  <c r="J26" i="2"/>
  <c r="I26" i="2" s="1"/>
  <c r="J25" i="2"/>
  <c r="I25" i="2" s="1"/>
  <c r="F35" i="15"/>
  <c r="F83" i="15" s="1"/>
  <c r="J23" i="2"/>
  <c r="I23" i="2" s="1"/>
  <c r="J24" i="2"/>
  <c r="I24" i="2" s="1"/>
  <c r="E52" i="15"/>
  <c r="D21" i="15"/>
  <c r="D31" i="15"/>
  <c r="D44" i="15"/>
  <c r="D68" i="15" s="1"/>
  <c r="D52" i="15"/>
  <c r="H52" i="15"/>
  <c r="C31" i="15"/>
  <c r="E32" i="15"/>
  <c r="E35" i="15"/>
  <c r="E83" i="15" s="1"/>
  <c r="L27" i="2" s="1"/>
  <c r="C44" i="15"/>
  <c r="C79" i="15" s="1"/>
  <c r="C52" i="15"/>
  <c r="G52" i="15"/>
  <c r="E54" i="15"/>
  <c r="H32" i="15"/>
  <c r="D35" i="15"/>
  <c r="D83" i="15" s="1"/>
  <c r="AA17" i="2"/>
  <c r="AK17" i="2" s="1"/>
  <c r="Q16" i="2"/>
  <c r="Y17" i="2"/>
  <c r="AH17" i="2" s="1"/>
  <c r="C32" i="12"/>
  <c r="C42" i="12" s="1"/>
  <c r="C31" i="12"/>
  <c r="C41" i="12" s="1"/>
  <c r="Z16" i="2" s="1"/>
  <c r="R10" i="2"/>
  <c r="R8" i="2"/>
  <c r="R14" i="2"/>
  <c r="R12" i="2"/>
  <c r="O26" i="2"/>
  <c r="M26" i="2"/>
  <c r="O25" i="2"/>
  <c r="M25" i="2"/>
  <c r="O24" i="2"/>
  <c r="M24" i="2"/>
  <c r="O23" i="2"/>
  <c r="M23" i="2"/>
  <c r="O22" i="2"/>
  <c r="M22" i="2"/>
  <c r="O21" i="2"/>
  <c r="M21" i="2"/>
  <c r="O20" i="2"/>
  <c r="M20" i="2"/>
  <c r="O19" i="2"/>
  <c r="M19" i="2"/>
  <c r="P17" i="2"/>
  <c r="J17" i="2"/>
  <c r="P16" i="2"/>
  <c r="K16" i="2"/>
  <c r="J16" i="2" s="1"/>
  <c r="N14" i="2"/>
  <c r="K14" i="2"/>
  <c r="J14" i="2" s="1"/>
  <c r="P13" i="2"/>
  <c r="K13" i="2"/>
  <c r="J13" i="2" s="1"/>
  <c r="N12" i="2"/>
  <c r="K12" i="2"/>
  <c r="J12" i="2" s="1"/>
  <c r="P11" i="2"/>
  <c r="K11" i="2"/>
  <c r="J11" i="2" s="1"/>
  <c r="N10" i="2"/>
  <c r="K10" i="2"/>
  <c r="J10" i="2" s="1"/>
  <c r="P9" i="2"/>
  <c r="K9" i="2"/>
  <c r="J9" i="2" s="1"/>
  <c r="N8" i="2"/>
  <c r="K8" i="2"/>
  <c r="J8" i="2" s="1"/>
  <c r="P7" i="2"/>
  <c r="K7" i="2"/>
  <c r="J7" i="2" s="1"/>
  <c r="R6" i="2"/>
  <c r="N6" i="2"/>
  <c r="K6" i="2"/>
  <c r="J6" i="2" s="1"/>
  <c r="P5" i="2"/>
  <c r="M13" i="29" l="1"/>
  <c r="M53" i="29"/>
  <c r="M49" i="29"/>
  <c r="M19" i="29"/>
  <c r="M45" i="29"/>
  <c r="M57" i="29"/>
  <c r="M67" i="29"/>
  <c r="M65" i="29"/>
  <c r="M74" i="29"/>
  <c r="M70" i="29"/>
  <c r="M76" i="29"/>
  <c r="M46" i="29"/>
  <c r="M69" i="29"/>
  <c r="M72" i="29"/>
  <c r="M75" i="29"/>
  <c r="M58" i="29"/>
  <c r="M24" i="29"/>
  <c r="M62" i="29"/>
  <c r="M33" i="29"/>
  <c r="M44" i="29"/>
  <c r="M25" i="29"/>
  <c r="M28" i="29"/>
  <c r="M52" i="29"/>
  <c r="M50" i="29"/>
  <c r="G30" i="4"/>
  <c r="L26" i="2"/>
  <c r="F30" i="4"/>
  <c r="W27" i="2"/>
  <c r="C13" i="37"/>
  <c r="C21" i="37" s="1"/>
  <c r="B21" i="37"/>
  <c r="H67" i="15"/>
  <c r="T31" i="4" s="1"/>
  <c r="H78" i="15"/>
  <c r="AB16" i="2"/>
  <c r="AA16" i="2"/>
  <c r="W28" i="2"/>
  <c r="H73" i="15"/>
  <c r="F31" i="4"/>
  <c r="X28" i="2"/>
  <c r="U27" i="2"/>
  <c r="V26" i="2"/>
  <c r="T26" i="2"/>
  <c r="U25" i="2"/>
  <c r="D27" i="4"/>
  <c r="I27" i="4"/>
  <c r="T25" i="2"/>
  <c r="U26" i="2"/>
  <c r="V25" i="2"/>
  <c r="W19" i="4"/>
  <c r="W18" i="4"/>
  <c r="V21" i="4"/>
  <c r="V22" i="4"/>
  <c r="X24" i="4"/>
  <c r="X25" i="4"/>
  <c r="H79" i="15"/>
  <c r="W31" i="4" s="1"/>
  <c r="H68" i="15"/>
  <c r="V31" i="4" s="1"/>
  <c r="Z63" i="29"/>
  <c r="Z45" i="29"/>
  <c r="Z25" i="29"/>
  <c r="Z56" i="29"/>
  <c r="Z24" i="29"/>
  <c r="Z75" i="29"/>
  <c r="Z22" i="29"/>
  <c r="Z71" i="29"/>
  <c r="Z62" i="29"/>
  <c r="Z49" i="29"/>
  <c r="Z39" i="29"/>
  <c r="Z30" i="29"/>
  <c r="Z17" i="29"/>
  <c r="Z72" i="29"/>
  <c r="Z40" i="29"/>
  <c r="Z67" i="29"/>
  <c r="Z27" i="29"/>
  <c r="Z61" i="29"/>
  <c r="Z41" i="29"/>
  <c r="Z15" i="29"/>
  <c r="Z52" i="29"/>
  <c r="Z20" i="29"/>
  <c r="Z54" i="29"/>
  <c r="Z19" i="29"/>
  <c r="Z69" i="29"/>
  <c r="Z58" i="29"/>
  <c r="Z48" i="29"/>
  <c r="Z37" i="29"/>
  <c r="Z26" i="29"/>
  <c r="Z16" i="29"/>
  <c r="Z68" i="29"/>
  <c r="Z36" i="29"/>
  <c r="Z59" i="29"/>
  <c r="Z57" i="29"/>
  <c r="Z31" i="29"/>
  <c r="Z13" i="29"/>
  <c r="Z50" i="29"/>
  <c r="Z18" i="29"/>
  <c r="Z51" i="29"/>
  <c r="Z11" i="29"/>
  <c r="Z65" i="29"/>
  <c r="Z55" i="29"/>
  <c r="Z46" i="29"/>
  <c r="Z33" i="29"/>
  <c r="Z23" i="29"/>
  <c r="Z14" i="29"/>
  <c r="Z66" i="29"/>
  <c r="Z34" i="29"/>
  <c r="Z38" i="29"/>
  <c r="Z29" i="29"/>
  <c r="Z43" i="29"/>
  <c r="Z42" i="29"/>
  <c r="Z44" i="29"/>
  <c r="Z60" i="29"/>
  <c r="Z74" i="29"/>
  <c r="Z32" i="29"/>
  <c r="Z70" i="29"/>
  <c r="Z73" i="29"/>
  <c r="Z28" i="29"/>
  <c r="Z64" i="29"/>
  <c r="Z21" i="29"/>
  <c r="Z35" i="29"/>
  <c r="Z12" i="29"/>
  <c r="Z47" i="29"/>
  <c r="Z53" i="29"/>
  <c r="Z76" i="29"/>
  <c r="W27" i="4"/>
  <c r="W28" i="4"/>
  <c r="C78" i="15"/>
  <c r="C67" i="15"/>
  <c r="C61" i="15"/>
  <c r="V19" i="2" s="1"/>
  <c r="Y42" i="29"/>
  <c r="Y48" i="29"/>
  <c r="Y67" i="29"/>
  <c r="Y32" i="29"/>
  <c r="Y51" i="29"/>
  <c r="Y11" i="29"/>
  <c r="Y75" i="29"/>
  <c r="Y33" i="29"/>
  <c r="Y58" i="29"/>
  <c r="Y29" i="29"/>
  <c r="Y47" i="29"/>
  <c r="Y73" i="29"/>
  <c r="Y24" i="29"/>
  <c r="Y40" i="29"/>
  <c r="Y56" i="29"/>
  <c r="Y72" i="29"/>
  <c r="Y76" i="29"/>
  <c r="Y14" i="29"/>
  <c r="Y64" i="29"/>
  <c r="Y59" i="29"/>
  <c r="Y70" i="29"/>
  <c r="Y43" i="29"/>
  <c r="Y54" i="29"/>
  <c r="Y17" i="29"/>
  <c r="Y16" i="29"/>
  <c r="Y35" i="29"/>
  <c r="Y69" i="29"/>
  <c r="Y13" i="29"/>
  <c r="Y31" i="29"/>
  <c r="Y57" i="29"/>
  <c r="Y12" i="29"/>
  <c r="Y28" i="29"/>
  <c r="Y44" i="29"/>
  <c r="Y60" i="29"/>
  <c r="Y19" i="29"/>
  <c r="Y26" i="29"/>
  <c r="Y62" i="29"/>
  <c r="Y71" i="29"/>
  <c r="Y46" i="29"/>
  <c r="Y55" i="29"/>
  <c r="Y22" i="29"/>
  <c r="Y27" i="29"/>
  <c r="Y38" i="29"/>
  <c r="Y15" i="29"/>
  <c r="Y41" i="29"/>
  <c r="Y61" i="29"/>
  <c r="Y18" i="29"/>
  <c r="Y34" i="29"/>
  <c r="AC28" i="4" s="1"/>
  <c r="AB28" i="4" s="1"/>
  <c r="Y50" i="29"/>
  <c r="Y66" i="29"/>
  <c r="Y65" i="29"/>
  <c r="Y53" i="29"/>
  <c r="Y45" i="29"/>
  <c r="Y52" i="29"/>
  <c r="Y21" i="29"/>
  <c r="Y30" i="29"/>
  <c r="Y63" i="29"/>
  <c r="Y68" i="29"/>
  <c r="Y23" i="29"/>
  <c r="Y49" i="29"/>
  <c r="Y39" i="29"/>
  <c r="Y20" i="29"/>
  <c r="Y36" i="29"/>
  <c r="Y74" i="29"/>
  <c r="Y25" i="29"/>
  <c r="Y37" i="29"/>
  <c r="Y27" i="4"/>
  <c r="Y28" i="4"/>
  <c r="G67" i="15"/>
  <c r="G78" i="15"/>
  <c r="G17" i="28"/>
  <c r="R7" i="29" s="1"/>
  <c r="G18" i="28"/>
  <c r="S7" i="29" s="1"/>
  <c r="T7" i="29"/>
  <c r="C62" i="15"/>
  <c r="F18" i="4" s="1"/>
  <c r="G15" i="28"/>
  <c r="P7" i="29" s="1"/>
  <c r="Q7" i="29"/>
  <c r="G14" i="28"/>
  <c r="O7" i="29" s="1"/>
  <c r="D79" i="15"/>
  <c r="D80" i="15"/>
  <c r="C69" i="15"/>
  <c r="C68" i="15"/>
  <c r="U25" i="4"/>
  <c r="F81" i="15"/>
  <c r="U24" i="4"/>
  <c r="AA64" i="29"/>
  <c r="AA42" i="29"/>
  <c r="AA22" i="29"/>
  <c r="AA14" i="29"/>
  <c r="AA51" i="29"/>
  <c r="AA28" i="29"/>
  <c r="AA62" i="29"/>
  <c r="AA26" i="29"/>
  <c r="AA61" i="29"/>
  <c r="AA39" i="29"/>
  <c r="AA33" i="29"/>
  <c r="AA20" i="29"/>
  <c r="AA55" i="29"/>
  <c r="AA41" i="29"/>
  <c r="AA70" i="29"/>
  <c r="AA52" i="29"/>
  <c r="AA75" i="29"/>
  <c r="AA60" i="29"/>
  <c r="AA31" i="29"/>
  <c r="AA19" i="29"/>
  <c r="AA11" i="29"/>
  <c r="AA49" i="29"/>
  <c r="AA13" i="29"/>
  <c r="AA57" i="29"/>
  <c r="AA15" i="29"/>
  <c r="AA58" i="29"/>
  <c r="AA38" i="29"/>
  <c r="AA30" i="29"/>
  <c r="AA16" i="29"/>
  <c r="AA54" i="29"/>
  <c r="AA32" i="29"/>
  <c r="AA67" i="29"/>
  <c r="AA44" i="29"/>
  <c r="AA73" i="29"/>
  <c r="AA53" i="29"/>
  <c r="AA24" i="29"/>
  <c r="AA18" i="29"/>
  <c r="AA63" i="29"/>
  <c r="AA43" i="29"/>
  <c r="AA71" i="29"/>
  <c r="AA48" i="29"/>
  <c r="AA76" i="29"/>
  <c r="AA47" i="29"/>
  <c r="AA35" i="29"/>
  <c r="AA27" i="29"/>
  <c r="AA12" i="29"/>
  <c r="AA50" i="29"/>
  <c r="AA21" i="29"/>
  <c r="AA65" i="29"/>
  <c r="AA29" i="29"/>
  <c r="AA23" i="29"/>
  <c r="AA66" i="29"/>
  <c r="AA34" i="29"/>
  <c r="AC30" i="4" s="1"/>
  <c r="AB30" i="4" s="1"/>
  <c r="AA72" i="29"/>
  <c r="AA17" i="29"/>
  <c r="AA37" i="29"/>
  <c r="AA25" i="29"/>
  <c r="AA59" i="29"/>
  <c r="AA68" i="29"/>
  <c r="AA56" i="29"/>
  <c r="AA69" i="29"/>
  <c r="AA74" i="29"/>
  <c r="AA36" i="29"/>
  <c r="AA40" i="29"/>
  <c r="AA45" i="29"/>
  <c r="AA46" i="29"/>
  <c r="W25" i="4"/>
  <c r="W24" i="4"/>
  <c r="G28" i="4"/>
  <c r="F28" i="4"/>
  <c r="X26" i="2"/>
  <c r="W26" i="2"/>
  <c r="G27" i="4"/>
  <c r="F27" i="4"/>
  <c r="X25" i="2"/>
  <c r="W25" i="2"/>
  <c r="X28" i="4"/>
  <c r="X27" i="4"/>
  <c r="E69" i="15"/>
  <c r="X30" i="4" s="1"/>
  <c r="E80" i="15"/>
  <c r="Y30" i="4" s="1"/>
  <c r="D78" i="15"/>
  <c r="D67" i="15"/>
  <c r="E78" i="15"/>
  <c r="E67" i="15"/>
  <c r="T30" i="4" s="1"/>
  <c r="Y25" i="4"/>
  <c r="Y24" i="4"/>
  <c r="D69" i="15"/>
  <c r="C80" i="15"/>
  <c r="X63" i="29"/>
  <c r="X47" i="29"/>
  <c r="X31" i="29"/>
  <c r="X15" i="29"/>
  <c r="X66" i="29"/>
  <c r="X64" i="29"/>
  <c r="X75" i="29"/>
  <c r="X59" i="29"/>
  <c r="X43" i="29"/>
  <c r="X27" i="29"/>
  <c r="X11" i="29"/>
  <c r="X58" i="29"/>
  <c r="X44" i="29"/>
  <c r="X30" i="29"/>
  <c r="X18" i="29"/>
  <c r="X52" i="29"/>
  <c r="X71" i="29"/>
  <c r="X55" i="29"/>
  <c r="X39" i="29"/>
  <c r="X23" i="29"/>
  <c r="X76" i="29"/>
  <c r="X54" i="29"/>
  <c r="X48" i="29"/>
  <c r="X73" i="29"/>
  <c r="X57" i="29"/>
  <c r="X41" i="29"/>
  <c r="X25" i="29"/>
  <c r="X70" i="29"/>
  <c r="X56" i="29"/>
  <c r="X42" i="29"/>
  <c r="X28" i="29"/>
  <c r="X14" i="29"/>
  <c r="X36" i="29"/>
  <c r="X67" i="29"/>
  <c r="X51" i="29"/>
  <c r="X35" i="29"/>
  <c r="X19" i="29"/>
  <c r="X74" i="29"/>
  <c r="X38" i="29"/>
  <c r="X32" i="29"/>
  <c r="X69" i="29"/>
  <c r="X53" i="29"/>
  <c r="X37" i="29"/>
  <c r="X21" i="29"/>
  <c r="X62" i="29"/>
  <c r="X50" i="29"/>
  <c r="X40" i="29"/>
  <c r="X26" i="29"/>
  <c r="X12" i="29"/>
  <c r="X20" i="29"/>
  <c r="X33" i="29"/>
  <c r="X16" i="29"/>
  <c r="X13" i="29"/>
  <c r="X24" i="29"/>
  <c r="X17" i="29"/>
  <c r="X61" i="29"/>
  <c r="X60" i="29"/>
  <c r="X68" i="29"/>
  <c r="X65" i="29"/>
  <c r="X72" i="29"/>
  <c r="X45" i="29"/>
  <c r="X46" i="29"/>
  <c r="X34" i="29"/>
  <c r="AC27" i="4" s="1"/>
  <c r="AB27" i="4" s="1"/>
  <c r="X49" i="29"/>
  <c r="X29" i="29"/>
  <c r="X22" i="29"/>
  <c r="T25" i="4"/>
  <c r="T24" i="4"/>
  <c r="V28" i="4"/>
  <c r="V27" i="4"/>
  <c r="V24" i="4"/>
  <c r="V25" i="4"/>
  <c r="C31" i="16"/>
  <c r="C42" i="16"/>
  <c r="X32" i="4" s="1"/>
  <c r="C53" i="16"/>
  <c r="Y32" i="4" s="1"/>
  <c r="C48" i="16"/>
  <c r="P32" i="4"/>
  <c r="AC16" i="4"/>
  <c r="C55" i="12"/>
  <c r="C44" i="12"/>
  <c r="D58" i="12"/>
  <c r="AA17" i="4" s="1"/>
  <c r="U17" i="4"/>
  <c r="N16" i="4"/>
  <c r="O16" i="4"/>
  <c r="M77" i="29"/>
  <c r="C46" i="12"/>
  <c r="X16" i="4" s="1"/>
  <c r="C57" i="12"/>
  <c r="Y16" i="4" s="1"/>
  <c r="C45" i="12"/>
  <c r="V16" i="4" s="1"/>
  <c r="C56" i="12"/>
  <c r="W16" i="4" s="1"/>
  <c r="N77" i="29"/>
  <c r="AE17" i="4" s="1"/>
  <c r="AD17" i="4" s="1"/>
  <c r="C36" i="15"/>
  <c r="C35" i="15"/>
  <c r="C83" i="15" s="1"/>
  <c r="C32" i="15"/>
  <c r="D63" i="15"/>
  <c r="D61" i="15"/>
  <c r="T21" i="2" s="1"/>
  <c r="D62" i="15"/>
  <c r="L21" i="2"/>
  <c r="L22" i="2"/>
  <c r="H54" i="15"/>
  <c r="F86" i="15"/>
  <c r="R26" i="2"/>
  <c r="R25" i="2"/>
  <c r="L23" i="2"/>
  <c r="L24" i="2"/>
  <c r="C63" i="15"/>
  <c r="V27" i="2"/>
  <c r="T27" i="2"/>
  <c r="D36" i="15"/>
  <c r="D32" i="15"/>
  <c r="D30" i="12"/>
  <c r="D47" i="12"/>
  <c r="Z17" i="4" s="1"/>
  <c r="AJ17" i="2"/>
  <c r="AI17" i="2" s="1"/>
  <c r="N5" i="2"/>
  <c r="P6" i="2"/>
  <c r="R7" i="2"/>
  <c r="L8" i="2"/>
  <c r="N9" i="2"/>
  <c r="P10" i="2"/>
  <c r="R11" i="2"/>
  <c r="L12" i="2"/>
  <c r="N13" i="2"/>
  <c r="P14" i="2"/>
  <c r="R16" i="2"/>
  <c r="R17" i="2"/>
  <c r="L16" i="2"/>
  <c r="L9" i="2"/>
  <c r="L13" i="2"/>
  <c r="AL17" i="2"/>
  <c r="L7" i="2"/>
  <c r="L11" i="2"/>
  <c r="K5" i="2"/>
  <c r="R5" i="2"/>
  <c r="L6" i="2"/>
  <c r="N7" i="2"/>
  <c r="P8" i="2"/>
  <c r="R9" i="2"/>
  <c r="L10" i="2"/>
  <c r="N11" i="2"/>
  <c r="P12" i="2"/>
  <c r="R13" i="2"/>
  <c r="L14" i="2"/>
  <c r="N16" i="2"/>
  <c r="N17" i="2"/>
  <c r="F19" i="4" l="1"/>
  <c r="T20" i="2"/>
  <c r="X20" i="2"/>
  <c r="T19" i="2"/>
  <c r="V20" i="2"/>
  <c r="U21" i="2"/>
  <c r="U22" i="2"/>
  <c r="D22" i="4"/>
  <c r="D21" i="4"/>
  <c r="Y21" i="4"/>
  <c r="Y22" i="4"/>
  <c r="C30" i="12"/>
  <c r="C40" i="12" s="1"/>
  <c r="I16" i="4" s="1"/>
  <c r="D40" i="12"/>
  <c r="I17" i="4" s="1"/>
  <c r="X19" i="2"/>
  <c r="G19" i="4"/>
  <c r="Y19" i="4"/>
  <c r="Y18" i="4"/>
  <c r="X18" i="4"/>
  <c r="X19" i="4"/>
  <c r="U31" i="4"/>
  <c r="P76" i="29"/>
  <c r="P32" i="29"/>
  <c r="P64" i="29"/>
  <c r="P15" i="29"/>
  <c r="P31" i="29"/>
  <c r="P47" i="29"/>
  <c r="P63" i="29"/>
  <c r="P12" i="29"/>
  <c r="P22" i="29"/>
  <c r="P27" i="29"/>
  <c r="P34" i="29"/>
  <c r="AC19" i="4" s="1"/>
  <c r="AB19" i="4" s="1"/>
  <c r="P41" i="29"/>
  <c r="P45" i="29"/>
  <c r="P54" i="29"/>
  <c r="P59" i="29"/>
  <c r="P66" i="29"/>
  <c r="P73" i="29"/>
  <c r="P36" i="29"/>
  <c r="P68" i="29"/>
  <c r="P17" i="29"/>
  <c r="P33" i="29"/>
  <c r="P49" i="29"/>
  <c r="P65" i="29"/>
  <c r="P13" i="29"/>
  <c r="P24" i="29"/>
  <c r="P28" i="29"/>
  <c r="P37" i="29"/>
  <c r="P42" i="29"/>
  <c r="P46" i="29"/>
  <c r="P56" i="29"/>
  <c r="P60" i="29"/>
  <c r="P69" i="29"/>
  <c r="P74" i="29"/>
  <c r="P16" i="29"/>
  <c r="P11" i="29"/>
  <c r="P35" i="29"/>
  <c r="P67" i="29"/>
  <c r="P25" i="29"/>
  <c r="P38" i="29"/>
  <c r="P50" i="29"/>
  <c r="P61" i="29"/>
  <c r="P75" i="29"/>
  <c r="P55" i="29"/>
  <c r="P30" i="29"/>
  <c r="P72" i="29"/>
  <c r="P20" i="29"/>
  <c r="P18" i="29"/>
  <c r="P39" i="29"/>
  <c r="P71" i="29"/>
  <c r="P26" i="29"/>
  <c r="P40" i="29"/>
  <c r="P53" i="29"/>
  <c r="P62" i="29"/>
  <c r="P52" i="29"/>
  <c r="P21" i="29"/>
  <c r="P58" i="29"/>
  <c r="P48" i="29"/>
  <c r="P19" i="29"/>
  <c r="P51" i="29"/>
  <c r="P14" i="29"/>
  <c r="P29" i="29"/>
  <c r="P43" i="29"/>
  <c r="P57" i="29"/>
  <c r="P70" i="29"/>
  <c r="P23" i="29"/>
  <c r="P44" i="29"/>
  <c r="R71" i="29"/>
  <c r="R21" i="29"/>
  <c r="R41" i="29"/>
  <c r="R57" i="29"/>
  <c r="R73" i="29"/>
  <c r="R52" i="29"/>
  <c r="R18" i="29"/>
  <c r="R28" i="29"/>
  <c r="R40" i="29"/>
  <c r="R50" i="29"/>
  <c r="R60" i="29"/>
  <c r="R72" i="29"/>
  <c r="R25" i="29"/>
  <c r="R64" i="29"/>
  <c r="R23" i="29"/>
  <c r="R39" i="29"/>
  <c r="R55" i="29"/>
  <c r="R27" i="29"/>
  <c r="R43" i="29"/>
  <c r="R59" i="29"/>
  <c r="R75" i="29"/>
  <c r="R68" i="29"/>
  <c r="R22" i="29"/>
  <c r="R30" i="29"/>
  <c r="R42" i="29"/>
  <c r="R54" i="29"/>
  <c r="R62" i="29"/>
  <c r="R74" i="29"/>
  <c r="R20" i="29"/>
  <c r="R15" i="29"/>
  <c r="R31" i="29"/>
  <c r="R47" i="29"/>
  <c r="R63" i="29"/>
  <c r="R29" i="29"/>
  <c r="R45" i="29"/>
  <c r="R61" i="29"/>
  <c r="R16" i="29"/>
  <c r="R12" i="29"/>
  <c r="R24" i="29"/>
  <c r="R34" i="29"/>
  <c r="AC21" i="4" s="1"/>
  <c r="AB21" i="4" s="1"/>
  <c r="R44" i="29"/>
  <c r="R56" i="29"/>
  <c r="R66" i="29"/>
  <c r="R76" i="29"/>
  <c r="R32" i="29"/>
  <c r="R17" i="29"/>
  <c r="R33" i="29"/>
  <c r="R49" i="29"/>
  <c r="R65" i="29"/>
  <c r="R11" i="29"/>
  <c r="R36" i="29"/>
  <c r="R46" i="29"/>
  <c r="R48" i="29"/>
  <c r="R67" i="29"/>
  <c r="R13" i="29"/>
  <c r="R37" i="29"/>
  <c r="R14" i="29"/>
  <c r="R58" i="29"/>
  <c r="R19" i="29"/>
  <c r="R38" i="29"/>
  <c r="R53" i="29"/>
  <c r="R26" i="29"/>
  <c r="R70" i="29"/>
  <c r="R35" i="29"/>
  <c r="R69" i="29"/>
  <c r="R51" i="29"/>
  <c r="U19" i="2"/>
  <c r="U20" i="2"/>
  <c r="D18" i="4"/>
  <c r="D19" i="4"/>
  <c r="Z77" i="29"/>
  <c r="H69" i="15"/>
  <c r="X31" i="4" s="1"/>
  <c r="H80" i="15"/>
  <c r="Y31" i="4" s="1"/>
  <c r="U30" i="4"/>
  <c r="E81" i="15"/>
  <c r="AA30" i="4" s="1"/>
  <c r="AA25" i="4"/>
  <c r="AA24" i="4"/>
  <c r="U27" i="4"/>
  <c r="U28" i="4"/>
  <c r="W20" i="2"/>
  <c r="I21" i="4"/>
  <c r="I22" i="4"/>
  <c r="G18" i="4"/>
  <c r="T21" i="4"/>
  <c r="T22" i="4"/>
  <c r="W21" i="4"/>
  <c r="W22" i="4"/>
  <c r="O43" i="29"/>
  <c r="O68" i="29"/>
  <c r="O37" i="29"/>
  <c r="O13" i="29"/>
  <c r="O49" i="29"/>
  <c r="O26" i="29"/>
  <c r="O71" i="29"/>
  <c r="O56" i="29"/>
  <c r="O44" i="29"/>
  <c r="O31" i="29"/>
  <c r="O19" i="29"/>
  <c r="O64" i="29"/>
  <c r="O41" i="29"/>
  <c r="O16" i="29"/>
  <c r="O58" i="29"/>
  <c r="O30" i="29"/>
  <c r="O11" i="29"/>
  <c r="O45" i="29"/>
  <c r="O70" i="29"/>
  <c r="O38" i="29"/>
  <c r="O72" i="29"/>
  <c r="O55" i="29"/>
  <c r="O39" i="29"/>
  <c r="O23" i="29"/>
  <c r="O57" i="29"/>
  <c r="O25" i="29"/>
  <c r="O65" i="29"/>
  <c r="O22" i="29"/>
  <c r="O21" i="29"/>
  <c r="O76" i="29"/>
  <c r="O73" i="29"/>
  <c r="O34" i="29"/>
  <c r="O75" i="29"/>
  <c r="O69" i="29"/>
  <c r="O36" i="29"/>
  <c r="O62" i="29"/>
  <c r="O33" i="29"/>
  <c r="O67" i="29"/>
  <c r="O51" i="29"/>
  <c r="O35" i="29"/>
  <c r="O15" i="29"/>
  <c r="O52" i="29"/>
  <c r="O20" i="29"/>
  <c r="O50" i="29"/>
  <c r="O17" i="29"/>
  <c r="O53" i="29"/>
  <c r="O60" i="29"/>
  <c r="O24" i="29"/>
  <c r="O66" i="29"/>
  <c r="O59" i="29"/>
  <c r="O61" i="29"/>
  <c r="O29" i="29"/>
  <c r="O54" i="29"/>
  <c r="O18" i="29"/>
  <c r="O63" i="29"/>
  <c r="O47" i="29"/>
  <c r="O28" i="29"/>
  <c r="O12" i="29"/>
  <c r="O48" i="29"/>
  <c r="O74" i="29"/>
  <c r="O46" i="29"/>
  <c r="O14" i="29"/>
  <c r="O27" i="29"/>
  <c r="O42" i="29"/>
  <c r="O40" i="29"/>
  <c r="O32" i="29"/>
  <c r="T43" i="29"/>
  <c r="T69" i="29"/>
  <c r="T53" i="29"/>
  <c r="T37" i="29"/>
  <c r="T65" i="29"/>
  <c r="T33" i="29"/>
  <c r="T72" i="29"/>
  <c r="T60" i="29"/>
  <c r="T47" i="29"/>
  <c r="T35" i="29"/>
  <c r="T23" i="29"/>
  <c r="T68" i="29"/>
  <c r="T25" i="29"/>
  <c r="T74" i="29"/>
  <c r="T50" i="29"/>
  <c r="T30" i="29"/>
  <c r="T27" i="29"/>
  <c r="T64" i="29"/>
  <c r="T48" i="29"/>
  <c r="T32" i="29"/>
  <c r="T54" i="29"/>
  <c r="T22" i="29"/>
  <c r="T71" i="29"/>
  <c r="T56" i="29"/>
  <c r="T44" i="29"/>
  <c r="T31" i="29"/>
  <c r="T19" i="29"/>
  <c r="T52" i="29"/>
  <c r="T21" i="29"/>
  <c r="T66" i="29"/>
  <c r="T46" i="29"/>
  <c r="T26" i="29"/>
  <c r="T75" i="29"/>
  <c r="T11" i="29"/>
  <c r="T61" i="29"/>
  <c r="T45" i="29"/>
  <c r="T20" i="29"/>
  <c r="T49" i="29"/>
  <c r="T17" i="29"/>
  <c r="T67" i="29"/>
  <c r="T55" i="29"/>
  <c r="T40" i="29"/>
  <c r="T28" i="29"/>
  <c r="T15" i="29"/>
  <c r="T36" i="29"/>
  <c r="T16" i="29"/>
  <c r="T62" i="29"/>
  <c r="T42" i="29"/>
  <c r="T18" i="29"/>
  <c r="T41" i="29"/>
  <c r="T63" i="29"/>
  <c r="T12" i="29"/>
  <c r="T34" i="29"/>
  <c r="T59" i="29"/>
  <c r="T70" i="29"/>
  <c r="T51" i="29"/>
  <c r="T29" i="29"/>
  <c r="T14" i="29"/>
  <c r="T73" i="29"/>
  <c r="T38" i="29"/>
  <c r="T39" i="29"/>
  <c r="T13" i="29"/>
  <c r="T57" i="29"/>
  <c r="T76" i="29"/>
  <c r="T58" i="29"/>
  <c r="T24" i="29"/>
  <c r="T28" i="4"/>
  <c r="T27" i="4"/>
  <c r="U19" i="4"/>
  <c r="U18" i="4"/>
  <c r="C81" i="15"/>
  <c r="X77" i="29"/>
  <c r="AE27" i="4" s="1"/>
  <c r="AD27" i="4" s="1"/>
  <c r="X22" i="4"/>
  <c r="X21" i="4"/>
  <c r="Y77" i="29"/>
  <c r="AE28" i="4" s="1"/>
  <c r="AD28" i="4" s="1"/>
  <c r="T19" i="4"/>
  <c r="T18" i="4"/>
  <c r="G81" i="15"/>
  <c r="W19" i="2"/>
  <c r="I19" i="4"/>
  <c r="I18" i="4"/>
  <c r="D81" i="15"/>
  <c r="U21" i="4"/>
  <c r="U22" i="4"/>
  <c r="AA77" i="29"/>
  <c r="AE30" i="4" s="1"/>
  <c r="AD30" i="4" s="1"/>
  <c r="V19" i="4"/>
  <c r="V18" i="4"/>
  <c r="Q75" i="29"/>
  <c r="Q59" i="29"/>
  <c r="Q43" i="29"/>
  <c r="Q27" i="29"/>
  <c r="Q11" i="29"/>
  <c r="Q55" i="29"/>
  <c r="Q35" i="29"/>
  <c r="Q15" i="29"/>
  <c r="Q70" i="29"/>
  <c r="Q58" i="29"/>
  <c r="Q46" i="29"/>
  <c r="Q38" i="29"/>
  <c r="Q26" i="29"/>
  <c r="Q14" i="29"/>
  <c r="Q63" i="29"/>
  <c r="Q39" i="29"/>
  <c r="Q17" i="29"/>
  <c r="Q73" i="29"/>
  <c r="Q57" i="29"/>
  <c r="Q41" i="29"/>
  <c r="Q25" i="29"/>
  <c r="Q71" i="29"/>
  <c r="Q51" i="29"/>
  <c r="Q32" i="29"/>
  <c r="Q76" i="29"/>
  <c r="Q66" i="29"/>
  <c r="Q56" i="29"/>
  <c r="Q44" i="29"/>
  <c r="Q34" i="29"/>
  <c r="Q24" i="29"/>
  <c r="Q12" i="29"/>
  <c r="Q52" i="29"/>
  <c r="Q33" i="29"/>
  <c r="Q16" i="29"/>
  <c r="Q69" i="29"/>
  <c r="Q53" i="29"/>
  <c r="Q37" i="29"/>
  <c r="Q21" i="29"/>
  <c r="Q67" i="29"/>
  <c r="Q48" i="29"/>
  <c r="Q20" i="29"/>
  <c r="Q74" i="29"/>
  <c r="Q62" i="29"/>
  <c r="Q13" i="29"/>
  <c r="Q72" i="29"/>
  <c r="Q42" i="29"/>
  <c r="Q22" i="29"/>
  <c r="Q49" i="29"/>
  <c r="Q29" i="29"/>
  <c r="Q23" i="29"/>
  <c r="Q61" i="29"/>
  <c r="Q64" i="29"/>
  <c r="Q60" i="29"/>
  <c r="Q40" i="29"/>
  <c r="Q18" i="29"/>
  <c r="Q47" i="29"/>
  <c r="Q19" i="29"/>
  <c r="Q28" i="29"/>
  <c r="Q45" i="29"/>
  <c r="Q36" i="29"/>
  <c r="Q54" i="29"/>
  <c r="Q30" i="29"/>
  <c r="Q68" i="29"/>
  <c r="Q31" i="29"/>
  <c r="Q50" i="29"/>
  <c r="Q65" i="29"/>
  <c r="S76" i="29"/>
  <c r="S67" i="29"/>
  <c r="S55" i="29"/>
  <c r="S40" i="29"/>
  <c r="S28" i="29"/>
  <c r="S15" i="29"/>
  <c r="S33" i="29"/>
  <c r="S14" i="29"/>
  <c r="S27" i="29"/>
  <c r="S68" i="29"/>
  <c r="S53" i="29"/>
  <c r="S41" i="29"/>
  <c r="S29" i="29"/>
  <c r="S16" i="29"/>
  <c r="S65" i="29"/>
  <c r="S49" i="29"/>
  <c r="S34" i="29"/>
  <c r="AC22" i="4" s="1"/>
  <c r="AB22" i="4" s="1"/>
  <c r="S63" i="29"/>
  <c r="S51" i="29"/>
  <c r="S39" i="29"/>
  <c r="S24" i="29"/>
  <c r="S12" i="29"/>
  <c r="S26" i="29"/>
  <c r="S75" i="29"/>
  <c r="S11" i="29"/>
  <c r="S64" i="29"/>
  <c r="S52" i="29"/>
  <c r="S37" i="29"/>
  <c r="S25" i="29"/>
  <c r="S13" i="29"/>
  <c r="S62" i="29"/>
  <c r="S46" i="29"/>
  <c r="S30" i="29"/>
  <c r="S72" i="29"/>
  <c r="S60" i="29"/>
  <c r="S47" i="29"/>
  <c r="S35" i="29"/>
  <c r="S23" i="29"/>
  <c r="S66" i="29"/>
  <c r="S22" i="29"/>
  <c r="S59" i="29"/>
  <c r="S73" i="29"/>
  <c r="S61" i="29"/>
  <c r="S48" i="29"/>
  <c r="S36" i="29"/>
  <c r="S21" i="29"/>
  <c r="S74" i="29"/>
  <c r="S58" i="29"/>
  <c r="S42" i="29"/>
  <c r="S18" i="29"/>
  <c r="S71" i="29"/>
  <c r="S19" i="29"/>
  <c r="S69" i="29"/>
  <c r="S20" i="29"/>
  <c r="S31" i="29"/>
  <c r="S38" i="29"/>
  <c r="S56" i="29"/>
  <c r="S50" i="29"/>
  <c r="S57" i="29"/>
  <c r="S70" i="29"/>
  <c r="S32" i="29"/>
  <c r="S44" i="29"/>
  <c r="S17" i="29"/>
  <c r="S45" i="29"/>
  <c r="S54" i="29"/>
  <c r="S43" i="29"/>
  <c r="AI16" i="2"/>
  <c r="E81" i="29"/>
  <c r="C47" i="16"/>
  <c r="M32" i="4"/>
  <c r="C30" i="16"/>
  <c r="C52" i="16"/>
  <c r="W32" i="4" s="1"/>
  <c r="C41" i="16"/>
  <c r="V32" i="4" s="1"/>
  <c r="AE16" i="4"/>
  <c r="E82" i="29"/>
  <c r="AB16" i="4"/>
  <c r="K16" i="4"/>
  <c r="L16" i="4"/>
  <c r="U16" i="4"/>
  <c r="C58" i="12"/>
  <c r="AA16" i="4" s="1"/>
  <c r="T16" i="4"/>
  <c r="C47" i="12"/>
  <c r="Z16" i="4" s="1"/>
  <c r="G22" i="4"/>
  <c r="F21" i="4"/>
  <c r="F22" i="4"/>
  <c r="G21" i="4"/>
  <c r="E86" i="15"/>
  <c r="R23" i="2"/>
  <c r="R24" i="2"/>
  <c r="L20" i="2"/>
  <c r="L19" i="2"/>
  <c r="G70" i="15"/>
  <c r="V21" i="2"/>
  <c r="T22" i="2"/>
  <c r="V22" i="2"/>
  <c r="X21" i="2"/>
  <c r="W21" i="2"/>
  <c r="W22" i="2"/>
  <c r="X22" i="2"/>
  <c r="D29" i="12"/>
  <c r="D39" i="12" s="1"/>
  <c r="Y16" i="2"/>
  <c r="L5" i="2"/>
  <c r="H81" i="15" l="1"/>
  <c r="AA31" i="4" s="1"/>
  <c r="W39" i="4"/>
  <c r="I39" i="4"/>
  <c r="I38" i="4"/>
  <c r="X38" i="4"/>
  <c r="X39" i="4"/>
  <c r="W38" i="4"/>
  <c r="H70" i="15"/>
  <c r="Z31" i="4" s="1"/>
  <c r="V38" i="4"/>
  <c r="V39" i="4"/>
  <c r="Y39" i="4"/>
  <c r="Y38" i="4"/>
  <c r="AD42" i="29"/>
  <c r="AD29" i="29"/>
  <c r="AD62" i="29"/>
  <c r="AD30" i="29"/>
  <c r="AD56" i="29"/>
  <c r="T77" i="29"/>
  <c r="AD35" i="29"/>
  <c r="AC18" i="4"/>
  <c r="AD34" i="29"/>
  <c r="AD13" i="29"/>
  <c r="S77" i="29"/>
  <c r="AE22" i="4" s="1"/>
  <c r="AD22" i="4" s="1"/>
  <c r="AA21" i="4"/>
  <c r="AA22" i="4"/>
  <c r="AD27" i="29"/>
  <c r="AD48" i="29"/>
  <c r="AD63" i="29"/>
  <c r="AD61" i="29"/>
  <c r="AD60" i="29"/>
  <c r="AD20" i="29"/>
  <c r="AD51" i="29"/>
  <c r="AD36" i="29"/>
  <c r="AD73" i="29"/>
  <c r="AD65" i="29"/>
  <c r="AD39" i="29"/>
  <c r="AD70" i="29"/>
  <c r="AD58" i="29"/>
  <c r="AD19" i="29"/>
  <c r="AD71" i="29"/>
  <c r="AD37" i="29"/>
  <c r="R77" i="29"/>
  <c r="AE21" i="4" s="1"/>
  <c r="AD21" i="4" s="1"/>
  <c r="AD74" i="29"/>
  <c r="AD24" i="29"/>
  <c r="AD23" i="29"/>
  <c r="AD64" i="29"/>
  <c r="AD32" i="29"/>
  <c r="AD14" i="29"/>
  <c r="AD12" i="29"/>
  <c r="AD18" i="29"/>
  <c r="AD59" i="29"/>
  <c r="AD53" i="29"/>
  <c r="AD52" i="29"/>
  <c r="AD67" i="29"/>
  <c r="AD69" i="29"/>
  <c r="AD76" i="29"/>
  <c r="AD25" i="29"/>
  <c r="AD55" i="29"/>
  <c r="AD45" i="29"/>
  <c r="AD16" i="29"/>
  <c r="AD31" i="29"/>
  <c r="AD26" i="29"/>
  <c r="AD68" i="29"/>
  <c r="P77" i="29"/>
  <c r="AE19" i="4" s="1"/>
  <c r="AD19" i="4" s="1"/>
  <c r="Z28" i="4"/>
  <c r="Z27" i="4"/>
  <c r="AA27" i="4"/>
  <c r="AA28" i="4"/>
  <c r="AD47" i="29"/>
  <c r="AD50" i="29"/>
  <c r="AD22" i="29"/>
  <c r="AD38" i="29"/>
  <c r="Q77" i="29"/>
  <c r="AA19" i="4"/>
  <c r="AA18" i="4"/>
  <c r="AD40" i="29"/>
  <c r="AD46" i="29"/>
  <c r="AD28" i="29"/>
  <c r="AD54" i="29"/>
  <c r="AD66" i="29"/>
  <c r="AD17" i="29"/>
  <c r="AD15" i="29"/>
  <c r="AD33" i="29"/>
  <c r="AD75" i="29"/>
  <c r="AD21" i="29"/>
  <c r="AD57" i="29"/>
  <c r="AD72" i="29"/>
  <c r="O77" i="29"/>
  <c r="AD11" i="29"/>
  <c r="AD41" i="29"/>
  <c r="AD44" i="29"/>
  <c r="AD49" i="29"/>
  <c r="AD43" i="29"/>
  <c r="C46" i="16"/>
  <c r="J32" i="4"/>
  <c r="C51" i="16"/>
  <c r="C40" i="16"/>
  <c r="T32" i="4" s="1"/>
  <c r="T39" i="4" s="1"/>
  <c r="AD16" i="4"/>
  <c r="D86" i="15"/>
  <c r="R27" i="2"/>
  <c r="F70" i="15"/>
  <c r="C29" i="12"/>
  <c r="AL16" i="2"/>
  <c r="AK16" i="2" s="1"/>
  <c r="AJ16" i="2" s="1"/>
  <c r="AH16" i="2"/>
  <c r="T38" i="4" l="1"/>
  <c r="AC39" i="4"/>
  <c r="AC38" i="4"/>
  <c r="D28" i="12"/>
  <c r="D38" i="12" s="1"/>
  <c r="U17" i="2" s="1"/>
  <c r="C39" i="12"/>
  <c r="AE18" i="4"/>
  <c r="E84" i="29"/>
  <c r="E79" i="29"/>
  <c r="AD77" i="29"/>
  <c r="AB18" i="4"/>
  <c r="Z25" i="4"/>
  <c r="Z24" i="4"/>
  <c r="C45" i="16"/>
  <c r="E32" i="4" s="1"/>
  <c r="H32" i="4"/>
  <c r="U32" i="4"/>
  <c r="C54" i="16"/>
  <c r="AA32" i="4" s="1"/>
  <c r="AA39" i="4" s="1"/>
  <c r="F17" i="4"/>
  <c r="G17" i="4"/>
  <c r="E70" i="15"/>
  <c r="Z30" i="4" s="1"/>
  <c r="C86" i="15"/>
  <c r="R22" i="2"/>
  <c r="R21" i="2"/>
  <c r="W17" i="2"/>
  <c r="X17" i="2"/>
  <c r="C28" i="12"/>
  <c r="D17" i="4" l="1"/>
  <c r="U38" i="4"/>
  <c r="U39" i="4"/>
  <c r="AA38" i="4"/>
  <c r="AB38" i="4"/>
  <c r="AB39" i="4"/>
  <c r="AE38" i="4"/>
  <c r="AE39" i="4"/>
  <c r="D25" i="12"/>
  <c r="D43" i="12" s="1"/>
  <c r="C38" i="12"/>
  <c r="U16" i="2" s="1"/>
  <c r="AD18" i="4"/>
  <c r="G16" i="4"/>
  <c r="F16" i="4"/>
  <c r="D70" i="15"/>
  <c r="R19" i="2"/>
  <c r="R20" i="2"/>
  <c r="T17" i="2"/>
  <c r="V17" i="2"/>
  <c r="W16" i="2"/>
  <c r="X16" i="2"/>
  <c r="C25" i="12"/>
  <c r="C43" i="12" s="1"/>
  <c r="AH5" i="2"/>
  <c r="D16" i="4" l="1"/>
  <c r="D38" i="4" s="1"/>
  <c r="G38" i="4"/>
  <c r="G39" i="4"/>
  <c r="AE17" i="2"/>
  <c r="AC17" i="2"/>
  <c r="D39" i="4"/>
  <c r="F38" i="4"/>
  <c r="F39" i="4"/>
  <c r="AD38" i="4"/>
  <c r="AD39" i="4"/>
  <c r="U31" i="2"/>
  <c r="U30" i="2"/>
  <c r="Z22" i="4"/>
  <c r="Z21" i="4"/>
  <c r="X30" i="2"/>
  <c r="X31" i="2"/>
  <c r="W30" i="2"/>
  <c r="W31" i="2"/>
  <c r="R17" i="4"/>
  <c r="Q17" i="4"/>
  <c r="C70" i="15"/>
  <c r="T16" i="2"/>
  <c r="T30" i="2" s="1"/>
  <c r="V16" i="2"/>
  <c r="AD17" i="2"/>
  <c r="D54" i="12"/>
  <c r="AC16" i="2" l="1"/>
  <c r="AE16" i="2"/>
  <c r="S31" i="4"/>
  <c r="AE28" i="2"/>
  <c r="AD28" i="2"/>
  <c r="AC28" i="2"/>
  <c r="Z18" i="4"/>
  <c r="Z19" i="4"/>
  <c r="T31" i="2"/>
  <c r="V31" i="2"/>
  <c r="V30" i="2"/>
  <c r="Q16" i="4"/>
  <c r="R16" i="4"/>
  <c r="C54" i="12"/>
  <c r="S17" i="4"/>
  <c r="R31" i="4"/>
  <c r="Q31" i="4"/>
  <c r="G66" i="15"/>
  <c r="AD16" i="2"/>
  <c r="K26" i="2"/>
  <c r="K24" i="2"/>
  <c r="K25" i="2"/>
  <c r="K23" i="2"/>
  <c r="K21" i="2"/>
  <c r="K19" i="2"/>
  <c r="Q28" i="4" l="1"/>
  <c r="R28" i="4"/>
  <c r="R27" i="4"/>
  <c r="AD25" i="2"/>
  <c r="Q27" i="4"/>
  <c r="AD26" i="2"/>
  <c r="D53" i="12"/>
  <c r="S16" i="4"/>
  <c r="F66" i="15"/>
  <c r="AC25" i="2"/>
  <c r="AE25" i="2"/>
  <c r="AC26" i="2"/>
  <c r="AE26" i="2"/>
  <c r="G77" i="15"/>
  <c r="Q28" i="2"/>
  <c r="K22" i="2"/>
  <c r="K20" i="2"/>
  <c r="K28" i="2"/>
  <c r="R24" i="4" l="1"/>
  <c r="AD23" i="2"/>
  <c r="Q24" i="4"/>
  <c r="AD24" i="2"/>
  <c r="Q25" i="4"/>
  <c r="R25" i="4"/>
  <c r="C53" i="12"/>
  <c r="P17" i="4"/>
  <c r="S27" i="4"/>
  <c r="S28" i="4"/>
  <c r="E66" i="15"/>
  <c r="AC23" i="2"/>
  <c r="AE23" i="2"/>
  <c r="AC24" i="2"/>
  <c r="AE24" i="2"/>
  <c r="F77" i="15"/>
  <c r="Q27" i="2"/>
  <c r="K27" i="2"/>
  <c r="D52" i="12" l="1"/>
  <c r="P16" i="4"/>
  <c r="S24" i="4"/>
  <c r="S25" i="4"/>
  <c r="R30" i="4"/>
  <c r="Q30" i="4"/>
  <c r="D66" i="15"/>
  <c r="AC27" i="2"/>
  <c r="AE27" i="2"/>
  <c r="AD27" i="2"/>
  <c r="E77" i="15"/>
  <c r="S30" i="4" s="1"/>
  <c r="Q26" i="2"/>
  <c r="Q24" i="2"/>
  <c r="R22" i="4" l="1"/>
  <c r="R21" i="4"/>
  <c r="C52" i="12"/>
  <c r="M17" i="4"/>
  <c r="Q22" i="4"/>
  <c r="Q21" i="4"/>
  <c r="C66" i="15"/>
  <c r="AC22" i="2"/>
  <c r="AD22" i="2"/>
  <c r="AC21" i="2"/>
  <c r="AE22" i="2"/>
  <c r="AD21" i="2"/>
  <c r="AE21" i="2"/>
  <c r="D77" i="15"/>
  <c r="Q22" i="2"/>
  <c r="Q20" i="2"/>
  <c r="D51" i="12" l="1"/>
  <c r="M16" i="4"/>
  <c r="S21" i="4"/>
  <c r="S22" i="4"/>
  <c r="R19" i="4"/>
  <c r="Q19" i="4"/>
  <c r="R18" i="4"/>
  <c r="Q18" i="4"/>
  <c r="C77" i="15"/>
  <c r="AE20" i="2"/>
  <c r="AD19" i="2"/>
  <c r="AE19" i="2"/>
  <c r="AC20" i="2"/>
  <c r="AD20" i="2"/>
  <c r="AC19" i="2"/>
  <c r="Q23" i="2"/>
  <c r="Q25" i="2"/>
  <c r="Q39" i="4" l="1"/>
  <c r="Q38" i="4"/>
  <c r="R38" i="4"/>
  <c r="R39" i="4"/>
  <c r="AC30" i="2"/>
  <c r="AC31" i="2"/>
  <c r="AD31" i="2"/>
  <c r="AD30" i="2"/>
  <c r="AE30" i="2"/>
  <c r="AE31" i="2"/>
  <c r="C51" i="12"/>
  <c r="J17" i="4"/>
  <c r="S19" i="4"/>
  <c r="S18" i="4"/>
  <c r="Q21" i="2"/>
  <c r="Q19" i="2"/>
  <c r="S38" i="4" l="1"/>
  <c r="S39" i="4"/>
  <c r="D50" i="12"/>
  <c r="J16" i="4"/>
  <c r="AI11" i="2"/>
  <c r="AI12" i="2"/>
  <c r="AK14" i="2"/>
  <c r="AK13" i="2"/>
  <c r="C50" i="12" l="1"/>
  <c r="H17" i="4"/>
  <c r="D49" i="12" l="1"/>
  <c r="H16" i="4"/>
  <c r="C49" i="12" l="1"/>
  <c r="E16" i="4" s="1"/>
  <c r="E17" i="4"/>
  <c r="AK7" i="2" l="1"/>
  <c r="AK8" i="2"/>
  <c r="AI10" i="2"/>
  <c r="AK6" i="2"/>
  <c r="AI9" i="2"/>
  <c r="AI5" i="2"/>
  <c r="AL11" i="2" l="1"/>
  <c r="AK11" i="2" s="1"/>
  <c r="AJ11" i="2" s="1"/>
  <c r="AH11" i="2"/>
  <c r="AH12" i="2"/>
  <c r="AL12" i="2"/>
  <c r="AK12" i="2" s="1"/>
  <c r="AJ12" i="2" s="1"/>
  <c r="AL13" i="2"/>
  <c r="AH13" i="2"/>
  <c r="AJ13" i="2"/>
  <c r="AI13" i="2" s="1"/>
  <c r="AL14" i="2"/>
  <c r="AH14" i="2"/>
  <c r="AJ14" i="2"/>
  <c r="AI14" i="2" s="1"/>
  <c r="AH7" i="2" l="1"/>
  <c r="AL7" i="2"/>
  <c r="AJ7" i="2"/>
  <c r="AI7" i="2" s="1"/>
  <c r="AL10" i="2"/>
  <c r="AK10" i="2" s="1"/>
  <c r="AJ10" i="2" s="1"/>
  <c r="AH10" i="2"/>
  <c r="AL6" i="2"/>
  <c r="AH6" i="2"/>
  <c r="AJ6" i="2"/>
  <c r="AI6" i="2" s="1"/>
  <c r="AL5" i="2"/>
  <c r="AK5" i="2" s="1"/>
  <c r="AJ5" i="2" s="1"/>
  <c r="AL9" i="2"/>
  <c r="AK9" i="2" s="1"/>
  <c r="AJ9" i="2" s="1"/>
  <c r="AH9" i="2"/>
  <c r="AH8" i="2"/>
  <c r="AL8" i="2"/>
  <c r="AJ8" i="2"/>
  <c r="AI8" i="2" s="1"/>
  <c r="K17" i="2" l="1"/>
  <c r="L17" i="2" s="1"/>
  <c r="AI29" i="2" l="1"/>
  <c r="AK29" i="2"/>
  <c r="AL29" i="2"/>
  <c r="AJ29" i="2"/>
  <c r="AH29" i="2"/>
  <c r="C27" i="15" l="1"/>
  <c r="C29" i="15" s="1"/>
  <c r="C64" i="15" s="1"/>
  <c r="E27" i="15"/>
  <c r="E29" i="15" s="1"/>
  <c r="E65" i="15" s="1"/>
  <c r="D27" i="15"/>
  <c r="D29" i="15" s="1"/>
  <c r="D64" i="15" s="1"/>
  <c r="AL28" i="2"/>
  <c r="H65" i="15"/>
  <c r="AB28" i="2" s="1"/>
  <c r="G27" i="15"/>
  <c r="G29" i="15" s="1"/>
  <c r="F27" i="15"/>
  <c r="F29" i="15" s="1"/>
  <c r="H28" i="15"/>
  <c r="M31" i="4"/>
  <c r="H74" i="15"/>
  <c r="J31" i="4" s="1"/>
  <c r="G74" i="15"/>
  <c r="F74" i="15"/>
  <c r="E74" i="15"/>
  <c r="J30" i="4" s="1"/>
  <c r="D74" i="15"/>
  <c r="C74" i="15"/>
  <c r="H31" i="4"/>
  <c r="G73" i="15"/>
  <c r="F73" i="15"/>
  <c r="E73" i="15"/>
  <c r="H30" i="4" s="1"/>
  <c r="D73" i="15"/>
  <c r="C73" i="15"/>
  <c r="E31" i="4"/>
  <c r="G72" i="15"/>
  <c r="F72" i="15"/>
  <c r="E72" i="15"/>
  <c r="E30" i="4" s="1"/>
  <c r="D72" i="15"/>
  <c r="C72" i="15"/>
  <c r="F28" i="15" l="1"/>
  <c r="C28" i="15"/>
  <c r="Y19" i="2"/>
  <c r="AJ19" i="2" s="1"/>
  <c r="Z19" i="2"/>
  <c r="C75" i="15"/>
  <c r="M18" i="4" s="1"/>
  <c r="E28" i="15"/>
  <c r="D28" i="15"/>
  <c r="F65" i="15"/>
  <c r="F64" i="15"/>
  <c r="L21" i="4"/>
  <c r="K21" i="4"/>
  <c r="L22" i="4"/>
  <c r="K22" i="4"/>
  <c r="Z22" i="2"/>
  <c r="Y22" i="2"/>
  <c r="AH22" i="2" s="1"/>
  <c r="Z21" i="2"/>
  <c r="Y21" i="2"/>
  <c r="AH21" i="2" s="1"/>
  <c r="D75" i="15"/>
  <c r="G64" i="15"/>
  <c r="G65" i="15"/>
  <c r="O30" i="4"/>
  <c r="N30" i="4"/>
  <c r="E76" i="15"/>
  <c r="P30" i="4" s="1"/>
  <c r="AA27" i="2"/>
  <c r="AK27" i="2" s="1"/>
  <c r="AB27" i="2"/>
  <c r="Y20" i="2"/>
  <c r="AH20" i="2" s="1"/>
  <c r="E25" i="4"/>
  <c r="E24" i="4"/>
  <c r="J25" i="4"/>
  <c r="J24" i="4"/>
  <c r="Z20" i="2"/>
  <c r="G28" i="15"/>
  <c r="E64" i="15"/>
  <c r="E27" i="4"/>
  <c r="E28" i="4"/>
  <c r="J19" i="4"/>
  <c r="J18" i="4"/>
  <c r="K19" i="4"/>
  <c r="L19" i="4"/>
  <c r="K18" i="4"/>
  <c r="L18" i="4"/>
  <c r="E19" i="4"/>
  <c r="E18" i="4"/>
  <c r="J27" i="4"/>
  <c r="J28" i="4"/>
  <c r="E21" i="4"/>
  <c r="E22" i="4"/>
  <c r="J21" i="4"/>
  <c r="J22" i="4"/>
  <c r="D65" i="15"/>
  <c r="C65" i="15"/>
  <c r="AJ28" i="2"/>
  <c r="N31" i="4"/>
  <c r="O31" i="4"/>
  <c r="H76" i="15"/>
  <c r="P31" i="4" s="1"/>
  <c r="AA28" i="2"/>
  <c r="AH28" i="2"/>
  <c r="H21" i="4"/>
  <c r="H22" i="4"/>
  <c r="H24" i="4"/>
  <c r="H25" i="4"/>
  <c r="H18" i="4"/>
  <c r="H19" i="4"/>
  <c r="H27" i="4"/>
  <c r="H28" i="4"/>
  <c r="C43" i="16"/>
  <c r="Z32" i="4" s="1"/>
  <c r="M19" i="4" l="1"/>
  <c r="AJ21" i="2"/>
  <c r="AL19" i="2"/>
  <c r="Z39" i="4"/>
  <c r="Z38" i="4"/>
  <c r="H38" i="4"/>
  <c r="H39" i="4"/>
  <c r="E39" i="4"/>
  <c r="E38" i="4"/>
  <c r="J38" i="4"/>
  <c r="J39" i="4"/>
  <c r="AH19" i="2"/>
  <c r="AI27" i="2"/>
  <c r="AJ20" i="2"/>
  <c r="AL21" i="2"/>
  <c r="AL20" i="2"/>
  <c r="N22" i="4"/>
  <c r="O22" i="4"/>
  <c r="N21" i="4"/>
  <c r="O21" i="4"/>
  <c r="AA21" i="2"/>
  <c r="AB22" i="2"/>
  <c r="D76" i="15"/>
  <c r="AB21" i="2"/>
  <c r="AA22" i="2"/>
  <c r="K30" i="4"/>
  <c r="K38" i="4" s="1"/>
  <c r="L30" i="4"/>
  <c r="L38" i="4" s="1"/>
  <c r="E75" i="15"/>
  <c r="M30" i="4" s="1"/>
  <c r="Z27" i="2"/>
  <c r="Z30" i="2" s="1"/>
  <c r="Y27" i="2"/>
  <c r="Y30" i="2" s="1"/>
  <c r="K28" i="4"/>
  <c r="Y26" i="2"/>
  <c r="K27" i="4"/>
  <c r="Y25" i="2"/>
  <c r="L27" i="4"/>
  <c r="L28" i="4"/>
  <c r="Z25" i="2"/>
  <c r="G75" i="15"/>
  <c r="Z26" i="2"/>
  <c r="M21" i="4"/>
  <c r="M22" i="4"/>
  <c r="AJ22" i="2"/>
  <c r="L24" i="4"/>
  <c r="K24" i="4"/>
  <c r="L25" i="4"/>
  <c r="K25" i="4"/>
  <c r="Y24" i="2"/>
  <c r="Y23" i="2"/>
  <c r="F75" i="15"/>
  <c r="Z24" i="2"/>
  <c r="Z23" i="2"/>
  <c r="AL22" i="2"/>
  <c r="O18" i="4"/>
  <c r="O19" i="4"/>
  <c r="N19" i="4"/>
  <c r="N18" i="4"/>
  <c r="AA19" i="2"/>
  <c r="AA20" i="2"/>
  <c r="C76" i="15"/>
  <c r="AB20" i="2"/>
  <c r="AB19" i="2"/>
  <c r="N28" i="4"/>
  <c r="AA26" i="2"/>
  <c r="O28" i="4"/>
  <c r="N27" i="4"/>
  <c r="AA25" i="2"/>
  <c r="O27" i="4"/>
  <c r="AB25" i="2"/>
  <c r="G76" i="15"/>
  <c r="AB26" i="2"/>
  <c r="O24" i="4"/>
  <c r="AA23" i="2"/>
  <c r="O25" i="4"/>
  <c r="N24" i="4"/>
  <c r="N25" i="4"/>
  <c r="AA24" i="2"/>
  <c r="AB23" i="2"/>
  <c r="AB24" i="2"/>
  <c r="F76" i="15"/>
  <c r="AK28" i="2"/>
  <c r="AI28" i="2"/>
  <c r="M38" i="4" l="1"/>
  <c r="K39" i="4"/>
  <c r="L39" i="4"/>
  <c r="N38" i="4"/>
  <c r="N39" i="4"/>
  <c r="O38" i="4"/>
  <c r="O39" i="4"/>
  <c r="AK20" i="2"/>
  <c r="AI20" i="2"/>
  <c r="AA31" i="2"/>
  <c r="P27" i="4"/>
  <c r="P28" i="4"/>
  <c r="AB30" i="2"/>
  <c r="AB31" i="2"/>
  <c r="AK19" i="2"/>
  <c r="AI19" i="2"/>
  <c r="M25" i="4"/>
  <c r="M24" i="4"/>
  <c r="M27" i="4"/>
  <c r="M28" i="4"/>
  <c r="AH25" i="2"/>
  <c r="AJ25" i="2"/>
  <c r="AL25" i="2"/>
  <c r="AJ27" i="2"/>
  <c r="AH27" i="2"/>
  <c r="AL27" i="2"/>
  <c r="AI25" i="2"/>
  <c r="AK25" i="2"/>
  <c r="P21" i="4"/>
  <c r="P22" i="4"/>
  <c r="AI24" i="2"/>
  <c r="AK24" i="2"/>
  <c r="AI23" i="2"/>
  <c r="AK23" i="2"/>
  <c r="AH23" i="2"/>
  <c r="AJ23" i="2"/>
  <c r="AL23" i="2"/>
  <c r="Y31" i="2"/>
  <c r="AI22" i="2"/>
  <c r="AK22" i="2"/>
  <c r="AK21" i="2"/>
  <c r="AI21" i="2"/>
  <c r="AA30" i="2"/>
  <c r="P25" i="4"/>
  <c r="P24" i="4"/>
  <c r="AI26" i="2"/>
  <c r="AK26" i="2"/>
  <c r="P19" i="4"/>
  <c r="P18" i="4"/>
  <c r="Z31" i="2"/>
  <c r="AJ24" i="2"/>
  <c r="AH24" i="2"/>
  <c r="AL24" i="2"/>
  <c r="AJ26" i="2"/>
  <c r="AL26" i="2"/>
  <c r="AH26" i="2"/>
  <c r="M39" i="4" l="1"/>
  <c r="P38" i="4"/>
  <c r="P39" i="4"/>
</calcChain>
</file>

<file path=xl/comments1.xml><?xml version="1.0" encoding="utf-8"?>
<comments xmlns="http://schemas.openxmlformats.org/spreadsheetml/2006/main">
  <authors>
    <author>kmalmquist</author>
  </authors>
  <commentList>
    <comment ref="K1" authorId="0" shapeId="0">
      <text>
        <r>
          <rPr>
            <b/>
            <sz val="8"/>
            <color indexed="81"/>
            <rFont val="Tahoma"/>
            <family val="2"/>
          </rPr>
          <t>kmalmquist:</t>
        </r>
        <r>
          <rPr>
            <sz val="8"/>
            <color indexed="81"/>
            <rFont val="Tahoma"/>
            <family val="2"/>
          </rPr>
          <t xml:space="preserve">
Control Efficiency</t>
        </r>
      </text>
    </comment>
  </commentList>
</comments>
</file>

<file path=xl/comments2.xml><?xml version="1.0" encoding="utf-8"?>
<comments xmlns="http://schemas.openxmlformats.org/spreadsheetml/2006/main">
  <authors>
    <author>Aleksa, Deborah</author>
    <author>kmalmquist</author>
  </authors>
  <commentList>
    <comment ref="AK1" authorId="0" shapeId="0">
      <text>
        <r>
          <rPr>
            <b/>
            <sz val="9"/>
            <color indexed="81"/>
            <rFont val="Tahoma"/>
            <family val="2"/>
          </rPr>
          <t>Aleksa, Deborah:</t>
        </r>
        <r>
          <rPr>
            <sz val="9"/>
            <color indexed="81"/>
            <rFont val="Tahoma"/>
            <family val="2"/>
          </rPr>
          <t xml:space="preserve">
Emission Factors do not line up with using Heat Duty. Need to adjust calculation in HAPs calc sheet if equipment present</t>
        </r>
      </text>
    </comment>
    <comment ref="Y36" authorId="1" shapeId="0">
      <text>
        <r>
          <rPr>
            <b/>
            <sz val="8"/>
            <color indexed="81"/>
            <rFont val="Tahoma"/>
            <family val="2"/>
          </rPr>
          <t>kmalmquist:</t>
        </r>
        <r>
          <rPr>
            <sz val="8"/>
            <color indexed="81"/>
            <rFont val="Tahoma"/>
            <family val="2"/>
          </rPr>
          <t xml:space="preserve">
PAH emission factor in AP-42 Table 3.2-3 (7/00) missing in GRI-HAPCalc.  Assume 7,276 Btu/hp-hr.</t>
        </r>
      </text>
    </comment>
    <comment ref="Q39" authorId="1" shapeId="0">
      <text>
        <r>
          <rPr>
            <b/>
            <sz val="8"/>
            <color indexed="81"/>
            <rFont val="Tahoma"/>
            <family val="2"/>
          </rPr>
          <t>kmalmquist:</t>
        </r>
        <r>
          <rPr>
            <sz val="8"/>
            <color indexed="81"/>
            <rFont val="Tahoma"/>
            <family val="2"/>
          </rPr>
          <t xml:space="preserve">
Includes AP-42 EF for total POM plus the FIRE EF for fluoranthene</t>
        </r>
      </text>
    </comment>
    <comment ref="P62" authorId="1" shapeId="0">
      <text>
        <r>
          <rPr>
            <b/>
            <sz val="8"/>
            <color indexed="81"/>
            <rFont val="Tahoma"/>
            <family val="2"/>
          </rPr>
          <t>kmalmquist:</t>
        </r>
        <r>
          <rPr>
            <sz val="8"/>
            <color indexed="81"/>
            <rFont val="Tahoma"/>
            <family val="2"/>
          </rPr>
          <t xml:space="preserve">
Revised 10/21/02 - see  letter from Paul Drayton (GRI)</t>
        </r>
      </text>
    </comment>
  </commentList>
</comments>
</file>

<file path=xl/sharedStrings.xml><?xml version="1.0" encoding="utf-8"?>
<sst xmlns="http://schemas.openxmlformats.org/spreadsheetml/2006/main" count="2900" uniqueCount="1020">
  <si>
    <t>AQRV Speciation Table</t>
  </si>
  <si>
    <t>Equipment and Fuel Type</t>
  </si>
  <si>
    <t>PMF Ratio</t>
  </si>
  <si>
    <t>EC 
% Filterable</t>
  </si>
  <si>
    <t>Reference</t>
  </si>
  <si>
    <t>PM2.5</t>
  </si>
  <si>
    <t>PM10</t>
  </si>
  <si>
    <t>Mobile Source | Diesel</t>
  </si>
  <si>
    <t>EPA-420-R-15-022 Speciation of Total Organic Gas and Particulate Matter Emissions from On-road Vehicles in MOVES2014  Table C-10 and Table D-1</t>
  </si>
  <si>
    <t>Turbine|Gas</t>
  </si>
  <si>
    <t>AP42 Table 3.1-2a</t>
  </si>
  <si>
    <t>Turbine|Diesel</t>
  </si>
  <si>
    <t>Generator|Gas</t>
  </si>
  <si>
    <t>AP42 Table 3.2-3</t>
  </si>
  <si>
    <t>Generator|Diesel</t>
  </si>
  <si>
    <t>AP42 Table 3.4-2</t>
  </si>
  <si>
    <t>Compressor|Gas</t>
  </si>
  <si>
    <t>Compressor|Diesel</t>
  </si>
  <si>
    <t>AP42 Table 3.4-2 (Smaller than 600 hp, but no condensable info in AP42 3.3)</t>
  </si>
  <si>
    <t>Heater|Gas</t>
  </si>
  <si>
    <t>AP42 Table 1.4-2</t>
  </si>
  <si>
    <t>Heater|Diesel</t>
  </si>
  <si>
    <t>AP42 Table 1.3-2 and Table 1.3-7</t>
  </si>
  <si>
    <t>Boiler|Gas</t>
  </si>
  <si>
    <t>Boiler|Diesel</t>
  </si>
  <si>
    <t>Pump|Gas</t>
  </si>
  <si>
    <t>Pump|Diesel</t>
  </si>
  <si>
    <t>Flare|Gas</t>
  </si>
  <si>
    <t>AP42 Table 1.4-2 (pilot/purge fuel gas, assumed as external combustion source)</t>
  </si>
  <si>
    <t>Cooling Tower|N/A</t>
  </si>
  <si>
    <t>The particulates from cooling towers are hygroscopic particles which are likely organic - therefore assumed 100% SOA.</t>
  </si>
  <si>
    <t>Tank|N/A</t>
  </si>
  <si>
    <t>No EC, SOA or PMF Emissions assumed from tank emissions</t>
  </si>
  <si>
    <t>Component</t>
  </si>
  <si>
    <t>% By Volume</t>
  </si>
  <si>
    <t>CO</t>
  </si>
  <si>
    <t>Temp</t>
  </si>
  <si>
    <t>MW</t>
  </si>
  <si>
    <t>Fuel Heating Value at 82ºF:</t>
  </si>
  <si>
    <t>Net (Btu/lbm)</t>
  </si>
  <si>
    <t>Net (Btu/scf)</t>
  </si>
  <si>
    <t>Gross (Btu/lbm)</t>
  </si>
  <si>
    <t>Gross (Btu/scf)</t>
  </si>
  <si>
    <t>scf defined at 14.676 psia, 60F</t>
  </si>
  <si>
    <t>Notes:</t>
  </si>
  <si>
    <t>Normal maximum sulfur based on 16 ppmv for total sulfur being equal to the pipeline specification of 1 grain/100 scf. This assumes all H2S and other mercaptans are included in Sulfur value</t>
  </si>
  <si>
    <t>Properties</t>
  </si>
  <si>
    <t>Total Installed</t>
  </si>
  <si>
    <t>Load</t>
  </si>
  <si>
    <t>Operation (hr/yr)</t>
  </si>
  <si>
    <t>Sulfur Content (H2S)</t>
  </si>
  <si>
    <t>ppm</t>
  </si>
  <si>
    <t>Assume ULSD required</t>
  </si>
  <si>
    <t>Specific Gravity</t>
  </si>
  <si>
    <t>average value at 60oF</t>
  </si>
  <si>
    <t>Density</t>
  </si>
  <si>
    <t>lb/gal</t>
  </si>
  <si>
    <t>LHV</t>
  </si>
  <si>
    <t>MMBtu/gal</t>
  </si>
  <si>
    <t>HHV</t>
  </si>
  <si>
    <t>Assumed 10% higher than LHV</t>
  </si>
  <si>
    <t>lb SO2/gal Fuel</t>
  </si>
  <si>
    <t>Rated Power (hp)</t>
  </si>
  <si>
    <t>Rated Power (kW)</t>
  </si>
  <si>
    <t>Conversion Table</t>
  </si>
  <si>
    <t>1 lb =</t>
  </si>
  <si>
    <t>g</t>
  </si>
  <si>
    <t xml:space="preserve">1 lbmol = </t>
  </si>
  <si>
    <t>scf</t>
  </si>
  <si>
    <t>1 MMBtu=</t>
  </si>
  <si>
    <t>Btu</t>
  </si>
  <si>
    <t xml:space="preserve">1 hr = </t>
  </si>
  <si>
    <t>min</t>
  </si>
  <si>
    <t>1 ft3 =</t>
  </si>
  <si>
    <t>m3</t>
  </si>
  <si>
    <t>1 min =</t>
  </si>
  <si>
    <t>sec</t>
  </si>
  <si>
    <t xml:space="preserve">1 kJ = </t>
  </si>
  <si>
    <t>MMBtu</t>
  </si>
  <si>
    <t xml:space="preserve">1 scf = </t>
  </si>
  <si>
    <t>L</t>
  </si>
  <si>
    <t xml:space="preserve">1 g = </t>
  </si>
  <si>
    <t>ug</t>
  </si>
  <si>
    <t xml:space="preserve">1 ton = </t>
  </si>
  <si>
    <t>lb</t>
  </si>
  <si>
    <t xml:space="preserve">1 hp = </t>
  </si>
  <si>
    <t>kW</t>
  </si>
  <si>
    <t>Btu/lb</t>
  </si>
  <si>
    <t>AP42 Table 3.3-1</t>
  </si>
  <si>
    <t>Rated Duty (MMBtu/hr)</t>
  </si>
  <si>
    <t>References/
Comments</t>
  </si>
  <si>
    <t>Emission Factors</t>
  </si>
  <si>
    <t>NOx (g/hp-hr)</t>
  </si>
  <si>
    <t>CO (g/hp-hr)</t>
  </si>
  <si>
    <t>VOC (g/hp-hr)</t>
  </si>
  <si>
    <t>PM10 (g/hp-hr)</t>
  </si>
  <si>
    <t xml:space="preserve">SO2 </t>
  </si>
  <si>
    <t>CO2</t>
  </si>
  <si>
    <t>CH4</t>
  </si>
  <si>
    <t>N2O</t>
  </si>
  <si>
    <t>Intermittent Assumption</t>
  </si>
  <si>
    <t>BSFC (Btu/hp-hr)</t>
  </si>
  <si>
    <t>PM2.5 (g/hp-hr)</t>
  </si>
  <si>
    <t>Fuel Flow Rate (gal/hr)</t>
  </si>
  <si>
    <t>Heat Release Equivalents</t>
  </si>
  <si>
    <t>1 kg =</t>
  </si>
  <si>
    <t>40 CFR Part 98 (Petroleum)</t>
  </si>
  <si>
    <t>NOx (lb/hr)</t>
  </si>
  <si>
    <t>CO (lb/hr)</t>
  </si>
  <si>
    <t>VOC (lb/hr)</t>
  </si>
  <si>
    <t>PM10 (lb/hr)</t>
  </si>
  <si>
    <t>PM2.5 (lb/hr)</t>
  </si>
  <si>
    <t>SO2 (lb/hr)</t>
  </si>
  <si>
    <t>CO2 (lb/hr)</t>
  </si>
  <si>
    <t>CH4 (lb/hr)</t>
  </si>
  <si>
    <t>N2O (lb/hr)</t>
  </si>
  <si>
    <t>CO2e (lb/hr)</t>
  </si>
  <si>
    <t>Emission Calculations (Maximum 1-hour)</t>
  </si>
  <si>
    <t>Emission Calculations (Annual)</t>
  </si>
  <si>
    <t>NOx (tpy)</t>
  </si>
  <si>
    <t>CO (tpy)</t>
  </si>
  <si>
    <t>VOC (tpy)</t>
  </si>
  <si>
    <t>PM10 (tpy)</t>
  </si>
  <si>
    <t>PM2.5 (tpy)</t>
  </si>
  <si>
    <t>SO2 (tpy)</t>
  </si>
  <si>
    <t>Auxiliary Air Compressor</t>
  </si>
  <si>
    <t>Firewater Pump</t>
  </si>
  <si>
    <t>Emergency</t>
  </si>
  <si>
    <t xml:space="preserve">Non-Emergency </t>
  </si>
  <si>
    <t>Special/Vendor</t>
  </si>
  <si>
    <t>40 CFR 1039 Subpart B 
Tier 4 kW &gt; 560</t>
  </si>
  <si>
    <t>EMISSION FACTORS</t>
  </si>
  <si>
    <t>For HAPs calculation and CO2e</t>
  </si>
  <si>
    <t>No Emission Factor</t>
  </si>
  <si>
    <t>From Chiyoda Calculation</t>
  </si>
  <si>
    <t>From CB&amp;I/Chiyoda Calculation</t>
  </si>
  <si>
    <t>Reference: CB&amp;I/Chiyoda Calculation 194210-USAL-CB-SCCAL-00-000025-000</t>
  </si>
  <si>
    <t>Reference: CB&amp;I/Chiyoda Calculation 194210-USAL-CB-SCCAL-00-000018-000</t>
  </si>
  <si>
    <t>Used ULSD HHV</t>
  </si>
  <si>
    <t>Stack Parameters</t>
  </si>
  <si>
    <t>Stack Height (ft)</t>
  </si>
  <si>
    <t>Exhaust Temperature (F)</t>
  </si>
  <si>
    <t>Exhaust Velocity (ft/s)</t>
  </si>
  <si>
    <t>Stack Diameter (ft)</t>
  </si>
  <si>
    <t>LNG Diesel-Driven Intermittent Equipment</t>
  </si>
  <si>
    <t>40 CFR Part 98 (Natural Gas)</t>
  </si>
  <si>
    <t>Fuel Flow Rate (lbmol/hr)</t>
  </si>
  <si>
    <t>Rated Duty LHV (MMBtu/hr)</t>
  </si>
  <si>
    <t>Rated Duty HHV (MMBtu/hr)</t>
  </si>
  <si>
    <t>NOx (lb/MMBtu)</t>
  </si>
  <si>
    <t>CO (lb/MMBtu)</t>
  </si>
  <si>
    <t>VOC (lb/MMBtu)</t>
  </si>
  <si>
    <t>Based on HHV</t>
  </si>
  <si>
    <t>LNG Fuel Gas Heaters</t>
  </si>
  <si>
    <t>LNG Fuel Gas Specification</t>
  </si>
  <si>
    <t>Ar - Argon</t>
  </si>
  <si>
    <t>Hg - Mercury</t>
  </si>
  <si>
    <t>CO - Carbon Monoxide</t>
  </si>
  <si>
    <t>NO - Nitric Oxide</t>
  </si>
  <si>
    <t>COS - Carbonyl Sulfide</t>
  </si>
  <si>
    <r>
      <t>SO</t>
    </r>
    <r>
      <rPr>
        <vertAlign val="subscript"/>
        <sz val="11"/>
        <color indexed="8"/>
        <rFont val="Calibri"/>
        <family val="2"/>
      </rPr>
      <t>2</t>
    </r>
  </si>
  <si>
    <r>
      <t>H</t>
    </r>
    <r>
      <rPr>
        <vertAlign val="subscript"/>
        <sz val="8"/>
        <color indexed="8"/>
        <rFont val="Arial"/>
        <family val="2"/>
      </rPr>
      <t>2</t>
    </r>
    <r>
      <rPr>
        <sz val="8"/>
        <color indexed="8"/>
        <rFont val="Arial"/>
        <family val="2"/>
      </rPr>
      <t>S - Hydrogen Sulfide</t>
    </r>
  </si>
  <si>
    <r>
      <t>N</t>
    </r>
    <r>
      <rPr>
        <vertAlign val="subscript"/>
        <sz val="8"/>
        <color indexed="8"/>
        <rFont val="Arial"/>
        <family val="2"/>
      </rPr>
      <t>2</t>
    </r>
    <r>
      <rPr>
        <sz val="8"/>
        <color indexed="8"/>
        <rFont val="Arial"/>
        <family val="2"/>
      </rPr>
      <t xml:space="preserve"> - Nitrogen</t>
    </r>
  </si>
  <si>
    <r>
      <t>CO</t>
    </r>
    <r>
      <rPr>
        <vertAlign val="subscript"/>
        <sz val="8"/>
        <rFont val="Arial"/>
        <family val="2"/>
      </rPr>
      <t>2</t>
    </r>
    <r>
      <rPr>
        <sz val="8"/>
        <rFont val="Arial"/>
        <family val="2"/>
      </rPr>
      <t xml:space="preserve"> - Carbon Dioxide</t>
    </r>
  </si>
  <si>
    <r>
      <t>H</t>
    </r>
    <r>
      <rPr>
        <vertAlign val="subscript"/>
        <sz val="11"/>
        <color indexed="8"/>
        <rFont val="Arial"/>
        <family val="2"/>
      </rPr>
      <t>2</t>
    </r>
    <r>
      <rPr>
        <sz val="8"/>
        <color indexed="8"/>
        <rFont val="Arial"/>
        <family val="2"/>
      </rPr>
      <t>O - Water</t>
    </r>
  </si>
  <si>
    <r>
      <t>O</t>
    </r>
    <r>
      <rPr>
        <vertAlign val="subscript"/>
        <sz val="8"/>
        <color indexed="8"/>
        <rFont val="Arial"/>
        <family val="2"/>
      </rPr>
      <t>2</t>
    </r>
    <r>
      <rPr>
        <sz val="8"/>
        <color indexed="8"/>
        <rFont val="Arial"/>
        <family val="2"/>
      </rPr>
      <t xml:space="preserve"> - Oxygen</t>
    </r>
  </si>
  <si>
    <r>
      <t>H</t>
    </r>
    <r>
      <rPr>
        <vertAlign val="subscript"/>
        <sz val="8"/>
        <color indexed="8"/>
        <rFont val="Arial"/>
        <family val="2"/>
      </rPr>
      <t>2</t>
    </r>
    <r>
      <rPr>
        <sz val="8"/>
        <color indexed="8"/>
        <rFont val="Arial"/>
        <family val="2"/>
      </rPr>
      <t xml:space="preserve"> - Hydrogen</t>
    </r>
  </si>
  <si>
    <r>
      <t>CH</t>
    </r>
    <r>
      <rPr>
        <vertAlign val="subscript"/>
        <sz val="8"/>
        <color indexed="8"/>
        <rFont val="Arial"/>
        <family val="2"/>
      </rPr>
      <t>4</t>
    </r>
    <r>
      <rPr>
        <sz val="8"/>
        <color indexed="8"/>
        <rFont val="Arial"/>
        <family val="2"/>
      </rPr>
      <t xml:space="preserve"> - Methane</t>
    </r>
  </si>
  <si>
    <r>
      <t>C</t>
    </r>
    <r>
      <rPr>
        <vertAlign val="subscript"/>
        <sz val="8"/>
        <color indexed="8"/>
        <rFont val="Arial"/>
        <family val="2"/>
      </rPr>
      <t>2</t>
    </r>
    <r>
      <rPr>
        <sz val="8"/>
        <color indexed="8"/>
        <rFont val="Arial"/>
        <family val="2"/>
      </rPr>
      <t>H</t>
    </r>
    <r>
      <rPr>
        <vertAlign val="subscript"/>
        <sz val="8"/>
        <color indexed="8"/>
        <rFont val="Arial"/>
        <family val="2"/>
      </rPr>
      <t>6</t>
    </r>
    <r>
      <rPr>
        <sz val="8"/>
        <color indexed="8"/>
        <rFont val="Arial"/>
        <family val="2"/>
      </rPr>
      <t xml:space="preserve"> - Ethane</t>
    </r>
  </si>
  <si>
    <r>
      <t>C</t>
    </r>
    <r>
      <rPr>
        <vertAlign val="subscript"/>
        <sz val="8"/>
        <color indexed="8"/>
        <rFont val="Arial"/>
        <family val="2"/>
      </rPr>
      <t>3</t>
    </r>
    <r>
      <rPr>
        <sz val="8"/>
        <color indexed="8"/>
        <rFont val="Arial"/>
        <family val="2"/>
      </rPr>
      <t>H</t>
    </r>
    <r>
      <rPr>
        <vertAlign val="subscript"/>
        <sz val="8"/>
        <color indexed="8"/>
        <rFont val="Arial"/>
        <family val="2"/>
      </rPr>
      <t>8</t>
    </r>
    <r>
      <rPr>
        <sz val="8"/>
        <color indexed="8"/>
        <rFont val="Arial"/>
        <family val="2"/>
      </rPr>
      <t xml:space="preserve"> - Propane</t>
    </r>
  </si>
  <si>
    <r>
      <t>C</t>
    </r>
    <r>
      <rPr>
        <vertAlign val="subscript"/>
        <sz val="8"/>
        <color indexed="8"/>
        <rFont val="Arial"/>
        <family val="2"/>
      </rPr>
      <t>4</t>
    </r>
    <r>
      <rPr>
        <sz val="8"/>
        <color indexed="8"/>
        <rFont val="Arial"/>
        <family val="2"/>
      </rPr>
      <t>H</t>
    </r>
    <r>
      <rPr>
        <vertAlign val="subscript"/>
        <sz val="8"/>
        <color indexed="8"/>
        <rFont val="Arial"/>
        <family val="2"/>
      </rPr>
      <t>10</t>
    </r>
    <r>
      <rPr>
        <sz val="8"/>
        <color indexed="8"/>
        <rFont val="Arial"/>
        <family val="2"/>
      </rPr>
      <t xml:space="preserve"> - IsoButane</t>
    </r>
  </si>
  <si>
    <r>
      <t>C</t>
    </r>
    <r>
      <rPr>
        <vertAlign val="subscript"/>
        <sz val="8"/>
        <color indexed="8"/>
        <rFont val="Arial"/>
        <family val="2"/>
      </rPr>
      <t>4</t>
    </r>
    <r>
      <rPr>
        <sz val="8"/>
        <color indexed="8"/>
        <rFont val="Arial"/>
        <family val="2"/>
      </rPr>
      <t>H</t>
    </r>
    <r>
      <rPr>
        <vertAlign val="subscript"/>
        <sz val="8"/>
        <color indexed="8"/>
        <rFont val="Arial"/>
        <family val="2"/>
      </rPr>
      <t>10</t>
    </r>
    <r>
      <rPr>
        <sz val="8"/>
        <color indexed="8"/>
        <rFont val="Arial"/>
        <family val="2"/>
      </rPr>
      <t xml:space="preserve"> - Normal Butane</t>
    </r>
  </si>
  <si>
    <r>
      <t>C</t>
    </r>
    <r>
      <rPr>
        <vertAlign val="subscript"/>
        <sz val="8"/>
        <color indexed="8"/>
        <rFont val="Arial"/>
        <family val="2"/>
      </rPr>
      <t>5</t>
    </r>
    <r>
      <rPr>
        <sz val="8"/>
        <color indexed="8"/>
        <rFont val="Arial"/>
        <family val="2"/>
      </rPr>
      <t>H</t>
    </r>
    <r>
      <rPr>
        <vertAlign val="subscript"/>
        <sz val="8"/>
        <color indexed="8"/>
        <rFont val="Arial"/>
        <family val="2"/>
      </rPr>
      <t>12</t>
    </r>
    <r>
      <rPr>
        <sz val="8"/>
        <color indexed="8"/>
        <rFont val="Arial"/>
        <family val="2"/>
      </rPr>
      <t xml:space="preserve"> - IsoPentane</t>
    </r>
  </si>
  <si>
    <r>
      <t>C</t>
    </r>
    <r>
      <rPr>
        <vertAlign val="subscript"/>
        <sz val="8"/>
        <color indexed="8"/>
        <rFont val="Arial"/>
        <family val="2"/>
      </rPr>
      <t>5</t>
    </r>
    <r>
      <rPr>
        <sz val="8"/>
        <color indexed="8"/>
        <rFont val="Arial"/>
        <family val="2"/>
      </rPr>
      <t>H</t>
    </r>
    <r>
      <rPr>
        <vertAlign val="subscript"/>
        <sz val="8"/>
        <color indexed="8"/>
        <rFont val="Arial"/>
        <family val="2"/>
      </rPr>
      <t>12</t>
    </r>
    <r>
      <rPr>
        <sz val="8"/>
        <color indexed="8"/>
        <rFont val="Arial"/>
        <family val="2"/>
      </rPr>
      <t xml:space="preserve"> - N-Pentane</t>
    </r>
  </si>
  <si>
    <r>
      <t>C</t>
    </r>
    <r>
      <rPr>
        <vertAlign val="subscript"/>
        <sz val="8"/>
        <color indexed="8"/>
        <rFont val="Arial"/>
        <family val="2"/>
      </rPr>
      <t>6</t>
    </r>
    <r>
      <rPr>
        <sz val="8"/>
        <color indexed="8"/>
        <rFont val="Arial"/>
        <family val="2"/>
      </rPr>
      <t>H</t>
    </r>
    <r>
      <rPr>
        <vertAlign val="subscript"/>
        <sz val="8"/>
        <color indexed="8"/>
        <rFont val="Arial"/>
        <family val="2"/>
      </rPr>
      <t>14</t>
    </r>
    <r>
      <rPr>
        <sz val="8"/>
        <color indexed="8"/>
        <rFont val="Arial"/>
        <family val="2"/>
      </rPr>
      <t xml:space="preserve"> - 2-Methylpentane</t>
    </r>
  </si>
  <si>
    <r>
      <t>C</t>
    </r>
    <r>
      <rPr>
        <vertAlign val="subscript"/>
        <sz val="8"/>
        <color indexed="8"/>
        <rFont val="Arial"/>
        <family val="2"/>
      </rPr>
      <t>6</t>
    </r>
    <r>
      <rPr>
        <sz val="8"/>
        <color indexed="8"/>
        <rFont val="Arial"/>
        <family val="2"/>
      </rPr>
      <t>H</t>
    </r>
    <r>
      <rPr>
        <vertAlign val="subscript"/>
        <sz val="8"/>
        <color indexed="8"/>
        <rFont val="Arial"/>
        <family val="2"/>
      </rPr>
      <t>14</t>
    </r>
    <r>
      <rPr>
        <sz val="8"/>
        <color indexed="8"/>
        <rFont val="Arial"/>
        <family val="2"/>
      </rPr>
      <t xml:space="preserve"> - Hexane</t>
    </r>
  </si>
  <si>
    <r>
      <t>C</t>
    </r>
    <r>
      <rPr>
        <vertAlign val="subscript"/>
        <sz val="8"/>
        <color indexed="8"/>
        <rFont val="Arial"/>
        <family val="2"/>
      </rPr>
      <t>6</t>
    </r>
    <r>
      <rPr>
        <sz val="8"/>
        <color indexed="8"/>
        <rFont val="Arial"/>
        <family val="2"/>
      </rPr>
      <t>H</t>
    </r>
    <r>
      <rPr>
        <vertAlign val="subscript"/>
        <sz val="8"/>
        <color indexed="8"/>
        <rFont val="Arial"/>
        <family val="2"/>
      </rPr>
      <t xml:space="preserve">12 </t>
    </r>
    <r>
      <rPr>
        <sz val="8"/>
        <color indexed="8"/>
        <rFont val="Arial"/>
        <family val="2"/>
      </rPr>
      <t>-Methylcyclopentane</t>
    </r>
  </si>
  <si>
    <r>
      <t>C</t>
    </r>
    <r>
      <rPr>
        <vertAlign val="subscript"/>
        <sz val="8"/>
        <color indexed="8"/>
        <rFont val="Arial"/>
        <family val="2"/>
      </rPr>
      <t>6</t>
    </r>
    <r>
      <rPr>
        <sz val="8"/>
        <color indexed="8"/>
        <rFont val="Arial"/>
        <family val="2"/>
      </rPr>
      <t>H</t>
    </r>
    <r>
      <rPr>
        <vertAlign val="subscript"/>
        <sz val="8"/>
        <color indexed="8"/>
        <rFont val="Arial"/>
        <family val="2"/>
      </rPr>
      <t>12</t>
    </r>
    <r>
      <rPr>
        <sz val="8"/>
        <color indexed="8"/>
        <rFont val="Arial"/>
        <family val="2"/>
      </rPr>
      <t xml:space="preserve"> - Cyclohexane</t>
    </r>
  </si>
  <si>
    <r>
      <t>C</t>
    </r>
    <r>
      <rPr>
        <vertAlign val="subscript"/>
        <sz val="8"/>
        <color indexed="8"/>
        <rFont val="Arial"/>
        <family val="2"/>
      </rPr>
      <t>7</t>
    </r>
    <r>
      <rPr>
        <sz val="8"/>
        <color indexed="8"/>
        <rFont val="Arial"/>
        <family val="2"/>
      </rPr>
      <t>H</t>
    </r>
    <r>
      <rPr>
        <vertAlign val="subscript"/>
        <sz val="8"/>
        <color indexed="8"/>
        <rFont val="Arial"/>
        <family val="2"/>
      </rPr>
      <t>16</t>
    </r>
    <r>
      <rPr>
        <sz val="8"/>
        <color indexed="8"/>
        <rFont val="Arial"/>
        <family val="2"/>
      </rPr>
      <t xml:space="preserve"> - Heptane</t>
    </r>
  </si>
  <si>
    <r>
      <t>C</t>
    </r>
    <r>
      <rPr>
        <vertAlign val="subscript"/>
        <sz val="8"/>
        <color indexed="8"/>
        <rFont val="Arial"/>
        <family val="2"/>
      </rPr>
      <t>7</t>
    </r>
    <r>
      <rPr>
        <sz val="8"/>
        <color indexed="8"/>
        <rFont val="Arial"/>
        <family val="2"/>
      </rPr>
      <t>H</t>
    </r>
    <r>
      <rPr>
        <vertAlign val="subscript"/>
        <sz val="8"/>
        <color indexed="8"/>
        <rFont val="Arial"/>
        <family val="2"/>
      </rPr>
      <t>14</t>
    </r>
    <r>
      <rPr>
        <sz val="8"/>
        <color indexed="8"/>
        <rFont val="Arial"/>
        <family val="2"/>
      </rPr>
      <t xml:space="preserve"> - Methylcyclohexane</t>
    </r>
  </si>
  <si>
    <r>
      <t>C</t>
    </r>
    <r>
      <rPr>
        <vertAlign val="subscript"/>
        <sz val="8"/>
        <color indexed="8"/>
        <rFont val="Arial"/>
        <family val="2"/>
      </rPr>
      <t>8</t>
    </r>
    <r>
      <rPr>
        <sz val="8"/>
        <color indexed="8"/>
        <rFont val="Arial"/>
        <family val="2"/>
      </rPr>
      <t>H</t>
    </r>
    <r>
      <rPr>
        <vertAlign val="subscript"/>
        <sz val="8"/>
        <color indexed="8"/>
        <rFont val="Arial"/>
        <family val="2"/>
      </rPr>
      <t>18</t>
    </r>
    <r>
      <rPr>
        <sz val="8"/>
        <color indexed="8"/>
        <rFont val="Arial"/>
        <family val="2"/>
      </rPr>
      <t xml:space="preserve"> - Octane</t>
    </r>
  </si>
  <si>
    <r>
      <t>C</t>
    </r>
    <r>
      <rPr>
        <vertAlign val="subscript"/>
        <sz val="8"/>
        <color indexed="8"/>
        <rFont val="Arial"/>
        <family val="2"/>
      </rPr>
      <t>9</t>
    </r>
    <r>
      <rPr>
        <sz val="8"/>
        <color indexed="8"/>
        <rFont val="Arial"/>
        <family val="2"/>
      </rPr>
      <t>H</t>
    </r>
    <r>
      <rPr>
        <vertAlign val="subscript"/>
        <sz val="8"/>
        <color indexed="8"/>
        <rFont val="Arial"/>
        <family val="2"/>
      </rPr>
      <t>20</t>
    </r>
    <r>
      <rPr>
        <sz val="8"/>
        <color indexed="8"/>
        <rFont val="Arial"/>
        <family val="2"/>
      </rPr>
      <t xml:space="preserve"> - Nonane</t>
    </r>
  </si>
  <si>
    <r>
      <t>C</t>
    </r>
    <r>
      <rPr>
        <vertAlign val="subscript"/>
        <sz val="8"/>
        <color indexed="8"/>
        <rFont val="Arial"/>
        <family val="2"/>
      </rPr>
      <t>10</t>
    </r>
    <r>
      <rPr>
        <sz val="8"/>
        <color indexed="8"/>
        <rFont val="Arial"/>
        <family val="2"/>
      </rPr>
      <t>H</t>
    </r>
    <r>
      <rPr>
        <vertAlign val="subscript"/>
        <sz val="8"/>
        <color indexed="8"/>
        <rFont val="Arial"/>
        <family val="2"/>
      </rPr>
      <t>22</t>
    </r>
    <r>
      <rPr>
        <sz val="8"/>
        <color indexed="8"/>
        <rFont val="Arial"/>
        <family val="2"/>
      </rPr>
      <t xml:space="preserve"> - Decane</t>
    </r>
  </si>
  <si>
    <r>
      <t>C</t>
    </r>
    <r>
      <rPr>
        <vertAlign val="subscript"/>
        <sz val="8"/>
        <color indexed="8"/>
        <rFont val="Arial"/>
        <family val="2"/>
      </rPr>
      <t>10</t>
    </r>
    <r>
      <rPr>
        <sz val="8"/>
        <color indexed="8"/>
        <rFont val="Arial"/>
        <family val="2"/>
      </rPr>
      <t>H</t>
    </r>
    <r>
      <rPr>
        <vertAlign val="subscript"/>
        <sz val="8"/>
        <color indexed="8"/>
        <rFont val="Arial"/>
        <family val="2"/>
      </rPr>
      <t>18</t>
    </r>
    <r>
      <rPr>
        <sz val="8"/>
        <color indexed="8"/>
        <rFont val="Arial"/>
        <family val="2"/>
      </rPr>
      <t xml:space="preserve"> - Heavy Oil</t>
    </r>
  </si>
  <si>
    <r>
      <t>C</t>
    </r>
    <r>
      <rPr>
        <vertAlign val="subscript"/>
        <sz val="8"/>
        <color indexed="8"/>
        <rFont val="Arial"/>
        <family val="2"/>
      </rPr>
      <t>12</t>
    </r>
    <r>
      <rPr>
        <sz val="8"/>
        <color indexed="8"/>
        <rFont val="Arial"/>
        <family val="2"/>
      </rPr>
      <t>H</t>
    </r>
    <r>
      <rPr>
        <vertAlign val="subscript"/>
        <sz val="8"/>
        <color indexed="8"/>
        <rFont val="Arial"/>
        <family val="2"/>
      </rPr>
      <t>26</t>
    </r>
    <r>
      <rPr>
        <sz val="8"/>
        <color indexed="8"/>
        <rFont val="Arial"/>
        <family val="2"/>
      </rPr>
      <t xml:space="preserve"> - Distillate</t>
    </r>
  </si>
  <si>
    <r>
      <t>C</t>
    </r>
    <r>
      <rPr>
        <vertAlign val="subscript"/>
        <sz val="8"/>
        <color indexed="8"/>
        <rFont val="Arial"/>
        <family val="2"/>
      </rPr>
      <t>6</t>
    </r>
    <r>
      <rPr>
        <sz val="8"/>
        <color indexed="8"/>
        <rFont val="Arial"/>
        <family val="2"/>
      </rPr>
      <t>H</t>
    </r>
    <r>
      <rPr>
        <vertAlign val="subscript"/>
        <sz val="8"/>
        <color indexed="8"/>
        <rFont val="Arial"/>
        <family val="2"/>
      </rPr>
      <t>6</t>
    </r>
    <r>
      <rPr>
        <sz val="8"/>
        <color indexed="8"/>
        <rFont val="Arial"/>
        <family val="2"/>
      </rPr>
      <t xml:space="preserve"> - Benzene</t>
    </r>
  </si>
  <si>
    <r>
      <t>C</t>
    </r>
    <r>
      <rPr>
        <vertAlign val="subscript"/>
        <sz val="8"/>
        <color indexed="8"/>
        <rFont val="Arial"/>
        <family val="2"/>
      </rPr>
      <t>7</t>
    </r>
    <r>
      <rPr>
        <sz val="8"/>
        <color indexed="8"/>
        <rFont val="Arial"/>
        <family val="2"/>
      </rPr>
      <t>H</t>
    </r>
    <r>
      <rPr>
        <vertAlign val="subscript"/>
        <sz val="8"/>
        <color indexed="8"/>
        <rFont val="Arial"/>
        <family val="2"/>
      </rPr>
      <t>8</t>
    </r>
    <r>
      <rPr>
        <sz val="8"/>
        <color indexed="8"/>
        <rFont val="Arial"/>
        <family val="2"/>
      </rPr>
      <t xml:space="preserve"> - Toluene</t>
    </r>
  </si>
  <si>
    <r>
      <t>C</t>
    </r>
    <r>
      <rPr>
        <vertAlign val="subscript"/>
        <sz val="8"/>
        <color indexed="8"/>
        <rFont val="Arial"/>
        <family val="2"/>
      </rPr>
      <t>8</t>
    </r>
    <r>
      <rPr>
        <sz val="8"/>
        <color indexed="8"/>
        <rFont val="Arial"/>
        <family val="2"/>
      </rPr>
      <t>H</t>
    </r>
    <r>
      <rPr>
        <vertAlign val="subscript"/>
        <sz val="8"/>
        <color indexed="8"/>
        <rFont val="Arial"/>
        <family val="2"/>
      </rPr>
      <t>10</t>
    </r>
    <r>
      <rPr>
        <sz val="8"/>
        <color indexed="8"/>
        <rFont val="Arial"/>
        <family val="2"/>
      </rPr>
      <t xml:space="preserve"> - Xylene</t>
    </r>
  </si>
  <si>
    <r>
      <t>C</t>
    </r>
    <r>
      <rPr>
        <vertAlign val="subscript"/>
        <sz val="8"/>
        <color indexed="8"/>
        <rFont val="Arial"/>
        <family val="2"/>
      </rPr>
      <t>8</t>
    </r>
    <r>
      <rPr>
        <sz val="8"/>
        <color indexed="8"/>
        <rFont val="Arial"/>
        <family val="2"/>
      </rPr>
      <t>H</t>
    </r>
    <r>
      <rPr>
        <vertAlign val="subscript"/>
        <sz val="8"/>
        <color indexed="8"/>
        <rFont val="Arial"/>
        <family val="2"/>
      </rPr>
      <t>8</t>
    </r>
    <r>
      <rPr>
        <sz val="8"/>
        <color indexed="8"/>
        <rFont val="Arial"/>
        <family val="2"/>
      </rPr>
      <t xml:space="preserve"> - Styrene</t>
    </r>
  </si>
  <si>
    <r>
      <t>C</t>
    </r>
    <r>
      <rPr>
        <vertAlign val="subscript"/>
        <sz val="8"/>
        <color indexed="8"/>
        <rFont val="Arial"/>
        <family val="2"/>
      </rPr>
      <t>2</t>
    </r>
    <r>
      <rPr>
        <sz val="8"/>
        <color indexed="8"/>
        <rFont val="Arial"/>
        <family val="2"/>
      </rPr>
      <t>H</t>
    </r>
    <r>
      <rPr>
        <vertAlign val="subscript"/>
        <sz val="8"/>
        <color indexed="8"/>
        <rFont val="Arial"/>
        <family val="2"/>
      </rPr>
      <t>4</t>
    </r>
    <r>
      <rPr>
        <sz val="8"/>
        <color indexed="8"/>
        <rFont val="Arial"/>
        <family val="2"/>
      </rPr>
      <t xml:space="preserve"> - Ethylene</t>
    </r>
  </si>
  <si>
    <r>
      <t>C</t>
    </r>
    <r>
      <rPr>
        <vertAlign val="subscript"/>
        <sz val="8"/>
        <color indexed="8"/>
        <rFont val="Arial"/>
        <family val="2"/>
      </rPr>
      <t>2</t>
    </r>
    <r>
      <rPr>
        <sz val="8"/>
        <color indexed="8"/>
        <rFont val="Arial"/>
        <family val="2"/>
      </rPr>
      <t>H</t>
    </r>
    <r>
      <rPr>
        <vertAlign val="subscript"/>
        <sz val="8"/>
        <color indexed="8"/>
        <rFont val="Arial"/>
        <family val="2"/>
      </rPr>
      <t>2</t>
    </r>
    <r>
      <rPr>
        <sz val="8"/>
        <color indexed="8"/>
        <rFont val="Arial"/>
        <family val="2"/>
      </rPr>
      <t xml:space="preserve"> - Acetylene</t>
    </r>
  </si>
  <si>
    <r>
      <t>C</t>
    </r>
    <r>
      <rPr>
        <vertAlign val="subscript"/>
        <sz val="8"/>
        <color indexed="8"/>
        <rFont val="Arial"/>
        <family val="2"/>
      </rPr>
      <t>3</t>
    </r>
    <r>
      <rPr>
        <sz val="8"/>
        <color indexed="8"/>
        <rFont val="Arial"/>
        <family val="2"/>
      </rPr>
      <t>H</t>
    </r>
    <r>
      <rPr>
        <vertAlign val="subscript"/>
        <sz val="8"/>
        <color indexed="8"/>
        <rFont val="Arial"/>
        <family val="2"/>
      </rPr>
      <t>6</t>
    </r>
    <r>
      <rPr>
        <sz val="8"/>
        <color indexed="8"/>
        <rFont val="Arial"/>
        <family val="2"/>
      </rPr>
      <t xml:space="preserve"> - Propylene</t>
    </r>
  </si>
  <si>
    <r>
      <t>C</t>
    </r>
    <r>
      <rPr>
        <vertAlign val="subscript"/>
        <sz val="8"/>
        <color indexed="8"/>
        <rFont val="Arial"/>
        <family val="2"/>
      </rPr>
      <t>4</t>
    </r>
    <r>
      <rPr>
        <sz val="8"/>
        <color indexed="8"/>
        <rFont val="Arial"/>
        <family val="2"/>
      </rPr>
      <t>H</t>
    </r>
    <r>
      <rPr>
        <vertAlign val="subscript"/>
        <sz val="8"/>
        <color indexed="8"/>
        <rFont val="Arial"/>
        <family val="2"/>
      </rPr>
      <t>8</t>
    </r>
    <r>
      <rPr>
        <sz val="8"/>
        <color indexed="8"/>
        <rFont val="Arial"/>
        <family val="2"/>
      </rPr>
      <t xml:space="preserve"> - Butylene</t>
    </r>
  </si>
  <si>
    <r>
      <t>C</t>
    </r>
    <r>
      <rPr>
        <vertAlign val="subscript"/>
        <sz val="8"/>
        <color indexed="8"/>
        <rFont val="Arial"/>
        <family val="2"/>
      </rPr>
      <t>4</t>
    </r>
    <r>
      <rPr>
        <sz val="8"/>
        <color indexed="8"/>
        <rFont val="Arial"/>
        <family val="2"/>
      </rPr>
      <t>H</t>
    </r>
    <r>
      <rPr>
        <vertAlign val="subscript"/>
        <sz val="8"/>
        <color indexed="8"/>
        <rFont val="Arial"/>
        <family val="2"/>
      </rPr>
      <t>6</t>
    </r>
    <r>
      <rPr>
        <sz val="8"/>
        <color indexed="8"/>
        <rFont val="Arial"/>
        <family val="2"/>
      </rPr>
      <t xml:space="preserve"> - Butadienes</t>
    </r>
  </si>
  <si>
    <r>
      <t>C</t>
    </r>
    <r>
      <rPr>
        <vertAlign val="subscript"/>
        <sz val="8"/>
        <color indexed="8"/>
        <rFont val="Arial"/>
        <family val="2"/>
      </rPr>
      <t>6</t>
    </r>
    <r>
      <rPr>
        <sz val="8"/>
        <color indexed="8"/>
        <rFont val="Arial"/>
        <family val="2"/>
      </rPr>
      <t>H</t>
    </r>
    <r>
      <rPr>
        <vertAlign val="subscript"/>
        <sz val="8"/>
        <color indexed="8"/>
        <rFont val="Arial"/>
        <family val="2"/>
      </rPr>
      <t>12</t>
    </r>
    <r>
      <rPr>
        <sz val="8"/>
        <color indexed="8"/>
        <rFont val="Arial"/>
        <family val="2"/>
      </rPr>
      <t xml:space="preserve"> - Hexene</t>
    </r>
  </si>
  <si>
    <r>
      <t>CH</t>
    </r>
    <r>
      <rPr>
        <vertAlign val="subscript"/>
        <sz val="8"/>
        <color indexed="8"/>
        <rFont val="Arial"/>
        <family val="2"/>
      </rPr>
      <t>3</t>
    </r>
    <r>
      <rPr>
        <sz val="8"/>
        <color indexed="8"/>
        <rFont val="Arial"/>
        <family val="2"/>
      </rPr>
      <t>OH - Methanol</t>
    </r>
  </si>
  <si>
    <r>
      <t>C</t>
    </r>
    <r>
      <rPr>
        <vertAlign val="subscript"/>
        <sz val="8"/>
        <color indexed="8"/>
        <rFont val="Arial"/>
        <family val="2"/>
      </rPr>
      <t>2</t>
    </r>
    <r>
      <rPr>
        <sz val="8"/>
        <color indexed="8"/>
        <rFont val="Arial"/>
        <family val="2"/>
      </rPr>
      <t>H</t>
    </r>
    <r>
      <rPr>
        <vertAlign val="subscript"/>
        <sz val="8"/>
        <color indexed="8"/>
        <rFont val="Arial"/>
        <family val="2"/>
      </rPr>
      <t>5</t>
    </r>
    <r>
      <rPr>
        <sz val="8"/>
        <color indexed="8"/>
        <rFont val="Arial"/>
        <family val="2"/>
      </rPr>
      <t>OH - Ethyl Alcohol</t>
    </r>
  </si>
  <si>
    <r>
      <t>NO</t>
    </r>
    <r>
      <rPr>
        <vertAlign val="subscript"/>
        <sz val="8"/>
        <color indexed="8"/>
        <rFont val="Arial"/>
        <family val="2"/>
      </rPr>
      <t>2</t>
    </r>
    <r>
      <rPr>
        <sz val="8"/>
        <color indexed="8"/>
        <rFont val="Arial"/>
        <family val="2"/>
      </rPr>
      <t xml:space="preserve"> - Nitrogen Dioxide</t>
    </r>
  </si>
  <si>
    <r>
      <t>NH</t>
    </r>
    <r>
      <rPr>
        <vertAlign val="subscript"/>
        <sz val="8"/>
        <color indexed="8"/>
        <rFont val="Arial"/>
        <family val="2"/>
      </rPr>
      <t>3</t>
    </r>
    <r>
      <rPr>
        <sz val="8"/>
        <color indexed="8"/>
        <rFont val="Arial"/>
        <family val="2"/>
      </rPr>
      <t xml:space="preserve"> - Ammonia</t>
    </r>
  </si>
  <si>
    <r>
      <t>C</t>
    </r>
    <r>
      <rPr>
        <vertAlign val="subscript"/>
        <sz val="8"/>
        <color indexed="8"/>
        <rFont val="Arial"/>
        <family val="2"/>
      </rPr>
      <t>2</t>
    </r>
    <r>
      <rPr>
        <sz val="8"/>
        <color indexed="8"/>
        <rFont val="Arial"/>
        <family val="2"/>
      </rPr>
      <t>H</t>
    </r>
    <r>
      <rPr>
        <vertAlign val="subscript"/>
        <sz val="8"/>
        <color indexed="8"/>
        <rFont val="Arial"/>
        <family val="2"/>
      </rPr>
      <t>6</t>
    </r>
    <r>
      <rPr>
        <sz val="8"/>
        <color indexed="8"/>
        <rFont val="Arial"/>
        <family val="2"/>
      </rPr>
      <t>S</t>
    </r>
    <r>
      <rPr>
        <vertAlign val="subscript"/>
        <sz val="8"/>
        <color indexed="8"/>
        <rFont val="Arial"/>
        <family val="2"/>
      </rPr>
      <t>2</t>
    </r>
    <r>
      <rPr>
        <sz val="8"/>
        <color indexed="8"/>
        <rFont val="Arial"/>
        <family val="2"/>
      </rPr>
      <t xml:space="preserve"> - DiMethyl DiSulfide</t>
    </r>
  </si>
  <si>
    <t>REFERENCE CB&amp;I/CHIYODA CALCULATION GAS ANALYSIS SHEETS</t>
  </si>
  <si>
    <t>PM10 (lb/MMBtu)</t>
  </si>
  <si>
    <t>PM2.5 (lb/MMBtu)</t>
  </si>
  <si>
    <t>Standard Factors</t>
  </si>
  <si>
    <t>EMISSIONS CALCULATIONS</t>
  </si>
  <si>
    <t>Maximum Case Intermittent</t>
  </si>
  <si>
    <t>AP42 Tables 13.5-1 and 13.5-2</t>
  </si>
  <si>
    <r>
      <t>PM10 (</t>
    </r>
    <r>
      <rPr>
        <sz val="11"/>
        <color theme="1"/>
        <rFont val="Calibri"/>
        <family val="2"/>
      </rPr>
      <t>µg/L Exhaust</t>
    </r>
    <r>
      <rPr>
        <sz val="11"/>
        <color theme="1"/>
        <rFont val="Calibri"/>
        <family val="2"/>
        <scheme val="minor"/>
      </rPr>
      <t>)</t>
    </r>
  </si>
  <si>
    <r>
      <t>PM2.5 (</t>
    </r>
    <r>
      <rPr>
        <sz val="11"/>
        <color theme="1"/>
        <rFont val="Calibri"/>
        <family val="2"/>
      </rPr>
      <t>µg/L Exhaust</t>
    </r>
    <r>
      <rPr>
        <sz val="11"/>
        <color theme="1"/>
        <rFont val="Calibri"/>
        <family val="2"/>
        <scheme val="minor"/>
      </rPr>
      <t>)</t>
    </r>
  </si>
  <si>
    <t xml:space="preserve">Note: </t>
  </si>
  <si>
    <t>GEP stack height (m)</t>
  </si>
  <si>
    <t>Exhaust Flow Calculation</t>
  </si>
  <si>
    <t>Fuel Flow Rate (scfh)</t>
  </si>
  <si>
    <t>Fuel MW(lb/lbmol)</t>
  </si>
  <si>
    <t>Fuel Flow Rate (lb/hr)</t>
  </si>
  <si>
    <t>Fuel Flow HHV (MMBtu/hr)</t>
  </si>
  <si>
    <t>Exhaust Flow (dscfh) (@HHV)</t>
  </si>
  <si>
    <t>Exhaust Flow (scfh) (@HHV)</t>
  </si>
  <si>
    <t xml:space="preserve">Ratio of Exhaust to Fuel </t>
  </si>
  <si>
    <t>Exhaust Flow (L/h) (@HHV)</t>
  </si>
  <si>
    <t>MODELING PARAMETERS CALCULATION</t>
  </si>
  <si>
    <t>1.) Method 19 used to develop Exhaust Flow Rate for PM calculation. Assumed typical Boiler Exhaust parameters of 3% O2 and 10% H2O</t>
  </si>
  <si>
    <t>Fd Factor (dscf/MMBtu)</t>
  </si>
  <si>
    <t>Method 19 for gas fuel</t>
  </si>
  <si>
    <t>Exhaust O2 Concentration</t>
  </si>
  <si>
    <t>Exhaust Water Concentration</t>
  </si>
  <si>
    <t>Assumed Water Content</t>
  </si>
  <si>
    <t>Effective Height and Diameter Calculation</t>
  </si>
  <si>
    <t>Effective Stack Height (m)</t>
  </si>
  <si>
    <t>Effective Stack Diameter (m)</t>
  </si>
  <si>
    <t>Buoyancy flux</t>
  </si>
  <si>
    <t>Actual Stack Height (m)</t>
  </si>
  <si>
    <t>1 m =</t>
  </si>
  <si>
    <t>ft</t>
  </si>
  <si>
    <t>Exhaust Velocity (m/s)</t>
  </si>
  <si>
    <t>Exhaust Temperature (K)</t>
  </si>
  <si>
    <t>Stack Height (m)</t>
  </si>
  <si>
    <t>Stack Diameter (m)</t>
  </si>
  <si>
    <t>Reference: CB&amp;I/Chiyoda Calculation 194210-USAL-CB-SCCAL-00-000027-000</t>
  </si>
  <si>
    <t>Reference: CB&amp;I/Chiyoda Calculation 194210-USAL-CB-SCCAL-00-000026-000</t>
  </si>
  <si>
    <t>LNG Flares</t>
  </si>
  <si>
    <t>Dry Flare Purge/Pilot/Valve Passing</t>
  </si>
  <si>
    <t>Wet Flare Purge/Pilot</t>
  </si>
  <si>
    <t>LP Flare Purge/Pilot/Comp Seal Gas</t>
  </si>
  <si>
    <t>Dry Flare Maximum</t>
  </si>
  <si>
    <t>LP Flare Maximum</t>
  </si>
  <si>
    <t>Wet Flare Maximum</t>
  </si>
  <si>
    <t>Reference: CB&amp;I/Chiyoda Calculation 194210-USAL-CB-SCCAL-00-000019-000</t>
  </si>
  <si>
    <t>All cases not based on fuel gas from CB&amp;I/Chiyoda Calculation</t>
  </si>
  <si>
    <t xml:space="preserve">Heat Release Rate (MMBtu/hr) </t>
  </si>
  <si>
    <t>Based on LHV From CB&amp;I/Chiyoda Calculation</t>
  </si>
  <si>
    <t>From CB&amp;I/Chiyoda Calculation converted to m</t>
  </si>
  <si>
    <t>From CB&amp;I/Chiyoda Calculation for HAPs Calculation</t>
  </si>
  <si>
    <t>Reference: CB&amp;I/Chiyoda Calculation 194210-USAL-CB-SCCAL-00-000021-000</t>
  </si>
  <si>
    <t>AP42 Table 3.1-1 and 3.1-2a</t>
  </si>
  <si>
    <t>1.) Emission Factors have been convert to AlaskaLNG fuel gas HHV by ratio of project fuel gas/1020 (btu/scf)</t>
  </si>
  <si>
    <t>NO2/NOx Ratio</t>
  </si>
  <si>
    <t>EPA's ISR Guidance (Date: 3-1-2011)</t>
  </si>
  <si>
    <t xml:space="preserve"> Device Power (hp)</t>
  </si>
  <si>
    <t>Device Power (kW)</t>
  </si>
  <si>
    <t>Turbine Heat Input HHV (MMBtu/hr)</t>
  </si>
  <si>
    <t>Turbine Parameters</t>
  </si>
  <si>
    <t>Exhaust Flow MW (lb/lbmol)</t>
  </si>
  <si>
    <t>Exhaust Flow Rate (lbmol/hr)</t>
  </si>
  <si>
    <t>NOx (ppmvd @15% O2)</t>
  </si>
  <si>
    <t>CO (ppmvd @15% O2)</t>
  </si>
  <si>
    <t>Turbine Emission Factors</t>
  </si>
  <si>
    <t>Turbine Emission Calculations (Maximum 1-hour)</t>
  </si>
  <si>
    <t>1 mol =</t>
  </si>
  <si>
    <t>Molecular Weight</t>
  </si>
  <si>
    <t>NO2</t>
  </si>
  <si>
    <t>Adjusted to Actual O2 Amount</t>
  </si>
  <si>
    <t xml:space="preserve">Exhaust H2O Concentration  </t>
  </si>
  <si>
    <t>Exhaust Flow Rate DRY (lbmol/hr)</t>
  </si>
  <si>
    <t>Total Emission Calculations (Annual)</t>
  </si>
  <si>
    <t>Exhaust Flow Rate (acfh)</t>
  </si>
  <si>
    <t>LNG Fuel Gas-Driven Turbines</t>
  </si>
  <si>
    <t>Reference: CB&amp;I/Chiyoda Calculation USAL-CB-SCCAL-00-000014-500</t>
  </si>
  <si>
    <t>Reference: CB&amp;I/Chiyoda Calculation USAL-CB-SCCAL-00-000015-500</t>
  </si>
  <si>
    <t>Compressor Turbines</t>
  </si>
  <si>
    <t>Compression Turbine Vendor</t>
  </si>
  <si>
    <t>From CB&amp;I/Chiyoda Calculation -Output</t>
  </si>
  <si>
    <t>Exhaust Flow Rate WET (lb/hr)</t>
  </si>
  <si>
    <t>Exhaust O2 Concentration DRY</t>
  </si>
  <si>
    <t>SCREEN3 Model User's Guide</t>
  </si>
  <si>
    <t>EPA GEP Stack Height Guideline</t>
  </si>
  <si>
    <t>Emission Rates (g/s)</t>
  </si>
  <si>
    <t>AQRV PM Speciation</t>
  </si>
  <si>
    <t>Modeled ID</t>
  </si>
  <si>
    <t>Emission Unit</t>
  </si>
  <si>
    <t>Configuration</t>
  </si>
  <si>
    <t>Base Elevation (m)</t>
  </si>
  <si>
    <t>Actual Height</t>
  </si>
  <si>
    <t>Modeled Height</t>
  </si>
  <si>
    <t>Temperature</t>
  </si>
  <si>
    <t>Velocity</t>
  </si>
  <si>
    <t>Diameter</t>
  </si>
  <si>
    <t>In-Stack Ratio</t>
  </si>
  <si>
    <t>NOx</t>
  </si>
  <si>
    <r>
      <t>PM</t>
    </r>
    <r>
      <rPr>
        <b/>
        <vertAlign val="subscript"/>
        <sz val="11"/>
        <color indexed="8"/>
        <rFont val="Calibri"/>
        <family val="2"/>
      </rPr>
      <t>10</t>
    </r>
  </si>
  <si>
    <r>
      <t>PM</t>
    </r>
    <r>
      <rPr>
        <b/>
        <vertAlign val="subscript"/>
        <sz val="11"/>
        <color indexed="8"/>
        <rFont val="Calibri"/>
        <family val="2"/>
      </rPr>
      <t>2.5</t>
    </r>
  </si>
  <si>
    <t>Equip Type</t>
  </si>
  <si>
    <t>Fuel Type</t>
  </si>
  <si>
    <t>PMF/SOIL</t>
  </si>
  <si>
    <t>EC - PM2.5</t>
  </si>
  <si>
    <t>EC - PM10</t>
  </si>
  <si>
    <t>SOA - PM2.5</t>
  </si>
  <si>
    <t>SOA - PM10</t>
  </si>
  <si>
    <t>x</t>
  </si>
  <si>
    <t>y</t>
  </si>
  <si>
    <t>(ft)</t>
  </si>
  <si>
    <t>(m)</t>
  </si>
  <si>
    <r>
      <t>(</t>
    </r>
    <r>
      <rPr>
        <b/>
        <sz val="10"/>
        <rFont val="Calibri"/>
        <family val="2"/>
      </rPr>
      <t>°</t>
    </r>
    <r>
      <rPr>
        <b/>
        <sz val="10"/>
        <rFont val="Arial"/>
        <family val="2"/>
      </rPr>
      <t>F)</t>
    </r>
  </si>
  <si>
    <r>
      <t>(</t>
    </r>
    <r>
      <rPr>
        <b/>
        <sz val="10"/>
        <rFont val="Calibri"/>
        <family val="2"/>
      </rPr>
      <t>°</t>
    </r>
    <r>
      <rPr>
        <b/>
        <sz val="10"/>
        <rFont val="Arial"/>
        <family val="2"/>
      </rPr>
      <t>K)</t>
    </r>
  </si>
  <si>
    <t>(ft/s)</t>
  </si>
  <si>
    <t>(m/s)</t>
  </si>
  <si>
    <t>(-)</t>
  </si>
  <si>
    <t>1-hour</t>
  </si>
  <si>
    <t>Annual</t>
  </si>
  <si>
    <t>24-hour</t>
  </si>
  <si>
    <t>8-hour</t>
  </si>
  <si>
    <t>g/s</t>
  </si>
  <si>
    <t>Turbines</t>
  </si>
  <si>
    <t>Vert./no Cap</t>
  </si>
  <si>
    <t>Turbine</t>
  </si>
  <si>
    <t>Gas</t>
  </si>
  <si>
    <t>Diesel Equipment</t>
  </si>
  <si>
    <t>Diesel</t>
  </si>
  <si>
    <t>Pump</t>
  </si>
  <si>
    <t>Flares</t>
  </si>
  <si>
    <t>Flare</t>
  </si>
  <si>
    <t>Heater</t>
  </si>
  <si>
    <t>NOTES</t>
  </si>
  <si>
    <t>hours    Intermittent Diesel Equipment has been modeled with an annual value based on operating only 500 hours/year.</t>
  </si>
  <si>
    <t>hours    Maximum Flaring Events have been modeled with an annual value based on operating only 500 hours/year.</t>
  </si>
  <si>
    <t>Power Generator Turbines</t>
  </si>
  <si>
    <t>3&amp;24-hour</t>
  </si>
  <si>
    <t>hours    Annual hours</t>
  </si>
  <si>
    <t>Intermittent equipment 1-hr NOx and SO2 emissions can be annualized</t>
  </si>
  <si>
    <t>TURB2</t>
  </si>
  <si>
    <t>TURB3</t>
  </si>
  <si>
    <t>TURB4</t>
  </si>
  <si>
    <t>TURB5</t>
  </si>
  <si>
    <t>TURB6</t>
  </si>
  <si>
    <t>TURB1</t>
  </si>
  <si>
    <t>Train 1a Compression Turbine Stack</t>
  </si>
  <si>
    <t>Train 1b Compression Turbine Stack</t>
  </si>
  <si>
    <t>Train 2a Compression Turbine Stack</t>
  </si>
  <si>
    <t>Train 2b Compression Turbine Stack</t>
  </si>
  <si>
    <t>Train 3a Compression Turbine Stack</t>
  </si>
  <si>
    <t>Train 3b Compression Turbine Stack</t>
  </si>
  <si>
    <t>TRB_GEN1</t>
  </si>
  <si>
    <t>TRB_GEN2</t>
  </si>
  <si>
    <t>TRB_GEN3</t>
  </si>
  <si>
    <t>TRB_GEN4</t>
  </si>
  <si>
    <t>Aux_COMP</t>
  </si>
  <si>
    <t>FPUMP</t>
  </si>
  <si>
    <t>FLARE_1D</t>
  </si>
  <si>
    <t>FLARE_1W</t>
  </si>
  <si>
    <t>DRY_MAX1</t>
  </si>
  <si>
    <t>FLARE_2D</t>
  </si>
  <si>
    <t>FLARE_2W</t>
  </si>
  <si>
    <t>DRY_MAX2</t>
  </si>
  <si>
    <t>LP_FLARE</t>
  </si>
  <si>
    <t>LP_MAX</t>
  </si>
  <si>
    <t>TH_OX</t>
  </si>
  <si>
    <t>Dry Flare Pilot/Purge</t>
  </si>
  <si>
    <t>Wet Flare Pilot/Purge</t>
  </si>
  <si>
    <t>LP Flare Pilot/Purge</t>
  </si>
  <si>
    <t>Thermal Oxidizer</t>
  </si>
  <si>
    <t>WET_MAX2</t>
  </si>
  <si>
    <t>WET_MAX1</t>
  </si>
  <si>
    <t>From CB&amp;I/Chiyoda Calculation (Wet/dry Purge/Pilot divided by 2)</t>
  </si>
  <si>
    <t>From CB&amp;I/Chiyoda Calculation (2 op, 1 spare)</t>
  </si>
  <si>
    <t>Coordinates (UTM)</t>
  </si>
  <si>
    <t>From CB&amp;I/Chiyoda Calculation with HRSG adjustment</t>
  </si>
  <si>
    <t>From CB&amp;I/Chiyoda Calculation with HRSG</t>
  </si>
  <si>
    <r>
      <t>SO</t>
    </r>
    <r>
      <rPr>
        <b/>
        <vertAlign val="subscript"/>
        <sz val="11"/>
        <color indexed="8"/>
        <rFont val="Calibri"/>
        <family val="2"/>
      </rPr>
      <t xml:space="preserve">2 </t>
    </r>
    <r>
      <rPr>
        <b/>
        <sz val="11"/>
        <color indexed="8"/>
        <rFont val="Calibri"/>
        <family val="2"/>
      </rPr>
      <t>@16 ppmvd</t>
    </r>
  </si>
  <si>
    <t>SO2 @ 16 ppm (lb/hr)</t>
  </si>
  <si>
    <t>SO2 @ 16 ppm (tpy)</t>
  </si>
  <si>
    <t>Compressor</t>
  </si>
  <si>
    <t>Power Generation Turbines with CO Catalyst and HRSG</t>
  </si>
  <si>
    <r>
      <t>Dry Flare Maximum Case</t>
    </r>
    <r>
      <rPr>
        <b/>
        <vertAlign val="superscript"/>
        <sz val="10"/>
        <rFont val="Arial"/>
        <family val="2"/>
      </rPr>
      <t>1</t>
    </r>
  </si>
  <si>
    <r>
      <t>Wet Flare Maximum Case</t>
    </r>
    <r>
      <rPr>
        <b/>
        <vertAlign val="superscript"/>
        <sz val="10"/>
        <rFont val="Arial"/>
        <family val="2"/>
      </rPr>
      <t>1</t>
    </r>
  </si>
  <si>
    <r>
      <t>Auxiliary Air Compressor (224 kW)</t>
    </r>
    <r>
      <rPr>
        <b/>
        <vertAlign val="superscript"/>
        <sz val="10"/>
        <rFont val="Arial"/>
        <family val="2"/>
      </rPr>
      <t>1</t>
    </r>
  </si>
  <si>
    <r>
      <t>Firewater Pump (429 kW)</t>
    </r>
    <r>
      <rPr>
        <b/>
        <vertAlign val="superscript"/>
        <sz val="10"/>
        <rFont val="Arial"/>
        <family val="2"/>
      </rPr>
      <t>1</t>
    </r>
  </si>
  <si>
    <t>Model ID</t>
  </si>
  <si>
    <t>Source Description</t>
  </si>
  <si>
    <t>Annual Operating Hours</t>
  </si>
  <si>
    <t xml:space="preserve"> Potential to Emit (PTE) Emission Rates</t>
  </si>
  <si>
    <r>
      <t>NO</t>
    </r>
    <r>
      <rPr>
        <b/>
        <vertAlign val="subscript"/>
        <sz val="10"/>
        <rFont val="Arial"/>
        <family val="2"/>
      </rPr>
      <t>x</t>
    </r>
  </si>
  <si>
    <r>
      <t>PM</t>
    </r>
    <r>
      <rPr>
        <b/>
        <vertAlign val="subscript"/>
        <sz val="10"/>
        <rFont val="Arial"/>
        <family val="2"/>
      </rPr>
      <t>2.5</t>
    </r>
  </si>
  <si>
    <r>
      <t>PM</t>
    </r>
    <r>
      <rPr>
        <b/>
        <vertAlign val="subscript"/>
        <sz val="10"/>
        <rFont val="Arial"/>
        <family val="2"/>
      </rPr>
      <t>10</t>
    </r>
  </si>
  <si>
    <t>VOC</t>
  </si>
  <si>
    <t>lb/hr</t>
  </si>
  <si>
    <t>tpy</t>
  </si>
  <si>
    <t>lb/day</t>
  </si>
  <si>
    <t>lb/8-hr</t>
  </si>
  <si>
    <t>Tank Emissions</t>
  </si>
  <si>
    <t>Fugitive Emissions</t>
  </si>
  <si>
    <t>Mobile Equipment Emissions (Normal Operation)</t>
  </si>
  <si>
    <t>PTE SUMMARY</t>
  </si>
  <si>
    <t>CO2 (kg CO2/MMBtu)</t>
  </si>
  <si>
    <t>CH4 (kg CH4/MMBtu)</t>
  </si>
  <si>
    <t>N2O (kg N2O/MMBtu)</t>
  </si>
  <si>
    <r>
      <t>SO</t>
    </r>
    <r>
      <rPr>
        <b/>
        <vertAlign val="subscript"/>
        <sz val="10"/>
        <rFont val="Arial"/>
        <family val="2"/>
      </rPr>
      <t xml:space="preserve">2 </t>
    </r>
    <r>
      <rPr>
        <b/>
        <sz val="10"/>
        <rFont val="Arial"/>
        <family val="2"/>
      </rPr>
      <t>@ 16 ppmvd</t>
    </r>
  </si>
  <si>
    <t>Intermittent unit hours/day operation</t>
  </si>
  <si>
    <t>Non-intermittent unit hours/day operation</t>
  </si>
  <si>
    <t>CO Standard Requirement</t>
  </si>
  <si>
    <t>HAPs (Formaldehyde)</t>
  </si>
  <si>
    <t>HAPs 
(Total)</t>
  </si>
  <si>
    <t>Auxiliary Air Compressor (224 kW)</t>
  </si>
  <si>
    <t>Firewater Pump (429 kW)</t>
  </si>
  <si>
    <t>Dry Flare Maximum Case</t>
  </si>
  <si>
    <t>Wet Flare Maximum Case</t>
  </si>
  <si>
    <t>LP Flare Maximum Flow</t>
  </si>
  <si>
    <t>Dry Flare Pilot/Purge (Not Modeled)</t>
  </si>
  <si>
    <t>Wet Flare Pilot/Purge (Not Modeled)</t>
  </si>
  <si>
    <t>Dry Flare Maximum Case (Not Modeled)</t>
  </si>
  <si>
    <t>Wet Flare Maximum Case (Not Modeled)</t>
  </si>
  <si>
    <t>Total Emissions (Without Maximum Flare)</t>
  </si>
  <si>
    <t>Total Emissions (With Maximum Flare)</t>
  </si>
  <si>
    <t>Assumptions</t>
  </si>
  <si>
    <t>• During commissioning of a piece of equipment, assume only operate half of the hours in 1 month</t>
  </si>
  <si>
    <t>• During maintainence of a piece of equipment, assume only operate half of the hours in 1 month</t>
  </si>
  <si>
    <t>• During start-up of Trains 1&amp;2 compressors, use CGF gas</t>
  </si>
  <si>
    <t>• Power Generators use CGF gas until Trains 1&amp;2 completely started-up</t>
  </si>
  <si>
    <t>• Two Power Generators in operation after sealift 1, four after sealift 2 and commisioning of T 1&amp;2, and six after all sealift 3.</t>
  </si>
  <si>
    <t xml:space="preserve">• Each essential and emergency generator is tested for 5 hr/month.  </t>
  </si>
  <si>
    <t>• Essential and emergency generators start with Hookup of Sealift 1.</t>
  </si>
  <si>
    <t>• First Fills for tanks occurs just before use. More specifically, this means that the TEG storage tanks and common heating/cooling medium tanks will operate on Sealift 1</t>
  </si>
  <si>
    <t>as well as the diesel tanks. MeOH and Amine storage tanks come on line with sealift 2; all train tanks come online as the train is put in service</t>
  </si>
  <si>
    <t>• All water tanks assumed to not have vent emissions that require recording</t>
  </si>
  <si>
    <t>• Diesel Air compressors and Fire Water Pump will be tested for 5 hr/month. These items are for emergency use only, which is not reflected in these sheets.</t>
  </si>
  <si>
    <t>• Auxilliary heater operates at 40% of design for the first year after sealift one. After sealift one and comissioning of Trains 1 &amp; 2 the heater will not operate.</t>
  </si>
  <si>
    <t>• Garbage and Food delivery trucks will operate daily, assuming 5hrs of operation a day</t>
  </si>
  <si>
    <t>• Water delivery was asssumed to be by pipeline only; No truck delivery was assumed</t>
  </si>
  <si>
    <t>• Each of the following trucks were assumed to operate 10hrs/month:</t>
  </si>
  <si>
    <t>Miscelaneous Parts Delivery Truck</t>
  </si>
  <si>
    <t>Electrical and Controls Delivery Truck</t>
  </si>
  <si>
    <t>Azimuth and Elevation Drive Delivery Truck (i.e. communications)</t>
  </si>
  <si>
    <t>Hazardous Waste Truck</t>
  </si>
  <si>
    <t>• Each of the following trucks were assumed to operate 20hrs/month:</t>
  </si>
  <si>
    <t>Special Maintenance Personnel Truck</t>
  </si>
  <si>
    <t>Vacuum Truck (after commisioning)</t>
  </si>
  <si>
    <t>• During commissioning, the vacuum truck will operate 12hr/day for 7 days a week</t>
  </si>
  <si>
    <t xml:space="preserve">• Delivery Truck size was based on the maximum vehicle weight limit as defined in AAC 25.013. a Kenworth T800 was assumed to have an empty weight of 25,000 lb. </t>
  </si>
  <si>
    <r>
      <t xml:space="preserve">• All chemical delivery trucks were defined together. The delivery truck size was assumed to be 9000 US gal (unless noted), and </t>
    </r>
    <r>
      <rPr>
        <b/>
        <sz val="10"/>
        <rFont val="Arial"/>
        <family val="2"/>
      </rPr>
      <t>first fill</t>
    </r>
    <r>
      <rPr>
        <sz val="10"/>
        <rFont val="Arial"/>
        <family val="2"/>
      </rPr>
      <t xml:space="preserve"> quantities are:</t>
    </r>
  </si>
  <si>
    <t>Sea Lift 1 (month 48)</t>
  </si>
  <si>
    <t>Sea Lift 2 (month 60)</t>
  </si>
  <si>
    <t>Sea Lift 3 (month 72)</t>
  </si>
  <si>
    <t>TEG:</t>
  </si>
  <si>
    <t>363 trucks SL1 (heating/cooling medium)</t>
  </si>
  <si>
    <t>42 trucks, sea lift 2;24 trucks SL3</t>
  </si>
  <si>
    <t>Amine:</t>
  </si>
  <si>
    <t>312 trucks seal lift 2, 285 trucks SL3</t>
  </si>
  <si>
    <t>Propane:</t>
  </si>
  <si>
    <t>60 trucks sea lift 2</t>
  </si>
  <si>
    <t>Liquid N2:</t>
  </si>
  <si>
    <t>4 trucks sea lift 1 (6000 gal)</t>
  </si>
  <si>
    <t>Diesel:</t>
  </si>
  <si>
    <t>57 trucks sea lift 1</t>
  </si>
  <si>
    <t>Chemical Injectants:</t>
  </si>
  <si>
    <t>6 trucks sea lift 1</t>
  </si>
  <si>
    <t>Hydraulic Fluid:</t>
  </si>
  <si>
    <t>9 trucks sea lift 1</t>
  </si>
  <si>
    <t xml:space="preserve">Lube oil: </t>
  </si>
  <si>
    <t>12 trucks each sea lift</t>
  </si>
  <si>
    <r>
      <t xml:space="preserve">• All chemical delivery trucks were defined together. The delivery truck size was assumed to be 9000 US gal (unless noted), and </t>
    </r>
    <r>
      <rPr>
        <b/>
        <sz val="10"/>
        <rFont val="Arial"/>
        <family val="2"/>
      </rPr>
      <t>delivery</t>
    </r>
    <r>
      <rPr>
        <sz val="10"/>
        <rFont val="Arial"/>
        <family val="2"/>
      </rPr>
      <t xml:space="preserve"> quantities are:</t>
    </r>
  </si>
  <si>
    <t>Jan</t>
  </si>
  <si>
    <t>Feb</t>
  </si>
  <si>
    <t>Mar</t>
  </si>
  <si>
    <t>April</t>
  </si>
  <si>
    <t>May</t>
  </si>
  <si>
    <t>June</t>
  </si>
  <si>
    <t>July</t>
  </si>
  <si>
    <t>Aug</t>
  </si>
  <si>
    <t>Sept</t>
  </si>
  <si>
    <t>Oct</t>
  </si>
  <si>
    <t>Nov</t>
  </si>
  <si>
    <t>Dec</t>
  </si>
  <si>
    <t>6 trucks every 2 months</t>
  </si>
  <si>
    <t>15 trucks a year</t>
  </si>
  <si>
    <t>1 trucks a year (6000 gal)</t>
  </si>
  <si>
    <t>2 trucks every 2 months (6000 gal)</t>
  </si>
  <si>
    <t>1 truck every week</t>
  </si>
  <si>
    <t>1 trucks every other month</t>
  </si>
  <si>
    <t>8 trucks every 2 months</t>
  </si>
  <si>
    <t>(ABOVE quatities based on USAG-WD-PEUTL-000002 Inventory List Base Case Rev 0.xls)</t>
  </si>
  <si>
    <t>Therefore, for normal operation assume 18 chemical trucks a month, at 12 hrs each (once all trains running)</t>
  </si>
  <si>
    <t>(6 after sea lift 1)</t>
  </si>
  <si>
    <t>sea lift 1:</t>
  </si>
  <si>
    <t>(12 after sea lift 2)</t>
  </si>
  <si>
    <t>sea lift 2:</t>
  </si>
  <si>
    <t>• Flaring/venting for startup occurs 4 times a year per train, except during commissioning which was assumed to be 8 times/yr/train for the first year. Each event was assumed to take 24 hrs.</t>
  </si>
  <si>
    <t>• Cooling Medium Expansion Drums and Sumps open to atmosphere were assumed to have a working volume of 50%, and to have 1 turnover a year each, to approximate actual operation.</t>
  </si>
  <si>
    <t>• Truck horsepower was assumed to be 400HP as an average, if more detailed vehicle information was unavailable</t>
  </si>
  <si>
    <t>• All diesel is arctic diesel</t>
  </si>
  <si>
    <t>• Turbine emissions and stack parameters account for waste heat recovery and supplimental firing where applicable</t>
  </si>
  <si>
    <t>• Turbine HP represents average over the year with respect to ambient temperature (derated)</t>
  </si>
  <si>
    <t>AAC Vehicle weight:</t>
  </si>
  <si>
    <t>http://www.legis.state.ak.us/basis/folioproxy.asp?url=http://wwwjnu01.legis.state.ak.us/cgi-bin/folioisa.dll/aac/query=[JUMP:'Title17Chap25!2C+a!2E+1']/doc/{@1}?firsthit</t>
  </si>
  <si>
    <t>GTP</t>
  </si>
  <si>
    <t>Co-current construction and operation</t>
  </si>
  <si>
    <t>Onsite Operations Equipment Projection</t>
  </si>
  <si>
    <t>Operations Equipment Description</t>
  </si>
  <si>
    <t>HP</t>
  </si>
  <si>
    <t>D</t>
  </si>
  <si>
    <t>G</t>
  </si>
  <si>
    <t>P</t>
  </si>
  <si>
    <t>Sales Gas</t>
  </si>
  <si>
    <t>CGF Gas</t>
  </si>
  <si>
    <t>Hrs/Month</t>
  </si>
  <si>
    <t>Month After Construction Start (number of equipment per month in chart)</t>
  </si>
  <si>
    <t>2014 -3Q,4Q</t>
  </si>
  <si>
    <t>Item Number</t>
  </si>
  <si>
    <t>1-12</t>
  </si>
  <si>
    <t>2-13</t>
  </si>
  <si>
    <t>3-14</t>
  </si>
  <si>
    <t>4-15</t>
  </si>
  <si>
    <t>5-16</t>
  </si>
  <si>
    <t>6-17</t>
  </si>
  <si>
    <t>7-18</t>
  </si>
  <si>
    <t>8-19</t>
  </si>
  <si>
    <t>9-20</t>
  </si>
  <si>
    <t>10-21</t>
  </si>
  <si>
    <t>11-22</t>
  </si>
  <si>
    <t>12-23</t>
  </si>
  <si>
    <t>13-24</t>
  </si>
  <si>
    <t>14-25</t>
  </si>
  <si>
    <t>15-26</t>
  </si>
  <si>
    <t>16-27</t>
  </si>
  <si>
    <t>17-28</t>
  </si>
  <si>
    <t>18-29</t>
  </si>
  <si>
    <t>19-30</t>
  </si>
  <si>
    <t>20-31</t>
  </si>
  <si>
    <t>21-32</t>
  </si>
  <si>
    <t>22-33</t>
  </si>
  <si>
    <t>23-34</t>
  </si>
  <si>
    <t>24-35</t>
  </si>
  <si>
    <t>25-36</t>
  </si>
  <si>
    <t>26-37</t>
  </si>
  <si>
    <t>27-38</t>
  </si>
  <si>
    <t>28-39</t>
  </si>
  <si>
    <t>29-40</t>
  </si>
  <si>
    <t>30-41</t>
  </si>
  <si>
    <t>31-42</t>
  </si>
  <si>
    <t>32-43</t>
  </si>
  <si>
    <t>33-44</t>
  </si>
  <si>
    <t>34-45</t>
  </si>
  <si>
    <t>35-46</t>
  </si>
  <si>
    <t>36-47</t>
  </si>
  <si>
    <t>37-48</t>
  </si>
  <si>
    <t>38-49</t>
  </si>
  <si>
    <t>39-50</t>
  </si>
  <si>
    <t>40-51</t>
  </si>
  <si>
    <t>41-52</t>
  </si>
  <si>
    <t>42-53</t>
  </si>
  <si>
    <t>43-54</t>
  </si>
  <si>
    <t>44-55</t>
  </si>
  <si>
    <t>45-56</t>
  </si>
  <si>
    <t>46-57</t>
  </si>
  <si>
    <t>47-58</t>
  </si>
  <si>
    <t>48-59</t>
  </si>
  <si>
    <t>49-60</t>
  </si>
  <si>
    <t>50-61</t>
  </si>
  <si>
    <t>51-62</t>
  </si>
  <si>
    <t>52-63</t>
  </si>
  <si>
    <t>53-64</t>
  </si>
  <si>
    <t>54-65</t>
  </si>
  <si>
    <t>55-66</t>
  </si>
  <si>
    <t>56-67</t>
  </si>
  <si>
    <t>57-68</t>
  </si>
  <si>
    <t>58-69</t>
  </si>
  <si>
    <t>59-70</t>
  </si>
  <si>
    <t>60-71</t>
  </si>
  <si>
    <t>61-72</t>
  </si>
  <si>
    <t>62-73</t>
  </si>
  <si>
    <t>63-74</t>
  </si>
  <si>
    <t>64-75</t>
  </si>
  <si>
    <t>65-76</t>
  </si>
  <si>
    <t>66-77</t>
  </si>
  <si>
    <t>67-78</t>
  </si>
  <si>
    <t>68-79</t>
  </si>
  <si>
    <t>69-80</t>
  </si>
  <si>
    <t>70-81</t>
  </si>
  <si>
    <t>71-82</t>
  </si>
  <si>
    <t>72-83</t>
  </si>
  <si>
    <t>73-84</t>
  </si>
  <si>
    <t>74-85</t>
  </si>
  <si>
    <t>75-86</t>
  </si>
  <si>
    <t>76-87</t>
  </si>
  <si>
    <t>77-88</t>
  </si>
  <si>
    <t>78-89</t>
  </si>
  <si>
    <t>79-90</t>
  </si>
  <si>
    <t>80-91</t>
  </si>
  <si>
    <t>81-92</t>
  </si>
  <si>
    <t>82-93</t>
  </si>
  <si>
    <t>83-94</t>
  </si>
  <si>
    <t>84-95</t>
  </si>
  <si>
    <t>85-96</t>
  </si>
  <si>
    <t>86-97</t>
  </si>
  <si>
    <t>87-98</t>
  </si>
  <si>
    <t>88-99</t>
  </si>
  <si>
    <t>89-100</t>
  </si>
  <si>
    <t>90-101</t>
  </si>
  <si>
    <t>91-102</t>
  </si>
  <si>
    <t>1-75 (entire construction)</t>
  </si>
  <si>
    <t>Vehicles with Onroad Engines for Emissions Estimates</t>
  </si>
  <si>
    <t>General Materials Delivery Truck for general construction</t>
  </si>
  <si>
    <t>Delivery Truck- Food</t>
  </si>
  <si>
    <t>Delivery Truck - Chemicals</t>
  </si>
  <si>
    <t>Delivery Truck - Misc. Parts</t>
  </si>
  <si>
    <t>Electrical and Control Systems Delivery Truck</t>
  </si>
  <si>
    <t>Azimuth and Elevation Drive (Communications) Delivery Truck</t>
  </si>
  <si>
    <t>Water Delivery Trucks</t>
  </si>
  <si>
    <t>29a</t>
  </si>
  <si>
    <t>Vacuum Truck (commisioning)</t>
  </si>
  <si>
    <t>29b</t>
  </si>
  <si>
    <t>Vacuum Truck</t>
  </si>
  <si>
    <t>Garbage Trucks</t>
  </si>
  <si>
    <t>Hazardous Waste Trucks</t>
  </si>
  <si>
    <t>Total</t>
  </si>
  <si>
    <t>Note:</t>
  </si>
  <si>
    <t>1. abbreviation:</t>
  </si>
  <si>
    <t>HP=horsepower
G=gasoline
D=diesel 
P=propane
Sales Gas 
CGF Gas = Plant Inlet gas</t>
  </si>
  <si>
    <t>max =</t>
  </si>
  <si>
    <t xml:space="preserve">2. max numbers of equipment and vehicles per month = </t>
  </si>
  <si>
    <t>3. It is assumed the numbers of worker passenger vehicles are the numbers of workers divided by 1.5.</t>
  </si>
  <si>
    <t>Mobile Equipment and Vehicle Projection for Operations</t>
  </si>
  <si>
    <t>Onsite Mobile Equipment and Vehicles Emission Sources</t>
  </si>
  <si>
    <t>Mobile Equipment Description</t>
  </si>
  <si>
    <t>Month After Construction Start (number of equipment operating per month in chart)</t>
  </si>
  <si>
    <t>Air Compressor -900CFM (Sullair; caterpillar C-9 ATAAC engine)</t>
  </si>
  <si>
    <t>X</t>
  </si>
  <si>
    <t>Dump Truck - Mack B70 (10 tires, 12 gph, 6 cylinders)</t>
  </si>
  <si>
    <t>Motor Grader - Cat 16G (6 tires, 7gph, 6-cylinder engine)</t>
  </si>
  <si>
    <t>Backhoe (CAT 966F)</t>
  </si>
  <si>
    <t>Crane (small) - 50/60 ton , Grove, RT700E (Cummins QSB engine)</t>
  </si>
  <si>
    <t>Crane (large) - 200 ton, Manitowoc 888 (Cummins M11 engine)</t>
  </si>
  <si>
    <t>Crane (large) - 90 ton, Grove 890E (Cummins QSB engine)</t>
  </si>
  <si>
    <t>Dozer - Cat D9, 475 HP</t>
  </si>
  <si>
    <t>Boom Truck (National Crane 800D)</t>
  </si>
  <si>
    <t>Loader - Cat 988H, 501HP</t>
  </si>
  <si>
    <t>Groundthaw Heater (E3000)</t>
  </si>
  <si>
    <t>Tioga Heaters (600,000 Btu/hr heater)</t>
  </si>
  <si>
    <t>Light Plants (Genie TML-4000)</t>
  </si>
  <si>
    <t>Forklift - 15 Ton (Cat P30000)</t>
  </si>
  <si>
    <t>Forklift - Cat  (2P5000)</t>
  </si>
  <si>
    <t>Snowblower/ Grader - 16' (Kodiak Northwest)</t>
  </si>
  <si>
    <t>Generator - 100 kW</t>
  </si>
  <si>
    <t>Generator - 50 kW</t>
  </si>
  <si>
    <t>Manlifts - 80' Gemie (Z80/60)</t>
  </si>
  <si>
    <t>Manlift - 45' Genie (Z45, Perkins 404D-22 4 cylinder engine)</t>
  </si>
  <si>
    <t>Zoom Boom - Telehandler (used on warehouse), GTH-1056</t>
  </si>
  <si>
    <t>Tractor Trailer</t>
  </si>
  <si>
    <t>Flatbed Truck  (2 ton) (approx. F-450)</t>
  </si>
  <si>
    <t>Fuel Truck (Kenworth T800)</t>
  </si>
  <si>
    <t>Bobcat (2500 lb capacity, 75 hp, Kubota S250 )</t>
  </si>
  <si>
    <t>Welding Machines (in shop) (Lincoln Electric)</t>
  </si>
  <si>
    <t>Water Truck - dust control (West Mark DST-S4000)</t>
  </si>
  <si>
    <t>Grey and Black Water Truck (Kenworth T800)</t>
  </si>
  <si>
    <t>Solid Waste Truck - Refuse (Kenworth T800)</t>
  </si>
  <si>
    <t>Passenger Van,  16 person (Ford E-350 series, or GM chevy 3500)</t>
  </si>
  <si>
    <t>Passenger Bus,  20 person (Blue Bird; 6.8 L engine)</t>
  </si>
  <si>
    <t>Staff &amp; Security Truck (3/4 ton crew cab)</t>
  </si>
  <si>
    <t>Pickup Truck - Standard Bed (V8 engine)</t>
  </si>
  <si>
    <t>Pickup Truck - Service Bed (Silverado HD2500)</t>
  </si>
  <si>
    <t>Ambulence (GM ambulence)</t>
  </si>
  <si>
    <t>Vehicle Classification</t>
  </si>
  <si>
    <t>Vehicle Descriptions</t>
  </si>
  <si>
    <t>Total Hours per Year</t>
  </si>
  <si>
    <t>Total Assumed Miles Driven</t>
  </si>
  <si>
    <t>Single Unit Short-Haul Truck</t>
  </si>
  <si>
    <t>General Materials Delivery Truck</t>
  </si>
  <si>
    <t>Light Commercial Truck</t>
  </si>
  <si>
    <t>Intercity Bus</t>
  </si>
  <si>
    <t>Passenger Truck</t>
  </si>
  <si>
    <t>Idling assumed to be included in total operating hours</t>
  </si>
  <si>
    <t>Vehicle Classification assumed based on DOT-HPMF Vehicle Classes</t>
  </si>
  <si>
    <t>Time-Weighted Average Speed=</t>
  </si>
  <si>
    <t>mph</t>
  </si>
  <si>
    <t>Mobile Emissions ton/year</t>
  </si>
  <si>
    <t>Moves Vehicle Class</t>
  </si>
  <si>
    <t>Total Miles Per Year</t>
  </si>
  <si>
    <t>MOVES</t>
  </si>
  <si>
    <t>Ton/year</t>
  </si>
  <si>
    <r>
      <t xml:space="preserve">EFs (g/mi) </t>
    </r>
    <r>
      <rPr>
        <b/>
        <vertAlign val="superscript"/>
        <sz val="10"/>
        <rFont val="Arial"/>
        <family val="2"/>
      </rPr>
      <t>1</t>
    </r>
  </si>
  <si>
    <r>
      <t>SO</t>
    </r>
    <r>
      <rPr>
        <b/>
        <vertAlign val="subscript"/>
        <sz val="10"/>
        <rFont val="Arial"/>
        <family val="2"/>
      </rPr>
      <t>2</t>
    </r>
  </si>
  <si>
    <r>
      <t>CO</t>
    </r>
    <r>
      <rPr>
        <b/>
        <vertAlign val="subscript"/>
        <sz val="10"/>
        <rFont val="Arial"/>
        <family val="2"/>
      </rPr>
      <t>2</t>
    </r>
  </si>
  <si>
    <r>
      <t>CH</t>
    </r>
    <r>
      <rPr>
        <b/>
        <vertAlign val="subscript"/>
        <sz val="10"/>
        <rFont val="Arial"/>
        <family val="2"/>
      </rPr>
      <t>4</t>
    </r>
  </si>
  <si>
    <r>
      <t>N</t>
    </r>
    <r>
      <rPr>
        <b/>
        <vertAlign val="subscript"/>
        <sz val="10"/>
        <rFont val="Arial"/>
        <family val="2"/>
      </rPr>
      <t>2</t>
    </r>
    <r>
      <rPr>
        <b/>
        <sz val="10"/>
        <rFont val="Arial"/>
        <family val="2"/>
      </rPr>
      <t>O</t>
    </r>
  </si>
  <si>
    <r>
      <t>CO</t>
    </r>
    <r>
      <rPr>
        <b/>
        <vertAlign val="subscript"/>
        <sz val="10"/>
        <rFont val="Arial"/>
        <family val="2"/>
      </rPr>
      <t>2</t>
    </r>
    <r>
      <rPr>
        <b/>
        <sz val="10"/>
        <rFont val="Arial"/>
        <family val="2"/>
      </rPr>
      <t>e</t>
    </r>
    <r>
      <rPr>
        <b/>
        <vertAlign val="superscript"/>
        <sz val="10"/>
        <rFont val="Arial"/>
        <family val="2"/>
      </rPr>
      <t>4</t>
    </r>
  </si>
  <si>
    <r>
      <t>HAPs</t>
    </r>
    <r>
      <rPr>
        <b/>
        <vertAlign val="superscript"/>
        <sz val="10"/>
        <rFont val="Arial"/>
        <family val="2"/>
      </rPr>
      <t>2</t>
    </r>
  </si>
  <si>
    <t>TOTAL PER POLLUTANT (tpy)</t>
  </si>
  <si>
    <t>Note 3:  tons/year emissions = (Average distance traveled (mi/year)) * Emission factor (g/mi) / (453.59 g/lb) * (1 / 2000)</t>
  </si>
  <si>
    <r>
      <t>Note 4:  Greenhouse gasses (GHG) are converted to carbon dioxide equivalents (CO</t>
    </r>
    <r>
      <rPr>
        <vertAlign val="subscript"/>
        <sz val="8"/>
        <rFont val="Arial"/>
        <family val="2"/>
      </rPr>
      <t>2</t>
    </r>
    <r>
      <rPr>
        <sz val="8"/>
        <rFont val="Arial"/>
        <family val="2"/>
      </rPr>
      <t>e) using 100-year Global Warming Potentials values from IPCC's Fourth Assessment Report (AR4) Chapter 2, Table 2.14 of Climate Change 2007: The Physical Science Basis. Contribution of Working Group I to the Fourth Assessment Report of the IPCC</t>
    </r>
  </si>
  <si>
    <r>
      <t xml:space="preserve">   CO</t>
    </r>
    <r>
      <rPr>
        <vertAlign val="subscript"/>
        <sz val="8"/>
        <rFont val="Arial"/>
        <family val="2"/>
      </rPr>
      <t>2</t>
    </r>
    <r>
      <rPr>
        <sz val="8"/>
        <rFont val="Arial"/>
        <family val="2"/>
      </rPr>
      <t xml:space="preserve"> = 1, CH</t>
    </r>
    <r>
      <rPr>
        <vertAlign val="subscript"/>
        <sz val="8"/>
        <rFont val="Arial"/>
        <family val="2"/>
      </rPr>
      <t>4</t>
    </r>
    <r>
      <rPr>
        <sz val="8"/>
        <rFont val="Arial"/>
        <family val="2"/>
      </rPr>
      <t xml:space="preserve"> = 25, N</t>
    </r>
    <r>
      <rPr>
        <vertAlign val="subscript"/>
        <sz val="8"/>
        <rFont val="Arial"/>
        <family val="2"/>
      </rPr>
      <t>2</t>
    </r>
    <r>
      <rPr>
        <sz val="8"/>
        <rFont val="Arial"/>
        <family val="2"/>
      </rPr>
      <t>O = 298</t>
    </r>
  </si>
  <si>
    <t>Non-Road/Portable Diesel Emissions - tpy</t>
  </si>
  <si>
    <r>
      <t xml:space="preserve">Emission Factors (g/hp-hr) </t>
    </r>
    <r>
      <rPr>
        <b/>
        <vertAlign val="superscript"/>
        <sz val="10"/>
        <rFont val="Arial"/>
        <family val="2"/>
      </rPr>
      <t>2</t>
    </r>
  </si>
  <si>
    <r>
      <t xml:space="preserve">Adjusted Emission Factors (g/hp-hr) </t>
    </r>
    <r>
      <rPr>
        <b/>
        <vertAlign val="superscript"/>
        <sz val="10"/>
        <rFont val="Arial"/>
        <family val="2"/>
      </rPr>
      <t>2</t>
    </r>
  </si>
  <si>
    <t>Emissions (ton/year)</t>
  </si>
  <si>
    <t>Engine Description</t>
  </si>
  <si>
    <t>Equipment category based on
NONROAD classification</t>
  </si>
  <si>
    <r>
      <t xml:space="preserve">SCC </t>
    </r>
    <r>
      <rPr>
        <b/>
        <vertAlign val="superscript"/>
        <sz val="10"/>
        <rFont val="Arial"/>
        <family val="2"/>
      </rPr>
      <t>1</t>
    </r>
  </si>
  <si>
    <t>Fuel
Type</t>
  </si>
  <si>
    <t>Equipment Horsepower</t>
  </si>
  <si>
    <t>PM</t>
  </si>
  <si>
    <t>THC</t>
  </si>
  <si>
    <r>
      <t xml:space="preserve">Age Factor </t>
    </r>
    <r>
      <rPr>
        <b/>
        <vertAlign val="superscript"/>
        <sz val="10"/>
        <rFont val="Arial"/>
        <family val="2"/>
      </rPr>
      <t>3</t>
    </r>
  </si>
  <si>
    <r>
      <t xml:space="preserve">Load Factor </t>
    </r>
    <r>
      <rPr>
        <b/>
        <vertAlign val="superscript"/>
        <sz val="9"/>
        <rFont val="Arial"/>
        <family val="2"/>
      </rPr>
      <t>2</t>
    </r>
  </si>
  <si>
    <r>
      <t xml:space="preserve">BSFC </t>
    </r>
    <r>
      <rPr>
        <b/>
        <vertAlign val="superscript"/>
        <sz val="10"/>
        <rFont val="Arial"/>
        <family val="2"/>
      </rPr>
      <t>2</t>
    </r>
  </si>
  <si>
    <r>
      <t xml:space="preserve">"A" </t>
    </r>
    <r>
      <rPr>
        <b/>
        <vertAlign val="superscript"/>
        <sz val="10"/>
        <rFont val="Arial"/>
        <family val="2"/>
      </rPr>
      <t>3</t>
    </r>
  </si>
  <si>
    <t>Light Commercial Air Compressor</t>
  </si>
  <si>
    <t>Graders</t>
  </si>
  <si>
    <t>Tractors/Loaders/Backhoes</t>
  </si>
  <si>
    <t>Crane</t>
  </si>
  <si>
    <t>Rubber Tire Dozer</t>
  </si>
  <si>
    <t>Rubber Tire Loader</t>
  </si>
  <si>
    <t>Light Commercial Generator Set</t>
  </si>
  <si>
    <t>Forklifts</t>
  </si>
  <si>
    <t>Aerial Lift</t>
  </si>
  <si>
    <t>Skid Steer Loader</t>
  </si>
  <si>
    <t>Light Commercial  Welders</t>
  </si>
  <si>
    <t>Heater Description</t>
  </si>
  <si>
    <t>Equipment MMBtu/hr</t>
  </si>
  <si>
    <r>
      <t>Emission Factors (lb/MMBtu)</t>
    </r>
    <r>
      <rPr>
        <sz val="11"/>
        <color theme="1"/>
        <rFont val="Calibri"/>
        <family val="2"/>
        <scheme val="minor"/>
      </rPr>
      <t/>
    </r>
  </si>
  <si>
    <r>
      <t>Emissions (ton/year)</t>
    </r>
    <r>
      <rPr>
        <sz val="11"/>
        <color theme="1"/>
        <rFont val="Calibri"/>
        <family val="2"/>
        <scheme val="minor"/>
      </rPr>
      <t/>
    </r>
  </si>
  <si>
    <t>NOTES:</t>
  </si>
  <si>
    <t>Note 1: SCC code based on Appendix A of  "Median Life, Annual Activity, and Load Factor Values for Nonroad Engine Emissions Modeling", July 2010, EPA-420-R-10-018.</t>
  </si>
  <si>
    <t>Note 2: Brake-specific fuel consumption, zero hour steady state emission factor (EFss; g/hp-hr), and load factor are from NMIM/NONROAD08 model factors dated April 5, 2009.</t>
  </si>
  <si>
    <t xml:space="preserve">Note 3:  Median life is taken from Table 1 of "Median Life, Annual Activity, and Load Factor Values for Nonroad Engine Emissions Modeling", April 2004, EPA-420-P-04-005.  </t>
  </si>
  <si>
    <t>Note 3: Age factor and Deterioration factors calculated using Equation 4 from "Exhaust and Crankcase Emission Factors for Nonroad Engine Modeling - Compression-Ignition", July 2010, EPA-420-R-10-018.</t>
  </si>
  <si>
    <t xml:space="preserve">                Age Factor = LF * cumulative hours / median life  {where Age factor is capped at 1.  For this calculation, age factor is assumed to be 1 for simplification purposes}.</t>
  </si>
  <si>
    <t xml:space="preserve">                Deterioration Factor = 1 + ( A * Age Factor^b), where b = 1 for diesel engines and A is taken from Table A6 from above mentioned source</t>
  </si>
  <si>
    <t>Note 4:  Adjusted Emission Factors are calculated using Equation 1 from, "Exhaust and Crankcase Emission Factors for Nonroad Engine Modeling - Compression-Ignition", July 2010, EPA-420-R-10-018.</t>
  </si>
  <si>
    <t xml:space="preserve">                 Adjusted EF = Efss * TAF * DF    (as stated in Note 2, EFss have TAFs built in)</t>
  </si>
  <si>
    <t>Total Non-Road/Portable Emissions</t>
  </si>
  <si>
    <t>Non-Road/Portable Equipment Emissions (Normal Operation)</t>
  </si>
  <si>
    <t>Emission Unit ID</t>
  </si>
  <si>
    <t>Emission Unit Tag No.</t>
  </si>
  <si>
    <t>Description</t>
  </si>
  <si>
    <t>Source Category</t>
  </si>
  <si>
    <t>Turbine ISO Power</t>
  </si>
  <si>
    <t>Turbine ISO Heat Rate</t>
  </si>
  <si>
    <r>
      <t>Turbine 10</t>
    </r>
    <r>
      <rPr>
        <b/>
        <vertAlign val="superscript"/>
        <sz val="10"/>
        <rFont val="Arial"/>
        <family val="2"/>
      </rPr>
      <t>o</t>
    </r>
    <r>
      <rPr>
        <b/>
        <sz val="10"/>
        <rFont val="Arial"/>
        <family val="2"/>
      </rPr>
      <t xml:space="preserve"> F MMBtu/hr (HHV)</t>
    </r>
  </si>
  <si>
    <t>Load Basis for CT EF</t>
  </si>
  <si>
    <t>Fuel/Service</t>
  </si>
  <si>
    <t>Control Type</t>
  </si>
  <si>
    <t>CE%</t>
  </si>
  <si>
    <t>hrs/yr</t>
  </si>
  <si>
    <t>Load Basis for Calc</t>
  </si>
  <si>
    <t>CT</t>
  </si>
  <si>
    <t>&gt;80%</t>
  </si>
  <si>
    <t>NG</t>
  </si>
  <si>
    <t>100% load</t>
  </si>
  <si>
    <t>ICE</t>
  </si>
  <si>
    <t>&lt;600hp</t>
  </si>
  <si>
    <t>CT Mfg / Model</t>
  </si>
  <si>
    <t>ISO Power (kW)</t>
  </si>
  <si>
    <t>ISO Heat Rate (MMBtu/hr)</t>
  </si>
  <si>
    <r>
      <t>10</t>
    </r>
    <r>
      <rPr>
        <b/>
        <vertAlign val="superscript"/>
        <sz val="10"/>
        <rFont val="Arial"/>
        <family val="2"/>
      </rPr>
      <t>o</t>
    </r>
    <r>
      <rPr>
        <b/>
        <sz val="10"/>
        <rFont val="Arial"/>
        <family val="2"/>
      </rPr>
      <t>F Heat Consumption (MMBtu/hr)</t>
    </r>
  </si>
  <si>
    <t>Fuel</t>
  </si>
  <si>
    <t>SOURCE TOTAL (tpy)</t>
  </si>
  <si>
    <t>FACILITY TOTAL</t>
  </si>
  <si>
    <t>CT TOTAL (All Fuels)</t>
  </si>
  <si>
    <t>HEATER TOTAL (All Fuels)</t>
  </si>
  <si>
    <t>ICE TOTAL (All fuels)</t>
  </si>
  <si>
    <t>SUM CTs &amp; ICE (All Fuels)</t>
  </si>
  <si>
    <t>FLARE TOTAL</t>
  </si>
  <si>
    <t>INCINERATOR TOTAL</t>
  </si>
  <si>
    <t>BURNER TOTAL</t>
  </si>
  <si>
    <t>TANK TOTAL</t>
  </si>
  <si>
    <t>FUGITIVE TOTAL</t>
  </si>
  <si>
    <t>Source Type</t>
  </si>
  <si>
    <t>Gas-Fired Combustion Turbines</t>
  </si>
  <si>
    <t>Diesel Combustion Turbines</t>
  </si>
  <si>
    <t>Gas-Fired Heaters/Boilers</t>
  </si>
  <si>
    <t>Diesel-Fired Heaters</t>
  </si>
  <si>
    <t>Gas-Fired ICEs 2-stroke, Lean-Burn</t>
  </si>
  <si>
    <t>Gas-Fired ICEs 4-stroke, Rich-Burn</t>
  </si>
  <si>
    <t>Diesel-Fired ICEs &lt;600 hp</t>
  </si>
  <si>
    <t>Diesel-Fired ICEs &gt;600 hp</t>
  </si>
  <si>
    <t>Refuse Incinerators (MOD/SA)</t>
  </si>
  <si>
    <t>Used Oil (Atomizing) Burner</t>
  </si>
  <si>
    <t>Loads &gt;80% (GRI-HAPCalc v.3.01)</t>
  </si>
  <si>
    <t>All Loads</t>
  </si>
  <si>
    <t>&gt;80% Load Only</t>
  </si>
  <si>
    <t>HAP</t>
  </si>
  <si>
    <t>EF</t>
  </si>
  <si>
    <t>units</t>
  </si>
  <si>
    <t>Factor Set</t>
  </si>
  <si>
    <t>1,1,2,2-Tetrachloroethane</t>
  </si>
  <si>
    <t>lb/MMBtu</t>
  </si>
  <si>
    <t>AP-42 Table 3.2-1 (8/00)</t>
  </si>
  <si>
    <t>AP-42 Table 3.2-3 (8/00)</t>
  </si>
  <si>
    <t>1,1,2-Trichloroethane</t>
  </si>
  <si>
    <t>1,3-Butadiene</t>
  </si>
  <si>
    <t>EPA AP-42 Table 3.1-3 (4/00)</t>
  </si>
  <si>
    <t>Background report for AP-42 Section 3.1 (4/00)</t>
  </si>
  <si>
    <t>AP-42 Table 3.1-4 (4/00)</t>
  </si>
  <si>
    <t>AP-42 Table 3.3-2 (10/96)</t>
  </si>
  <si>
    <t>1,3-Dichloropropene</t>
  </si>
  <si>
    <t>1,4-Dichlorobenzene</t>
  </si>
  <si>
    <t>2,2,4-Trimethylpentane</t>
  </si>
  <si>
    <t>Acetaldehyde</t>
  </si>
  <si>
    <t>AP-42 Table 3.4-3 (10/96)</t>
  </si>
  <si>
    <t>Acrolein</t>
  </si>
  <si>
    <t>Antimony</t>
  </si>
  <si>
    <t>lb/1000 gal.</t>
  </si>
  <si>
    <t>AP-42 Table 1.11-4 (10/96)</t>
  </si>
  <si>
    <t>Arsenic</t>
  </si>
  <si>
    <t>AP-42 Table 3.1-5 (4/00)</t>
  </si>
  <si>
    <t>lb/TBtu</t>
  </si>
  <si>
    <t>AP-42 Table 1.3-10 (9/98)</t>
  </si>
  <si>
    <t>lb/ton</t>
  </si>
  <si>
    <t>AP-42 Table 2.1-9 (10/96)</t>
  </si>
  <si>
    <t>Benzene</t>
  </si>
  <si>
    <t>EPA AP-42 Table 1.4-3 (7/98)</t>
  </si>
  <si>
    <t>Beryllium</t>
  </si>
  <si>
    <t>Biphenyl</t>
  </si>
  <si>
    <t>Cadmium</t>
  </si>
  <si>
    <t>Carbon Tetrachloride</t>
  </si>
  <si>
    <t>Chlorobenzene</t>
  </si>
  <si>
    <t>Chloroform</t>
  </si>
  <si>
    <t>Chromium</t>
  </si>
  <si>
    <t>Cobalt</t>
  </si>
  <si>
    <t>Dibutylphthalate</t>
  </si>
  <si>
    <t>AP-42 Table 1.11-5 (10/96)</t>
  </si>
  <si>
    <t>Ethylbenzene</t>
  </si>
  <si>
    <t>Ethylene Dibromide</t>
  </si>
  <si>
    <t>Ethylene Dichloride</t>
  </si>
  <si>
    <t>Formaldehyde</t>
  </si>
  <si>
    <t>AP-42 Table 1.3-8 (9/98)</t>
  </si>
  <si>
    <t>HCl</t>
  </si>
  <si>
    <t>Lead</t>
  </si>
  <si>
    <t>Manganese</t>
  </si>
  <si>
    <t>Mercury</t>
  </si>
  <si>
    <t>Methanol</t>
  </si>
  <si>
    <t>Methylene Chloride</t>
  </si>
  <si>
    <t>n-Hexane</t>
  </si>
  <si>
    <t>Nickel</t>
  </si>
  <si>
    <t>PAHs</t>
  </si>
  <si>
    <t>Phenol</t>
  </si>
  <si>
    <t>Phosphorus</t>
  </si>
  <si>
    <t>POM (Total)</t>
  </si>
  <si>
    <t>g/bhp-hr</t>
  </si>
  <si>
    <t>AP-42 (10/96)</t>
  </si>
  <si>
    <t>POM 2-Methylnaphthalene</t>
  </si>
  <si>
    <t>POM 3-Methylcholanthrene</t>
  </si>
  <si>
    <t>POM 7,12-Dimethylbenz(a)anthracene</t>
  </si>
  <si>
    <t>POM Acenaphthene</t>
  </si>
  <si>
    <t>POM Acenaphthylene</t>
  </si>
  <si>
    <t>POM Anthracene</t>
  </si>
  <si>
    <t>POM Benz(a)anthracene</t>
  </si>
  <si>
    <t>POM Benzo(a)pyrene</t>
  </si>
  <si>
    <t>POM Benzo(b)fluoranthene</t>
  </si>
  <si>
    <t>POM Benzo(g,h,i)perylene</t>
  </si>
  <si>
    <t>POM Benzo(k)fluoranthene</t>
  </si>
  <si>
    <t>POM Chrysene</t>
  </si>
  <si>
    <t>POM Dibenz(a,h)anthracene</t>
  </si>
  <si>
    <t>POM Fluoranthene</t>
  </si>
  <si>
    <t>POM Fluorene</t>
  </si>
  <si>
    <t>POM Indeno(1,2,3-c,d)pyrene</t>
  </si>
  <si>
    <t>POM Naphthalene</t>
  </si>
  <si>
    <t>POM Phenanthrene</t>
  </si>
  <si>
    <t>POM Pyrene</t>
  </si>
  <si>
    <r>
      <t>Propional</t>
    </r>
    <r>
      <rPr>
        <b/>
        <i/>
        <sz val="10"/>
        <color indexed="8"/>
        <rFont val="Arial"/>
        <family val="2"/>
      </rPr>
      <t>[dehyde]</t>
    </r>
  </si>
  <si>
    <t>Propylene Oxide</t>
  </si>
  <si>
    <t>Selenium</t>
  </si>
  <si>
    <t>Styrene</t>
  </si>
  <si>
    <t>Tetrachloroethylene</t>
  </si>
  <si>
    <t>Toluene</t>
  </si>
  <si>
    <t>Trichloroethylene</t>
  </si>
  <si>
    <t>Vinyl Chloride</t>
  </si>
  <si>
    <t>Vinylidene Chloride</t>
  </si>
  <si>
    <t>Xylenes(m,p,o)</t>
  </si>
  <si>
    <t>CDD/CDF</t>
  </si>
  <si>
    <t>Diesel HHV</t>
  </si>
  <si>
    <t>Btu/gal</t>
  </si>
  <si>
    <t>Fuel Gas HHV</t>
  </si>
  <si>
    <t>Btu/scf</t>
  </si>
  <si>
    <t>TOTAL</t>
  </si>
  <si>
    <t>All</t>
  </si>
  <si>
    <t>Equipment/Fuel</t>
  </si>
  <si>
    <t>CT|&gt;80%|NG</t>
  </si>
  <si>
    <t>CT|0|NG</t>
  </si>
  <si>
    <t>CT|&gt;80%|D</t>
  </si>
  <si>
    <t>CT|0|D</t>
  </si>
  <si>
    <t>Heater|0|NG</t>
  </si>
  <si>
    <t>Heater|0|D</t>
  </si>
  <si>
    <t>ICE|2-Stroke|NG</t>
  </si>
  <si>
    <t>ICE|4-Stroke|NG</t>
  </si>
  <si>
    <t>ICE|&lt;600hp|D</t>
  </si>
  <si>
    <t>ICE|&gt;600hp|D</t>
  </si>
  <si>
    <t>Flare|0|NG</t>
  </si>
  <si>
    <t>Incinerators|0|NG</t>
  </si>
  <si>
    <t>Burners|0|D</t>
  </si>
  <si>
    <t>Tank|0|D</t>
  </si>
  <si>
    <t>Fugitive|0|D</t>
  </si>
  <si>
    <t>Tank</t>
  </si>
  <si>
    <t>Fugitive</t>
  </si>
  <si>
    <t>Methane (lb/hr)</t>
  </si>
  <si>
    <t>NMHC (lb/hr)</t>
  </si>
  <si>
    <t>Emissions Calculation (Annual)</t>
  </si>
  <si>
    <t>NMHC (tpy)</t>
  </si>
  <si>
    <t xml:space="preserve">LNG Miscellaneous Emissions </t>
  </si>
  <si>
    <t>Reference: CB&amp;I/Chiyoda Calculation 194210-USAL-CB-SCCAL-00-000023-000</t>
  </si>
  <si>
    <t>Reference: CB&amp;I/Chiyoda Calculation 194210-USAL-CB-SCCAL-00-000024-000</t>
  </si>
  <si>
    <t>Assumed Dry Oxygen Concentration</t>
  </si>
  <si>
    <t>SOA
% Condensable</t>
  </si>
  <si>
    <t>Man lifts - 80' Gemie (Z80/60)</t>
  </si>
  <si>
    <t>Man lift - 45' Genie (Z45, Perkins 404D-22 4 cylinder engine)</t>
  </si>
  <si>
    <t>Ground thaw Heater (E3000)</t>
  </si>
  <si>
    <t>LP Flare Maximum Flow (Maintenance)</t>
  </si>
  <si>
    <r>
      <t>LP Flare Maximum Flow</t>
    </r>
    <r>
      <rPr>
        <b/>
        <vertAlign val="superscript"/>
        <sz val="10"/>
        <rFont val="Arial"/>
        <family val="2"/>
      </rPr>
      <t xml:space="preserve">1 </t>
    </r>
    <r>
      <rPr>
        <sz val="10"/>
        <rFont val="Arial"/>
        <family val="2"/>
      </rPr>
      <t>(Maintenance)</t>
    </r>
  </si>
  <si>
    <t>Additional Warm Vessel Arrival Inert Gas Emissions (Annual)</t>
  </si>
  <si>
    <t>Not-to-Exceed Factor</t>
  </si>
  <si>
    <t>tonnes/yr</t>
  </si>
  <si>
    <t>tonnesyr</t>
  </si>
  <si>
    <t>CO2 (tonnes/yr)</t>
  </si>
  <si>
    <t>CH4 (tonnes/yr)</t>
  </si>
  <si>
    <t>N2O (tonnes/yr)</t>
  </si>
  <si>
    <t>CO2e (tonnes/yr)</t>
  </si>
  <si>
    <t>Methane (tonnes/yr)</t>
  </si>
  <si>
    <t>TCEQ Vapor Oxidizers Emission Factors</t>
  </si>
  <si>
    <r>
      <t>PM2.5 (</t>
    </r>
    <r>
      <rPr>
        <sz val="11"/>
        <color theme="1"/>
        <rFont val="Calibri"/>
        <family val="2"/>
      </rPr>
      <t>lb/MMBtu</t>
    </r>
    <r>
      <rPr>
        <sz val="11"/>
        <color theme="1"/>
        <rFont val="Calibri"/>
        <family val="2"/>
        <scheme val="minor"/>
      </rPr>
      <t>)</t>
    </r>
  </si>
  <si>
    <t>Short-Term</t>
  </si>
  <si>
    <t>Short-Term ppmvd @ 15% NOx</t>
  </si>
  <si>
    <t>Short-Term ppmvd @ 15% CO</t>
  </si>
  <si>
    <t>Annual ppmvd @ 15% NOx</t>
  </si>
  <si>
    <t>Annual ppmvd @ 15% CO</t>
  </si>
  <si>
    <t>Exhaust Temp Load % Basis</t>
  </si>
  <si>
    <t>Exhaust Velocity Load % Basis</t>
  </si>
  <si>
    <t>Exhaust Temp Ambient Temp Basis (F)</t>
  </si>
  <si>
    <t>Exhaust Velocity Ambient Temp Basis (F)</t>
  </si>
  <si>
    <t>Power Generation Turbine Vendor</t>
  </si>
  <si>
    <t>--</t>
  </si>
  <si>
    <t>Marine Terminal Emissions (Normal Operation)</t>
  </si>
  <si>
    <t>hours    Per day maximum flare operation</t>
  </si>
  <si>
    <t>Flare hours/day operation</t>
  </si>
  <si>
    <t>hours    Maximum LP Flaring Events have been modeled with an annual value based on operating only 144 hours/year.</t>
  </si>
  <si>
    <t>Ambient Temp Basis (F)</t>
  </si>
  <si>
    <t>Load % Basis</t>
  </si>
  <si>
    <t>Ambient Temperature Basis (F)</t>
  </si>
  <si>
    <t>40 CFR Part 89.112 
Tier 3 130&lt;kW&lt;225</t>
  </si>
  <si>
    <t>40 CFR Part 89.112 
Tier 3 225&lt;kW&lt;450</t>
  </si>
  <si>
    <t>40 CFR Part 60 Subpart IIII 175&lt;hp&lt;300</t>
  </si>
  <si>
    <t>40 CFR Part 60 Subpart IIII 300&lt;hp&lt;600</t>
  </si>
  <si>
    <t>40 CFR 1039 Subpart B Tier 4 130&lt;kW&lt;560</t>
  </si>
  <si>
    <t>Ambient Temp does not affect emissions</t>
  </si>
  <si>
    <t>VOC (g/hp-hr) (5% of NOx+NMHC)</t>
  </si>
  <si>
    <t>NOx (g/hp-hr) (95% of NOx+NMHC)</t>
  </si>
  <si>
    <t>Based on Mass Balance of Sulfur</t>
  </si>
  <si>
    <t>Note 2:  HAPs are aggregated for benzene, 1,3-butadiene, formaldehyde, acetaldehyde, acrolein, toluene, and xylene</t>
  </si>
  <si>
    <t>VCAPCD (5/172001)</t>
  </si>
  <si>
    <t>Note 1: Emissions estimates are based on EPA's MOVES2014 motor vehicle emissions estimation program.  Year 2027 is used as the base year for North Slope Borough, based on latest county-specific MOVES2014 input data available from Alaska DEC.</t>
  </si>
  <si>
    <t>1 tonnes =</t>
  </si>
  <si>
    <t>kg</t>
  </si>
  <si>
    <t>1.) Emission Factor for CO has been based on AP42 Section 1.4, to ensure CO emissions are not underestimated (TCEQ references AP42 Section 1.4 for VOC and PM emissions)</t>
  </si>
  <si>
    <t>CO2 (tpy)</t>
  </si>
  <si>
    <r>
      <t xml:space="preserve">Deterioration Factors </t>
    </r>
    <r>
      <rPr>
        <b/>
        <vertAlign val="superscript"/>
        <sz val="10"/>
        <rFont val="Arial"/>
        <family val="2"/>
      </rPr>
      <t>2</t>
    </r>
    <r>
      <rPr>
        <sz val="11"/>
        <color theme="1"/>
        <rFont val="Calibri"/>
        <family val="2"/>
        <scheme val="minor"/>
      </rPr>
      <t/>
    </r>
  </si>
  <si>
    <t xml:space="preserve">             EFss from NMIM/NONROAD08 have transient adjustment factors (TAFs) built in.  The EFss are weighted averages based on Tier 4 engines.</t>
  </si>
  <si>
    <r>
      <t xml:space="preserve">             The correction factor S</t>
    </r>
    <r>
      <rPr>
        <vertAlign val="subscript"/>
        <sz val="8"/>
        <rFont val="Arial"/>
        <family val="2"/>
      </rPr>
      <t>PMadj</t>
    </r>
    <r>
      <rPr>
        <sz val="8"/>
        <rFont val="Arial"/>
        <family val="2"/>
      </rPr>
      <t xml:space="preserve"> is made to account for fuel sulfur variations; inputs specific to this calculation are noted below</t>
    </r>
  </si>
  <si>
    <t>soxcnv (fraction of fuel sulfur converted to direct PM) for Base, T0, T1, T2, T3, T3B, T4A, T4B</t>
  </si>
  <si>
    <t>soxcnv (fraction of fuel sulfur converted to direct PM) for Base, T4 and T4N</t>
  </si>
  <si>
    <t>soxcnv (fraction of fuel sulfur converted to direct PM) for gasoline engines</t>
  </si>
  <si>
    <t>soxdsl (weight percent of sulfur in diesel fuel)</t>
  </si>
  <si>
    <r>
      <t>Note 5:  Adjusted Emission Factors for PM</t>
    </r>
    <r>
      <rPr>
        <vertAlign val="subscript"/>
        <sz val="8"/>
        <rFont val="Arial"/>
        <family val="2"/>
      </rPr>
      <t>10</t>
    </r>
    <r>
      <rPr>
        <sz val="8"/>
        <rFont val="Arial"/>
        <family val="2"/>
      </rPr>
      <t xml:space="preserve"> are calculated using Equation 2 from, "Exhaust and Crankcase Emission Factors for Nonroad Engine Modeling - Compression-Ignition", July 2010, EPA-420-R-10-018.</t>
    </r>
  </si>
  <si>
    <t>soxbas (default certification fuel sulfur weight percent, 0.0015 is default for Tier 4 engines)</t>
  </si>
  <si>
    <r>
      <t>PM</t>
    </r>
    <r>
      <rPr>
        <b/>
        <vertAlign val="superscript"/>
        <sz val="10"/>
        <rFont val="Arial"/>
        <family val="2"/>
      </rPr>
      <t>5</t>
    </r>
  </si>
  <si>
    <t xml:space="preserve">Note 6: Adjusted emissions from THC to VOC by 1.053 is the ratio of VOC to THC (for diesel equipment) from "Conversion Factors for Hydrocarbon Components", July 2010, EPA-420-R-10-015. </t>
  </si>
  <si>
    <r>
      <t>VOC</t>
    </r>
    <r>
      <rPr>
        <b/>
        <vertAlign val="superscript"/>
        <sz val="10"/>
        <rFont val="Arial"/>
        <family val="2"/>
      </rPr>
      <t>6</t>
    </r>
  </si>
  <si>
    <t>Emission Factor</t>
  </si>
  <si>
    <t>Units</t>
  </si>
  <si>
    <t>Pollutant</t>
  </si>
  <si>
    <t>Short-Term Maximum</t>
  </si>
  <si>
    <t>ppmvd @15% O2</t>
  </si>
  <si>
    <t>ppmv</t>
  </si>
  <si>
    <t>kg/MMBtu</t>
  </si>
  <si>
    <t>g/hp-hr</t>
  </si>
  <si>
    <r>
      <rPr>
        <sz val="11"/>
        <color theme="1"/>
        <rFont val="Calibri"/>
        <family val="2"/>
      </rPr>
      <t>µg</t>
    </r>
    <r>
      <rPr>
        <sz val="11"/>
        <color theme="1"/>
        <rFont val="Calibri"/>
        <family val="2"/>
        <scheme val="minor"/>
      </rPr>
      <t>/L</t>
    </r>
  </si>
  <si>
    <t>Compressor Turbine</t>
  </si>
  <si>
    <t>Power Generator Turbine</t>
  </si>
  <si>
    <t>Diesel Firewater Pump</t>
  </si>
  <si>
    <t>Operating 
hrs/year</t>
  </si>
  <si>
    <t>Coordinates (LC)</t>
  </si>
  <si>
    <r>
      <t>CO</t>
    </r>
    <r>
      <rPr>
        <b/>
        <vertAlign val="subscript"/>
        <sz val="10"/>
        <rFont val="Arial"/>
        <family val="2"/>
      </rPr>
      <t>2</t>
    </r>
    <r>
      <rPr>
        <b/>
        <sz val="10"/>
        <rFont val="Arial"/>
        <family val="2"/>
      </rPr>
      <t>e</t>
    </r>
  </si>
  <si>
    <t>Fuel Sulfur Normal Operation</t>
  </si>
  <si>
    <t>MMBtu/hr</t>
  </si>
  <si>
    <t>Gross (MMBtu/gal)</t>
  </si>
  <si>
    <t>Gross (Btu/lb)</t>
  </si>
  <si>
    <t xml:space="preserve">1 yr = </t>
  </si>
  <si>
    <t>hr</t>
  </si>
  <si>
    <t>GHG Emissions from 40 CFR 98</t>
  </si>
  <si>
    <t>Train 1a Compression Turbine</t>
  </si>
  <si>
    <t>Train 1b Compression Turbine</t>
  </si>
  <si>
    <t>Train 2a Compression Turbine</t>
  </si>
  <si>
    <t>Train 2b Compression Turbine</t>
  </si>
  <si>
    <t>Train 3a Compression Turbine</t>
  </si>
  <si>
    <t>Train 3b Compression Turbine</t>
  </si>
  <si>
    <t>LNG Fuel</t>
  </si>
  <si>
    <t>Rated Duty (HHV)</t>
  </si>
  <si>
    <t>miles/gal</t>
  </si>
  <si>
    <t>Total Miles</t>
  </si>
  <si>
    <t>Total Gal Diesel/yr</t>
  </si>
  <si>
    <t>Fuel Consumption Assumption=</t>
  </si>
  <si>
    <t>Gross Diesel Heat of Combustion=</t>
  </si>
  <si>
    <t>Fuel Consumption based on 5 miles per gallon for all vehicles</t>
  </si>
  <si>
    <t>Based only on 1 year of normal operation, post-construction (year 2021)</t>
  </si>
  <si>
    <t>Daily Average Fuel Flow</t>
  </si>
  <si>
    <t>MMSCFD</t>
  </si>
  <si>
    <t>Total Fuel Gas Consumption</t>
  </si>
  <si>
    <t>Daily Average Diesel Flow</t>
  </si>
  <si>
    <t>gal/day</t>
  </si>
  <si>
    <t>Total Diesel Consumption</t>
  </si>
  <si>
    <t>Additional GHG Emission Sources not from Fuel Gas or Diesel Consumption</t>
  </si>
  <si>
    <t>Gas-Fired Equipment (Fuel Gas Users)</t>
  </si>
  <si>
    <t>Liquid-Driven Equipment (Diesel Users)</t>
  </si>
  <si>
    <t>LNG Diesel Fuel Specification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</si>
</sst>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8" formatCode="&quot;$&quot;#,##0.00_);[Red]\(&quot;$&quot;#,##0.00\)"/>
    <numFmt numFmtId="42" formatCode="_(&quot;$&quot;* #,##0_);_(&quot;$&quot;* \(#,##0\);_(&quot;$&quot;* &quot;-&quot;_);_(@_)"/>
    <numFmt numFmtId="43" formatCode="_(* #,##0.00_);_(* \(#,##0.00\);_(* &quot;-&quot;??_);_(@_)"/>
    <numFmt numFmtId="164" formatCode="0.000"/>
    <numFmt numFmtId="165" formatCode="0.0000"/>
    <numFmt numFmtId="166" formatCode="_(* #,##0_);_(* \(#,##0\);_(* &quot;-&quot;??_);_(@_)"/>
    <numFmt numFmtId="167" formatCode="&quot;$&quot;\ \ \ \ \ #,##0_);\(&quot;$&quot;\ \ \ \ #,##0\)"/>
    <numFmt numFmtId="168" formatCode="\ \ \ &quot;$&quot;\ \ \ \ \ \ \ #,##0_);\(&quot;$&quot;#,##0\)"/>
    <numFmt numFmtId="169" formatCode="#,##0.00_);\(#,##0.00\);&quot;- &quot;"/>
    <numFmt numFmtId="170" formatCode="_(&quot;$&quot;* #,##0.00_);_(&quot;$&quot;* \(#,##0.00\);_(&quot;$&quot;* &quot;-&quot;_);_(@_)"/>
    <numFmt numFmtId="171" formatCode="#,##0.000"/>
    <numFmt numFmtId="172" formatCode="0.00_)"/>
    <numFmt numFmtId="173" formatCode="#,###"/>
    <numFmt numFmtId="174" formatCode="#,###.00"/>
    <numFmt numFmtId="175" formatCode="#.0"/>
    <numFmt numFmtId="176" formatCode="0_)"/>
    <numFmt numFmtId="177" formatCode="#,##0.0000"/>
    <numFmt numFmtId="178" formatCode="&quot;$&quot;#,##0\ ;\(&quot;$&quot;#,##0\)"/>
    <numFmt numFmtId="179" formatCode="* \ General"/>
    <numFmt numFmtId="180" formatCode="* &quot;\&quot;&quot;\&quot;&quot;\&quot;&quot;\&quot;&quot;\&quot;&quot;\&quot;&quot;\&quot;&quot;\&quot;&quot;\&quot;&quot;\&quot;\ General"/>
    <numFmt numFmtId="181" formatCode="d&quot;日&quot;"/>
    <numFmt numFmtId="182" formatCode="#,##0\ &quot;DM&quot;;[Red]\-#,##0\ &quot;DM&quot;"/>
    <numFmt numFmtId="183" formatCode="#,##0.00\ &quot;DM&quot;;[Red]\-#,##0.00\ &quot;DM&quot;"/>
    <numFmt numFmtId="184" formatCode="0.0000%"/>
    <numFmt numFmtId="185" formatCode="#,##0.0"/>
    <numFmt numFmtId="186" formatCode="0.0%"/>
    <numFmt numFmtId="187" formatCode="0.000E+00"/>
    <numFmt numFmtId="188" formatCode="0.0_)"/>
    <numFmt numFmtId="189" formatCode="_-* #,##0\ _$_-;\-* #,##0\ _$_-;_-* &quot;-&quot;\ _$_-;_-@_-"/>
    <numFmt numFmtId="190" formatCode="_-* #,##0\ &quot;$&quot;_-;\-* #,##0\ &quot;$&quot;_-;_-* &quot;-&quot;\ &quot;$&quot;_-;_-@_-"/>
    <numFmt numFmtId="191" formatCode="_-* #,##0.00\ &quot;$&quot;_-;\-* #,##0.00\ &quot;$&quot;_-;_-* &quot;-&quot;??\ &quot;$&quot;_-;_-@_-"/>
    <numFmt numFmtId="192" formatCode="0.00000"/>
    <numFmt numFmtId="193" formatCode="0.000000"/>
    <numFmt numFmtId="194" formatCode="0.0&quot; ton/yr&quot;"/>
    <numFmt numFmtId="195" formatCode="0.00&quot; ton/yr&quot;"/>
    <numFmt numFmtId="196" formatCode="#,##0.00000_);\(#,##0.00000\)"/>
  </numFmts>
  <fonts count="1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Times New Roman"/>
      <family val="1"/>
    </font>
    <font>
      <sz val="9"/>
      <name val="Arial"/>
      <family val="2"/>
    </font>
    <font>
      <b/>
      <sz val="10"/>
      <name val="Times New Roman"/>
      <family val="1"/>
    </font>
    <font>
      <b/>
      <sz val="8"/>
      <name val="Arial"/>
      <family val="2"/>
    </font>
    <font>
      <i/>
      <sz val="8"/>
      <name val="Arial"/>
      <family val="2"/>
    </font>
    <font>
      <b/>
      <sz val="12"/>
      <name val="Arial"/>
      <family val="2"/>
    </font>
    <font>
      <b/>
      <i/>
      <sz val="10"/>
      <name val="Arial"/>
      <family val="2"/>
    </font>
    <font>
      <b/>
      <sz val="10"/>
      <color indexed="8"/>
      <name val="Arial"/>
      <family val="2"/>
    </font>
    <font>
      <sz val="9"/>
      <name val="Courier"/>
      <family val="3"/>
    </font>
    <font>
      <sz val="10"/>
      <color indexed="9"/>
      <name val="Arial"/>
      <family val="2"/>
    </font>
    <font>
      <b/>
      <i/>
      <sz val="16"/>
      <name val="Helv"/>
    </font>
    <font>
      <sz val="8"/>
      <color indexed="8"/>
      <name val="Arial"/>
      <family val="2"/>
    </font>
    <font>
      <sz val="10"/>
      <name val="Courier"/>
      <family val="3"/>
    </font>
    <font>
      <b/>
      <sz val="8"/>
      <color indexed="8"/>
      <name val="Arial"/>
      <family val="2"/>
    </font>
    <font>
      <b/>
      <sz val="12"/>
      <color indexed="8"/>
      <name val="Arial"/>
      <family val="2"/>
    </font>
    <font>
      <sz val="10"/>
      <name val="MS Sans Serif"/>
      <family val="2"/>
    </font>
    <font>
      <b/>
      <sz val="10"/>
      <name val="MS Sans Serif"/>
      <family val="2"/>
    </font>
    <font>
      <b/>
      <sz val="9"/>
      <name val="Arial"/>
      <family val="2"/>
    </font>
    <font>
      <b/>
      <vertAlign val="superscript"/>
      <sz val="14"/>
      <color indexed="8"/>
      <name val="Times New Roman"/>
      <family val="1"/>
    </font>
    <font>
      <sz val="10"/>
      <name val="Times New Roman"/>
      <family val="1"/>
    </font>
    <font>
      <i/>
      <sz val="12"/>
      <name val="Arial Black"/>
      <family val="2"/>
    </font>
    <font>
      <u/>
      <sz val="12"/>
      <name val="Arial Black"/>
      <family val="2"/>
    </font>
    <font>
      <b/>
      <sz val="16"/>
      <name val="Arial Black"/>
      <family val="2"/>
    </font>
    <font>
      <sz val="10"/>
      <color theme="1"/>
      <name val="Arial"/>
      <family val="2"/>
    </font>
    <font>
      <u/>
      <sz val="10"/>
      <color theme="10"/>
      <name val="Arial"/>
      <family val="2"/>
    </font>
    <font>
      <sz val="9"/>
      <color theme="1"/>
      <name val="Arial"/>
      <family val="2"/>
    </font>
    <font>
      <sz val="11"/>
      <name val="Arial"/>
      <family val="2"/>
    </font>
    <font>
      <sz val="7"/>
      <name val="Arial"/>
      <family val="2"/>
    </font>
    <font>
      <vertAlign val="subscript"/>
      <sz val="11"/>
      <color indexed="8"/>
      <name val="Calibri"/>
      <family val="2"/>
    </font>
    <font>
      <sz val="1"/>
      <color indexed="8"/>
      <name val="Courier"/>
      <family val="3"/>
    </font>
    <font>
      <i/>
      <sz val="1"/>
      <color indexed="8"/>
      <name val="Courier"/>
      <family val="3"/>
    </font>
    <font>
      <sz val="8"/>
      <name val="CG Times (WN)"/>
      <family val="1"/>
    </font>
    <font>
      <sz val="10"/>
      <name val="Helv"/>
    </font>
    <font>
      <sz val="14"/>
      <color indexed="27"/>
      <name val="Arial"/>
      <family val="2"/>
    </font>
    <font>
      <sz val="8"/>
      <color indexed="24"/>
      <name val="Arial"/>
      <family val="2"/>
    </font>
    <font>
      <b/>
      <sz val="8"/>
      <name val="Helv"/>
    </font>
    <font>
      <sz val="8"/>
      <name val="Helv"/>
    </font>
    <font>
      <b/>
      <sz val="10"/>
      <name val="Helv"/>
    </font>
    <font>
      <sz val="8"/>
      <name val="BERNHARD"/>
    </font>
    <font>
      <b/>
      <sz val="8"/>
      <color indexed="12"/>
      <name val="Arial"/>
      <family val="2"/>
    </font>
    <font>
      <sz val="10"/>
      <name val="Helvetica"/>
      <family val="2"/>
    </font>
    <font>
      <sz val="10"/>
      <name val="ＭＳ Ｐゴシック"/>
      <family val="3"/>
      <charset val="128"/>
    </font>
    <font>
      <sz val="11"/>
      <name val="Univers"/>
      <family val="2"/>
    </font>
    <font>
      <vertAlign val="subscript"/>
      <sz val="11"/>
      <color indexed="8"/>
      <name val="Arial"/>
      <family val="2"/>
    </font>
    <font>
      <vertAlign val="subscript"/>
      <sz val="8"/>
      <color indexed="8"/>
      <name val="Arial"/>
      <family val="2"/>
    </font>
    <font>
      <vertAlign val="subscript"/>
      <sz val="8"/>
      <name val="Arial"/>
      <family val="2"/>
    </font>
    <font>
      <b/>
      <sz val="11"/>
      <name val="Calibri"/>
      <family val="2"/>
      <scheme val="minor"/>
    </font>
    <font>
      <sz val="11"/>
      <color theme="1"/>
      <name val="Calibri"/>
      <family val="2"/>
    </font>
    <font>
      <b/>
      <vertAlign val="subscript"/>
      <sz val="11"/>
      <color indexed="8"/>
      <name val="Calibri"/>
      <family val="2"/>
    </font>
    <font>
      <b/>
      <sz val="10"/>
      <name val="Calibri"/>
      <family val="2"/>
    </font>
    <font>
      <b/>
      <vertAlign val="superscript"/>
      <sz val="10"/>
      <name val="Arial"/>
      <family val="2"/>
    </font>
    <font>
      <sz val="10"/>
      <name val="Calibri"/>
      <family val="2"/>
      <scheme val="minor"/>
    </font>
    <font>
      <b/>
      <vertAlign val="subscript"/>
      <sz val="10"/>
      <name val="Arial"/>
      <family val="2"/>
    </font>
    <font>
      <sz val="6"/>
      <name val="Arial Narrow"/>
      <family val="2"/>
    </font>
    <font>
      <b/>
      <sz val="6"/>
      <name val="Arial Narrow"/>
      <family val="2"/>
    </font>
    <font>
      <sz val="6"/>
      <name val="Arial"/>
      <family val="2"/>
    </font>
    <font>
      <b/>
      <sz val="6"/>
      <name val="Arial"/>
      <family val="2"/>
    </font>
    <font>
      <sz val="5"/>
      <name val="Arial Narrow"/>
      <family val="2"/>
    </font>
    <font>
      <sz val="5"/>
      <name val="Arial"/>
      <family val="2"/>
    </font>
    <font>
      <b/>
      <i/>
      <u/>
      <sz val="14"/>
      <name val="Arial"/>
      <family val="2"/>
    </font>
    <font>
      <b/>
      <vertAlign val="superscript"/>
      <sz val="9"/>
      <name val="Arial"/>
      <family val="2"/>
    </font>
    <font>
      <sz val="10"/>
      <color indexed="10"/>
      <name val="Arial"/>
      <family val="2"/>
    </font>
    <font>
      <b/>
      <sz val="8"/>
      <color indexed="81"/>
      <name val="Tahoma"/>
      <family val="2"/>
    </font>
    <font>
      <sz val="8"/>
      <color indexed="81"/>
      <name val="Tahoma"/>
      <family val="2"/>
    </font>
    <font>
      <sz val="10"/>
      <color indexed="8"/>
      <name val="Arial"/>
      <family val="2"/>
    </font>
    <font>
      <b/>
      <sz val="10"/>
      <color indexed="12"/>
      <name val="Arial"/>
      <family val="2"/>
    </font>
    <font>
      <sz val="10"/>
      <color indexed="12"/>
      <name val="Arial"/>
      <family val="2"/>
    </font>
    <font>
      <sz val="10"/>
      <color indexed="53"/>
      <name val="Arial"/>
      <family val="2"/>
    </font>
    <font>
      <sz val="8"/>
      <color indexed="12"/>
      <name val="Arial"/>
      <family val="2"/>
    </font>
    <font>
      <sz val="9"/>
      <color indexed="12"/>
      <name val="Arial"/>
      <family val="2"/>
    </font>
    <font>
      <b/>
      <i/>
      <sz val="10"/>
      <color indexed="8"/>
      <name val="Arial"/>
      <family val="2"/>
    </font>
    <font>
      <b/>
      <sz val="10"/>
      <color indexed="10"/>
      <name val="Arial"/>
      <family val="2"/>
    </font>
    <font>
      <sz val="9"/>
      <color indexed="10"/>
      <name val="Arial"/>
      <family val="2"/>
    </font>
    <font>
      <b/>
      <sz val="9"/>
      <color indexed="81"/>
      <name val="Tahoma"/>
      <family val="2"/>
    </font>
    <font>
      <sz val="9"/>
      <color indexed="81"/>
      <name val="Tahoma"/>
      <family val="2"/>
    </font>
    <font>
      <u/>
      <sz val="10"/>
      <color indexed="12"/>
      <name val="Arial"/>
      <family val="2"/>
    </font>
    <font>
      <sz val="11"/>
      <name val="Calibri"/>
      <family val="2"/>
      <scheme val="minor"/>
    </font>
    <font>
      <sz val="10"/>
      <name val="Arial"/>
      <family val="2"/>
    </font>
    <font>
      <sz val="9"/>
      <color indexed="8"/>
      <name val="Arial"/>
      <family val="2"/>
    </font>
    <font>
      <sz val="10"/>
      <color rgb="FF000000"/>
      <name val="Times New Roman"/>
      <family val="1"/>
    </font>
    <font>
      <sz val="10"/>
      <name val="Arial"/>
      <family val="2"/>
    </font>
    <font>
      <b/>
      <sz val="11"/>
      <color indexed="12"/>
      <name val="Calibri"/>
      <family val="2"/>
      <scheme val="minor"/>
    </font>
    <font>
      <sz val="11"/>
      <color indexed="10"/>
      <name val="Calibri"/>
      <family val="2"/>
      <scheme val="minor"/>
    </font>
    <font>
      <sz val="11"/>
      <color indexed="8"/>
      <name val="Calibri"/>
      <family val="2"/>
      <scheme val="minor"/>
    </font>
    <font>
      <sz val="11"/>
      <color indexed="53"/>
      <name val="Calibri"/>
      <family val="2"/>
      <scheme val="minor"/>
    </font>
    <font>
      <b/>
      <sz val="11"/>
      <color indexed="8"/>
      <name val="Calibri"/>
      <family val="2"/>
      <scheme val="minor"/>
    </font>
  </fonts>
  <fills count="8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57"/>
        <bgColor indexed="64"/>
      </patternFill>
    </fill>
    <fill>
      <patternFill patternType="solid">
        <fgColor indexed="59"/>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mediumGray">
        <fgColor indexed="22"/>
      </patternFill>
    </fill>
    <fill>
      <patternFill patternType="solid">
        <fgColor indexed="21"/>
        <bgColor indexed="21"/>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bgColor indexed="64"/>
      </patternFill>
    </fill>
    <fill>
      <patternFill patternType="mediumGray">
        <fgColor indexed="8"/>
        <bgColor indexed="37"/>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F0000"/>
        <bgColor indexed="64"/>
      </patternFill>
    </fill>
    <fill>
      <patternFill patternType="solid">
        <fgColor indexed="15"/>
        <bgColor indexed="64"/>
      </patternFill>
    </fill>
    <fill>
      <patternFill patternType="solid">
        <fgColor indexed="41"/>
        <bgColor indexed="64"/>
      </patternFill>
    </fill>
    <fill>
      <patternFill patternType="solid">
        <fgColor indexed="11"/>
        <bgColor indexed="64"/>
      </patternFill>
    </fill>
    <fill>
      <patternFill patternType="solid">
        <fgColor indexed="40"/>
        <bgColor indexed="64"/>
      </patternFill>
    </fill>
    <fill>
      <patternFill patternType="solid">
        <fgColor theme="9"/>
        <bgColor indexed="64"/>
      </patternFill>
    </fill>
  </fills>
  <borders count="10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8"/>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double">
        <color indexed="8"/>
      </left>
      <right/>
      <top style="thin">
        <color indexed="8"/>
      </top>
      <bottom style="thin">
        <color indexed="8"/>
      </bottom>
      <diagonal/>
    </border>
    <border>
      <left/>
      <right/>
      <top style="hair">
        <color indexed="64"/>
      </top>
      <bottom style="hair">
        <color indexed="64"/>
      </bottom>
      <diagonal/>
    </border>
    <border>
      <left style="thin">
        <color indexed="64"/>
      </left>
      <right/>
      <top/>
      <bottom style="hair">
        <color indexed="64"/>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diagonal/>
    </border>
    <border>
      <left/>
      <right style="thin">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s>
  <cellStyleXfs count="10471">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0" fontId="21" fillId="0" borderId="0"/>
    <xf numFmtId="173" fontId="1" fillId="0" borderId="0"/>
    <xf numFmtId="173" fontId="1" fillId="0" borderId="0"/>
    <xf numFmtId="174" fontId="1" fillId="0" borderId="0"/>
    <xf numFmtId="174" fontId="1" fillId="0" borderId="0"/>
    <xf numFmtId="175" fontId="21" fillId="0" borderId="0"/>
    <xf numFmtId="175" fontId="1" fillId="0" borderId="0"/>
    <xf numFmtId="175" fontId="1" fillId="0" borderId="0"/>
    <xf numFmtId="0" fontId="21" fillId="0" borderId="0"/>
    <xf numFmtId="0" fontId="21" fillId="0" borderId="0"/>
    <xf numFmtId="0" fontId="21" fillId="0" borderId="0"/>
    <xf numFmtId="0" fontId="21" fillId="0" borderId="0"/>
    <xf numFmtId="0" fontId="22" fillId="33" borderId="0" applyNumberFormat="0" applyBorder="0" applyAlignment="0" applyProtection="0"/>
    <xf numFmtId="0" fontId="1" fillId="10"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169" fontId="39" fillId="0" borderId="0" applyProtection="0">
      <protection locked="0"/>
    </xf>
    <xf numFmtId="0" fontId="22" fillId="39" borderId="0" applyNumberFormat="0" applyBorder="0" applyAlignment="0" applyProtection="0"/>
    <xf numFmtId="0" fontId="1" fillId="11"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3" fillId="43" borderId="0" applyNumberFormat="0" applyBorder="0" applyAlignment="0" applyProtection="0"/>
    <xf numFmtId="0" fontId="17" fillId="12" borderId="0" applyNumberFormat="0" applyBorder="0" applyAlignment="0" applyProtection="0"/>
    <xf numFmtId="0" fontId="23" fillId="40" borderId="0" applyNumberFormat="0" applyBorder="0" applyAlignment="0" applyProtection="0"/>
    <xf numFmtId="0" fontId="17" fillId="16" borderId="0" applyNumberFormat="0" applyBorder="0" applyAlignment="0" applyProtection="0"/>
    <xf numFmtId="0" fontId="23" fillId="41" borderId="0" applyNumberFormat="0" applyBorder="0" applyAlignment="0" applyProtection="0"/>
    <xf numFmtId="0" fontId="17" fillId="20" borderId="0" applyNumberFormat="0" applyBorder="0" applyAlignment="0" applyProtection="0"/>
    <xf numFmtId="0" fontId="23" fillId="44" borderId="0" applyNumberFormat="0" applyBorder="0" applyAlignment="0" applyProtection="0"/>
    <xf numFmtId="0" fontId="17" fillId="24" borderId="0" applyNumberFormat="0" applyBorder="0" applyAlignment="0" applyProtection="0"/>
    <xf numFmtId="0" fontId="23" fillId="45" borderId="0" applyNumberFormat="0" applyBorder="0" applyAlignment="0" applyProtection="0"/>
    <xf numFmtId="0" fontId="17" fillId="28" borderId="0" applyNumberFormat="0" applyBorder="0" applyAlignment="0" applyProtection="0"/>
    <xf numFmtId="0" fontId="23" fillId="46" borderId="0" applyNumberFormat="0" applyBorder="0" applyAlignment="0" applyProtection="0"/>
    <xf numFmtId="0" fontId="17" fillId="32" borderId="0" applyNumberFormat="0" applyBorder="0" applyAlignment="0" applyProtection="0"/>
    <xf numFmtId="0" fontId="23" fillId="47" borderId="0" applyNumberFormat="0" applyBorder="0" applyAlignment="0" applyProtection="0"/>
    <xf numFmtId="0" fontId="17" fillId="9" borderId="0" applyNumberFormat="0" applyBorder="0" applyAlignment="0" applyProtection="0"/>
    <xf numFmtId="0" fontId="23" fillId="48" borderId="0" applyNumberFormat="0" applyBorder="0" applyAlignment="0" applyProtection="0"/>
    <xf numFmtId="0" fontId="17" fillId="13" borderId="0" applyNumberFormat="0" applyBorder="0" applyAlignment="0" applyProtection="0"/>
    <xf numFmtId="0" fontId="23" fillId="49" borderId="0" applyNumberFormat="0" applyBorder="0" applyAlignment="0" applyProtection="0"/>
    <xf numFmtId="0" fontId="17" fillId="17" borderId="0" applyNumberFormat="0" applyBorder="0" applyAlignment="0" applyProtection="0"/>
    <xf numFmtId="0" fontId="23" fillId="44" borderId="0" applyNumberFormat="0" applyBorder="0" applyAlignment="0" applyProtection="0"/>
    <xf numFmtId="0" fontId="17" fillId="21" borderId="0" applyNumberFormat="0" applyBorder="0" applyAlignment="0" applyProtection="0"/>
    <xf numFmtId="0" fontId="23" fillId="45" borderId="0" applyNumberFormat="0" applyBorder="0" applyAlignment="0" applyProtection="0"/>
    <xf numFmtId="0" fontId="17" fillId="25" borderId="0" applyNumberFormat="0" applyBorder="0" applyAlignment="0" applyProtection="0"/>
    <xf numFmtId="0" fontId="23" fillId="50" borderId="0" applyNumberFormat="0" applyBorder="0" applyAlignment="0" applyProtection="0"/>
    <xf numFmtId="0" fontId="17" fillId="29" borderId="0" applyNumberFormat="0" applyBorder="0" applyAlignment="0" applyProtection="0"/>
    <xf numFmtId="4" fontId="56" fillId="0" borderId="10">
      <alignment horizontal="left" vertical="center" wrapText="1"/>
    </xf>
    <xf numFmtId="4" fontId="56" fillId="0" borderId="11">
      <alignment horizontal="center" vertical="center" wrapText="1"/>
    </xf>
    <xf numFmtId="4" fontId="56" fillId="0" borderId="10">
      <alignment horizontal="left" vertical="center" wrapText="1"/>
    </xf>
    <xf numFmtId="0" fontId="24" fillId="34" borderId="0" applyNumberFormat="0" applyBorder="0" applyAlignment="0" applyProtection="0"/>
    <xf numFmtId="0" fontId="7" fillId="3" borderId="0" applyNumberFormat="0" applyBorder="0" applyAlignment="0" applyProtection="0"/>
    <xf numFmtId="0" fontId="25" fillId="51" borderId="12" applyNumberFormat="0" applyAlignment="0" applyProtection="0"/>
    <xf numFmtId="0" fontId="11" fillId="6" borderId="4" applyNumberFormat="0" applyAlignment="0" applyProtection="0"/>
    <xf numFmtId="0" fontId="26" fillId="52" borderId="13" applyNumberFormat="0" applyAlignment="0" applyProtection="0"/>
    <xf numFmtId="0" fontId="13" fillId="7" borderId="7" applyNumberFormat="0" applyAlignment="0" applyProtection="0"/>
    <xf numFmtId="43" fontId="18" fillId="0" borderId="0" applyFont="0" applyFill="0" applyBorder="0" applyAlignment="0" applyProtection="0"/>
    <xf numFmtId="167" fontId="40" fillId="0" borderId="0"/>
    <xf numFmtId="167" fontId="40" fillId="0" borderId="0"/>
    <xf numFmtId="167" fontId="40" fillId="0" borderId="0"/>
    <xf numFmtId="167" fontId="40" fillId="0" borderId="0"/>
    <xf numFmtId="167" fontId="40" fillId="0" borderId="0"/>
    <xf numFmtId="167" fontId="40" fillId="0" borderId="0"/>
    <xf numFmtId="167" fontId="40" fillId="0" borderId="0"/>
    <xf numFmtId="167" fontId="40" fillId="0" borderId="0"/>
    <xf numFmtId="43" fontId="21" fillId="0" borderId="0" applyFont="0" applyFill="0" applyBorder="0" applyAlignment="0" applyProtection="0"/>
    <xf numFmtId="43" fontId="48"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7" fillId="53" borderId="0" applyNumberFormat="0" applyFont="0" applyBorder="0" applyAlignment="0" applyProtection="0"/>
    <xf numFmtId="42" fontId="41" fillId="0" borderId="14" applyBorder="0"/>
    <xf numFmtId="170" fontId="39" fillId="0" borderId="0">
      <protection locked="0"/>
    </xf>
    <xf numFmtId="0" fontId="27" fillId="0" borderId="0" applyNumberFormat="0" applyFill="0" applyBorder="0" applyAlignment="0" applyProtection="0"/>
    <xf numFmtId="0" fontId="15" fillId="0" borderId="0" applyNumberFormat="0" applyFill="0" applyBorder="0" applyAlignment="0" applyProtection="0"/>
    <xf numFmtId="0" fontId="28" fillId="35" borderId="0" applyNumberFormat="0" applyBorder="0" applyAlignment="0" applyProtection="0"/>
    <xf numFmtId="0" fontId="6" fillId="2" borderId="0" applyNumberFormat="0" applyBorder="0" applyAlignment="0" applyProtection="0"/>
    <xf numFmtId="38" fontId="20" fillId="54" borderId="0" applyNumberFormat="0" applyBorder="0" applyAlignment="0" applyProtection="0"/>
    <xf numFmtId="0" fontId="44" fillId="0" borderId="15" applyNumberFormat="0" applyAlignment="0" applyProtection="0">
      <alignment horizontal="left" vertical="center"/>
    </xf>
    <xf numFmtId="0" fontId="44" fillId="0" borderId="16">
      <alignment horizontal="left" vertical="center"/>
    </xf>
    <xf numFmtId="0" fontId="29" fillId="0" borderId="17" applyNumberFormat="0" applyFill="0" applyAlignment="0" applyProtection="0"/>
    <xf numFmtId="0" fontId="3" fillId="0" borderId="1" applyNumberFormat="0" applyFill="0" applyAlignment="0" applyProtection="0"/>
    <xf numFmtId="0" fontId="30" fillId="0" borderId="18" applyNumberFormat="0" applyFill="0" applyAlignment="0" applyProtection="0"/>
    <xf numFmtId="0" fontId="4" fillId="0" borderId="2" applyNumberFormat="0" applyFill="0" applyAlignment="0" applyProtection="0"/>
    <xf numFmtId="0" fontId="31" fillId="0" borderId="19" applyNumberFormat="0" applyFill="0" applyAlignment="0" applyProtection="0"/>
    <xf numFmtId="0" fontId="5" fillId="0" borderId="3" applyNumberFormat="0" applyFill="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alignment vertical="top"/>
      <protection locked="0"/>
    </xf>
    <xf numFmtId="0" fontId="32" fillId="38" borderId="12" applyNumberFormat="0" applyAlignment="0" applyProtection="0"/>
    <xf numFmtId="0" fontId="40" fillId="55" borderId="10">
      <alignment horizontal="center" vertical="center" wrapText="1"/>
      <protection locked="0"/>
    </xf>
    <xf numFmtId="3" fontId="56" fillId="55" borderId="20">
      <alignment horizontal="center" vertical="center" wrapText="1"/>
      <protection locked="0"/>
    </xf>
    <xf numFmtId="10" fontId="20" fillId="56" borderId="10" applyNumberFormat="0" applyBorder="0" applyAlignment="0" applyProtection="0"/>
    <xf numFmtId="0" fontId="9" fillId="5" borderId="4" applyNumberFormat="0" applyAlignment="0" applyProtection="0"/>
    <xf numFmtId="3" fontId="40" fillId="55" borderId="10">
      <alignment horizontal="center" vertical="center" wrapText="1"/>
      <protection locked="0"/>
    </xf>
    <xf numFmtId="0" fontId="33" fillId="0" borderId="21" applyNumberFormat="0" applyFill="0" applyAlignment="0" applyProtection="0"/>
    <xf numFmtId="0" fontId="12" fillId="0" borderId="6" applyNumberFormat="0" applyFill="0" applyAlignment="0" applyProtection="0"/>
    <xf numFmtId="0" fontId="34" fillId="57" borderId="0" applyNumberFormat="0" applyBorder="0" applyAlignment="0" applyProtection="0"/>
    <xf numFmtId="0" fontId="8" fillId="4" borderId="0" applyNumberFormat="0" applyBorder="0" applyAlignment="0" applyProtection="0"/>
    <xf numFmtId="168" fontId="40" fillId="0" borderId="0"/>
    <xf numFmtId="172" fontId="49" fillId="0" borderId="0"/>
    <xf numFmtId="0" fontId="50" fillId="0" borderId="0">
      <alignment horizont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1" fillId="0" borderId="0"/>
    <xf numFmtId="0" fontId="21" fillId="0" borderId="0"/>
    <xf numFmtId="0" fontId="62" fillId="0" borderId="0"/>
    <xf numFmtId="0" fontId="62" fillId="0" borderId="0"/>
    <xf numFmtId="0" fontId="62" fillId="0" borderId="0"/>
    <xf numFmtId="0" fontId="1" fillId="0" borderId="0"/>
    <xf numFmtId="0" fontId="58" fillId="0" borderId="0"/>
    <xf numFmtId="0" fontId="1" fillId="0" borderId="0"/>
    <xf numFmtId="0" fontId="1" fillId="0" borderId="0"/>
    <xf numFmtId="0" fontId="47" fillId="0" borderId="0"/>
    <xf numFmtId="0" fontId="50" fillId="0" borderId="0">
      <alignment horizontal="center"/>
    </xf>
    <xf numFmtId="0" fontId="21" fillId="0" borderId="0"/>
    <xf numFmtId="0" fontId="48" fillId="0" borderId="0"/>
    <xf numFmtId="0" fontId="1" fillId="0" borderId="0"/>
    <xf numFmtId="0" fontId="1" fillId="0" borderId="0"/>
    <xf numFmtId="176" fontId="51" fillId="0" borderId="0"/>
    <xf numFmtId="0" fontId="62" fillId="0" borderId="0"/>
    <xf numFmtId="0" fontId="50" fillId="0" borderId="0">
      <alignment horizontal="center"/>
    </xf>
    <xf numFmtId="0" fontId="50" fillId="0" borderId="0">
      <alignment horizont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50" fillId="0" borderId="0">
      <alignment horizontal="center"/>
    </xf>
    <xf numFmtId="0" fontId="22" fillId="58" borderId="22" applyNumberFormat="0" applyFont="0" applyAlignment="0" applyProtection="0"/>
    <xf numFmtId="0" fontId="1" fillId="8" borderId="8" applyNumberFormat="0" applyFont="0" applyAlignment="0" applyProtection="0"/>
    <xf numFmtId="0" fontId="35" fillId="51" borderId="23" applyNumberFormat="0" applyAlignment="0" applyProtection="0"/>
    <xf numFmtId="0" fontId="10" fillId="6" borderId="5" applyNumberFormat="0" applyAlignment="0" applyProtection="0"/>
    <xf numFmtId="9" fontId="18" fillId="0" borderId="0" applyFont="0" applyFill="0" applyBorder="0" applyAlignment="0" applyProtection="0"/>
    <xf numFmtId="10" fontId="21" fillId="0" borderId="0" applyFont="0" applyFill="0" applyBorder="0" applyAlignment="0" applyProtection="0"/>
    <xf numFmtId="10"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21" fillId="0" borderId="0" applyFont="0" applyFill="0" applyBorder="0" applyAlignment="0" applyProtection="0"/>
    <xf numFmtId="9" fontId="58" fillId="0" borderId="0" applyFont="0" applyFill="0" applyBorder="0" applyAlignment="0" applyProtection="0"/>
    <xf numFmtId="9" fontId="21" fillId="0" borderId="0" applyFont="0" applyFill="0" applyBorder="0" applyAlignment="0" applyProtection="0"/>
    <xf numFmtId="49" fontId="50" fillId="59" borderId="0">
      <alignment horizontal="center"/>
    </xf>
    <xf numFmtId="49" fontId="52" fillId="60" borderId="0">
      <alignment horizontal="center"/>
    </xf>
    <xf numFmtId="49" fontId="46" fillId="60" borderId="0">
      <alignment horizontal="center"/>
    </xf>
    <xf numFmtId="0" fontId="52" fillId="61" borderId="0">
      <alignment horizontal="center"/>
    </xf>
    <xf numFmtId="49" fontId="53" fillId="61" borderId="0">
      <alignment horizontal="center"/>
    </xf>
    <xf numFmtId="49" fontId="46" fillId="61" borderId="0">
      <alignment horizontal="center"/>
    </xf>
    <xf numFmtId="0" fontId="50" fillId="61" borderId="0">
      <alignment horizontal="center"/>
    </xf>
    <xf numFmtId="0" fontId="52" fillId="0" borderId="0">
      <alignment horizontal="center"/>
    </xf>
    <xf numFmtId="0" fontId="50" fillId="0" borderId="0">
      <alignment horizontal="center"/>
    </xf>
    <xf numFmtId="49" fontId="52" fillId="62" borderId="0">
      <alignment horizontal="center"/>
    </xf>
    <xf numFmtId="49" fontId="46" fillId="62" borderId="0">
      <alignment horizontal="center"/>
    </xf>
    <xf numFmtId="49" fontId="52" fillId="63" borderId="0">
      <alignment horizontal="center"/>
    </xf>
    <xf numFmtId="49" fontId="46" fillId="63" borderId="0">
      <alignment horizontal="center"/>
    </xf>
    <xf numFmtId="49" fontId="50" fillId="63" borderId="0">
      <alignment horizontal="center"/>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55" fillId="0" borderId="24">
      <alignment horizontal="center"/>
    </xf>
    <xf numFmtId="3" fontId="54" fillId="0" borderId="0" applyFont="0" applyFill="0" applyBorder="0" applyAlignment="0" applyProtection="0"/>
    <xf numFmtId="0" fontId="54" fillId="64" borderId="0" applyNumberFormat="0" applyFont="0" applyBorder="0" applyAlignment="0" applyProtection="0"/>
    <xf numFmtId="4" fontId="21" fillId="0" borderId="10" applyBorder="0">
      <alignment horizontal="left" wrapText="1"/>
    </xf>
    <xf numFmtId="0" fontId="45" fillId="0" borderId="10">
      <alignment horizontal="center" vertical="center"/>
    </xf>
    <xf numFmtId="0" fontId="19" fillId="65" borderId="10" applyNumberFormat="0" applyProtection="0">
      <alignment horizontal="center" vertical="center"/>
    </xf>
    <xf numFmtId="0" fontId="19" fillId="65" borderId="10" applyNumberFormat="0" applyProtection="0">
      <alignment horizontal="center" vertical="center"/>
    </xf>
    <xf numFmtId="0" fontId="59" fillId="0" borderId="0"/>
    <xf numFmtId="0" fontId="60" fillId="0" borderId="0"/>
    <xf numFmtId="0" fontId="61" fillId="0" borderId="0"/>
    <xf numFmtId="0" fontId="21" fillId="0" borderId="0"/>
    <xf numFmtId="0" fontId="59" fillId="0" borderId="0"/>
    <xf numFmtId="0" fontId="44" fillId="0" borderId="0"/>
    <xf numFmtId="0" fontId="36" fillId="0" borderId="0" applyNumberFormat="0" applyFill="0" applyBorder="0" applyAlignment="0" applyProtection="0"/>
    <xf numFmtId="0" fontId="2" fillId="0" borderId="0" applyNumberFormat="0" applyFill="0" applyBorder="0" applyAlignment="0" applyProtection="0"/>
    <xf numFmtId="0" fontId="37" fillId="0" borderId="25" applyNumberFormat="0" applyFill="0" applyAlignment="0" applyProtection="0"/>
    <xf numFmtId="0" fontId="16" fillId="0" borderId="9" applyNumberFormat="0" applyFill="0" applyAlignment="0" applyProtection="0"/>
    <xf numFmtId="0" fontId="40" fillId="0" borderId="26"/>
    <xf numFmtId="0" fontId="38" fillId="0" borderId="0" applyNumberFormat="0" applyFill="0" applyBorder="0" applyAlignment="0" applyProtection="0"/>
    <xf numFmtId="0" fontId="14" fillId="0" borderId="0" applyNumberFormat="0" applyFill="0" applyBorder="0" applyAlignment="0" applyProtection="0"/>
    <xf numFmtId="0" fontId="21" fillId="0" borderId="0"/>
    <xf numFmtId="0" fontId="18" fillId="0" borderId="0"/>
    <xf numFmtId="0" fontId="32" fillId="38" borderId="12"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2" applyNumberFormat="0" applyAlignment="0" applyProtection="0"/>
    <xf numFmtId="43" fontId="18" fillId="0" borderId="0" applyFont="0" applyFill="0" applyBorder="0" applyAlignment="0" applyProtection="0"/>
    <xf numFmtId="0" fontId="32" fillId="38" borderId="12" applyNumberFormat="0" applyAlignment="0" applyProtection="0"/>
    <xf numFmtId="43" fontId="21" fillId="0" borderId="0" applyFont="0" applyFill="0" applyBorder="0" applyAlignment="0" applyProtection="0"/>
    <xf numFmtId="0" fontId="32" fillId="38" borderId="12" applyNumberFormat="0" applyAlignment="0" applyProtection="0"/>
    <xf numFmtId="0" fontId="21" fillId="0" borderId="0"/>
    <xf numFmtId="9" fontId="21" fillId="0" borderId="0" applyFont="0" applyFill="0" applyBorder="0" applyAlignment="0" applyProtection="0"/>
    <xf numFmtId="0" fontId="21" fillId="0" borderId="0"/>
    <xf numFmtId="9" fontId="18" fillId="0" borderId="0" applyFont="0" applyFill="0" applyBorder="0" applyAlignment="0" applyProtection="0"/>
    <xf numFmtId="9" fontId="21" fillId="0" borderId="0" applyFont="0" applyFill="0" applyBorder="0" applyAlignment="0" applyProtection="0"/>
    <xf numFmtId="0" fontId="21" fillId="0" borderId="0"/>
    <xf numFmtId="9" fontId="2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58" fillId="0" borderId="0"/>
    <xf numFmtId="0" fontId="1" fillId="0" borderId="0"/>
    <xf numFmtId="0" fontId="1" fillId="0" borderId="0"/>
    <xf numFmtId="0" fontId="58" fillId="0" borderId="0"/>
    <xf numFmtId="0" fontId="21" fillId="0" borderId="0"/>
    <xf numFmtId="9" fontId="1" fillId="0" borderId="0" applyFont="0" applyFill="0" applyBorder="0" applyAlignment="0" applyProtection="0"/>
    <xf numFmtId="0" fontId="62" fillId="0" borderId="0"/>
    <xf numFmtId="0" fontId="21" fillId="0" borderId="0"/>
    <xf numFmtId="0" fontId="62" fillId="0" borderId="0"/>
    <xf numFmtId="0" fontId="62" fillId="0" borderId="0"/>
    <xf numFmtId="43" fontId="21" fillId="0" borderId="0" applyFont="0" applyFill="0" applyBorder="0" applyAlignment="0" applyProtection="0"/>
    <xf numFmtId="0" fontId="68" fillId="0" borderId="0">
      <protection locked="0"/>
    </xf>
    <xf numFmtId="0" fontId="68" fillId="0" borderId="0">
      <protection locked="0"/>
    </xf>
    <xf numFmtId="0" fontId="69" fillId="0" borderId="0">
      <protection locked="0"/>
    </xf>
    <xf numFmtId="0" fontId="68" fillId="0" borderId="0">
      <protection locked="0"/>
    </xf>
    <xf numFmtId="0" fontId="68" fillId="0" borderId="0">
      <protection locked="0"/>
    </xf>
    <xf numFmtId="0" fontId="68" fillId="0" borderId="0">
      <protection locked="0"/>
    </xf>
    <xf numFmtId="0" fontId="69" fillId="0" borderId="0">
      <protection locked="0"/>
    </xf>
    <xf numFmtId="0" fontId="70" fillId="0" borderId="42">
      <protection locked="0"/>
    </xf>
    <xf numFmtId="0" fontId="21" fillId="0" borderId="0"/>
    <xf numFmtId="0" fontId="21" fillId="0" borderId="0"/>
    <xf numFmtId="2" fontId="71" fillId="0" borderId="0"/>
    <xf numFmtId="164" fontId="71" fillId="0" borderId="0"/>
    <xf numFmtId="3" fontId="71" fillId="0" borderId="0"/>
    <xf numFmtId="4" fontId="71" fillId="0" borderId="0"/>
    <xf numFmtId="1" fontId="71" fillId="0" borderId="0"/>
    <xf numFmtId="43" fontId="62" fillId="0" borderId="0" applyFont="0" applyFill="0" applyBorder="0" applyAlignment="0" applyProtection="0"/>
    <xf numFmtId="0" fontId="72" fillId="69" borderId="0" applyNumberFormat="0" applyFont="0" applyBorder="0" applyAlignment="0" applyProtection="0">
      <alignment horizontal="left"/>
    </xf>
    <xf numFmtId="49" fontId="65" fillId="0" borderId="0" applyFill="0" applyBorder="0">
      <alignment vertical="center"/>
    </xf>
    <xf numFmtId="3" fontId="73" fillId="0" borderId="0" applyFont="0" applyFill="0" applyBorder="0" applyAlignment="0" applyProtection="0"/>
    <xf numFmtId="8" fontId="54" fillId="0" borderId="0" applyFont="0" applyFill="0" applyBorder="0" applyAlignment="0" applyProtection="0"/>
    <xf numFmtId="178" fontId="73" fillId="0" borderId="0" applyFont="0" applyFill="0" applyBorder="0" applyAlignment="0" applyProtection="0"/>
    <xf numFmtId="0" fontId="73" fillId="0" borderId="0" applyFont="0" applyFill="0" applyBorder="0" applyAlignment="0" applyProtection="0"/>
    <xf numFmtId="38" fontId="54" fillId="0" borderId="0" applyFont="0" applyFill="0" applyBorder="0" applyAlignment="0" applyProtection="0"/>
    <xf numFmtId="40" fontId="54" fillId="0" borderId="0" applyFont="0" applyFill="0" applyBorder="0" applyAlignment="0" applyProtection="0"/>
    <xf numFmtId="0" fontId="74" fillId="0" borderId="0"/>
    <xf numFmtId="0" fontId="20" fillId="0" borderId="0" applyNumberFormat="0" applyFont="0" applyFill="0" applyBorder="0" applyAlignment="0" applyProtection="0"/>
    <xf numFmtId="0" fontId="75" fillId="0" borderId="0"/>
    <xf numFmtId="0" fontId="20" fillId="0" borderId="0" applyNumberFormat="0" applyFont="0" applyFill="0" applyBorder="0" applyAlignment="0" applyProtection="0"/>
    <xf numFmtId="0" fontId="71" fillId="0" borderId="0"/>
    <xf numFmtId="0" fontId="20" fillId="0" borderId="0" applyNumberFormat="0" applyFont="0" applyFill="0" applyBorder="0" applyAlignment="0" applyProtection="0"/>
    <xf numFmtId="0" fontId="76" fillId="0" borderId="0"/>
    <xf numFmtId="0" fontId="20" fillId="0" borderId="0" applyNumberFormat="0" applyFont="0" applyFill="0" applyBorder="0" applyAlignment="0" applyProtection="0"/>
    <xf numFmtId="0" fontId="77" fillId="0" borderId="0"/>
    <xf numFmtId="0" fontId="20" fillId="0" borderId="0" applyNumberFormat="0" applyFont="0" applyFill="0" applyBorder="0" applyAlignment="0" applyProtection="0"/>
    <xf numFmtId="0" fontId="75" fillId="0" borderId="44"/>
    <xf numFmtId="2" fontId="73" fillId="0" borderId="0" applyFont="0" applyFill="0" applyBorder="0" applyAlignment="0" applyProtection="0"/>
    <xf numFmtId="172" fontId="78" fillId="54" borderId="0">
      <alignment vertical="center"/>
      <protection locked="0"/>
    </xf>
    <xf numFmtId="4" fontId="68" fillId="0" borderId="0" applyFont="0" applyFill="0" applyBorder="0" applyAlignment="0" applyProtection="0">
      <protection locked="0"/>
    </xf>
    <xf numFmtId="0" fontId="21" fillId="0" borderId="0"/>
    <xf numFmtId="0" fontId="21" fillId="0" borderId="0"/>
    <xf numFmtId="0" fontId="21" fillId="0" borderId="0"/>
    <xf numFmtId="172" fontId="51" fillId="0" borderId="0"/>
    <xf numFmtId="0" fontId="21" fillId="0" borderId="0"/>
    <xf numFmtId="0" fontId="1" fillId="0" borderId="0"/>
    <xf numFmtId="0" fontId="21" fillId="0" borderId="0"/>
    <xf numFmtId="0" fontId="75" fillId="0" borderId="0"/>
    <xf numFmtId="0" fontId="21" fillId="0" borderId="0"/>
    <xf numFmtId="0" fontId="21" fillId="0" borderId="0"/>
    <xf numFmtId="179" fontId="20" fillId="0" borderId="35" applyFont="0" applyFill="0" applyBorder="0" applyProtection="0">
      <alignment horizontal="centerContinuous" vertical="center"/>
      <protection hidden="1"/>
    </xf>
    <xf numFmtId="0" fontId="66" fillId="0" borderId="0" applyNumberFormat="0" applyBorder="0" applyAlignment="0" applyProtection="0"/>
    <xf numFmtId="180" fontId="66" fillId="51" borderId="45" applyFont="0" applyFill="0" applyBorder="0" applyProtection="0">
      <alignment horizontal="centerContinuous" vertical="center"/>
    </xf>
    <xf numFmtId="0" fontId="79" fillId="0" borderId="0"/>
    <xf numFmtId="181" fontId="40" fillId="0" borderId="0" applyNumberFormat="0" applyBorder="0" applyAlignment="0" applyProtection="0">
      <alignment vertical="center"/>
      <protection hidden="1"/>
    </xf>
    <xf numFmtId="0" fontId="20" fillId="0" borderId="46" applyNumberFormat="0" applyFill="0" applyBorder="0" applyAlignment="0" applyProtection="0">
      <alignment vertical="center"/>
    </xf>
    <xf numFmtId="182" fontId="54" fillId="0" borderId="0" applyFont="0" applyFill="0" applyBorder="0" applyAlignment="0" applyProtection="0"/>
    <xf numFmtId="183" fontId="54" fillId="0" borderId="0" applyFont="0" applyFill="0" applyBorder="0" applyAlignment="0" applyProtection="0"/>
    <xf numFmtId="49" fontId="19" fillId="70" borderId="16">
      <alignment horizontal="center"/>
      <protection locked="0"/>
    </xf>
    <xf numFmtId="0" fontId="80" fillId="0" borderId="0">
      <alignment vertical="center"/>
    </xf>
    <xf numFmtId="43" fontId="64" fillId="0" borderId="0" applyFont="0" applyFill="0" applyBorder="0" applyAlignment="0" applyProtection="0"/>
    <xf numFmtId="0" fontId="81" fillId="0" borderId="0"/>
    <xf numFmtId="0" fontId="70" fillId="0" borderId="48">
      <protection locked="0"/>
    </xf>
    <xf numFmtId="0" fontId="1" fillId="0" borderId="0"/>
    <xf numFmtId="0" fontId="81" fillId="0" borderId="0"/>
    <xf numFmtId="0" fontId="1" fillId="0" borderId="0"/>
    <xf numFmtId="0" fontId="1" fillId="0" borderId="0"/>
    <xf numFmtId="0" fontId="70" fillId="0" borderId="95">
      <protection locked="0"/>
    </xf>
    <xf numFmtId="0" fontId="44" fillId="0" borderId="53">
      <alignment horizontal="left" vertical="center"/>
    </xf>
    <xf numFmtId="43" fontId="62" fillId="0" borderId="0" applyFont="0" applyFill="0" applyBorder="0" applyAlignment="0" applyProtection="0"/>
    <xf numFmtId="0" fontId="44" fillId="0" borderId="47">
      <alignment horizontal="left" vertical="center"/>
    </xf>
    <xf numFmtId="0" fontId="70" fillId="0" borderId="54">
      <protection locked="0"/>
    </xf>
    <xf numFmtId="0" fontId="75" fillId="0" borderId="58"/>
    <xf numFmtId="0" fontId="58" fillId="0" borderId="0"/>
    <xf numFmtId="0" fontId="44" fillId="0" borderId="63">
      <alignment horizontal="left" vertical="center"/>
    </xf>
    <xf numFmtId="0" fontId="1" fillId="0" borderId="0"/>
    <xf numFmtId="0" fontId="1" fillId="0" borderId="0"/>
    <xf numFmtId="0" fontId="1" fillId="0" borderId="0"/>
    <xf numFmtId="0" fontId="1" fillId="0" borderId="0"/>
    <xf numFmtId="0" fontId="75" fillId="0" borderId="52"/>
    <xf numFmtId="0" fontId="1" fillId="0" borderId="0"/>
    <xf numFmtId="0" fontId="1" fillId="0" borderId="0"/>
    <xf numFmtId="49" fontId="19" fillId="70" borderId="82">
      <alignment horizontal="center"/>
      <protection locked="0"/>
    </xf>
    <xf numFmtId="0" fontId="58"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38" fontId="20" fillId="54" borderId="0" applyNumberFormat="0" applyBorder="0" applyAlignment="0" applyProtection="0"/>
    <xf numFmtId="10" fontId="20" fillId="56" borderId="10" applyNumberFormat="0" applyBorder="0" applyAlignment="0" applyProtection="0"/>
    <xf numFmtId="38" fontId="20" fillId="54" borderId="0" applyNumberFormat="0" applyBorder="0" applyAlignment="0" applyProtection="0"/>
    <xf numFmtId="10" fontId="20" fillId="56" borderId="10" applyNumberFormat="0" applyBorder="0" applyAlignment="0" applyProtection="0"/>
    <xf numFmtId="0" fontId="21" fillId="0" borderId="0"/>
    <xf numFmtId="0" fontId="21" fillId="0" borderId="0"/>
    <xf numFmtId="43" fontId="21" fillId="0" borderId="0" applyFont="0" applyFill="0" applyBorder="0" applyAlignment="0" applyProtection="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43" fontId="50" fillId="0" borderId="0" applyFont="0" applyFill="0" applyBorder="0" applyAlignment="0" applyProtection="0"/>
    <xf numFmtId="0" fontId="2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73" fontId="1" fillId="0" borderId="0"/>
    <xf numFmtId="173" fontId="1" fillId="0" borderId="0"/>
    <xf numFmtId="174" fontId="1" fillId="0" borderId="0"/>
    <xf numFmtId="174" fontId="1" fillId="0" borderId="0"/>
    <xf numFmtId="175" fontId="1" fillId="0" borderId="0"/>
    <xf numFmtId="175" fontId="1" fillId="0" borderId="0"/>
    <xf numFmtId="0" fontId="44" fillId="0" borderId="50">
      <alignment horizontal="left" vertical="center"/>
    </xf>
    <xf numFmtId="0" fontId="1" fillId="0" borderId="0"/>
    <xf numFmtId="0" fontId="1" fillId="0" borderId="0"/>
    <xf numFmtId="0" fontId="1" fillId="0" borderId="0"/>
    <xf numFmtId="0" fontId="70" fillId="0" borderId="51">
      <protection locked="0"/>
    </xf>
    <xf numFmtId="0" fontId="1" fillId="0" borderId="0"/>
    <xf numFmtId="49" fontId="19" fillId="70" borderId="47">
      <alignment horizontal="center"/>
      <protection locked="0"/>
    </xf>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49"/>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8" fillId="0" borderId="0"/>
    <xf numFmtId="49" fontId="19" fillId="70" borderId="78">
      <alignment horizontal="center"/>
      <protection locked="0"/>
    </xf>
    <xf numFmtId="0" fontId="58" fillId="0" borderId="0"/>
    <xf numFmtId="49" fontId="19" fillId="70" borderId="78">
      <alignment horizontal="center"/>
      <protection locked="0"/>
    </xf>
    <xf numFmtId="49" fontId="19" fillId="70" borderId="74">
      <alignment horizontal="center"/>
      <protection locked="0"/>
    </xf>
    <xf numFmtId="0" fontId="70" fillId="0" borderId="64">
      <protection locked="0"/>
    </xf>
    <xf numFmtId="0" fontId="70" fillId="0" borderId="83">
      <protection locked="0"/>
    </xf>
    <xf numFmtId="0" fontId="58" fillId="0" borderId="0"/>
    <xf numFmtId="0" fontId="75" fillId="0" borderId="80"/>
    <xf numFmtId="49" fontId="19" fillId="70" borderId="68">
      <alignment horizontal="center"/>
      <protection locked="0"/>
    </xf>
    <xf numFmtId="0" fontId="75" fillId="0" borderId="62"/>
    <xf numFmtId="0" fontId="70" fillId="0" borderId="99">
      <protection locked="0"/>
    </xf>
    <xf numFmtId="0" fontId="58" fillId="0" borderId="0"/>
    <xf numFmtId="49" fontId="19" fillId="70" borderId="82">
      <alignment horizontal="center"/>
      <protection locked="0"/>
    </xf>
    <xf numFmtId="0" fontId="70" fillId="0" borderId="86">
      <protection locked="0"/>
    </xf>
    <xf numFmtId="49" fontId="19" fillId="70" borderId="60">
      <alignment horizontal="center"/>
      <protection locked="0"/>
    </xf>
    <xf numFmtId="0" fontId="70" fillId="0" borderId="92">
      <protection locked="0"/>
    </xf>
    <xf numFmtId="0" fontId="44" fillId="0" borderId="71">
      <alignment horizontal="left" vertical="center"/>
    </xf>
    <xf numFmtId="0" fontId="70" fillId="0" borderId="79">
      <protection locked="0"/>
    </xf>
    <xf numFmtId="0" fontId="75" fillId="0" borderId="77"/>
    <xf numFmtId="0" fontId="70" fillId="0" borderId="67">
      <protection locked="0"/>
    </xf>
    <xf numFmtId="0" fontId="58" fillId="0" borderId="0"/>
    <xf numFmtId="0" fontId="44" fillId="0" borderId="91">
      <alignment horizontal="left" vertical="center"/>
    </xf>
    <xf numFmtId="0" fontId="75" fillId="0" borderId="87"/>
    <xf numFmtId="0" fontId="44" fillId="0" borderId="82">
      <alignment horizontal="left" vertical="center"/>
    </xf>
    <xf numFmtId="0" fontId="75" fillId="0" borderId="76"/>
    <xf numFmtId="0" fontId="75" fillId="0" borderId="73"/>
    <xf numFmtId="0" fontId="70" fillId="0" borderId="89">
      <protection locked="0"/>
    </xf>
    <xf numFmtId="0" fontId="44" fillId="0" borderId="78">
      <alignment horizontal="left" vertical="center"/>
    </xf>
    <xf numFmtId="0" fontId="44" fillId="0" borderId="74">
      <alignment horizontal="left" vertical="center"/>
    </xf>
    <xf numFmtId="0" fontId="75" fillId="0" borderId="97"/>
    <xf numFmtId="49" fontId="19" fillId="70" borderId="74">
      <alignment horizontal="center"/>
      <protection locked="0"/>
    </xf>
    <xf numFmtId="0" fontId="44" fillId="0" borderId="85">
      <alignment horizontal="left" vertical="center"/>
    </xf>
    <xf numFmtId="0" fontId="70" fillId="0" borderId="61">
      <protection locked="0"/>
    </xf>
    <xf numFmtId="0" fontId="75" fillId="0" borderId="65"/>
    <xf numFmtId="0" fontId="44" fillId="0" borderId="94">
      <alignment horizontal="left" vertical="center"/>
    </xf>
    <xf numFmtId="49" fontId="19" fillId="70" borderId="91">
      <alignment horizontal="center"/>
      <protection locked="0"/>
    </xf>
    <xf numFmtId="0" fontId="75" fillId="0" borderId="90"/>
    <xf numFmtId="0" fontId="75" fillId="0" borderId="58"/>
    <xf numFmtId="0" fontId="44" fillId="0" borderId="56">
      <alignment horizontal="left" vertical="center"/>
    </xf>
    <xf numFmtId="0" fontId="70" fillId="0" borderId="57">
      <protection locked="0"/>
    </xf>
    <xf numFmtId="49" fontId="19" fillId="70" borderId="53">
      <alignment horizontal="center"/>
      <protection locked="0"/>
    </xf>
    <xf numFmtId="0" fontId="58" fillId="0" borderId="0"/>
    <xf numFmtId="0" fontId="44" fillId="0" borderId="68">
      <alignment horizontal="left" vertical="center"/>
    </xf>
    <xf numFmtId="49" fontId="19" fillId="70" borderId="85">
      <alignment horizontal="center"/>
      <protection locked="0"/>
    </xf>
    <xf numFmtId="0" fontId="58" fillId="0" borderId="0"/>
    <xf numFmtId="0" fontId="58" fillId="0" borderId="0"/>
    <xf numFmtId="49" fontId="19" fillId="70" borderId="71">
      <alignment horizontal="center"/>
      <protection locked="0"/>
    </xf>
    <xf numFmtId="0" fontId="58" fillId="0" borderId="0"/>
    <xf numFmtId="0" fontId="75" fillId="0" borderId="59"/>
    <xf numFmtId="0" fontId="70" fillId="0" borderId="72">
      <protection locked="0"/>
    </xf>
    <xf numFmtId="0" fontId="70" fillId="0" borderId="75">
      <protection locked="0"/>
    </xf>
    <xf numFmtId="0" fontId="75" fillId="0" borderId="55"/>
    <xf numFmtId="49" fontId="19" fillId="70" borderId="94">
      <alignment horizontal="center"/>
      <protection locked="0"/>
    </xf>
    <xf numFmtId="49" fontId="19" fillId="70" borderId="94">
      <alignment horizontal="center"/>
      <protection locked="0"/>
    </xf>
    <xf numFmtId="0" fontId="75" fillId="0" borderId="96"/>
    <xf numFmtId="0" fontId="44" fillId="0" borderId="60">
      <alignment horizontal="left" vertical="center"/>
    </xf>
    <xf numFmtId="49" fontId="19" fillId="70" borderId="66">
      <alignment horizontal="center"/>
      <protection locked="0"/>
    </xf>
    <xf numFmtId="0" fontId="44" fillId="0" borderId="98">
      <alignment horizontal="left" vertical="center"/>
    </xf>
    <xf numFmtId="0" fontId="75" fillId="0" borderId="93"/>
    <xf numFmtId="0" fontId="70" fillId="0" borderId="69">
      <protection locked="0"/>
    </xf>
    <xf numFmtId="0" fontId="44" fillId="0" borderId="66">
      <alignment horizontal="left" vertical="center"/>
    </xf>
    <xf numFmtId="0" fontId="75" fillId="0" borderId="70"/>
    <xf numFmtId="49" fontId="19" fillId="70" borderId="63">
      <alignment horizontal="center"/>
      <protection locked="0"/>
    </xf>
    <xf numFmtId="0" fontId="75" fillId="0" borderId="81"/>
    <xf numFmtId="0" fontId="44" fillId="0" borderId="88">
      <alignment horizontal="left" vertical="center"/>
    </xf>
    <xf numFmtId="0" fontId="75" fillId="0" borderId="84"/>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0" fontId="25" fillId="51" borderId="101" applyNumberFormat="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32" fillId="38" borderId="101" applyNumberFormat="0" applyAlignment="0" applyProtection="0"/>
    <xf numFmtId="9" fontId="21" fillId="0" borderId="0" applyFont="0" applyFill="0" applyBorder="0" applyAlignment="0" applyProtection="0"/>
    <xf numFmtId="0" fontId="32" fillId="38" borderId="101"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1" applyNumberFormat="0" applyAlignment="0" applyProtection="0"/>
    <xf numFmtId="0" fontId="32" fillId="38" borderId="101"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1" applyNumberFormat="0" applyAlignment="0" applyProtection="0"/>
    <xf numFmtId="0" fontId="32" fillId="38" borderId="101" applyNumberFormat="0" applyAlignment="0" applyProtection="0"/>
    <xf numFmtId="0" fontId="32" fillId="38" borderId="101" applyNumberFormat="0" applyAlignment="0" applyProtection="0"/>
    <xf numFmtId="0" fontId="32" fillId="38" borderId="101" applyNumberFormat="0" applyAlignment="0" applyProtection="0"/>
    <xf numFmtId="0" fontId="22" fillId="58" borderId="102" applyNumberFormat="0" applyFont="0" applyAlignment="0" applyProtection="0"/>
    <xf numFmtId="0" fontId="35" fillId="51" borderId="103" applyNumberFormat="0" applyAlignment="0" applyProtection="0"/>
    <xf numFmtId="9" fontId="21" fillId="0" borderId="0" applyFont="0" applyFill="0" applyBorder="0" applyAlignment="0" applyProtection="0"/>
    <xf numFmtId="0" fontId="32" fillId="38" borderId="101" applyNumberFormat="0" applyAlignment="0" applyProtection="0"/>
    <xf numFmtId="0" fontId="32" fillId="38" borderId="101" applyNumberFormat="0" applyAlignment="0" applyProtection="0"/>
    <xf numFmtId="0" fontId="32" fillId="38" borderId="101"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1"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0" fontId="37" fillId="0" borderId="104" applyNumberFormat="0" applyFill="0" applyAlignment="0" applyProtection="0"/>
    <xf numFmtId="43"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5" fillId="51" borderId="106" applyNumberFormat="0" applyAlignment="0" applyProtection="0"/>
    <xf numFmtId="43" fontId="21" fillId="0" borderId="0" applyFont="0" applyFill="0" applyBorder="0" applyAlignment="0" applyProtection="0"/>
    <xf numFmtId="0" fontId="32" fillId="38" borderId="106" applyNumberFormat="0" applyAlignment="0" applyProtection="0"/>
    <xf numFmtId="0" fontId="22" fillId="58" borderId="107" applyNumberFormat="0" applyFont="0" applyAlignment="0" applyProtection="0"/>
    <xf numFmtId="0" fontId="35" fillId="51" borderId="108" applyNumberFormat="0" applyAlignment="0" applyProtection="0"/>
    <xf numFmtId="9" fontId="21" fillId="0" borderId="0" applyFont="0" applyFill="0" applyBorder="0" applyAlignment="0" applyProtection="0"/>
    <xf numFmtId="0" fontId="37" fillId="0" borderId="109" applyNumberFormat="0" applyFill="0" applyAlignment="0" applyProtection="0"/>
    <xf numFmtId="0" fontId="58" fillId="0" borderId="0"/>
    <xf numFmtId="0" fontId="75" fillId="0" borderId="115"/>
    <xf numFmtId="0" fontId="44" fillId="0" borderId="129">
      <alignment horizontal="left" vertical="center"/>
    </xf>
    <xf numFmtId="0" fontId="70" fillId="0" borderId="160">
      <protection locked="0"/>
    </xf>
    <xf numFmtId="0" fontId="70" fillId="0" borderId="117">
      <protection locked="0"/>
    </xf>
    <xf numFmtId="0" fontId="44" fillId="0" borderId="116">
      <alignment horizontal="left" vertical="center"/>
    </xf>
    <xf numFmtId="0" fontId="58" fillId="0" borderId="0"/>
    <xf numFmtId="0" fontId="58" fillId="0" borderId="0"/>
    <xf numFmtId="0" fontId="44" fillId="0" borderId="159">
      <alignment horizontal="left" vertical="center"/>
    </xf>
    <xf numFmtId="0" fontId="44" fillId="0" borderId="135">
      <alignment horizontal="left" vertical="center"/>
    </xf>
    <xf numFmtId="0" fontId="75" fillId="0" borderId="137"/>
    <xf numFmtId="0" fontId="70" fillId="0" borderId="136">
      <protection locked="0"/>
    </xf>
    <xf numFmtId="0" fontId="58" fillId="0" borderId="0"/>
    <xf numFmtId="0" fontId="75" fillId="0" borderId="124"/>
    <xf numFmtId="0" fontId="58" fillId="0" borderId="0"/>
    <xf numFmtId="0" fontId="58" fillId="0" borderId="0"/>
    <xf numFmtId="49" fontId="19" fillId="70" borderId="162">
      <alignment horizontal="center"/>
      <protection locked="0"/>
    </xf>
    <xf numFmtId="0" fontId="58" fillId="0" borderId="0"/>
    <xf numFmtId="49" fontId="19" fillId="70" borderId="144">
      <alignment horizontal="center"/>
      <protection locked="0"/>
    </xf>
    <xf numFmtId="49" fontId="19" fillId="70" borderId="147">
      <alignment horizontal="center"/>
      <protection locked="0"/>
    </xf>
    <xf numFmtId="0" fontId="70" fillId="0" borderId="142">
      <protection locked="0"/>
    </xf>
    <xf numFmtId="0" fontId="75" fillId="0" borderId="131"/>
    <xf numFmtId="0" fontId="70" fillId="0" borderId="148">
      <protection locked="0"/>
    </xf>
    <xf numFmtId="0" fontId="75" fillId="0" borderId="137"/>
    <xf numFmtId="0" fontId="44" fillId="0" borderId="141">
      <alignment horizontal="left" vertical="center"/>
    </xf>
    <xf numFmtId="0" fontId="70" fillId="0" borderId="163">
      <protection locked="0"/>
    </xf>
    <xf numFmtId="0" fontId="58" fillId="0" borderId="0"/>
    <xf numFmtId="0" fontId="70" fillId="0" borderId="130">
      <protection locked="0"/>
    </xf>
    <xf numFmtId="0" fontId="44" fillId="0" borderId="165">
      <alignment horizontal="left" vertical="center"/>
    </xf>
    <xf numFmtId="0" fontId="70" fillId="0" borderId="166">
      <protection locked="0"/>
    </xf>
    <xf numFmtId="0" fontId="58" fillId="0" borderId="0"/>
    <xf numFmtId="0" fontId="44" fillId="0" borderId="138">
      <alignment horizontal="left" vertical="center"/>
    </xf>
    <xf numFmtId="0" fontId="70" fillId="0" borderId="145">
      <protection locked="0"/>
    </xf>
    <xf numFmtId="0" fontId="70" fillId="0" borderId="139">
      <protection locked="0"/>
    </xf>
    <xf numFmtId="0" fontId="44" fillId="0" borderId="122">
      <alignment horizontal="left" vertical="center"/>
    </xf>
    <xf numFmtId="0" fontId="44" fillId="0" borderId="162">
      <alignment horizontal="left" vertical="center"/>
    </xf>
    <xf numFmtId="0" fontId="75" fillId="0" borderId="127"/>
    <xf numFmtId="0" fontId="44" fillId="0" borderId="125">
      <alignment horizontal="left" vertical="center"/>
    </xf>
    <xf numFmtId="0" fontId="70" fillId="0" borderId="157">
      <protection locked="0"/>
    </xf>
    <xf numFmtId="0" fontId="75" fillId="0" borderId="134"/>
    <xf numFmtId="0" fontId="75" fillId="0" borderId="161"/>
    <xf numFmtId="0" fontId="75" fillId="0" borderId="121"/>
    <xf numFmtId="0" fontId="44" fillId="0" borderId="119">
      <alignment horizontal="left" vertical="center"/>
    </xf>
    <xf numFmtId="0" fontId="70" fillId="0" borderId="120">
      <protection locked="0"/>
    </xf>
    <xf numFmtId="49" fontId="19" fillId="70" borderId="116">
      <alignment horizontal="center"/>
      <protection locked="0"/>
    </xf>
    <xf numFmtId="49" fontId="19" fillId="70" borderId="153">
      <alignment horizontal="center"/>
      <protection locked="0"/>
    </xf>
    <xf numFmtId="49" fontId="19" fillId="70" borderId="125">
      <alignment horizontal="center"/>
      <protection locked="0"/>
    </xf>
    <xf numFmtId="0" fontId="44" fillId="0" borderId="156">
      <alignment horizontal="left" vertical="center"/>
    </xf>
    <xf numFmtId="0" fontId="75" fillId="0" borderId="140"/>
    <xf numFmtId="0" fontId="75" fillId="0" borderId="155"/>
    <xf numFmtId="0" fontId="44" fillId="0" borderId="150">
      <alignment horizontal="left" vertical="center"/>
    </xf>
    <xf numFmtId="0" fontId="44" fillId="0" borderId="147">
      <alignment horizontal="left" vertical="center"/>
    </xf>
    <xf numFmtId="49" fontId="19" fillId="70" borderId="156">
      <alignment horizontal="center"/>
      <protection locked="0"/>
    </xf>
    <xf numFmtId="0" fontId="44" fillId="0" borderId="132">
      <alignment horizontal="left" vertical="center"/>
    </xf>
    <xf numFmtId="0" fontId="75" fillId="0" borderId="152"/>
    <xf numFmtId="49" fontId="19" fillId="70" borderId="122">
      <alignment horizontal="center"/>
      <protection locked="0"/>
    </xf>
    <xf numFmtId="0" fontId="75" fillId="0" borderId="158"/>
    <xf numFmtId="0" fontId="75" fillId="0" borderId="131"/>
    <xf numFmtId="0" fontId="75" fillId="0" borderId="118"/>
    <xf numFmtId="0" fontId="44" fillId="0" borderId="144">
      <alignment horizontal="left" vertical="center"/>
    </xf>
    <xf numFmtId="0" fontId="58" fillId="0" borderId="0"/>
    <xf numFmtId="0" fontId="70" fillId="0" borderId="123">
      <protection locked="0"/>
    </xf>
    <xf numFmtId="49" fontId="19" fillId="70" borderId="125">
      <alignment horizontal="center"/>
      <protection locked="0"/>
    </xf>
    <xf numFmtId="0" fontId="75" fillId="0" borderId="143"/>
    <xf numFmtId="0" fontId="70" fillId="0" borderId="126">
      <protection locked="0"/>
    </xf>
    <xf numFmtId="0" fontId="75" fillId="0" borderId="149"/>
    <xf numFmtId="0" fontId="70" fillId="0" borderId="151">
      <protection locked="0"/>
    </xf>
    <xf numFmtId="0" fontId="75" fillId="0" borderId="146"/>
    <xf numFmtId="49" fontId="19" fillId="70" borderId="141">
      <alignment horizontal="center"/>
      <protection locked="0"/>
    </xf>
    <xf numFmtId="0" fontId="75" fillId="0" borderId="128"/>
    <xf numFmtId="0" fontId="75" fillId="0" borderId="164"/>
    <xf numFmtId="0" fontId="70" fillId="0" borderId="133">
      <protection locked="0"/>
    </xf>
    <xf numFmtId="0" fontId="44" fillId="0" borderId="153">
      <alignment horizontal="left" vertical="center"/>
    </xf>
    <xf numFmtId="0" fontId="70" fillId="0" borderId="154">
      <protection locked="0"/>
    </xf>
    <xf numFmtId="0" fontId="75" fillId="0" borderId="140"/>
    <xf numFmtId="0" fontId="58" fillId="0" borderId="0"/>
    <xf numFmtId="0" fontId="58" fillId="0" borderId="0"/>
    <xf numFmtId="0" fontId="21" fillId="0" borderId="0"/>
    <xf numFmtId="9" fontId="21" fillId="0" borderId="0" applyFont="0" applyFill="0" applyBorder="0" applyAlignment="0" applyProtection="0"/>
    <xf numFmtId="0" fontId="35" fillId="51" borderId="171" applyNumberFormat="0" applyAlignment="0" applyProtection="0"/>
    <xf numFmtId="0" fontId="25" fillId="51" borderId="167" applyNumberFormat="0" applyAlignment="0" applyProtection="0"/>
    <xf numFmtId="43" fontId="21" fillId="0" borderId="0" applyFont="0" applyFill="0" applyBorder="0" applyAlignment="0" applyProtection="0"/>
    <xf numFmtId="0" fontId="32" fillId="38" borderId="167" applyNumberFormat="0" applyAlignment="0" applyProtection="0"/>
    <xf numFmtId="0" fontId="32" fillId="38" borderId="167" applyNumberFormat="0" applyAlignment="0" applyProtection="0"/>
    <xf numFmtId="43" fontId="21" fillId="0" borderId="0" applyFont="0" applyFill="0" applyBorder="0" applyAlignment="0" applyProtection="0"/>
    <xf numFmtId="0" fontId="22" fillId="58" borderId="168" applyNumberFormat="0" applyFont="0" applyAlignment="0" applyProtection="0"/>
    <xf numFmtId="0" fontId="35" fillId="51" borderId="169" applyNumberFormat="0" applyAlignment="0" applyProtection="0"/>
    <xf numFmtId="9" fontId="21" fillId="0" borderId="0" applyFont="0" applyFill="0" applyBorder="0" applyAlignment="0" applyProtection="0"/>
    <xf numFmtId="0" fontId="21" fillId="0" borderId="0"/>
    <xf numFmtId="0" fontId="37" fillId="0" borderId="170" applyNumberFormat="0" applyFill="0" applyAlignment="0" applyProtection="0"/>
    <xf numFmtId="0" fontId="37" fillId="0" borderId="172" applyNumberFormat="0" applyFill="0" applyAlignment="0" applyProtection="0"/>
    <xf numFmtId="0" fontId="21" fillId="0" borderId="0"/>
    <xf numFmtId="43" fontId="21" fillId="0" borderId="0" applyFont="0" applyFill="0" applyBorder="0" applyAlignment="0" applyProtection="0"/>
    <xf numFmtId="0" fontId="32" fillId="38" borderId="167" applyNumberFormat="0" applyAlignment="0" applyProtection="0"/>
    <xf numFmtId="0" fontId="35" fillId="51" borderId="173" applyNumberFormat="0" applyAlignment="0" applyProtection="0"/>
    <xf numFmtId="9" fontId="21" fillId="0" borderId="0" applyFont="0" applyFill="0" applyBorder="0" applyAlignment="0" applyProtection="0"/>
    <xf numFmtId="0" fontId="37" fillId="0" borderId="174" applyNumberFormat="0" applyFill="0" applyAlignment="0" applyProtection="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0" borderId="0"/>
    <xf numFmtId="43" fontId="21" fillId="0" borderId="0" applyFont="0" applyFill="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189" fontId="21" fillId="0" borderId="0" applyFont="0" applyFill="0" applyBorder="0" applyAlignment="0" applyProtection="0"/>
    <xf numFmtId="0" fontId="21" fillId="0" borderId="0" applyFont="0" applyFill="0" applyBorder="0" applyAlignment="0" applyProtection="0"/>
    <xf numFmtId="190" fontId="21" fillId="0" borderId="0" applyFont="0" applyFill="0" applyBorder="0" applyAlignment="0" applyProtection="0"/>
    <xf numFmtId="191" fontId="21" fillId="0" borderId="0" applyFont="0" applyFill="0" applyBorder="0" applyAlignment="0" applyProtection="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58"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0" fontId="16" fillId="0" borderId="174" applyNumberFormat="0" applyFill="0" applyAlignment="0" applyProtection="0"/>
    <xf numFmtId="0" fontId="114" fillId="0" borderId="0" applyNumberFormat="0" applyFill="0" applyBorder="0" applyAlignment="0" applyProtection="0">
      <alignment vertical="top"/>
      <protection locked="0"/>
    </xf>
    <xf numFmtId="0" fontId="70" fillId="0" borderId="166">
      <protection locked="0"/>
    </xf>
    <xf numFmtId="0" fontId="70" fillId="0" borderId="166">
      <protection locked="0"/>
    </xf>
    <xf numFmtId="0" fontId="70" fillId="0" borderId="166">
      <protection locked="0"/>
    </xf>
    <xf numFmtId="0" fontId="18" fillId="0" borderId="0"/>
    <xf numFmtId="175" fontId="18"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 fontId="18" fillId="0" borderId="10" applyBorder="0">
      <alignment horizontal="left" wrapText="1"/>
    </xf>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0" fillId="0" borderId="193">
      <protection locked="0"/>
    </xf>
    <xf numFmtId="0" fontId="70" fillId="0" borderId="235">
      <protection locked="0"/>
    </xf>
    <xf numFmtId="0" fontId="44" fillId="0" borderId="198">
      <alignment horizontal="left" vertical="center"/>
    </xf>
    <xf numFmtId="0" fontId="44" fillId="0" borderId="192">
      <alignment horizontal="left" vertical="center"/>
    </xf>
    <xf numFmtId="0" fontId="70" fillId="0" borderId="199">
      <protection locked="0"/>
    </xf>
    <xf numFmtId="0" fontId="75" fillId="0" borderId="203"/>
    <xf numFmtId="0" fontId="44" fillId="0" borderId="207">
      <alignment horizontal="left" vertical="center"/>
    </xf>
    <xf numFmtId="0" fontId="75" fillId="0" borderId="197"/>
    <xf numFmtId="49" fontId="19" fillId="70" borderId="222">
      <alignment horizontal="center"/>
      <protection locked="0"/>
    </xf>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4" fillId="0" borderId="195">
      <alignment horizontal="left" vertical="center"/>
    </xf>
    <xf numFmtId="0" fontId="70" fillId="0" borderId="196">
      <protection locked="0"/>
    </xf>
    <xf numFmtId="49" fontId="19" fillId="70" borderId="192">
      <alignment horizontal="center"/>
      <protection locked="0"/>
    </xf>
    <xf numFmtId="0" fontId="18" fillId="0" borderId="0"/>
    <xf numFmtId="0" fontId="18" fillId="0" borderId="0"/>
    <xf numFmtId="0" fontId="75" fillId="0" borderId="194"/>
    <xf numFmtId="0" fontId="18" fillId="0" borderId="0"/>
    <xf numFmtId="49" fontId="19" fillId="70" borderId="219">
      <alignment horizontal="center"/>
      <protection locked="0"/>
    </xf>
    <xf numFmtId="49" fontId="19" fillId="70" borderId="219">
      <alignment horizontal="center"/>
      <protection locked="0"/>
    </xf>
    <xf numFmtId="49" fontId="19" fillId="70" borderId="216">
      <alignment horizontal="center"/>
      <protection locked="0"/>
    </xf>
    <xf numFmtId="0" fontId="70" fillId="0" borderId="208">
      <protection locked="0"/>
    </xf>
    <xf numFmtId="0" fontId="70" fillId="0" borderId="223">
      <protection locked="0"/>
    </xf>
    <xf numFmtId="0" fontId="75" fillId="0" borderId="221"/>
    <xf numFmtId="49" fontId="19" fillId="70" borderId="210">
      <alignment horizontal="center"/>
      <protection locked="0"/>
    </xf>
    <xf numFmtId="0" fontId="75" fillId="0" borderId="206"/>
    <xf numFmtId="0" fontId="70" fillId="0" borderId="238">
      <protection locked="0"/>
    </xf>
    <xf numFmtId="49" fontId="19" fillId="70" borderId="222">
      <alignment horizontal="center"/>
      <protection locked="0"/>
    </xf>
    <xf numFmtId="0" fontId="70" fillId="0" borderId="226">
      <protection locked="0"/>
    </xf>
    <xf numFmtId="49" fontId="19" fillId="70" borderId="204">
      <alignment horizontal="center"/>
      <protection locked="0"/>
    </xf>
    <xf numFmtId="0" fontId="70" fillId="0" borderId="232">
      <protection locked="0"/>
    </xf>
    <xf numFmtId="0" fontId="44" fillId="0" borderId="213">
      <alignment horizontal="left" vertical="center"/>
    </xf>
    <xf numFmtId="0" fontId="70" fillId="0" borderId="220">
      <protection locked="0"/>
    </xf>
    <xf numFmtId="0" fontId="75" fillId="0" borderId="218"/>
    <xf numFmtId="0" fontId="70" fillId="0" borderId="211">
      <protection locked="0"/>
    </xf>
    <xf numFmtId="0" fontId="44" fillId="0" borderId="231">
      <alignment horizontal="left" vertical="center"/>
    </xf>
    <xf numFmtId="0" fontId="75" fillId="0" borderId="227"/>
    <xf numFmtId="0" fontId="44" fillId="0" borderId="222">
      <alignment horizontal="left" vertical="center"/>
    </xf>
    <xf numFmtId="0" fontId="75" fillId="0" borderId="218"/>
    <xf numFmtId="0" fontId="75" fillId="0" borderId="215"/>
    <xf numFmtId="0" fontId="70" fillId="0" borderId="229">
      <protection locked="0"/>
    </xf>
    <xf numFmtId="0" fontId="44" fillId="0" borderId="219">
      <alignment horizontal="left" vertical="center"/>
    </xf>
    <xf numFmtId="0" fontId="44" fillId="0" borderId="216">
      <alignment horizontal="left" vertical="center"/>
    </xf>
    <xf numFmtId="0" fontId="75" fillId="0" borderId="236"/>
    <xf numFmtId="49" fontId="19" fillId="70" borderId="216">
      <alignment horizontal="center"/>
      <protection locked="0"/>
    </xf>
    <xf numFmtId="0" fontId="44" fillId="0" borderId="225">
      <alignment horizontal="left" vertical="center"/>
    </xf>
    <xf numFmtId="0" fontId="70" fillId="0" borderId="205">
      <protection locked="0"/>
    </xf>
    <xf numFmtId="0" fontId="75" fillId="0" borderId="209"/>
    <xf numFmtId="0" fontId="44" fillId="0" borderId="234">
      <alignment horizontal="left" vertical="center"/>
    </xf>
    <xf numFmtId="49" fontId="19" fillId="70" borderId="231">
      <alignment horizontal="center"/>
      <protection locked="0"/>
    </xf>
    <xf numFmtId="0" fontId="75" fillId="0" borderId="230"/>
    <xf numFmtId="0" fontId="75" fillId="0" borderId="203"/>
    <xf numFmtId="0" fontId="44" fillId="0" borderId="201">
      <alignment horizontal="left" vertical="center"/>
    </xf>
    <xf numFmtId="0" fontId="70" fillId="0" borderId="202">
      <protection locked="0"/>
    </xf>
    <xf numFmtId="49" fontId="19" fillId="70" borderId="198">
      <alignment horizontal="center"/>
      <protection locked="0"/>
    </xf>
    <xf numFmtId="0" fontId="44" fillId="0" borderId="210">
      <alignment horizontal="left" vertical="center"/>
    </xf>
    <xf numFmtId="49" fontId="19" fillId="70" borderId="225">
      <alignment horizontal="center"/>
      <protection locked="0"/>
    </xf>
    <xf numFmtId="49" fontId="19" fillId="70" borderId="213">
      <alignment horizontal="center"/>
      <protection locked="0"/>
    </xf>
    <xf numFmtId="0" fontId="75" fillId="0" borderId="203"/>
    <xf numFmtId="0" fontId="70" fillId="0" borderId="214">
      <protection locked="0"/>
    </xf>
    <xf numFmtId="0" fontId="70" fillId="0" borderId="217">
      <protection locked="0"/>
    </xf>
    <xf numFmtId="0" fontId="75" fillId="0" borderId="200"/>
    <xf numFmtId="49" fontId="19" fillId="70" borderId="234">
      <alignment horizontal="center"/>
      <protection locked="0"/>
    </xf>
    <xf numFmtId="49" fontId="19" fillId="70" borderId="234">
      <alignment horizontal="center"/>
      <protection locked="0"/>
    </xf>
    <xf numFmtId="0" fontId="75" fillId="0" borderId="236"/>
    <xf numFmtId="0" fontId="44" fillId="0" borderId="204">
      <alignment horizontal="left" vertical="center"/>
    </xf>
    <xf numFmtId="49" fontId="19" fillId="70" borderId="210">
      <alignment horizontal="center"/>
      <protection locked="0"/>
    </xf>
    <xf numFmtId="0" fontId="44" fillId="0" borderId="237">
      <alignment horizontal="left" vertical="center"/>
    </xf>
    <xf numFmtId="0" fontId="75" fillId="0" borderId="233"/>
    <xf numFmtId="0" fontId="70" fillId="0" borderId="211">
      <protection locked="0"/>
    </xf>
    <xf numFmtId="0" fontId="44" fillId="0" borderId="210">
      <alignment horizontal="left" vertical="center"/>
    </xf>
    <xf numFmtId="0" fontId="75" fillId="0" borderId="212"/>
    <xf numFmtId="49" fontId="19" fillId="70" borderId="207">
      <alignment horizontal="center"/>
      <protection locked="0"/>
    </xf>
    <xf numFmtId="0" fontId="75" fillId="0" borderId="221"/>
    <xf numFmtId="0" fontId="44" fillId="0" borderId="228">
      <alignment horizontal="left" vertical="center"/>
    </xf>
    <xf numFmtId="0" fontId="75" fillId="0" borderId="224"/>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25" fillId="51" borderId="239" applyNumberFormat="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2" fillId="38" borderId="239" applyNumberFormat="0" applyAlignment="0" applyProtection="0"/>
    <xf numFmtId="9" fontId="18" fillId="0" borderId="0" applyFont="0" applyFill="0" applyBorder="0" applyAlignment="0" applyProtection="0"/>
    <xf numFmtId="0" fontId="32" fillId="38" borderId="23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9" applyNumberFormat="0" applyAlignment="0" applyProtection="0"/>
    <xf numFmtId="0" fontId="32" fillId="38" borderId="23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9" applyNumberFormat="0" applyAlignment="0" applyProtection="0"/>
    <xf numFmtId="0" fontId="32" fillId="38" borderId="239" applyNumberFormat="0" applyAlignment="0" applyProtection="0"/>
    <xf numFmtId="0" fontId="32" fillId="38" borderId="239" applyNumberFormat="0" applyAlignment="0" applyProtection="0"/>
    <xf numFmtId="0" fontId="32" fillId="38" borderId="239" applyNumberFormat="0" applyAlignment="0" applyProtection="0"/>
    <xf numFmtId="0" fontId="22" fillId="58" borderId="240" applyNumberFormat="0" applyFont="0" applyAlignment="0" applyProtection="0"/>
    <xf numFmtId="0" fontId="35" fillId="51" borderId="241" applyNumberFormat="0" applyAlignment="0" applyProtection="0"/>
    <xf numFmtId="9" fontId="18" fillId="0" borderId="0" applyFont="0" applyFill="0" applyBorder="0" applyAlignment="0" applyProtection="0"/>
    <xf numFmtId="0" fontId="32" fillId="38" borderId="239" applyNumberFormat="0" applyAlignment="0" applyProtection="0"/>
    <xf numFmtId="0" fontId="32" fillId="38" borderId="239" applyNumberFormat="0" applyAlignment="0" applyProtection="0"/>
    <xf numFmtId="0" fontId="32" fillId="38" borderId="23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9"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37" fillId="0" borderId="242"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5" fillId="51" borderId="239" applyNumberFormat="0" applyAlignment="0" applyProtection="0"/>
    <xf numFmtId="43" fontId="18" fillId="0" borderId="0" applyFont="0" applyFill="0" applyBorder="0" applyAlignment="0" applyProtection="0"/>
    <xf numFmtId="0" fontId="32" fillId="38" borderId="239" applyNumberFormat="0" applyAlignment="0" applyProtection="0"/>
    <xf numFmtId="0" fontId="22" fillId="58" borderId="240" applyNumberFormat="0" applyFont="0" applyAlignment="0" applyProtection="0"/>
    <xf numFmtId="0" fontId="35" fillId="51" borderId="241" applyNumberFormat="0" applyAlignment="0" applyProtection="0"/>
    <xf numFmtId="9" fontId="18" fillId="0" borderId="0" applyFont="0" applyFill="0" applyBorder="0" applyAlignment="0" applyProtection="0"/>
    <xf numFmtId="0" fontId="37" fillId="0" borderId="242" applyNumberFormat="0" applyFill="0" applyAlignment="0" applyProtection="0"/>
    <xf numFmtId="0" fontId="75" fillId="0" borderId="243"/>
    <xf numFmtId="0" fontId="44" fillId="0" borderId="256">
      <alignment horizontal="left" vertical="center"/>
    </xf>
    <xf numFmtId="0" fontId="70" fillId="0" borderId="287">
      <protection locked="0"/>
    </xf>
    <xf numFmtId="0" fontId="70" fillId="0" borderId="245">
      <protection locked="0"/>
    </xf>
    <xf numFmtId="0" fontId="44" fillId="0" borderId="244">
      <alignment horizontal="left" vertical="center"/>
    </xf>
    <xf numFmtId="0" fontId="44" fillId="0" borderId="286">
      <alignment horizontal="left" vertical="center"/>
    </xf>
    <xf numFmtId="0" fontId="44" fillId="0" borderId="262">
      <alignment horizontal="left" vertical="center"/>
    </xf>
    <xf numFmtId="0" fontId="75" fillId="0" borderId="264"/>
    <xf numFmtId="0" fontId="70" fillId="0" borderId="263">
      <protection locked="0"/>
    </xf>
    <xf numFmtId="0" fontId="75" fillId="0" borderId="252"/>
    <xf numFmtId="49" fontId="19" fillId="70" borderId="289">
      <alignment horizontal="center"/>
      <protection locked="0"/>
    </xf>
    <xf numFmtId="49" fontId="19" fillId="70" borderId="271">
      <alignment horizontal="center"/>
      <protection locked="0"/>
    </xf>
    <xf numFmtId="49" fontId="19" fillId="70" borderId="274">
      <alignment horizontal="center"/>
      <protection locked="0"/>
    </xf>
    <xf numFmtId="0" fontId="70" fillId="0" borderId="269">
      <protection locked="0"/>
    </xf>
    <xf numFmtId="0" fontId="75" fillId="0" borderId="258"/>
    <xf numFmtId="0" fontId="70" fillId="0" borderId="275">
      <protection locked="0"/>
    </xf>
    <xf numFmtId="0" fontId="75" fillId="0" borderId="264"/>
    <xf numFmtId="0" fontId="44" fillId="0" borderId="268">
      <alignment horizontal="left" vertical="center"/>
    </xf>
    <xf numFmtId="0" fontId="70" fillId="0" borderId="290">
      <protection locked="0"/>
    </xf>
    <xf numFmtId="0" fontId="70" fillId="0" borderId="257">
      <protection locked="0"/>
    </xf>
    <xf numFmtId="0" fontId="44" fillId="0" borderId="292">
      <alignment horizontal="left" vertical="center"/>
    </xf>
    <xf numFmtId="0" fontId="70" fillId="0" borderId="293">
      <protection locked="0"/>
    </xf>
    <xf numFmtId="0" fontId="44" fillId="0" borderId="265">
      <alignment horizontal="left" vertical="center"/>
    </xf>
    <xf numFmtId="0" fontId="70" fillId="0" borderId="272">
      <protection locked="0"/>
    </xf>
    <xf numFmtId="0" fontId="70" fillId="0" borderId="266">
      <protection locked="0"/>
    </xf>
    <xf numFmtId="0" fontId="44" fillId="0" borderId="250">
      <alignment horizontal="left" vertical="center"/>
    </xf>
    <xf numFmtId="0" fontId="44" fillId="0" borderId="289">
      <alignment horizontal="left" vertical="center"/>
    </xf>
    <xf numFmtId="0" fontId="75" fillId="0" borderId="255"/>
    <xf numFmtId="0" fontId="44" fillId="0" borderId="253">
      <alignment horizontal="left" vertical="center"/>
    </xf>
    <xf numFmtId="0" fontId="70" fillId="0" borderId="284">
      <protection locked="0"/>
    </xf>
    <xf numFmtId="0" fontId="75" fillId="0" borderId="261"/>
    <xf numFmtId="0" fontId="75" fillId="0" borderId="288"/>
    <xf numFmtId="0" fontId="75" fillId="0" borderId="249"/>
    <xf numFmtId="0" fontId="44" fillId="0" borderId="247">
      <alignment horizontal="left" vertical="center"/>
    </xf>
    <xf numFmtId="0" fontId="70" fillId="0" borderId="248">
      <protection locked="0"/>
    </xf>
    <xf numFmtId="49" fontId="19" fillId="70" borderId="244">
      <alignment horizontal="center"/>
      <protection locked="0"/>
    </xf>
    <xf numFmtId="49" fontId="19" fillId="70" borderId="280">
      <alignment horizontal="center"/>
      <protection locked="0"/>
    </xf>
    <xf numFmtId="49" fontId="19" fillId="70" borderId="253">
      <alignment horizontal="center"/>
      <protection locked="0"/>
    </xf>
    <xf numFmtId="0" fontId="44" fillId="0" borderId="283">
      <alignment horizontal="left" vertical="center"/>
    </xf>
    <xf numFmtId="0" fontId="75" fillId="0" borderId="267"/>
    <xf numFmtId="0" fontId="75" fillId="0" borderId="282"/>
    <xf numFmtId="0" fontId="44" fillId="0" borderId="277">
      <alignment horizontal="left" vertical="center"/>
    </xf>
    <xf numFmtId="0" fontId="44" fillId="0" borderId="274">
      <alignment horizontal="left" vertical="center"/>
    </xf>
    <xf numFmtId="49" fontId="19" fillId="70" borderId="283">
      <alignment horizontal="center"/>
      <protection locked="0"/>
    </xf>
    <xf numFmtId="0" fontId="44" fillId="0" borderId="259">
      <alignment horizontal="left" vertical="center"/>
    </xf>
    <xf numFmtId="0" fontId="75" fillId="0" borderId="279"/>
    <xf numFmtId="49" fontId="19" fillId="70" borderId="250">
      <alignment horizontal="center"/>
      <protection locked="0"/>
    </xf>
    <xf numFmtId="0" fontId="75" fillId="0" borderId="285"/>
    <xf numFmtId="0" fontId="75" fillId="0" borderId="258"/>
    <xf numFmtId="0" fontId="75" fillId="0" borderId="246"/>
    <xf numFmtId="0" fontId="44" fillId="0" borderId="271">
      <alignment horizontal="left" vertical="center"/>
    </xf>
    <xf numFmtId="0" fontId="70" fillId="0" borderId="251">
      <protection locked="0"/>
    </xf>
    <xf numFmtId="49" fontId="19" fillId="70" borderId="253">
      <alignment horizontal="center"/>
      <protection locked="0"/>
    </xf>
    <xf numFmtId="0" fontId="75" fillId="0" borderId="270"/>
    <xf numFmtId="0" fontId="70" fillId="0" borderId="254">
      <protection locked="0"/>
    </xf>
    <xf numFmtId="0" fontId="75" fillId="0" borderId="276"/>
    <xf numFmtId="0" fontId="70" fillId="0" borderId="278">
      <protection locked="0"/>
    </xf>
    <xf numFmtId="0" fontId="75" fillId="0" borderId="273"/>
    <xf numFmtId="49" fontId="19" fillId="70" borderId="268">
      <alignment horizontal="center"/>
      <protection locked="0"/>
    </xf>
    <xf numFmtId="0" fontId="75" fillId="0" borderId="255"/>
    <xf numFmtId="0" fontId="75" fillId="0" borderId="291"/>
    <xf numFmtId="0" fontId="70" fillId="0" borderId="260">
      <protection locked="0"/>
    </xf>
    <xf numFmtId="0" fontId="44" fillId="0" borderId="280">
      <alignment horizontal="left" vertical="center"/>
    </xf>
    <xf numFmtId="0" fontId="70" fillId="0" borderId="281">
      <protection locked="0"/>
    </xf>
    <xf numFmtId="0" fontId="75" fillId="0" borderId="267"/>
    <xf numFmtId="0" fontId="18" fillId="0" borderId="0"/>
    <xf numFmtId="9" fontId="18" fillId="0" borderId="0" applyFont="0" applyFill="0" applyBorder="0" applyAlignment="0" applyProtection="0"/>
    <xf numFmtId="0" fontId="35" fillId="51" borderId="296" applyNumberFormat="0" applyAlignment="0" applyProtection="0"/>
    <xf numFmtId="0" fontId="25" fillId="51" borderId="294" applyNumberFormat="0" applyAlignment="0" applyProtection="0"/>
    <xf numFmtId="43" fontId="18" fillId="0" borderId="0" applyFont="0" applyFill="0" applyBorder="0" applyAlignment="0" applyProtection="0"/>
    <xf numFmtId="0" fontId="32" fillId="38" borderId="294" applyNumberFormat="0" applyAlignment="0" applyProtection="0"/>
    <xf numFmtId="0" fontId="32" fillId="38" borderId="294" applyNumberFormat="0" applyAlignment="0" applyProtection="0"/>
    <xf numFmtId="43" fontId="18" fillId="0" borderId="0" applyFont="0" applyFill="0" applyBorder="0" applyAlignment="0" applyProtection="0"/>
    <xf numFmtId="0" fontId="22" fillId="58" borderId="295" applyNumberFormat="0" applyFont="0" applyAlignment="0" applyProtection="0"/>
    <xf numFmtId="0" fontId="35" fillId="51" borderId="296" applyNumberFormat="0" applyAlignment="0" applyProtection="0"/>
    <xf numFmtId="9" fontId="18" fillId="0" borderId="0" applyFont="0" applyFill="0" applyBorder="0" applyAlignment="0" applyProtection="0"/>
    <xf numFmtId="0" fontId="18" fillId="0" borderId="0"/>
    <xf numFmtId="0" fontId="37" fillId="0" borderId="297" applyNumberFormat="0" applyFill="0" applyAlignment="0" applyProtection="0"/>
    <xf numFmtId="0" fontId="37" fillId="0" borderId="297" applyNumberFormat="0" applyFill="0" applyAlignment="0" applyProtection="0"/>
    <xf numFmtId="0" fontId="18" fillId="0" borderId="0"/>
    <xf numFmtId="43" fontId="18" fillId="0" borderId="0" applyFont="0" applyFill="0" applyBorder="0" applyAlignment="0" applyProtection="0"/>
    <xf numFmtId="0" fontId="32" fillId="38" borderId="294" applyNumberFormat="0" applyAlignment="0" applyProtection="0"/>
    <xf numFmtId="0" fontId="35" fillId="51" borderId="296" applyNumberFormat="0" applyAlignment="0" applyProtection="0"/>
    <xf numFmtId="9" fontId="18" fillId="0" borderId="0" applyFont="0" applyFill="0" applyBorder="0" applyAlignment="0" applyProtection="0"/>
    <xf numFmtId="0" fontId="37" fillId="0" borderId="297" applyNumberFormat="0" applyFill="0" applyAlignment="0" applyProtection="0"/>
    <xf numFmtId="43" fontId="18" fillId="0" borderId="0" applyFont="0" applyFill="0" applyBorder="0" applyAlignment="0" applyProtection="0"/>
    <xf numFmtId="0" fontId="18" fillId="0" borderId="0"/>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0" fontId="16" fillId="0" borderId="297" applyNumberFormat="0" applyFill="0" applyAlignment="0" applyProtection="0"/>
    <xf numFmtId="0" fontId="70" fillId="0" borderId="293">
      <protection locked="0"/>
    </xf>
    <xf numFmtId="0" fontId="70" fillId="0" borderId="293">
      <protection locked="0"/>
    </xf>
    <xf numFmtId="0" fontId="70" fillId="0" borderId="293">
      <protection locked="0"/>
    </xf>
    <xf numFmtId="0" fontId="116" fillId="0" borderId="0"/>
    <xf numFmtId="0" fontId="22" fillId="8" borderId="8" applyNumberFormat="0" applyFont="0" applyAlignment="0" applyProtection="0"/>
    <xf numFmtId="0" fontId="22" fillId="58" borderId="299" applyNumberFormat="0" applyFont="0" applyAlignment="0" applyProtection="0"/>
    <xf numFmtId="0" fontId="23" fillId="44"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5" fillId="51" borderId="305" applyNumberFormat="0" applyAlignment="0" applyProtection="0"/>
    <xf numFmtId="0" fontId="22" fillId="35" borderId="0" applyNumberFormat="0" applyBorder="0" applyAlignment="0" applyProtection="0"/>
    <xf numFmtId="0" fontId="22" fillId="36" borderId="0" applyNumberFormat="0" applyBorder="0" applyAlignment="0" applyProtection="0"/>
    <xf numFmtId="0" fontId="47" fillId="0" borderId="0"/>
    <xf numFmtId="0" fontId="22" fillId="37" borderId="0" applyNumberFormat="0" applyBorder="0" applyAlignment="0" applyProtection="0"/>
    <xf numFmtId="0" fontId="26" fillId="52" borderId="13" applyNumberFormat="0" applyAlignment="0" applyProtection="0"/>
    <xf numFmtId="0" fontId="22" fillId="38" borderId="0" applyNumberFormat="0" applyBorder="0" applyAlignment="0" applyProtection="0"/>
    <xf numFmtId="43" fontId="116" fillId="0" borderId="0" applyFont="0" applyFill="0" applyBorder="0" applyAlignment="0" applyProtection="0"/>
    <xf numFmtId="0" fontId="62" fillId="0" borderId="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36"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58" fillId="0" borderId="0"/>
    <xf numFmtId="0" fontId="23" fillId="40" borderId="0" applyNumberFormat="0" applyBorder="0" applyAlignment="0" applyProtection="0"/>
    <xf numFmtId="0" fontId="23" fillId="41" borderId="0" applyNumberFormat="0" applyBorder="0" applyAlignment="0" applyProtection="0"/>
    <xf numFmtId="0" fontId="18" fillId="0" borderId="0"/>
    <xf numFmtId="0" fontId="23" fillId="44" borderId="0" applyNumberFormat="0" applyBorder="0" applyAlignment="0" applyProtection="0"/>
    <xf numFmtId="0" fontId="118" fillId="0" borderId="0"/>
    <xf numFmtId="0" fontId="23" fillId="45" borderId="0" applyNumberFormat="0" applyBorder="0" applyAlignment="0" applyProtection="0"/>
    <xf numFmtId="0" fontId="18" fillId="0" borderId="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43" fontId="103" fillId="0" borderId="0" applyFont="0" applyFill="0" applyBorder="0" applyAlignment="0" applyProtection="0"/>
    <xf numFmtId="0" fontId="23" fillId="49" borderId="0" applyNumberFormat="0" applyBorder="0" applyAlignment="0" applyProtection="0"/>
    <xf numFmtId="43" fontId="103" fillId="0" borderId="0" applyFont="0" applyFill="0" applyBorder="0" applyAlignment="0" applyProtection="0"/>
    <xf numFmtId="0" fontId="23" fillId="44" borderId="0" applyNumberFormat="0" applyBorder="0" applyAlignment="0" applyProtection="0"/>
    <xf numFmtId="43" fontId="22" fillId="0" borderId="0" applyFont="0" applyFill="0" applyBorder="0" applyAlignment="0" applyProtection="0"/>
    <xf numFmtId="0" fontId="23" fillId="45" borderId="0" applyNumberFormat="0" applyBorder="0" applyAlignment="0" applyProtection="0"/>
    <xf numFmtId="43" fontId="103" fillId="0" borderId="0" applyFont="0" applyFill="0" applyBorder="0" applyAlignment="0" applyProtection="0"/>
    <xf numFmtId="0" fontId="23" fillId="50" borderId="0" applyNumberFormat="0" applyBorder="0" applyAlignment="0" applyProtection="0"/>
    <xf numFmtId="43" fontId="117" fillId="0" borderId="0" applyFont="0" applyFill="0" applyBorder="0" applyAlignment="0" applyProtection="0"/>
    <xf numFmtId="0" fontId="24" fillId="34" borderId="0" applyNumberFormat="0" applyBorder="0" applyAlignment="0" applyProtection="0"/>
    <xf numFmtId="0" fontId="47" fillId="0" borderId="0"/>
    <xf numFmtId="0" fontId="25" fillId="51" borderId="294" applyNumberFormat="0" applyAlignment="0" applyProtection="0"/>
    <xf numFmtId="0" fontId="26" fillId="52" borderId="13" applyNumberFormat="0" applyAlignment="0" applyProtection="0"/>
    <xf numFmtId="43" fontId="116"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22" fillId="0" borderId="0" applyFont="0" applyFill="0" applyBorder="0" applyAlignment="0" applyProtection="0"/>
    <xf numFmtId="43" fontId="103" fillId="0" borderId="0" applyFont="0" applyFill="0" applyBorder="0" applyAlignment="0" applyProtection="0"/>
    <xf numFmtId="0" fontId="27" fillId="0" borderId="0" applyNumberFormat="0" applyFill="0" applyBorder="0" applyAlignment="0" applyProtection="0"/>
    <xf numFmtId="43" fontId="117" fillId="0" borderId="0" applyFont="0" applyFill="0" applyBorder="0" applyAlignment="0" applyProtection="0"/>
    <xf numFmtId="0" fontId="27" fillId="0" borderId="0" applyNumberFormat="0" applyFill="0" applyBorder="0" applyAlignment="0" applyProtection="0"/>
    <xf numFmtId="0" fontId="75" fillId="0" borderId="246"/>
    <xf numFmtId="0" fontId="75" fillId="0" borderId="246"/>
    <xf numFmtId="0" fontId="28" fillId="35" borderId="0" applyNumberFormat="0" applyBorder="0" applyAlignment="0" applyProtection="0"/>
    <xf numFmtId="0" fontId="34" fillId="57" borderId="0" applyNumberFormat="0" applyBorder="0" applyAlignment="0" applyProtection="0"/>
    <xf numFmtId="0" fontId="44" fillId="0" borderId="228">
      <alignment horizontal="left" vertical="center"/>
    </xf>
    <xf numFmtId="0" fontId="44" fillId="0" borderId="228">
      <alignment horizontal="left" vertical="center"/>
    </xf>
    <xf numFmtId="0" fontId="75" fillId="0" borderId="298"/>
    <xf numFmtId="0" fontId="75" fillId="0" borderId="298"/>
    <xf numFmtId="0" fontId="75" fillId="0" borderId="298"/>
    <xf numFmtId="0" fontId="75" fillId="0" borderId="298"/>
    <xf numFmtId="0" fontId="33" fillId="0" borderId="21" applyNumberFormat="0" applyFill="0" applyAlignment="0" applyProtection="0"/>
    <xf numFmtId="0" fontId="29" fillId="0" borderId="17" applyNumberFormat="0" applyFill="0" applyAlignment="0" applyProtection="0"/>
    <xf numFmtId="0" fontId="28" fillId="35" borderId="0" applyNumberFormat="0" applyBorder="0" applyAlignment="0" applyProtection="0"/>
    <xf numFmtId="0" fontId="30" fillId="0" borderId="18" applyNumberFormat="0" applyFill="0" applyAlignment="0" applyProtection="0"/>
    <xf numFmtId="0" fontId="34" fillId="57" borderId="0" applyNumberFormat="0" applyBorder="0" applyAlignment="0" applyProtection="0"/>
    <xf numFmtId="0" fontId="44" fillId="0" borderId="289">
      <alignment horizontal="left" vertical="center"/>
    </xf>
    <xf numFmtId="0" fontId="44" fillId="0" borderId="289">
      <alignment horizontal="left" vertical="center"/>
    </xf>
    <xf numFmtId="0" fontId="44" fillId="0" borderId="289">
      <alignment horizontal="left" vertical="center"/>
    </xf>
    <xf numFmtId="0" fontId="31" fillId="0" borderId="19" applyNumberFormat="0" applyFill="0" applyAlignment="0" applyProtection="0"/>
    <xf numFmtId="0" fontId="29" fillId="0" borderId="17" applyNumberFormat="0" applyFill="0" applyAlignment="0" applyProtection="0"/>
    <xf numFmtId="0" fontId="33" fillId="0" borderId="21" applyNumberFormat="0" applyFill="0" applyAlignment="0" applyProtection="0"/>
    <xf numFmtId="0" fontId="30" fillId="0" borderId="18" applyNumberFormat="0" applyFill="0" applyAlignment="0" applyProtection="0"/>
    <xf numFmtId="0" fontId="31" fillId="0" borderId="1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67" applyNumberFormat="0" applyAlignment="0" applyProtection="0"/>
    <xf numFmtId="0" fontId="32" fillId="38" borderId="302" applyNumberFormat="0" applyAlignment="0" applyProtection="0"/>
    <xf numFmtId="0" fontId="32" fillId="38" borderId="302" applyNumberFormat="0" applyAlignment="0" applyProtection="0"/>
    <xf numFmtId="0" fontId="32" fillId="38" borderId="167" applyNumberFormat="0" applyAlignment="0" applyProtection="0"/>
    <xf numFmtId="0" fontId="32" fillId="38" borderId="294" applyNumberFormat="0" applyAlignment="0" applyProtection="0"/>
    <xf numFmtId="0" fontId="32" fillId="38" borderId="294" applyNumberFormat="0" applyAlignment="0" applyProtection="0"/>
    <xf numFmtId="0" fontId="32" fillId="38" borderId="305" applyNumberFormat="0" applyAlignment="0" applyProtection="0"/>
    <xf numFmtId="0" fontId="33" fillId="0" borderId="21" applyNumberFormat="0" applyFill="0" applyAlignment="0" applyProtection="0"/>
    <xf numFmtId="0" fontId="31" fillId="0" borderId="0" applyNumberFormat="0" applyFill="0" applyBorder="0" applyAlignment="0" applyProtection="0"/>
    <xf numFmtId="0" fontId="32" fillId="38" borderId="305" applyNumberFormat="0" applyAlignment="0" applyProtection="0"/>
    <xf numFmtId="0" fontId="34" fillId="57" borderId="0" applyNumberFormat="0" applyBorder="0" applyAlignment="0" applyProtection="0"/>
    <xf numFmtId="0" fontId="31" fillId="0" borderId="19" applyNumberFormat="0" applyFill="0" applyAlignment="0" applyProtection="0"/>
    <xf numFmtId="0" fontId="30" fillId="0" borderId="18" applyNumberFormat="0" applyFill="0" applyAlignment="0" applyProtection="0"/>
    <xf numFmtId="0" fontId="29" fillId="0" borderId="17" applyNumberFormat="0" applyFill="0" applyAlignment="0" applyProtection="0"/>
    <xf numFmtId="0" fontId="31" fillId="0" borderId="0" applyNumberFormat="0" applyFill="0" applyBorder="0" applyAlignment="0" applyProtection="0"/>
    <xf numFmtId="0" fontId="44" fillId="0" borderId="277">
      <alignment horizontal="left" vertical="center"/>
    </xf>
    <xf numFmtId="0" fontId="44" fillId="0" borderId="277">
      <alignment horizontal="left" vertical="center"/>
    </xf>
    <xf numFmtId="0" fontId="33" fillId="0" borderId="21" applyNumberFormat="0" applyFill="0" applyAlignment="0" applyProtection="0"/>
    <xf numFmtId="0" fontId="31" fillId="0" borderId="19" applyNumberFormat="0" applyFill="0" applyAlignment="0" applyProtection="0"/>
    <xf numFmtId="0" fontId="34" fillId="57" borderId="0" applyNumberFormat="0" applyBorder="0" applyAlignment="0" applyProtection="0"/>
    <xf numFmtId="0" fontId="28" fillId="35" borderId="0" applyNumberFormat="0" applyBorder="0" applyAlignment="0" applyProtection="0"/>
    <xf numFmtId="0" fontId="30" fillId="0" borderId="18" applyNumberFormat="0" applyFill="0" applyAlignment="0" applyProtection="0"/>
    <xf numFmtId="0" fontId="75" fillId="0" borderId="282"/>
    <xf numFmtId="0" fontId="75" fillId="0" borderId="282"/>
    <xf numFmtId="0" fontId="29" fillId="0" borderId="17" applyNumberFormat="0" applyFill="0" applyAlignment="0" applyProtection="0"/>
    <xf numFmtId="0" fontId="44" fillId="0" borderId="192">
      <alignment horizontal="left" vertical="center"/>
    </xf>
    <xf numFmtId="0" fontId="44" fillId="0" borderId="192">
      <alignment horizontal="left" vertical="center"/>
    </xf>
    <xf numFmtId="0" fontId="28" fillId="35" borderId="0" applyNumberFormat="0" applyBorder="0" applyAlignment="0" applyProtection="0"/>
    <xf numFmtId="0" fontId="75" fillId="0" borderId="212"/>
    <xf numFmtId="0" fontId="75" fillId="0" borderId="212"/>
    <xf numFmtId="0" fontId="75" fillId="0" borderId="212"/>
    <xf numFmtId="0" fontId="27" fillId="0" borderId="0" applyNumberFormat="0" applyFill="0" applyBorder="0" applyAlignment="0" applyProtection="0"/>
    <xf numFmtId="0" fontId="47" fillId="0" borderId="0"/>
    <xf numFmtId="43" fontId="117" fillId="0" borderId="0" applyFont="0" applyFill="0" applyBorder="0" applyAlignment="0" applyProtection="0"/>
    <xf numFmtId="0" fontId="27" fillId="0" borderId="0" applyNumberFormat="0" applyFill="0" applyBorder="0" applyAlignment="0" applyProtection="0"/>
    <xf numFmtId="43" fontId="103" fillId="0" borderId="0" applyFont="0" applyFill="0" applyBorder="0" applyAlignment="0" applyProtection="0"/>
    <xf numFmtId="43" fontId="22"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0" fontId="18" fillId="0" borderId="0"/>
    <xf numFmtId="0" fontId="118" fillId="0" borderId="0"/>
    <xf numFmtId="0" fontId="18" fillId="0" borderId="0"/>
    <xf numFmtId="0" fontId="58" fillId="0" borderId="0"/>
    <xf numFmtId="0" fontId="62" fillId="0" borderId="0"/>
    <xf numFmtId="43" fontId="116" fillId="0" borderId="0" applyFont="0" applyFill="0" applyBorder="0" applyAlignment="0" applyProtection="0"/>
    <xf numFmtId="0" fontId="26" fillId="52" borderId="13" applyNumberFormat="0" applyAlignment="0" applyProtection="0"/>
    <xf numFmtId="0" fontId="47" fillId="0" borderId="0"/>
    <xf numFmtId="0" fontId="25" fillId="51" borderId="302" applyNumberFormat="0" applyAlignment="0" applyProtection="0"/>
    <xf numFmtId="0" fontId="24" fillId="34" borderId="0" applyNumberFormat="0" applyBorder="0" applyAlignment="0" applyProtection="0"/>
    <xf numFmtId="43" fontId="117" fillId="0" borderId="0" applyFont="0" applyFill="0" applyBorder="0" applyAlignment="0" applyProtection="0"/>
    <xf numFmtId="0" fontId="23" fillId="50" borderId="0" applyNumberFormat="0" applyBorder="0" applyAlignment="0" applyProtection="0"/>
    <xf numFmtId="43" fontId="103" fillId="0" borderId="0" applyFont="0" applyFill="0" applyBorder="0" applyAlignment="0" applyProtection="0"/>
    <xf numFmtId="0" fontId="23" fillId="45" borderId="0" applyNumberFormat="0" applyBorder="0" applyAlignment="0" applyProtection="0"/>
    <xf numFmtId="43" fontId="22" fillId="0" borderId="0" applyFont="0" applyFill="0" applyBorder="0" applyAlignment="0" applyProtection="0"/>
    <xf numFmtId="0" fontId="22" fillId="58" borderId="299"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3" fillId="44" borderId="0" applyNumberFormat="0" applyBorder="0" applyAlignment="0" applyProtection="0"/>
    <xf numFmtId="43" fontId="103" fillId="0" borderId="0" applyFont="0" applyFill="0" applyBorder="0" applyAlignment="0" applyProtection="0"/>
    <xf numFmtId="0" fontId="35" fillId="51" borderId="300" applyNumberFormat="0" applyAlignment="0" applyProtection="0"/>
    <xf numFmtId="0" fontId="23" fillId="49" borderId="0" applyNumberFormat="0" applyBorder="0" applyAlignment="0" applyProtection="0"/>
    <xf numFmtId="43" fontId="103" fillId="0" borderId="0" applyFont="0" applyFill="0" applyBorder="0" applyAlignment="0" applyProtection="0"/>
    <xf numFmtId="0" fontId="23" fillId="48" borderId="0" applyNumberFormat="0" applyBorder="0" applyAlignment="0" applyProtection="0"/>
    <xf numFmtId="0" fontId="23" fillId="47" borderId="0" applyNumberFormat="0" applyBorder="0" applyAlignment="0" applyProtection="0"/>
    <xf numFmtId="0" fontId="18" fillId="0" borderId="0"/>
    <xf numFmtId="0" fontId="23" fillId="46" borderId="0" applyNumberFormat="0" applyBorder="0" applyAlignment="0" applyProtection="0"/>
    <xf numFmtId="0" fontId="118" fillId="0" borderId="0"/>
    <xf numFmtId="0" fontId="23" fillId="45" borderId="0" applyNumberFormat="0" applyBorder="0" applyAlignment="0" applyProtection="0"/>
    <xf numFmtId="0" fontId="18" fillId="0" borderId="0"/>
    <xf numFmtId="0" fontId="23" fillId="44" borderId="0" applyNumberFormat="0" applyBorder="0" applyAlignment="0" applyProtection="0"/>
    <xf numFmtId="0" fontId="23" fillId="41" borderId="0" applyNumberFormat="0" applyBorder="0" applyAlignment="0" applyProtection="0"/>
    <xf numFmtId="0" fontId="58" fillId="0" borderId="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62" fillId="0" borderId="0"/>
    <xf numFmtId="0" fontId="22" fillId="39" borderId="0" applyNumberFormat="0" applyBorder="0" applyAlignment="0" applyProtection="0"/>
    <xf numFmtId="43" fontId="116" fillId="0" borderId="0" applyFont="0" applyFill="0" applyBorder="0" applyAlignment="0" applyProtection="0"/>
    <xf numFmtId="0" fontId="22" fillId="38" borderId="0" applyNumberFormat="0" applyBorder="0" applyAlignment="0" applyProtection="0"/>
    <xf numFmtId="0" fontId="26" fillId="52" borderId="13" applyNumberFormat="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5" fillId="51" borderId="167" applyNumberFormat="0" applyAlignment="0" applyProtection="0"/>
    <xf numFmtId="0" fontId="22" fillId="34" borderId="0" applyNumberFormat="0" applyBorder="0" applyAlignment="0" applyProtection="0"/>
    <xf numFmtId="0" fontId="70" fillId="0" borderId="281">
      <protection locked="0"/>
    </xf>
    <xf numFmtId="0" fontId="70" fillId="0" borderId="281">
      <protection locked="0"/>
    </xf>
    <xf numFmtId="0" fontId="70" fillId="0" borderId="281">
      <protection locked="0"/>
    </xf>
    <xf numFmtId="0" fontId="70" fillId="0" borderId="281">
      <protection locked="0"/>
    </xf>
    <xf numFmtId="0" fontId="70" fillId="0" borderId="281">
      <protection locked="0"/>
    </xf>
    <xf numFmtId="0" fontId="70" fillId="0" borderId="281">
      <protection locked="0"/>
    </xf>
    <xf numFmtId="0" fontId="22" fillId="33" borderId="0" applyNumberFormat="0" applyBorder="0" applyAlignment="0" applyProtection="0"/>
    <xf numFmtId="0" fontId="24" fillId="34" borderId="0" applyNumberFormat="0" applyBorder="0" applyAlignment="0" applyProtection="0"/>
    <xf numFmtId="0" fontId="36" fillId="0" borderId="0" applyNumberFormat="0" applyFill="0" applyBorder="0" applyAlignment="0" applyProtection="0"/>
    <xf numFmtId="0" fontId="37" fillId="0" borderId="301" applyNumberFormat="0" applyFill="0" applyAlignment="0" applyProtection="0"/>
    <xf numFmtId="0" fontId="23" fillId="50"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38" fillId="0" borderId="0" applyNumberFormat="0" applyFill="0" applyBorder="0" applyAlignment="0" applyProtection="0"/>
    <xf numFmtId="0" fontId="22" fillId="58" borderId="16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49" fontId="19" fillId="70" borderId="289">
      <alignment horizontal="center"/>
      <protection locked="0"/>
    </xf>
    <xf numFmtId="49" fontId="19" fillId="70" borderId="289">
      <alignment horizontal="center"/>
      <protection locked="0"/>
    </xf>
    <xf numFmtId="0" fontId="116" fillId="0" borderId="0"/>
    <xf numFmtId="0" fontId="22" fillId="8" borderId="8" applyNumberFormat="0" applyFont="0" applyAlignment="0" applyProtection="0"/>
    <xf numFmtId="0" fontId="23" fillId="49" borderId="0" applyNumberFormat="0" applyBorder="0" applyAlignment="0" applyProtection="0"/>
    <xf numFmtId="0" fontId="35" fillId="51" borderId="303" applyNumberFormat="0" applyAlignment="0" applyProtection="0"/>
    <xf numFmtId="0" fontId="23" fillId="48" borderId="0" applyNumberFormat="0" applyBorder="0" applyAlignment="0" applyProtection="0"/>
    <xf numFmtId="0" fontId="18" fillId="0" borderId="0"/>
    <xf numFmtId="0" fontId="23" fillId="47" borderId="0" applyNumberFormat="0" applyBorder="0" applyAlignment="0" applyProtection="0"/>
    <xf numFmtId="0" fontId="118" fillId="0" borderId="0"/>
    <xf numFmtId="0" fontId="23" fillId="46" borderId="0" applyNumberFormat="0" applyBorder="0" applyAlignment="0" applyProtection="0"/>
    <xf numFmtId="0" fontId="18" fillId="0" borderId="0"/>
    <xf numFmtId="0" fontId="23" fillId="45" borderId="0" applyNumberFormat="0" applyBorder="0" applyAlignment="0" applyProtection="0"/>
    <xf numFmtId="0" fontId="23" fillId="44" borderId="0" applyNumberFormat="0" applyBorder="0" applyAlignment="0" applyProtection="0"/>
    <xf numFmtId="0" fontId="58" fillId="0" borderId="0"/>
    <xf numFmtId="0" fontId="23" fillId="41" borderId="0" applyNumberFormat="0" applyBorder="0" applyAlignment="0" applyProtection="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62" fillId="0" borderId="0"/>
    <xf numFmtId="0" fontId="22" fillId="40" borderId="0" applyNumberFormat="0" applyBorder="0" applyAlignment="0" applyProtection="0"/>
    <xf numFmtId="0" fontId="22" fillId="39" borderId="0" applyNumberFormat="0" applyBorder="0" applyAlignment="0" applyProtection="0"/>
    <xf numFmtId="0" fontId="22" fillId="38" borderId="0" applyNumberFormat="0" applyBorder="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34" borderId="0" applyNumberFormat="0" applyBorder="0" applyAlignment="0" applyProtection="0"/>
    <xf numFmtId="0" fontId="22" fillId="33" borderId="0" applyNumberFormat="0" applyBorder="0" applyAlignment="0" applyProtection="0"/>
    <xf numFmtId="0" fontId="70" fillId="0" borderId="245">
      <protection locked="0"/>
    </xf>
    <xf numFmtId="0" fontId="70" fillId="0" borderId="245">
      <protection locked="0"/>
    </xf>
    <xf numFmtId="0" fontId="70" fillId="0" borderId="245">
      <protection locked="0"/>
    </xf>
    <xf numFmtId="0" fontId="70" fillId="0" borderId="245">
      <protection locked="0"/>
    </xf>
    <xf numFmtId="0" fontId="70" fillId="0" borderId="245">
      <protection locked="0"/>
    </xf>
    <xf numFmtId="0" fontId="70" fillId="0" borderId="245">
      <protection locked="0"/>
    </xf>
    <xf numFmtId="0" fontId="36" fillId="0" borderId="0" applyNumberFormat="0" applyFill="0" applyBorder="0" applyAlignment="0" applyProtection="0"/>
    <xf numFmtId="0" fontId="37" fillId="0" borderId="304" applyNumberFormat="0" applyFill="0" applyAlignment="0" applyProtection="0"/>
    <xf numFmtId="0" fontId="22" fillId="58" borderId="306"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38" fillId="0" borderId="0" applyNumberFormat="0" applyFill="0" applyBorder="0" applyAlignment="0" applyProtection="0"/>
    <xf numFmtId="49" fontId="19" fillId="70" borderId="277">
      <alignment horizontal="center"/>
      <protection locked="0"/>
    </xf>
    <xf numFmtId="49" fontId="19" fillId="70" borderId="277">
      <alignment horizontal="center"/>
      <protection locked="0"/>
    </xf>
    <xf numFmtId="49" fontId="19" fillId="70" borderId="277">
      <alignment horizontal="center"/>
      <protection locked="0"/>
    </xf>
    <xf numFmtId="49" fontId="19" fillId="70" borderId="277">
      <alignment horizontal="center"/>
      <protection locked="0"/>
    </xf>
    <xf numFmtId="0" fontId="116" fillId="0" borderId="0"/>
    <xf numFmtId="0" fontId="23" fillId="49" borderId="0" applyNumberFormat="0" applyBorder="0" applyAlignment="0" applyProtection="0"/>
    <xf numFmtId="0" fontId="35" fillId="51" borderId="173" applyNumberFormat="0" applyAlignment="0" applyProtection="0"/>
    <xf numFmtId="0" fontId="23" fillId="48"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1" borderId="0" applyNumberFormat="0" applyBorder="0" applyAlignment="0" applyProtection="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22" fillId="39" borderId="0" applyNumberFormat="0" applyBorder="0" applyAlignment="0" applyProtection="0"/>
    <xf numFmtId="0" fontId="22" fillId="38" borderId="0" applyNumberFormat="0" applyBorder="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34" borderId="0" applyNumberFormat="0" applyBorder="0" applyAlignment="0" applyProtection="0"/>
    <xf numFmtId="0" fontId="22" fillId="33" borderId="0" applyNumberFormat="0" applyBorder="0" applyAlignment="0" applyProtection="0"/>
    <xf numFmtId="0" fontId="70" fillId="0" borderId="196">
      <protection locked="0"/>
    </xf>
    <xf numFmtId="0" fontId="70" fillId="0" borderId="196">
      <protection locked="0"/>
    </xf>
    <xf numFmtId="0" fontId="70" fillId="0" borderId="196">
      <protection locked="0"/>
    </xf>
    <xf numFmtId="0" fontId="70" fillId="0" borderId="196">
      <protection locked="0"/>
    </xf>
    <xf numFmtId="0" fontId="70" fillId="0" borderId="196">
      <protection locked="0"/>
    </xf>
    <xf numFmtId="0" fontId="36" fillId="0" borderId="0" applyNumberFormat="0" applyFill="0" applyBorder="0" applyAlignment="0" applyProtection="0"/>
    <xf numFmtId="0" fontId="37" fillId="0" borderId="174" applyNumberFormat="0" applyFill="0" applyAlignment="0" applyProtection="0"/>
    <xf numFmtId="0" fontId="38" fillId="0" borderId="0" applyNumberFormat="0" applyFill="0" applyBorder="0" applyAlignment="0" applyProtection="0"/>
    <xf numFmtId="49" fontId="19" fillId="70" borderId="228">
      <alignment horizontal="center"/>
      <protection locked="0"/>
    </xf>
    <xf numFmtId="49" fontId="19" fillId="70" borderId="228">
      <alignment horizontal="center"/>
      <protection locked="0"/>
    </xf>
    <xf numFmtId="49" fontId="19" fillId="70" borderId="228">
      <alignment horizontal="center"/>
      <protection locked="0"/>
    </xf>
    <xf numFmtId="49" fontId="19" fillId="70" borderId="228">
      <alignment horizontal="center"/>
      <protection locked="0"/>
    </xf>
    <xf numFmtId="0" fontId="116" fillId="0" borderId="0"/>
    <xf numFmtId="0" fontId="35" fillId="51" borderId="307" applyNumberFormat="0" applyAlignment="0" applyProtection="0"/>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36" fillId="0" borderId="0" applyNumberFormat="0" applyFill="0" applyBorder="0" applyAlignment="0" applyProtection="0"/>
    <xf numFmtId="0" fontId="37" fillId="0" borderId="309" applyNumberFormat="0" applyFill="0" applyAlignment="0" applyProtection="0"/>
    <xf numFmtId="0" fontId="38" fillId="0" borderId="0" applyNumberFormat="0" applyFill="0" applyBorder="0" applyAlignment="0" applyProtection="0"/>
    <xf numFmtId="49" fontId="19" fillId="70" borderId="192">
      <alignment horizontal="center"/>
      <protection locked="0"/>
    </xf>
    <xf numFmtId="49" fontId="19" fillId="70" borderId="192">
      <alignment horizontal="center"/>
      <protection locked="0"/>
    </xf>
    <xf numFmtId="0" fontId="25" fillId="51" borderId="305" applyNumberFormat="0" applyAlignment="0" applyProtection="0"/>
    <xf numFmtId="0" fontId="22" fillId="58" borderId="310" applyNumberFormat="0" applyFont="0" applyAlignment="0" applyProtection="0"/>
    <xf numFmtId="0" fontId="35" fillId="51" borderId="311" applyNumberFormat="0" applyAlignment="0" applyProtection="0"/>
    <xf numFmtId="0" fontId="37" fillId="0" borderId="312" applyNumberFormat="0" applyFill="0" applyAlignment="0" applyProtection="0"/>
    <xf numFmtId="0" fontId="32" fillId="38" borderId="305" applyNumberFormat="0" applyAlignment="0" applyProtection="0"/>
    <xf numFmtId="0" fontId="32" fillId="38" borderId="305" applyNumberFormat="0" applyAlignment="0" applyProtection="0"/>
    <xf numFmtId="0" fontId="32" fillId="38" borderId="305" applyNumberFormat="0" applyAlignment="0" applyProtection="0"/>
    <xf numFmtId="0" fontId="32" fillId="38" borderId="305" applyNumberFormat="0" applyAlignment="0" applyProtection="0"/>
    <xf numFmtId="43" fontId="18" fillId="0" borderId="0" applyFont="0" applyFill="0" applyBorder="0" applyAlignment="0" applyProtection="0"/>
    <xf numFmtId="0" fontId="119" fillId="0" borderId="0"/>
    <xf numFmtId="0" fontId="70" fillId="0" borderId="353">
      <protection locked="0"/>
    </xf>
    <xf numFmtId="0" fontId="44" fillId="0" borderId="316">
      <alignment horizontal="left" vertical="center"/>
    </xf>
    <xf numFmtId="0" fontId="70" fillId="0" borderId="317">
      <protection locked="0"/>
    </xf>
    <xf numFmtId="0" fontId="75" fillId="0" borderId="321"/>
    <xf numFmtId="0" fontId="44" fillId="0" borderId="325">
      <alignment horizontal="left" vertical="center"/>
    </xf>
    <xf numFmtId="0" fontId="75" fillId="0" borderId="315"/>
    <xf numFmtId="49" fontId="19" fillId="70" borderId="340">
      <alignment horizontal="center"/>
      <protection locked="0"/>
    </xf>
    <xf numFmtId="0" fontId="44" fillId="0" borderId="313">
      <alignment horizontal="left" vertical="center"/>
    </xf>
    <xf numFmtId="0" fontId="70" fillId="0" borderId="314">
      <protection locked="0"/>
    </xf>
    <xf numFmtId="0" fontId="18" fillId="0" borderId="0"/>
    <xf numFmtId="49" fontId="19" fillId="70" borderId="337">
      <alignment horizontal="center"/>
      <protection locked="0"/>
    </xf>
    <xf numFmtId="49" fontId="19" fillId="70" borderId="337">
      <alignment horizontal="center"/>
      <protection locked="0"/>
    </xf>
    <xf numFmtId="49" fontId="19" fillId="70" borderId="334">
      <alignment horizontal="center"/>
      <protection locked="0"/>
    </xf>
    <xf numFmtId="0" fontId="70" fillId="0" borderId="326">
      <protection locked="0"/>
    </xf>
    <xf numFmtId="0" fontId="70" fillId="0" borderId="341">
      <protection locked="0"/>
    </xf>
    <xf numFmtId="0" fontId="75" fillId="0" borderId="339"/>
    <xf numFmtId="49" fontId="19" fillId="70" borderId="328">
      <alignment horizontal="center"/>
      <protection locked="0"/>
    </xf>
    <xf numFmtId="0" fontId="75" fillId="0" borderId="324"/>
    <xf numFmtId="0" fontId="70" fillId="0" borderId="356">
      <protection locked="0"/>
    </xf>
    <xf numFmtId="49" fontId="19" fillId="70" borderId="340">
      <alignment horizontal="center"/>
      <protection locked="0"/>
    </xf>
    <xf numFmtId="0" fontId="70" fillId="0" borderId="344">
      <protection locked="0"/>
    </xf>
    <xf numFmtId="49" fontId="19" fillId="70" borderId="322">
      <alignment horizontal="center"/>
      <protection locked="0"/>
    </xf>
    <xf numFmtId="0" fontId="70" fillId="0" borderId="350">
      <protection locked="0"/>
    </xf>
    <xf numFmtId="0" fontId="44" fillId="0" borderId="331">
      <alignment horizontal="left" vertical="center"/>
    </xf>
    <xf numFmtId="0" fontId="70" fillId="0" borderId="338">
      <protection locked="0"/>
    </xf>
    <xf numFmtId="0" fontId="75" fillId="0" borderId="336"/>
    <xf numFmtId="0" fontId="70" fillId="0" borderId="329">
      <protection locked="0"/>
    </xf>
    <xf numFmtId="0" fontId="44" fillId="0" borderId="349">
      <alignment horizontal="left" vertical="center"/>
    </xf>
    <xf numFmtId="0" fontId="75" fillId="0" borderId="345"/>
    <xf numFmtId="0" fontId="44" fillId="0" borderId="340">
      <alignment horizontal="left" vertical="center"/>
    </xf>
    <xf numFmtId="0" fontId="75" fillId="0" borderId="336"/>
    <xf numFmtId="0" fontId="75" fillId="0" borderId="333"/>
    <xf numFmtId="0" fontId="70" fillId="0" borderId="347">
      <protection locked="0"/>
    </xf>
    <xf numFmtId="0" fontId="44" fillId="0" borderId="337">
      <alignment horizontal="left" vertical="center"/>
    </xf>
    <xf numFmtId="0" fontId="44" fillId="0" borderId="334">
      <alignment horizontal="left" vertical="center"/>
    </xf>
    <xf numFmtId="0" fontId="75" fillId="0" borderId="354"/>
    <xf numFmtId="49" fontId="19" fillId="70" borderId="334">
      <alignment horizontal="center"/>
      <protection locked="0"/>
    </xf>
    <xf numFmtId="0" fontId="44" fillId="0" borderId="343">
      <alignment horizontal="left" vertical="center"/>
    </xf>
    <xf numFmtId="0" fontId="70" fillId="0" borderId="323">
      <protection locked="0"/>
    </xf>
    <xf numFmtId="0" fontId="75" fillId="0" borderId="327"/>
    <xf numFmtId="0" fontId="44" fillId="0" borderId="352">
      <alignment horizontal="left" vertical="center"/>
    </xf>
    <xf numFmtId="49" fontId="19" fillId="70" borderId="349">
      <alignment horizontal="center"/>
      <protection locked="0"/>
    </xf>
    <xf numFmtId="0" fontId="75" fillId="0" borderId="348"/>
    <xf numFmtId="0" fontId="75" fillId="0" borderId="321"/>
    <xf numFmtId="0" fontId="44" fillId="0" borderId="319">
      <alignment horizontal="left" vertical="center"/>
    </xf>
    <xf numFmtId="0" fontId="70" fillId="0" borderId="320">
      <protection locked="0"/>
    </xf>
    <xf numFmtId="49" fontId="19" fillId="70" borderId="316">
      <alignment horizontal="center"/>
      <protection locked="0"/>
    </xf>
    <xf numFmtId="0" fontId="44" fillId="0" borderId="328">
      <alignment horizontal="left" vertical="center"/>
    </xf>
    <xf numFmtId="49" fontId="19" fillId="70" borderId="343">
      <alignment horizontal="center"/>
      <protection locked="0"/>
    </xf>
    <xf numFmtId="49" fontId="19" fillId="70" borderId="331">
      <alignment horizontal="center"/>
      <protection locked="0"/>
    </xf>
    <xf numFmtId="0" fontId="75" fillId="0" borderId="321"/>
    <xf numFmtId="0" fontId="70" fillId="0" borderId="332">
      <protection locked="0"/>
    </xf>
    <xf numFmtId="0" fontId="70" fillId="0" borderId="335">
      <protection locked="0"/>
    </xf>
    <xf numFmtId="0" fontId="75" fillId="0" borderId="318"/>
    <xf numFmtId="49" fontId="19" fillId="70" borderId="352">
      <alignment horizontal="center"/>
      <protection locked="0"/>
    </xf>
    <xf numFmtId="49" fontId="19" fillId="70" borderId="352">
      <alignment horizontal="center"/>
      <protection locked="0"/>
    </xf>
    <xf numFmtId="0" fontId="75" fillId="0" borderId="354"/>
    <xf numFmtId="0" fontId="44" fillId="0" borderId="322">
      <alignment horizontal="left" vertical="center"/>
    </xf>
    <xf numFmtId="49" fontId="19" fillId="70" borderId="328">
      <alignment horizontal="center"/>
      <protection locked="0"/>
    </xf>
    <xf numFmtId="0" fontId="44" fillId="0" borderId="355">
      <alignment horizontal="left" vertical="center"/>
    </xf>
    <xf numFmtId="0" fontId="75" fillId="0" borderId="351"/>
    <xf numFmtId="0" fontId="70" fillId="0" borderId="329">
      <protection locked="0"/>
    </xf>
    <xf numFmtId="0" fontId="44" fillId="0" borderId="328">
      <alignment horizontal="left" vertical="center"/>
    </xf>
    <xf numFmtId="0" fontId="75" fillId="0" borderId="330"/>
    <xf numFmtId="49" fontId="19" fillId="70" borderId="325">
      <alignment horizontal="center"/>
      <protection locked="0"/>
    </xf>
    <xf numFmtId="0" fontId="75" fillId="0" borderId="339"/>
    <xf numFmtId="0" fontId="44" fillId="0" borderId="346">
      <alignment horizontal="left" vertical="center"/>
    </xf>
    <xf numFmtId="0" fontId="75" fillId="0" borderId="342"/>
    <xf numFmtId="0" fontId="25" fillId="51"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22" fillId="58" borderId="358" applyNumberFormat="0" applyFont="0" applyAlignment="0" applyProtection="0"/>
    <xf numFmtId="0" fontId="35" fillId="51" borderId="359"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7" fillId="0" borderId="360" applyNumberFormat="0" applyFill="0" applyAlignment="0" applyProtection="0"/>
    <xf numFmtId="0" fontId="25" fillId="51" borderId="357" applyNumberFormat="0" applyAlignment="0" applyProtection="0"/>
    <xf numFmtId="0" fontId="32" fillId="38" borderId="357" applyNumberFormat="0" applyAlignment="0" applyProtection="0"/>
    <xf numFmtId="0" fontId="22" fillId="58" borderId="358" applyNumberFormat="0" applyFont="0" applyAlignment="0" applyProtection="0"/>
    <xf numFmtId="0" fontId="35" fillId="51" borderId="359" applyNumberFormat="0" applyAlignment="0" applyProtection="0"/>
    <xf numFmtId="0" fontId="37" fillId="0" borderId="360" applyNumberFormat="0" applyFill="0" applyAlignment="0" applyProtection="0"/>
    <xf numFmtId="0" fontId="75" fillId="0" borderId="361"/>
    <xf numFmtId="0" fontId="44" fillId="0" borderId="374">
      <alignment horizontal="left" vertical="center"/>
    </xf>
    <xf numFmtId="0" fontId="70" fillId="0" borderId="405">
      <protection locked="0"/>
    </xf>
    <xf numFmtId="0" fontId="70" fillId="0" borderId="363">
      <protection locked="0"/>
    </xf>
    <xf numFmtId="0" fontId="44" fillId="0" borderId="362">
      <alignment horizontal="left" vertical="center"/>
    </xf>
    <xf numFmtId="0" fontId="44" fillId="0" borderId="404">
      <alignment horizontal="left" vertical="center"/>
    </xf>
    <xf numFmtId="0" fontId="44" fillId="0" borderId="380">
      <alignment horizontal="left" vertical="center"/>
    </xf>
    <xf numFmtId="0" fontId="75" fillId="0" borderId="382"/>
    <xf numFmtId="0" fontId="70" fillId="0" borderId="381">
      <protection locked="0"/>
    </xf>
    <xf numFmtId="0" fontId="75" fillId="0" borderId="370"/>
    <xf numFmtId="49" fontId="19" fillId="70" borderId="407">
      <alignment horizontal="center"/>
      <protection locked="0"/>
    </xf>
    <xf numFmtId="49" fontId="19" fillId="70" borderId="389">
      <alignment horizontal="center"/>
      <protection locked="0"/>
    </xf>
    <xf numFmtId="49" fontId="19" fillId="70" borderId="392">
      <alignment horizontal="center"/>
      <protection locked="0"/>
    </xf>
    <xf numFmtId="0" fontId="70" fillId="0" borderId="387">
      <protection locked="0"/>
    </xf>
    <xf numFmtId="0" fontId="75" fillId="0" borderId="376"/>
    <xf numFmtId="0" fontId="70" fillId="0" borderId="393">
      <protection locked="0"/>
    </xf>
    <xf numFmtId="0" fontId="75" fillId="0" borderId="382"/>
    <xf numFmtId="0" fontId="44" fillId="0" borderId="386">
      <alignment horizontal="left" vertical="center"/>
    </xf>
    <xf numFmtId="0" fontId="70" fillId="0" borderId="408">
      <protection locked="0"/>
    </xf>
    <xf numFmtId="0" fontId="70" fillId="0" borderId="375">
      <protection locked="0"/>
    </xf>
    <xf numFmtId="0" fontId="44" fillId="0" borderId="410">
      <alignment horizontal="left" vertical="center"/>
    </xf>
    <xf numFmtId="0" fontId="70" fillId="0" borderId="411">
      <protection locked="0"/>
    </xf>
    <xf numFmtId="0" fontId="44" fillId="0" borderId="383">
      <alignment horizontal="left" vertical="center"/>
    </xf>
    <xf numFmtId="0" fontId="70" fillId="0" borderId="390">
      <protection locked="0"/>
    </xf>
    <xf numFmtId="0" fontId="70" fillId="0" borderId="384">
      <protection locked="0"/>
    </xf>
    <xf numFmtId="0" fontId="44" fillId="0" borderId="368">
      <alignment horizontal="left" vertical="center"/>
    </xf>
    <xf numFmtId="0" fontId="44" fillId="0" borderId="407">
      <alignment horizontal="left" vertical="center"/>
    </xf>
    <xf numFmtId="0" fontId="75" fillId="0" borderId="373"/>
    <xf numFmtId="0" fontId="44" fillId="0" borderId="371">
      <alignment horizontal="left" vertical="center"/>
    </xf>
    <xf numFmtId="0" fontId="70" fillId="0" borderId="402">
      <protection locked="0"/>
    </xf>
    <xf numFmtId="0" fontId="75" fillId="0" borderId="379"/>
    <xf numFmtId="0" fontId="75" fillId="0" borderId="406"/>
    <xf numFmtId="0" fontId="75" fillId="0" borderId="367"/>
    <xf numFmtId="0" fontId="44" fillId="0" borderId="365">
      <alignment horizontal="left" vertical="center"/>
    </xf>
    <xf numFmtId="0" fontId="70" fillId="0" borderId="366">
      <protection locked="0"/>
    </xf>
    <xf numFmtId="49" fontId="19" fillId="70" borderId="362">
      <alignment horizontal="center"/>
      <protection locked="0"/>
    </xf>
    <xf numFmtId="49" fontId="19" fillId="70" borderId="398">
      <alignment horizontal="center"/>
      <protection locked="0"/>
    </xf>
    <xf numFmtId="49" fontId="19" fillId="70" borderId="371">
      <alignment horizontal="center"/>
      <protection locked="0"/>
    </xf>
    <xf numFmtId="0" fontId="44" fillId="0" borderId="401">
      <alignment horizontal="left" vertical="center"/>
    </xf>
    <xf numFmtId="0" fontId="75" fillId="0" borderId="385"/>
    <xf numFmtId="0" fontId="75" fillId="0" borderId="400"/>
    <xf numFmtId="0" fontId="44" fillId="0" borderId="395">
      <alignment horizontal="left" vertical="center"/>
    </xf>
    <xf numFmtId="0" fontId="44" fillId="0" borderId="392">
      <alignment horizontal="left" vertical="center"/>
    </xf>
    <xf numFmtId="49" fontId="19" fillId="70" borderId="401">
      <alignment horizontal="center"/>
      <protection locked="0"/>
    </xf>
    <xf numFmtId="0" fontId="44" fillId="0" borderId="377">
      <alignment horizontal="left" vertical="center"/>
    </xf>
    <xf numFmtId="0" fontId="75" fillId="0" borderId="397"/>
    <xf numFmtId="49" fontId="19" fillId="70" borderId="368">
      <alignment horizontal="center"/>
      <protection locked="0"/>
    </xf>
    <xf numFmtId="0" fontId="75" fillId="0" borderId="403"/>
    <xf numFmtId="0" fontId="75" fillId="0" borderId="376"/>
    <xf numFmtId="0" fontId="75" fillId="0" borderId="364"/>
    <xf numFmtId="0" fontId="44" fillId="0" borderId="389">
      <alignment horizontal="left" vertical="center"/>
    </xf>
    <xf numFmtId="0" fontId="70" fillId="0" borderId="369">
      <protection locked="0"/>
    </xf>
    <xf numFmtId="49" fontId="19" fillId="70" borderId="371">
      <alignment horizontal="center"/>
      <protection locked="0"/>
    </xf>
    <xf numFmtId="0" fontId="75" fillId="0" borderId="388"/>
    <xf numFmtId="0" fontId="70" fillId="0" borderId="372">
      <protection locked="0"/>
    </xf>
    <xf numFmtId="0" fontId="75" fillId="0" borderId="394"/>
    <xf numFmtId="0" fontId="70" fillId="0" borderId="396">
      <protection locked="0"/>
    </xf>
    <xf numFmtId="0" fontId="75" fillId="0" borderId="391"/>
    <xf numFmtId="49" fontId="19" fillId="70" borderId="386">
      <alignment horizontal="center"/>
      <protection locked="0"/>
    </xf>
    <xf numFmtId="0" fontId="75" fillId="0" borderId="373"/>
    <xf numFmtId="0" fontId="75" fillId="0" borderId="409"/>
    <xf numFmtId="0" fontId="70" fillId="0" borderId="378">
      <protection locked="0"/>
    </xf>
    <xf numFmtId="0" fontId="44" fillId="0" borderId="398">
      <alignment horizontal="left" vertical="center"/>
    </xf>
    <xf numFmtId="0" fontId="70" fillId="0" borderId="399">
      <protection locked="0"/>
    </xf>
    <xf numFmtId="0" fontId="75" fillId="0" borderId="385"/>
    <xf numFmtId="0" fontId="35" fillId="51" borderId="414" applyNumberFormat="0" applyAlignment="0" applyProtection="0"/>
    <xf numFmtId="0" fontId="25" fillId="51" borderId="412" applyNumberFormat="0" applyAlignment="0" applyProtection="0"/>
    <xf numFmtId="0" fontId="32" fillId="38" borderId="412" applyNumberFormat="0" applyAlignment="0" applyProtection="0"/>
    <xf numFmtId="0" fontId="32" fillId="38" borderId="412" applyNumberFormat="0" applyAlignment="0" applyProtection="0"/>
    <xf numFmtId="0" fontId="22" fillId="58" borderId="413" applyNumberFormat="0" applyFont="0" applyAlignment="0" applyProtection="0"/>
    <xf numFmtId="0" fontId="35" fillId="51" borderId="414" applyNumberFormat="0" applyAlignment="0" applyProtection="0"/>
    <xf numFmtId="0" fontId="37" fillId="0" borderId="415" applyNumberFormat="0" applyFill="0" applyAlignment="0" applyProtection="0"/>
    <xf numFmtId="0" fontId="37" fillId="0" borderId="415" applyNumberFormat="0" applyFill="0" applyAlignment="0" applyProtection="0"/>
    <xf numFmtId="0" fontId="32" fillId="38" borderId="412" applyNumberFormat="0" applyAlignment="0" applyProtection="0"/>
    <xf numFmtId="0" fontId="35" fillId="51" borderId="414" applyNumberFormat="0" applyAlignment="0" applyProtection="0"/>
    <xf numFmtId="0" fontId="37" fillId="0" borderId="415" applyNumberFormat="0" applyFill="0" applyAlignment="0" applyProtection="0"/>
    <xf numFmtId="0" fontId="18" fillId="0" borderId="0"/>
    <xf numFmtId="0" fontId="16" fillId="0" borderId="415" applyNumberFormat="0" applyFill="0" applyAlignment="0" applyProtection="0"/>
    <xf numFmtId="0" fontId="70" fillId="0" borderId="411">
      <protection locked="0"/>
    </xf>
    <xf numFmtId="0" fontId="70" fillId="0" borderId="411">
      <protection locked="0"/>
    </xf>
    <xf numFmtId="0" fontId="70" fillId="0" borderId="411">
      <protection locked="0"/>
    </xf>
    <xf numFmtId="0" fontId="70" fillId="0" borderId="308">
      <protection locked="0"/>
    </xf>
    <xf numFmtId="0" fontId="70" fillId="0" borderId="454">
      <protection locked="0"/>
    </xf>
    <xf numFmtId="0" fontId="44" fillId="0" borderId="417">
      <alignment horizontal="left" vertical="center"/>
    </xf>
    <xf numFmtId="0" fontId="44" fillId="0" borderId="228">
      <alignment horizontal="left" vertical="center"/>
    </xf>
    <xf numFmtId="0" fontId="70" fillId="0" borderId="418">
      <protection locked="0"/>
    </xf>
    <xf numFmtId="0" fontId="75" fillId="0" borderId="422"/>
    <xf numFmtId="0" fontId="44" fillId="0" borderId="426">
      <alignment horizontal="left" vertical="center"/>
    </xf>
    <xf numFmtId="0" fontId="75" fillId="0" borderId="416"/>
    <xf numFmtId="49" fontId="19" fillId="70" borderId="441">
      <alignment horizontal="center"/>
      <protection locked="0"/>
    </xf>
    <xf numFmtId="0" fontId="44" fillId="0" borderId="407">
      <alignment horizontal="left" vertical="center"/>
    </xf>
    <xf numFmtId="0" fontId="70" fillId="0" borderId="411">
      <protection locked="0"/>
    </xf>
    <xf numFmtId="49" fontId="19" fillId="70" borderId="228">
      <alignment horizontal="center"/>
      <protection locked="0"/>
    </xf>
    <xf numFmtId="0" fontId="75" fillId="0" borderId="403"/>
    <xf numFmtId="49" fontId="19" fillId="70" borderId="438">
      <alignment horizontal="center"/>
      <protection locked="0"/>
    </xf>
    <xf numFmtId="49" fontId="19" fillId="70" borderId="438">
      <alignment horizontal="center"/>
      <protection locked="0"/>
    </xf>
    <xf numFmtId="49" fontId="19" fillId="70" borderId="435">
      <alignment horizontal="center"/>
      <protection locked="0"/>
    </xf>
    <xf numFmtId="0" fontId="70" fillId="0" borderId="427">
      <protection locked="0"/>
    </xf>
    <xf numFmtId="0" fontId="70" fillId="0" borderId="442">
      <protection locked="0"/>
    </xf>
    <xf numFmtId="0" fontId="75" fillId="0" borderId="440"/>
    <xf numFmtId="49" fontId="19" fillId="70" borderId="429">
      <alignment horizontal="center"/>
      <protection locked="0"/>
    </xf>
    <xf numFmtId="0" fontId="75" fillId="0" borderId="425"/>
    <xf numFmtId="0" fontId="70" fillId="0" borderId="457">
      <protection locked="0"/>
    </xf>
    <xf numFmtId="49" fontId="19" fillId="70" borderId="441">
      <alignment horizontal="center"/>
      <protection locked="0"/>
    </xf>
    <xf numFmtId="0" fontId="70" fillId="0" borderId="445">
      <protection locked="0"/>
    </xf>
    <xf numFmtId="49" fontId="19" fillId="70" borderId="423">
      <alignment horizontal="center"/>
      <protection locked="0"/>
    </xf>
    <xf numFmtId="0" fontId="70" fillId="0" borderId="451">
      <protection locked="0"/>
    </xf>
    <xf numFmtId="0" fontId="44" fillId="0" borderId="432">
      <alignment horizontal="left" vertical="center"/>
    </xf>
    <xf numFmtId="0" fontId="70" fillId="0" borderId="439">
      <protection locked="0"/>
    </xf>
    <xf numFmtId="0" fontId="75" fillId="0" borderId="437"/>
    <xf numFmtId="0" fontId="70" fillId="0" borderId="430">
      <protection locked="0"/>
    </xf>
    <xf numFmtId="0" fontId="44" fillId="0" borderId="450">
      <alignment horizontal="left" vertical="center"/>
    </xf>
    <xf numFmtId="0" fontId="75" fillId="0" borderId="446"/>
    <xf numFmtId="0" fontId="44" fillId="0" borderId="441">
      <alignment horizontal="left" vertical="center"/>
    </xf>
    <xf numFmtId="0" fontId="75" fillId="0" borderId="437"/>
    <xf numFmtId="0" fontId="75" fillId="0" borderId="434"/>
    <xf numFmtId="0" fontId="70" fillId="0" borderId="448">
      <protection locked="0"/>
    </xf>
    <xf numFmtId="0" fontId="44" fillId="0" borderId="438">
      <alignment horizontal="left" vertical="center"/>
    </xf>
    <xf numFmtId="0" fontId="44" fillId="0" borderId="435">
      <alignment horizontal="left" vertical="center"/>
    </xf>
    <xf numFmtId="0" fontId="75" fillId="0" borderId="455"/>
    <xf numFmtId="49" fontId="19" fillId="70" borderId="435">
      <alignment horizontal="center"/>
      <protection locked="0"/>
    </xf>
    <xf numFmtId="0" fontId="44" fillId="0" borderId="444">
      <alignment horizontal="left" vertical="center"/>
    </xf>
    <xf numFmtId="0" fontId="70" fillId="0" borderId="424">
      <protection locked="0"/>
    </xf>
    <xf numFmtId="0" fontId="75" fillId="0" borderId="428"/>
    <xf numFmtId="0" fontId="44" fillId="0" borderId="453">
      <alignment horizontal="left" vertical="center"/>
    </xf>
    <xf numFmtId="49" fontId="19" fillId="70" borderId="450">
      <alignment horizontal="center"/>
      <protection locked="0"/>
    </xf>
    <xf numFmtId="0" fontId="75" fillId="0" borderId="449"/>
    <xf numFmtId="0" fontId="75" fillId="0" borderId="422"/>
    <xf numFmtId="0" fontId="44" fillId="0" borderId="420">
      <alignment horizontal="left" vertical="center"/>
    </xf>
    <xf numFmtId="0" fontId="70" fillId="0" borderId="421">
      <protection locked="0"/>
    </xf>
    <xf numFmtId="49" fontId="19" fillId="70" borderId="417">
      <alignment horizontal="center"/>
      <protection locked="0"/>
    </xf>
    <xf numFmtId="0" fontId="44" fillId="0" borderId="429">
      <alignment horizontal="left" vertical="center"/>
    </xf>
    <xf numFmtId="49" fontId="19" fillId="70" borderId="444">
      <alignment horizontal="center"/>
      <protection locked="0"/>
    </xf>
    <xf numFmtId="49" fontId="19" fillId="70" borderId="432">
      <alignment horizontal="center"/>
      <protection locked="0"/>
    </xf>
    <xf numFmtId="0" fontId="75" fillId="0" borderId="422"/>
    <xf numFmtId="0" fontId="70" fillId="0" borderId="433">
      <protection locked="0"/>
    </xf>
    <xf numFmtId="0" fontId="70" fillId="0" borderId="436">
      <protection locked="0"/>
    </xf>
    <xf numFmtId="0" fontId="75" fillId="0" borderId="419"/>
    <xf numFmtId="49" fontId="19" fillId="70" borderId="453">
      <alignment horizontal="center"/>
      <protection locked="0"/>
    </xf>
    <xf numFmtId="49" fontId="19" fillId="70" borderId="453">
      <alignment horizontal="center"/>
      <protection locked="0"/>
    </xf>
    <xf numFmtId="0" fontId="75" fillId="0" borderId="455"/>
    <xf numFmtId="0" fontId="44" fillId="0" borderId="423">
      <alignment horizontal="left" vertical="center"/>
    </xf>
    <xf numFmtId="49" fontId="19" fillId="70" borderId="429">
      <alignment horizontal="center"/>
      <protection locked="0"/>
    </xf>
    <xf numFmtId="0" fontId="44" fillId="0" borderId="456">
      <alignment horizontal="left" vertical="center"/>
    </xf>
    <xf numFmtId="0" fontId="75" fillId="0" borderId="452"/>
    <xf numFmtId="0" fontId="70" fillId="0" borderId="430">
      <protection locked="0"/>
    </xf>
    <xf numFmtId="0" fontId="44" fillId="0" borderId="429">
      <alignment horizontal="left" vertical="center"/>
    </xf>
    <xf numFmtId="0" fontId="75" fillId="0" borderId="431"/>
    <xf numFmtId="49" fontId="19" fillId="70" borderId="426">
      <alignment horizontal="center"/>
      <protection locked="0"/>
    </xf>
    <xf numFmtId="0" fontId="75" fillId="0" borderId="440"/>
    <xf numFmtId="0" fontId="44" fillId="0" borderId="447">
      <alignment horizontal="left" vertical="center"/>
    </xf>
    <xf numFmtId="0" fontId="75" fillId="0" borderId="443"/>
    <xf numFmtId="0" fontId="25" fillId="51"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22" fillId="58" borderId="459" applyNumberFormat="0" applyFont="0" applyAlignment="0" applyProtection="0"/>
    <xf numFmtId="0" fontId="35" fillId="51" borderId="460"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7" fillId="0" borderId="461" applyNumberFormat="0" applyFill="0" applyAlignment="0" applyProtection="0"/>
    <xf numFmtId="0" fontId="25" fillId="51" borderId="458" applyNumberFormat="0" applyAlignment="0" applyProtection="0"/>
    <xf numFmtId="0" fontId="32" fillId="38" borderId="458" applyNumberFormat="0" applyAlignment="0" applyProtection="0"/>
    <xf numFmtId="0" fontId="22" fillId="58" borderId="459" applyNumberFormat="0" applyFont="0" applyAlignment="0" applyProtection="0"/>
    <xf numFmtId="0" fontId="35" fillId="51" borderId="460" applyNumberFormat="0" applyAlignment="0" applyProtection="0"/>
    <xf numFmtId="0" fontId="37" fillId="0" borderId="461" applyNumberFormat="0" applyFill="0" applyAlignment="0" applyProtection="0"/>
    <xf numFmtId="0" fontId="75" fillId="0" borderId="462"/>
    <xf numFmtId="0" fontId="44" fillId="0" borderId="475">
      <alignment horizontal="left" vertical="center"/>
    </xf>
    <xf numFmtId="0" fontId="70" fillId="0" borderId="506">
      <protection locked="0"/>
    </xf>
    <xf numFmtId="0" fontId="70" fillId="0" borderId="464">
      <protection locked="0"/>
    </xf>
    <xf numFmtId="0" fontId="44" fillId="0" borderId="463">
      <alignment horizontal="left" vertical="center"/>
    </xf>
    <xf numFmtId="0" fontId="44" fillId="0" borderId="505">
      <alignment horizontal="left" vertical="center"/>
    </xf>
    <xf numFmtId="0" fontId="44" fillId="0" borderId="481">
      <alignment horizontal="left" vertical="center"/>
    </xf>
    <xf numFmtId="0" fontId="75" fillId="0" borderId="483"/>
    <xf numFmtId="0" fontId="70" fillId="0" borderId="482">
      <protection locked="0"/>
    </xf>
    <xf numFmtId="0" fontId="75" fillId="0" borderId="471"/>
    <xf numFmtId="49" fontId="19" fillId="70" borderId="508">
      <alignment horizontal="center"/>
      <protection locked="0"/>
    </xf>
    <xf numFmtId="49" fontId="19" fillId="70" borderId="490">
      <alignment horizontal="center"/>
      <protection locked="0"/>
    </xf>
    <xf numFmtId="49" fontId="19" fillId="70" borderId="493">
      <alignment horizontal="center"/>
      <protection locked="0"/>
    </xf>
    <xf numFmtId="0" fontId="70" fillId="0" borderId="488">
      <protection locked="0"/>
    </xf>
    <xf numFmtId="0" fontId="75" fillId="0" borderId="477"/>
    <xf numFmtId="0" fontId="70" fillId="0" borderId="494">
      <protection locked="0"/>
    </xf>
    <xf numFmtId="0" fontId="75" fillId="0" borderId="483"/>
    <xf numFmtId="0" fontId="44" fillId="0" borderId="487">
      <alignment horizontal="left" vertical="center"/>
    </xf>
    <xf numFmtId="0" fontId="70" fillId="0" borderId="509">
      <protection locked="0"/>
    </xf>
    <xf numFmtId="0" fontId="70" fillId="0" borderId="476">
      <protection locked="0"/>
    </xf>
    <xf numFmtId="0" fontId="44" fillId="0" borderId="511">
      <alignment horizontal="left" vertical="center"/>
    </xf>
    <xf numFmtId="0" fontId="70" fillId="0" borderId="512">
      <protection locked="0"/>
    </xf>
    <xf numFmtId="0" fontId="44" fillId="0" borderId="484">
      <alignment horizontal="left" vertical="center"/>
    </xf>
    <xf numFmtId="0" fontId="70" fillId="0" borderId="491">
      <protection locked="0"/>
    </xf>
    <xf numFmtId="0" fontId="70" fillId="0" borderId="485">
      <protection locked="0"/>
    </xf>
    <xf numFmtId="0" fontId="44" fillId="0" borderId="469">
      <alignment horizontal="left" vertical="center"/>
    </xf>
    <xf numFmtId="0" fontId="44" fillId="0" borderId="508">
      <alignment horizontal="left" vertical="center"/>
    </xf>
    <xf numFmtId="0" fontId="75" fillId="0" borderId="474"/>
    <xf numFmtId="0" fontId="44" fillId="0" borderId="472">
      <alignment horizontal="left" vertical="center"/>
    </xf>
    <xf numFmtId="0" fontId="70" fillId="0" borderId="503">
      <protection locked="0"/>
    </xf>
    <xf numFmtId="0" fontId="75" fillId="0" borderId="480"/>
    <xf numFmtId="0" fontId="75" fillId="0" borderId="507"/>
    <xf numFmtId="0" fontId="75" fillId="0" borderId="468"/>
    <xf numFmtId="0" fontId="44" fillId="0" borderId="466">
      <alignment horizontal="left" vertical="center"/>
    </xf>
    <xf numFmtId="0" fontId="70" fillId="0" borderId="467">
      <protection locked="0"/>
    </xf>
    <xf numFmtId="49" fontId="19" fillId="70" borderId="463">
      <alignment horizontal="center"/>
      <protection locked="0"/>
    </xf>
    <xf numFmtId="49" fontId="19" fillId="70" borderId="499">
      <alignment horizontal="center"/>
      <protection locked="0"/>
    </xf>
    <xf numFmtId="49" fontId="19" fillId="70" borderId="472">
      <alignment horizontal="center"/>
      <protection locked="0"/>
    </xf>
    <xf numFmtId="0" fontId="44" fillId="0" borderId="502">
      <alignment horizontal="left" vertical="center"/>
    </xf>
    <xf numFmtId="0" fontId="75" fillId="0" borderId="486"/>
    <xf numFmtId="0" fontId="75" fillId="0" borderId="501"/>
    <xf numFmtId="0" fontId="44" fillId="0" borderId="496">
      <alignment horizontal="left" vertical="center"/>
    </xf>
    <xf numFmtId="0" fontId="44" fillId="0" borderId="493">
      <alignment horizontal="left" vertical="center"/>
    </xf>
    <xf numFmtId="49" fontId="19" fillId="70" borderId="502">
      <alignment horizontal="center"/>
      <protection locked="0"/>
    </xf>
    <xf numFmtId="0" fontId="44" fillId="0" borderId="478">
      <alignment horizontal="left" vertical="center"/>
    </xf>
    <xf numFmtId="0" fontId="75" fillId="0" borderId="498"/>
    <xf numFmtId="49" fontId="19" fillId="70" borderId="469">
      <alignment horizontal="center"/>
      <protection locked="0"/>
    </xf>
    <xf numFmtId="0" fontId="75" fillId="0" borderId="504"/>
    <xf numFmtId="0" fontId="75" fillId="0" borderId="477"/>
    <xf numFmtId="0" fontId="75" fillId="0" borderId="465"/>
    <xf numFmtId="0" fontId="44" fillId="0" borderId="490">
      <alignment horizontal="left" vertical="center"/>
    </xf>
    <xf numFmtId="0" fontId="70" fillId="0" borderId="470">
      <protection locked="0"/>
    </xf>
    <xf numFmtId="49" fontId="19" fillId="70" borderId="472">
      <alignment horizontal="center"/>
      <protection locked="0"/>
    </xf>
    <xf numFmtId="0" fontId="75" fillId="0" borderId="489"/>
    <xf numFmtId="0" fontId="70" fillId="0" borderId="473">
      <protection locked="0"/>
    </xf>
    <xf numFmtId="0" fontId="75" fillId="0" borderId="495"/>
    <xf numFmtId="0" fontId="70" fillId="0" borderId="497">
      <protection locked="0"/>
    </xf>
    <xf numFmtId="0" fontId="75" fillId="0" borderId="492"/>
    <xf numFmtId="49" fontId="19" fillId="70" borderId="487">
      <alignment horizontal="center"/>
      <protection locked="0"/>
    </xf>
    <xf numFmtId="0" fontId="75" fillId="0" borderId="474"/>
    <xf numFmtId="0" fontId="75" fillId="0" borderId="510"/>
    <xf numFmtId="0" fontId="70" fillId="0" borderId="479">
      <protection locked="0"/>
    </xf>
    <xf numFmtId="0" fontId="44" fillId="0" borderId="499">
      <alignment horizontal="left" vertical="center"/>
    </xf>
    <xf numFmtId="0" fontId="70" fillId="0" borderId="500">
      <protection locked="0"/>
    </xf>
    <xf numFmtId="0" fontId="75" fillId="0" borderId="486"/>
    <xf numFmtId="0" fontId="35" fillId="51" borderId="515" applyNumberFormat="0" applyAlignment="0" applyProtection="0"/>
    <xf numFmtId="0" fontId="25" fillId="51" borderId="513" applyNumberFormat="0" applyAlignment="0" applyProtection="0"/>
    <xf numFmtId="0" fontId="32" fillId="38" borderId="513" applyNumberFormat="0" applyAlignment="0" applyProtection="0"/>
    <xf numFmtId="0" fontId="32" fillId="38" borderId="513" applyNumberFormat="0" applyAlignment="0" applyProtection="0"/>
    <xf numFmtId="0" fontId="22" fillId="58" borderId="514" applyNumberFormat="0" applyFont="0" applyAlignment="0" applyProtection="0"/>
    <xf numFmtId="0" fontId="35" fillId="51" borderId="515" applyNumberFormat="0" applyAlignment="0" applyProtection="0"/>
    <xf numFmtId="0" fontId="37" fillId="0" borderId="516" applyNumberFormat="0" applyFill="0" applyAlignment="0" applyProtection="0"/>
    <xf numFmtId="0" fontId="37" fillId="0" borderId="516" applyNumberFormat="0" applyFill="0" applyAlignment="0" applyProtection="0"/>
    <xf numFmtId="0" fontId="32" fillId="38" borderId="513" applyNumberFormat="0" applyAlignment="0" applyProtection="0"/>
    <xf numFmtId="0" fontId="35" fillId="51" borderId="515" applyNumberFormat="0" applyAlignment="0" applyProtection="0"/>
    <xf numFmtId="0" fontId="37" fillId="0" borderId="516" applyNumberFormat="0" applyFill="0" applyAlignment="0" applyProtection="0"/>
    <xf numFmtId="0" fontId="16" fillId="0" borderId="516" applyNumberFormat="0" applyFill="0" applyAlignment="0" applyProtection="0"/>
    <xf numFmtId="0" fontId="70" fillId="0" borderId="512">
      <protection locked="0"/>
    </xf>
    <xf numFmtId="0" fontId="70" fillId="0" borderId="512">
      <protection locked="0"/>
    </xf>
    <xf numFmtId="0" fontId="70" fillId="0" borderId="512">
      <protection locked="0"/>
    </xf>
    <xf numFmtId="0" fontId="25" fillId="51" borderId="513" applyNumberFormat="0" applyAlignment="0" applyProtection="0"/>
    <xf numFmtId="0" fontId="32" fillId="38" borderId="513" applyNumberFormat="0" applyAlignment="0" applyProtection="0"/>
    <xf numFmtId="0" fontId="22" fillId="58" borderId="514" applyNumberFormat="0" applyFont="0" applyAlignment="0" applyProtection="0"/>
    <xf numFmtId="0" fontId="35" fillId="51" borderId="515" applyNumberFormat="0" applyAlignment="0" applyProtection="0"/>
    <xf numFmtId="0" fontId="37" fillId="0" borderId="516" applyNumberFormat="0" applyFill="0" applyAlignment="0" applyProtection="0"/>
    <xf numFmtId="0" fontId="32" fillId="38" borderId="513" applyNumberFormat="0" applyAlignment="0" applyProtection="0"/>
    <xf numFmtId="0" fontId="32" fillId="38" borderId="513" applyNumberFormat="0" applyAlignment="0" applyProtection="0"/>
    <xf numFmtId="0" fontId="32" fillId="38" borderId="513" applyNumberFormat="0" applyAlignment="0" applyProtection="0"/>
    <xf numFmtId="0" fontId="32" fillId="38" borderId="513" applyNumberFormat="0" applyAlignment="0" applyProtection="0"/>
    <xf numFmtId="49" fontId="19" fillId="70" borderId="496">
      <alignment horizontal="center"/>
      <protection locked="0"/>
    </xf>
    <xf numFmtId="0" fontId="70" fillId="0" borderId="557">
      <protection locked="0"/>
    </xf>
    <xf numFmtId="0" fontId="44" fillId="0" borderId="520">
      <alignment horizontal="left" vertical="center"/>
    </xf>
    <xf numFmtId="0" fontId="70" fillId="0" borderId="521">
      <protection locked="0"/>
    </xf>
    <xf numFmtId="0" fontId="75" fillId="0" borderId="525"/>
    <xf numFmtId="0" fontId="44" fillId="0" borderId="529">
      <alignment horizontal="left" vertical="center"/>
    </xf>
    <xf numFmtId="0" fontId="75" fillId="0" borderId="519"/>
    <xf numFmtId="49" fontId="19" fillId="70" borderId="544">
      <alignment horizontal="center"/>
      <protection locked="0"/>
    </xf>
    <xf numFmtId="0" fontId="44" fillId="0" borderId="517">
      <alignment horizontal="left" vertical="center"/>
    </xf>
    <xf numFmtId="0" fontId="70" fillId="0" borderId="518">
      <protection locked="0"/>
    </xf>
    <xf numFmtId="49" fontId="19" fillId="70" borderId="541">
      <alignment horizontal="center"/>
      <protection locked="0"/>
    </xf>
    <xf numFmtId="49" fontId="19" fillId="70" borderId="541">
      <alignment horizontal="center"/>
      <protection locked="0"/>
    </xf>
    <xf numFmtId="49" fontId="19" fillId="70" borderId="538">
      <alignment horizontal="center"/>
      <protection locked="0"/>
    </xf>
    <xf numFmtId="0" fontId="70" fillId="0" borderId="530">
      <protection locked="0"/>
    </xf>
    <xf numFmtId="0" fontId="70" fillId="0" borderId="545">
      <protection locked="0"/>
    </xf>
    <xf numFmtId="0" fontId="75" fillId="0" borderId="543"/>
    <xf numFmtId="49" fontId="19" fillId="70" borderId="532">
      <alignment horizontal="center"/>
      <protection locked="0"/>
    </xf>
    <xf numFmtId="0" fontId="75" fillId="0" borderId="528"/>
    <xf numFmtId="0" fontId="70" fillId="0" borderId="560">
      <protection locked="0"/>
    </xf>
    <xf numFmtId="49" fontId="19" fillId="70" borderId="544">
      <alignment horizontal="center"/>
      <protection locked="0"/>
    </xf>
    <xf numFmtId="0" fontId="70" fillId="0" borderId="548">
      <protection locked="0"/>
    </xf>
    <xf numFmtId="49" fontId="19" fillId="70" borderId="526">
      <alignment horizontal="center"/>
      <protection locked="0"/>
    </xf>
    <xf numFmtId="0" fontId="70" fillId="0" borderId="554">
      <protection locked="0"/>
    </xf>
    <xf numFmtId="0" fontId="44" fillId="0" borderId="535">
      <alignment horizontal="left" vertical="center"/>
    </xf>
    <xf numFmtId="0" fontId="70" fillId="0" borderId="542">
      <protection locked="0"/>
    </xf>
    <xf numFmtId="0" fontId="75" fillId="0" borderId="540"/>
    <xf numFmtId="0" fontId="70" fillId="0" borderId="533">
      <protection locked="0"/>
    </xf>
    <xf numFmtId="0" fontId="44" fillId="0" borderId="553">
      <alignment horizontal="left" vertical="center"/>
    </xf>
    <xf numFmtId="0" fontId="75" fillId="0" borderId="549"/>
    <xf numFmtId="0" fontId="44" fillId="0" borderId="544">
      <alignment horizontal="left" vertical="center"/>
    </xf>
    <xf numFmtId="0" fontId="75" fillId="0" borderId="540"/>
    <xf numFmtId="0" fontId="75" fillId="0" borderId="537"/>
    <xf numFmtId="0" fontId="70" fillId="0" borderId="551">
      <protection locked="0"/>
    </xf>
    <xf numFmtId="0" fontId="44" fillId="0" borderId="541">
      <alignment horizontal="left" vertical="center"/>
    </xf>
    <xf numFmtId="0" fontId="44" fillId="0" borderId="538">
      <alignment horizontal="left" vertical="center"/>
    </xf>
    <xf numFmtId="0" fontId="75" fillId="0" borderId="558"/>
    <xf numFmtId="49" fontId="19" fillId="70" borderId="538">
      <alignment horizontal="center"/>
      <protection locked="0"/>
    </xf>
    <xf numFmtId="0" fontId="44" fillId="0" borderId="547">
      <alignment horizontal="left" vertical="center"/>
    </xf>
    <xf numFmtId="0" fontId="70" fillId="0" borderId="527">
      <protection locked="0"/>
    </xf>
    <xf numFmtId="0" fontId="75" fillId="0" borderId="531"/>
    <xf numFmtId="0" fontId="44" fillId="0" borderId="556">
      <alignment horizontal="left" vertical="center"/>
    </xf>
    <xf numFmtId="49" fontId="19" fillId="70" borderId="553">
      <alignment horizontal="center"/>
      <protection locked="0"/>
    </xf>
    <xf numFmtId="0" fontId="75" fillId="0" borderId="552"/>
    <xf numFmtId="0" fontId="75" fillId="0" borderId="525"/>
    <xf numFmtId="0" fontId="44" fillId="0" borderId="523">
      <alignment horizontal="left" vertical="center"/>
    </xf>
    <xf numFmtId="0" fontId="70" fillId="0" borderId="524">
      <protection locked="0"/>
    </xf>
    <xf numFmtId="49" fontId="19" fillId="70" borderId="520">
      <alignment horizontal="center"/>
      <protection locked="0"/>
    </xf>
    <xf numFmtId="0" fontId="44" fillId="0" borderId="532">
      <alignment horizontal="left" vertical="center"/>
    </xf>
    <xf numFmtId="49" fontId="19" fillId="70" borderId="547">
      <alignment horizontal="center"/>
      <protection locked="0"/>
    </xf>
    <xf numFmtId="49" fontId="19" fillId="70" borderId="535">
      <alignment horizontal="center"/>
      <protection locked="0"/>
    </xf>
    <xf numFmtId="0" fontId="75" fillId="0" borderId="525"/>
    <xf numFmtId="0" fontId="70" fillId="0" borderId="536">
      <protection locked="0"/>
    </xf>
    <xf numFmtId="0" fontId="70" fillId="0" borderId="539">
      <protection locked="0"/>
    </xf>
    <xf numFmtId="0" fontId="75" fillId="0" borderId="522"/>
    <xf numFmtId="49" fontId="19" fillId="70" borderId="556">
      <alignment horizontal="center"/>
      <protection locked="0"/>
    </xf>
    <xf numFmtId="49" fontId="19" fillId="70" borderId="556">
      <alignment horizontal="center"/>
      <protection locked="0"/>
    </xf>
    <xf numFmtId="0" fontId="75" fillId="0" borderId="558"/>
    <xf numFmtId="0" fontId="44" fillId="0" borderId="526">
      <alignment horizontal="left" vertical="center"/>
    </xf>
    <xf numFmtId="49" fontId="19" fillId="70" borderId="532">
      <alignment horizontal="center"/>
      <protection locked="0"/>
    </xf>
    <xf numFmtId="0" fontId="44" fillId="0" borderId="559">
      <alignment horizontal="left" vertical="center"/>
    </xf>
    <xf numFmtId="0" fontId="75" fillId="0" borderId="555"/>
    <xf numFmtId="0" fontId="70" fillId="0" borderId="533">
      <protection locked="0"/>
    </xf>
    <xf numFmtId="0" fontId="44" fillId="0" borderId="532">
      <alignment horizontal="left" vertical="center"/>
    </xf>
    <xf numFmtId="0" fontId="75" fillId="0" borderId="534"/>
    <xf numFmtId="49" fontId="19" fillId="70" borderId="529">
      <alignment horizontal="center"/>
      <protection locked="0"/>
    </xf>
    <xf numFmtId="0" fontId="75" fillId="0" borderId="543"/>
    <xf numFmtId="0" fontId="44" fillId="0" borderId="550">
      <alignment horizontal="left" vertical="center"/>
    </xf>
    <xf numFmtId="0" fontId="75" fillId="0" borderId="546"/>
    <xf numFmtId="0" fontId="25" fillId="51"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22" fillId="58" borderId="562" applyNumberFormat="0" applyFont="0" applyAlignment="0" applyProtection="0"/>
    <xf numFmtId="0" fontId="35" fillId="51" borderId="563"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7" fillId="0" borderId="564" applyNumberFormat="0" applyFill="0" applyAlignment="0" applyProtection="0"/>
    <xf numFmtId="0" fontId="25" fillId="51" borderId="561" applyNumberFormat="0" applyAlignment="0" applyProtection="0"/>
    <xf numFmtId="0" fontId="32" fillId="38" borderId="561" applyNumberFormat="0" applyAlignment="0" applyProtection="0"/>
    <xf numFmtId="0" fontId="22" fillId="58" borderId="562" applyNumberFormat="0" applyFont="0" applyAlignment="0" applyProtection="0"/>
    <xf numFmtId="0" fontId="35" fillId="51" borderId="563" applyNumberFormat="0" applyAlignment="0" applyProtection="0"/>
    <xf numFmtId="0" fontId="37" fillId="0" borderId="564" applyNumberFormat="0" applyFill="0" applyAlignment="0" applyProtection="0"/>
    <xf numFmtId="0" fontId="75" fillId="0" borderId="565"/>
    <xf numFmtId="0" fontId="44" fillId="0" borderId="578">
      <alignment horizontal="left" vertical="center"/>
    </xf>
    <xf numFmtId="0" fontId="70" fillId="0" borderId="609">
      <protection locked="0"/>
    </xf>
    <xf numFmtId="0" fontId="70" fillId="0" borderId="567">
      <protection locked="0"/>
    </xf>
    <xf numFmtId="0" fontId="44" fillId="0" borderId="566">
      <alignment horizontal="left" vertical="center"/>
    </xf>
    <xf numFmtId="0" fontId="44" fillId="0" borderId="608">
      <alignment horizontal="left" vertical="center"/>
    </xf>
    <xf numFmtId="0" fontId="44" fillId="0" borderId="584">
      <alignment horizontal="left" vertical="center"/>
    </xf>
    <xf numFmtId="0" fontId="75" fillId="0" borderId="586"/>
    <xf numFmtId="0" fontId="70" fillId="0" borderId="585">
      <protection locked="0"/>
    </xf>
    <xf numFmtId="0" fontId="75" fillId="0" borderId="574"/>
    <xf numFmtId="49" fontId="19" fillId="70" borderId="611">
      <alignment horizontal="center"/>
      <protection locked="0"/>
    </xf>
    <xf numFmtId="49" fontId="19" fillId="70" borderId="593">
      <alignment horizontal="center"/>
      <protection locked="0"/>
    </xf>
    <xf numFmtId="49" fontId="19" fillId="70" borderId="596">
      <alignment horizontal="center"/>
      <protection locked="0"/>
    </xf>
    <xf numFmtId="0" fontId="70" fillId="0" borderId="591">
      <protection locked="0"/>
    </xf>
    <xf numFmtId="0" fontId="75" fillId="0" borderId="580"/>
    <xf numFmtId="0" fontId="70" fillId="0" borderId="597">
      <protection locked="0"/>
    </xf>
    <xf numFmtId="0" fontId="75" fillId="0" borderId="586"/>
    <xf numFmtId="0" fontId="44" fillId="0" borderId="590">
      <alignment horizontal="left" vertical="center"/>
    </xf>
    <xf numFmtId="0" fontId="70" fillId="0" borderId="612">
      <protection locked="0"/>
    </xf>
    <xf numFmtId="0" fontId="70" fillId="0" borderId="579">
      <protection locked="0"/>
    </xf>
    <xf numFmtId="0" fontId="44" fillId="0" borderId="614">
      <alignment horizontal="left" vertical="center"/>
    </xf>
    <xf numFmtId="0" fontId="70" fillId="0" borderId="615">
      <protection locked="0"/>
    </xf>
    <xf numFmtId="0" fontId="44" fillId="0" borderId="587">
      <alignment horizontal="left" vertical="center"/>
    </xf>
    <xf numFmtId="0" fontId="70" fillId="0" borderId="594">
      <protection locked="0"/>
    </xf>
    <xf numFmtId="0" fontId="70" fillId="0" borderId="588">
      <protection locked="0"/>
    </xf>
    <xf numFmtId="0" fontId="44" fillId="0" borderId="572">
      <alignment horizontal="left" vertical="center"/>
    </xf>
    <xf numFmtId="0" fontId="44" fillId="0" borderId="611">
      <alignment horizontal="left" vertical="center"/>
    </xf>
    <xf numFmtId="0" fontId="75" fillId="0" borderId="577"/>
    <xf numFmtId="0" fontId="44" fillId="0" borderId="575">
      <alignment horizontal="left" vertical="center"/>
    </xf>
    <xf numFmtId="0" fontId="70" fillId="0" borderId="606">
      <protection locked="0"/>
    </xf>
    <xf numFmtId="0" fontId="75" fillId="0" borderId="583"/>
    <xf numFmtId="0" fontId="75" fillId="0" borderId="610"/>
    <xf numFmtId="0" fontId="75" fillId="0" borderId="571"/>
    <xf numFmtId="0" fontId="44" fillId="0" borderId="569">
      <alignment horizontal="left" vertical="center"/>
    </xf>
    <xf numFmtId="0" fontId="70" fillId="0" borderId="570">
      <protection locked="0"/>
    </xf>
    <xf numFmtId="49" fontId="19" fillId="70" borderId="566">
      <alignment horizontal="center"/>
      <protection locked="0"/>
    </xf>
    <xf numFmtId="49" fontId="19" fillId="70" borderId="602">
      <alignment horizontal="center"/>
      <protection locked="0"/>
    </xf>
    <xf numFmtId="49" fontId="19" fillId="70" borderId="575">
      <alignment horizontal="center"/>
      <protection locked="0"/>
    </xf>
    <xf numFmtId="0" fontId="44" fillId="0" borderId="605">
      <alignment horizontal="left" vertical="center"/>
    </xf>
    <xf numFmtId="0" fontId="75" fillId="0" borderId="589"/>
    <xf numFmtId="0" fontId="75" fillId="0" borderId="604"/>
    <xf numFmtId="0" fontId="44" fillId="0" borderId="599">
      <alignment horizontal="left" vertical="center"/>
    </xf>
    <xf numFmtId="0" fontId="44" fillId="0" borderId="596">
      <alignment horizontal="left" vertical="center"/>
    </xf>
    <xf numFmtId="49" fontId="19" fillId="70" borderId="605">
      <alignment horizontal="center"/>
      <protection locked="0"/>
    </xf>
    <xf numFmtId="0" fontId="44" fillId="0" borderId="581">
      <alignment horizontal="left" vertical="center"/>
    </xf>
    <xf numFmtId="0" fontId="75" fillId="0" borderId="601"/>
    <xf numFmtId="49" fontId="19" fillId="70" borderId="572">
      <alignment horizontal="center"/>
      <protection locked="0"/>
    </xf>
    <xf numFmtId="0" fontId="75" fillId="0" borderId="607"/>
    <xf numFmtId="0" fontId="75" fillId="0" borderId="580"/>
    <xf numFmtId="0" fontId="75" fillId="0" borderId="568"/>
    <xf numFmtId="0" fontId="44" fillId="0" borderId="593">
      <alignment horizontal="left" vertical="center"/>
    </xf>
    <xf numFmtId="0" fontId="70" fillId="0" borderId="573">
      <protection locked="0"/>
    </xf>
    <xf numFmtId="49" fontId="19" fillId="70" borderId="575">
      <alignment horizontal="center"/>
      <protection locked="0"/>
    </xf>
    <xf numFmtId="0" fontId="75" fillId="0" borderId="592"/>
    <xf numFmtId="0" fontId="70" fillId="0" borderId="576">
      <protection locked="0"/>
    </xf>
    <xf numFmtId="0" fontId="75" fillId="0" borderId="598"/>
    <xf numFmtId="0" fontId="70" fillId="0" borderId="600">
      <protection locked="0"/>
    </xf>
    <xf numFmtId="0" fontId="75" fillId="0" borderId="595"/>
    <xf numFmtId="49" fontId="19" fillId="70" borderId="590">
      <alignment horizontal="center"/>
      <protection locked="0"/>
    </xf>
    <xf numFmtId="0" fontId="75" fillId="0" borderId="577"/>
    <xf numFmtId="0" fontId="75" fillId="0" borderId="613"/>
    <xf numFmtId="0" fontId="70" fillId="0" borderId="582">
      <protection locked="0"/>
    </xf>
    <xf numFmtId="0" fontId="44" fillId="0" borderId="602">
      <alignment horizontal="left" vertical="center"/>
    </xf>
    <xf numFmtId="0" fontId="70" fillId="0" borderId="603">
      <protection locked="0"/>
    </xf>
    <xf numFmtId="0" fontId="75" fillId="0" borderId="589"/>
    <xf numFmtId="0" fontId="35" fillId="51" borderId="618" applyNumberFormat="0" applyAlignment="0" applyProtection="0"/>
    <xf numFmtId="0" fontId="25" fillId="51" borderId="616" applyNumberFormat="0" applyAlignment="0" applyProtection="0"/>
    <xf numFmtId="0" fontId="32" fillId="38" borderId="616" applyNumberFormat="0" applyAlignment="0" applyProtection="0"/>
    <xf numFmtId="0" fontId="32" fillId="38" borderId="616" applyNumberFormat="0" applyAlignment="0" applyProtection="0"/>
    <xf numFmtId="0" fontId="22" fillId="58" borderId="617" applyNumberFormat="0" applyFont="0" applyAlignment="0" applyProtection="0"/>
    <xf numFmtId="0" fontId="35" fillId="51" borderId="618" applyNumberFormat="0" applyAlignment="0" applyProtection="0"/>
    <xf numFmtId="0" fontId="37" fillId="0" borderId="619" applyNumberFormat="0" applyFill="0" applyAlignment="0" applyProtection="0"/>
    <xf numFmtId="0" fontId="37" fillId="0" borderId="619" applyNumberFormat="0" applyFill="0" applyAlignment="0" applyProtection="0"/>
    <xf numFmtId="0" fontId="32" fillId="38" borderId="616" applyNumberFormat="0" applyAlignment="0" applyProtection="0"/>
    <xf numFmtId="0" fontId="35" fillId="51" borderId="618" applyNumberFormat="0" applyAlignment="0" applyProtection="0"/>
    <xf numFmtId="0" fontId="37" fillId="0" borderId="619" applyNumberFormat="0" applyFill="0" applyAlignment="0" applyProtection="0"/>
    <xf numFmtId="0" fontId="16" fillId="0" borderId="619" applyNumberFormat="0" applyFill="0" applyAlignment="0" applyProtection="0"/>
    <xf numFmtId="0" fontId="70" fillId="0" borderId="615">
      <protection locked="0"/>
    </xf>
    <xf numFmtId="0" fontId="70" fillId="0" borderId="615">
      <protection locked="0"/>
    </xf>
    <xf numFmtId="0" fontId="70" fillId="0" borderId="615">
      <protection locked="0"/>
    </xf>
    <xf numFmtId="0" fontId="18" fillId="0" borderId="0"/>
    <xf numFmtId="175" fontId="18"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 fontId="18" fillId="0" borderId="10" applyBorder="0">
      <alignment horizontal="left" wrapText="1"/>
    </xf>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0" fillId="0" borderId="615">
      <protection locked="0"/>
    </xf>
    <xf numFmtId="0" fontId="70" fillId="0" borderId="661">
      <protection locked="0"/>
    </xf>
    <xf numFmtId="0" fontId="44" fillId="0" borderId="624">
      <alignment horizontal="left" vertical="center"/>
    </xf>
    <xf numFmtId="0" fontId="44" fillId="0" borderId="614">
      <alignment horizontal="left" vertical="center"/>
    </xf>
    <xf numFmtId="0" fontId="70" fillId="0" borderId="625">
      <protection locked="0"/>
    </xf>
    <xf numFmtId="0" fontId="75" fillId="0" borderId="629"/>
    <xf numFmtId="0" fontId="44" fillId="0" borderId="633">
      <alignment horizontal="left" vertical="center"/>
    </xf>
    <xf numFmtId="0" fontId="75" fillId="0" borderId="623"/>
    <xf numFmtId="49" fontId="19" fillId="70" borderId="648">
      <alignment horizontal="center"/>
      <protection locked="0"/>
    </xf>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4" fillId="0" borderId="621">
      <alignment horizontal="left" vertical="center"/>
    </xf>
    <xf numFmtId="0" fontId="70" fillId="0" borderId="622">
      <protection locked="0"/>
    </xf>
    <xf numFmtId="49" fontId="19" fillId="70" borderId="614">
      <alignment horizontal="center"/>
      <protection locked="0"/>
    </xf>
    <xf numFmtId="0" fontId="18" fillId="0" borderId="0"/>
    <xf numFmtId="0" fontId="18" fillId="0" borderId="0"/>
    <xf numFmtId="0" fontId="75" fillId="0" borderId="620"/>
    <xf numFmtId="0" fontId="18" fillId="0" borderId="0"/>
    <xf numFmtId="49" fontId="19" fillId="70" borderId="645">
      <alignment horizontal="center"/>
      <protection locked="0"/>
    </xf>
    <xf numFmtId="49" fontId="19" fillId="70" borderId="645">
      <alignment horizontal="center"/>
      <protection locked="0"/>
    </xf>
    <xf numFmtId="49" fontId="19" fillId="70" borderId="642">
      <alignment horizontal="center"/>
      <protection locked="0"/>
    </xf>
    <xf numFmtId="0" fontId="70" fillId="0" borderId="634">
      <protection locked="0"/>
    </xf>
    <xf numFmtId="0" fontId="70" fillId="0" borderId="649">
      <protection locked="0"/>
    </xf>
    <xf numFmtId="0" fontId="75" fillId="0" borderId="647"/>
    <xf numFmtId="49" fontId="19" fillId="70" borderId="636">
      <alignment horizontal="center"/>
      <protection locked="0"/>
    </xf>
    <xf numFmtId="0" fontId="75" fillId="0" borderId="632"/>
    <xf numFmtId="0" fontId="70" fillId="0" borderId="664">
      <protection locked="0"/>
    </xf>
    <xf numFmtId="49" fontId="19" fillId="70" borderId="648">
      <alignment horizontal="center"/>
      <protection locked="0"/>
    </xf>
    <xf numFmtId="0" fontId="70" fillId="0" borderId="652">
      <protection locked="0"/>
    </xf>
    <xf numFmtId="49" fontId="19" fillId="70" borderId="630">
      <alignment horizontal="center"/>
      <protection locked="0"/>
    </xf>
    <xf numFmtId="0" fontId="70" fillId="0" borderId="658">
      <protection locked="0"/>
    </xf>
    <xf numFmtId="0" fontId="44" fillId="0" borderId="639">
      <alignment horizontal="left" vertical="center"/>
    </xf>
    <xf numFmtId="0" fontId="70" fillId="0" borderId="646">
      <protection locked="0"/>
    </xf>
    <xf numFmtId="0" fontId="75" fillId="0" borderId="644"/>
    <xf numFmtId="0" fontId="70" fillId="0" borderId="637">
      <protection locked="0"/>
    </xf>
    <xf numFmtId="0" fontId="44" fillId="0" borderId="657">
      <alignment horizontal="left" vertical="center"/>
    </xf>
    <xf numFmtId="0" fontId="75" fillId="0" borderId="653"/>
    <xf numFmtId="0" fontId="44" fillId="0" borderId="648">
      <alignment horizontal="left" vertical="center"/>
    </xf>
    <xf numFmtId="0" fontId="75" fillId="0" borderId="644"/>
    <xf numFmtId="0" fontId="75" fillId="0" borderId="641"/>
    <xf numFmtId="0" fontId="70" fillId="0" borderId="655">
      <protection locked="0"/>
    </xf>
    <xf numFmtId="0" fontId="44" fillId="0" borderId="645">
      <alignment horizontal="left" vertical="center"/>
    </xf>
    <xf numFmtId="0" fontId="44" fillId="0" borderId="642">
      <alignment horizontal="left" vertical="center"/>
    </xf>
    <xf numFmtId="0" fontId="75" fillId="0" borderId="662"/>
    <xf numFmtId="49" fontId="19" fillId="70" borderId="642">
      <alignment horizontal="center"/>
      <protection locked="0"/>
    </xf>
    <xf numFmtId="0" fontId="44" fillId="0" borderId="651">
      <alignment horizontal="left" vertical="center"/>
    </xf>
    <xf numFmtId="0" fontId="70" fillId="0" borderId="631">
      <protection locked="0"/>
    </xf>
    <xf numFmtId="0" fontId="75" fillId="0" borderId="635"/>
    <xf numFmtId="0" fontId="44" fillId="0" borderId="660">
      <alignment horizontal="left" vertical="center"/>
    </xf>
    <xf numFmtId="49" fontId="19" fillId="70" borderId="657">
      <alignment horizontal="center"/>
      <protection locked="0"/>
    </xf>
    <xf numFmtId="0" fontId="75" fillId="0" borderId="656"/>
    <xf numFmtId="0" fontId="75" fillId="0" borderId="629"/>
    <xf numFmtId="0" fontId="44" fillId="0" borderId="627">
      <alignment horizontal="left" vertical="center"/>
    </xf>
    <xf numFmtId="0" fontId="70" fillId="0" borderId="628">
      <protection locked="0"/>
    </xf>
    <xf numFmtId="49" fontId="19" fillId="70" borderId="624">
      <alignment horizontal="center"/>
      <protection locked="0"/>
    </xf>
    <xf numFmtId="0" fontId="44" fillId="0" borderId="636">
      <alignment horizontal="left" vertical="center"/>
    </xf>
    <xf numFmtId="49" fontId="19" fillId="70" borderId="651">
      <alignment horizontal="center"/>
      <protection locked="0"/>
    </xf>
    <xf numFmtId="49" fontId="19" fillId="70" borderId="639">
      <alignment horizontal="center"/>
      <protection locked="0"/>
    </xf>
    <xf numFmtId="0" fontId="75" fillId="0" borderId="629"/>
    <xf numFmtId="0" fontId="70" fillId="0" borderId="640">
      <protection locked="0"/>
    </xf>
    <xf numFmtId="0" fontId="70" fillId="0" borderId="643">
      <protection locked="0"/>
    </xf>
    <xf numFmtId="0" fontId="75" fillId="0" borderId="626"/>
    <xf numFmtId="49" fontId="19" fillId="70" borderId="660">
      <alignment horizontal="center"/>
      <protection locked="0"/>
    </xf>
    <xf numFmtId="49" fontId="19" fillId="70" borderId="660">
      <alignment horizontal="center"/>
      <protection locked="0"/>
    </xf>
    <xf numFmtId="0" fontId="75" fillId="0" borderId="662"/>
    <xf numFmtId="0" fontId="44" fillId="0" borderId="630">
      <alignment horizontal="left" vertical="center"/>
    </xf>
    <xf numFmtId="49" fontId="19" fillId="70" borderId="636">
      <alignment horizontal="center"/>
      <protection locked="0"/>
    </xf>
    <xf numFmtId="0" fontId="44" fillId="0" borderId="663">
      <alignment horizontal="left" vertical="center"/>
    </xf>
    <xf numFmtId="0" fontId="75" fillId="0" borderId="659"/>
    <xf numFmtId="0" fontId="70" fillId="0" borderId="637">
      <protection locked="0"/>
    </xf>
    <xf numFmtId="0" fontId="44" fillId="0" borderId="636">
      <alignment horizontal="left" vertical="center"/>
    </xf>
    <xf numFmtId="0" fontId="75" fillId="0" borderId="638"/>
    <xf numFmtId="49" fontId="19" fillId="70" borderId="633">
      <alignment horizontal="center"/>
      <protection locked="0"/>
    </xf>
    <xf numFmtId="0" fontId="75" fillId="0" borderId="647"/>
    <xf numFmtId="0" fontId="44" fillId="0" borderId="654">
      <alignment horizontal="left" vertical="center"/>
    </xf>
    <xf numFmtId="0" fontId="75" fillId="0" borderId="65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25" fillId="51" borderId="665" applyNumberFormat="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2" fillId="38" borderId="665" applyNumberFormat="0" applyAlignment="0" applyProtection="0"/>
    <xf numFmtId="9" fontId="18" fillId="0" borderId="0" applyFont="0" applyFill="0" applyBorder="0" applyAlignment="0" applyProtection="0"/>
    <xf numFmtId="0" fontId="32" fillId="38" borderId="66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5" applyNumberFormat="0" applyAlignment="0" applyProtection="0"/>
    <xf numFmtId="0" fontId="32" fillId="38" borderId="66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5" applyNumberFormat="0" applyAlignment="0" applyProtection="0"/>
    <xf numFmtId="0" fontId="32" fillId="38" borderId="665" applyNumberFormat="0" applyAlignment="0" applyProtection="0"/>
    <xf numFmtId="0" fontId="32" fillId="38" borderId="665" applyNumberFormat="0" applyAlignment="0" applyProtection="0"/>
    <xf numFmtId="0" fontId="32" fillId="38" borderId="665" applyNumberFormat="0" applyAlignment="0" applyProtection="0"/>
    <xf numFmtId="0" fontId="22" fillId="58" borderId="666" applyNumberFormat="0" applyFont="0" applyAlignment="0" applyProtection="0"/>
    <xf numFmtId="0" fontId="35" fillId="51" borderId="667" applyNumberFormat="0" applyAlignment="0" applyProtection="0"/>
    <xf numFmtId="9" fontId="18" fillId="0" borderId="0" applyFont="0" applyFill="0" applyBorder="0" applyAlignment="0" applyProtection="0"/>
    <xf numFmtId="0" fontId="32" fillId="38" borderId="665" applyNumberFormat="0" applyAlignment="0" applyProtection="0"/>
    <xf numFmtId="0" fontId="32" fillId="38" borderId="665" applyNumberFormat="0" applyAlignment="0" applyProtection="0"/>
    <xf numFmtId="0" fontId="32" fillId="38" borderId="66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5"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37" fillId="0" borderId="668"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5" fillId="51" borderId="665" applyNumberFormat="0" applyAlignment="0" applyProtection="0"/>
    <xf numFmtId="43" fontId="18" fillId="0" borderId="0" applyFont="0" applyFill="0" applyBorder="0" applyAlignment="0" applyProtection="0"/>
    <xf numFmtId="0" fontId="32" fillId="38" borderId="665" applyNumberFormat="0" applyAlignment="0" applyProtection="0"/>
    <xf numFmtId="0" fontId="22" fillId="58" borderId="666" applyNumberFormat="0" applyFont="0" applyAlignment="0" applyProtection="0"/>
    <xf numFmtId="0" fontId="35" fillId="51" borderId="667" applyNumberFormat="0" applyAlignment="0" applyProtection="0"/>
    <xf numFmtId="9" fontId="18" fillId="0" borderId="0" applyFont="0" applyFill="0" applyBorder="0" applyAlignment="0" applyProtection="0"/>
    <xf numFmtId="0" fontId="37" fillId="0" borderId="668" applyNumberFormat="0" applyFill="0" applyAlignment="0" applyProtection="0"/>
    <xf numFmtId="0" fontId="75" fillId="0" borderId="669"/>
    <xf numFmtId="0" fontId="44" fillId="0" borderId="682">
      <alignment horizontal="left" vertical="center"/>
    </xf>
    <xf numFmtId="0" fontId="70" fillId="0" borderId="713">
      <protection locked="0"/>
    </xf>
    <xf numFmtId="0" fontId="70" fillId="0" borderId="671">
      <protection locked="0"/>
    </xf>
    <xf numFmtId="0" fontId="44" fillId="0" borderId="670">
      <alignment horizontal="left" vertical="center"/>
    </xf>
    <xf numFmtId="0" fontId="44" fillId="0" borderId="712">
      <alignment horizontal="left" vertical="center"/>
    </xf>
    <xf numFmtId="0" fontId="44" fillId="0" borderId="688">
      <alignment horizontal="left" vertical="center"/>
    </xf>
    <xf numFmtId="0" fontId="75" fillId="0" borderId="690"/>
    <xf numFmtId="0" fontId="70" fillId="0" borderId="689">
      <protection locked="0"/>
    </xf>
    <xf numFmtId="0" fontId="75" fillId="0" borderId="678"/>
    <xf numFmtId="49" fontId="19" fillId="70" borderId="715">
      <alignment horizontal="center"/>
      <protection locked="0"/>
    </xf>
    <xf numFmtId="49" fontId="19" fillId="70" borderId="697">
      <alignment horizontal="center"/>
      <protection locked="0"/>
    </xf>
    <xf numFmtId="49" fontId="19" fillId="70" borderId="700">
      <alignment horizontal="center"/>
      <protection locked="0"/>
    </xf>
    <xf numFmtId="0" fontId="70" fillId="0" borderId="695">
      <protection locked="0"/>
    </xf>
    <xf numFmtId="0" fontId="75" fillId="0" borderId="684"/>
    <xf numFmtId="0" fontId="70" fillId="0" borderId="701">
      <protection locked="0"/>
    </xf>
    <xf numFmtId="0" fontId="75" fillId="0" borderId="690"/>
    <xf numFmtId="0" fontId="44" fillId="0" borderId="694">
      <alignment horizontal="left" vertical="center"/>
    </xf>
    <xf numFmtId="0" fontId="70" fillId="0" borderId="716">
      <protection locked="0"/>
    </xf>
    <xf numFmtId="0" fontId="70" fillId="0" borderId="683">
      <protection locked="0"/>
    </xf>
    <xf numFmtId="0" fontId="44" fillId="0" borderId="718">
      <alignment horizontal="left" vertical="center"/>
    </xf>
    <xf numFmtId="0" fontId="70" fillId="0" borderId="719">
      <protection locked="0"/>
    </xf>
    <xf numFmtId="0" fontId="44" fillId="0" borderId="691">
      <alignment horizontal="left" vertical="center"/>
    </xf>
    <xf numFmtId="0" fontId="70" fillId="0" borderId="698">
      <protection locked="0"/>
    </xf>
    <xf numFmtId="0" fontId="70" fillId="0" borderId="692">
      <protection locked="0"/>
    </xf>
    <xf numFmtId="0" fontId="44" fillId="0" borderId="676">
      <alignment horizontal="left" vertical="center"/>
    </xf>
    <xf numFmtId="0" fontId="44" fillId="0" borderId="715">
      <alignment horizontal="left" vertical="center"/>
    </xf>
    <xf numFmtId="0" fontId="75" fillId="0" borderId="681"/>
    <xf numFmtId="0" fontId="44" fillId="0" borderId="679">
      <alignment horizontal="left" vertical="center"/>
    </xf>
    <xf numFmtId="0" fontId="70" fillId="0" borderId="710">
      <protection locked="0"/>
    </xf>
    <xf numFmtId="0" fontId="75" fillId="0" borderId="687"/>
    <xf numFmtId="0" fontId="75" fillId="0" borderId="714"/>
    <xf numFmtId="0" fontId="75" fillId="0" borderId="675"/>
    <xf numFmtId="0" fontId="44" fillId="0" borderId="673">
      <alignment horizontal="left" vertical="center"/>
    </xf>
    <xf numFmtId="0" fontId="70" fillId="0" borderId="674">
      <protection locked="0"/>
    </xf>
    <xf numFmtId="49" fontId="19" fillId="70" borderId="670">
      <alignment horizontal="center"/>
      <protection locked="0"/>
    </xf>
    <xf numFmtId="49" fontId="19" fillId="70" borderId="706">
      <alignment horizontal="center"/>
      <protection locked="0"/>
    </xf>
    <xf numFmtId="49" fontId="19" fillId="70" borderId="679">
      <alignment horizontal="center"/>
      <protection locked="0"/>
    </xf>
    <xf numFmtId="0" fontId="44" fillId="0" borderId="709">
      <alignment horizontal="left" vertical="center"/>
    </xf>
    <xf numFmtId="0" fontId="75" fillId="0" borderId="693"/>
    <xf numFmtId="0" fontId="75" fillId="0" borderId="708"/>
    <xf numFmtId="0" fontId="44" fillId="0" borderId="703">
      <alignment horizontal="left" vertical="center"/>
    </xf>
    <xf numFmtId="0" fontId="44" fillId="0" borderId="700">
      <alignment horizontal="left" vertical="center"/>
    </xf>
    <xf numFmtId="49" fontId="19" fillId="70" borderId="709">
      <alignment horizontal="center"/>
      <protection locked="0"/>
    </xf>
    <xf numFmtId="0" fontId="44" fillId="0" borderId="685">
      <alignment horizontal="left" vertical="center"/>
    </xf>
    <xf numFmtId="0" fontId="75" fillId="0" borderId="705"/>
    <xf numFmtId="49" fontId="19" fillId="70" borderId="676">
      <alignment horizontal="center"/>
      <protection locked="0"/>
    </xf>
    <xf numFmtId="0" fontId="75" fillId="0" borderId="711"/>
    <xf numFmtId="0" fontId="75" fillId="0" borderId="684"/>
    <xf numFmtId="0" fontId="75" fillId="0" borderId="672"/>
    <xf numFmtId="0" fontId="44" fillId="0" borderId="697">
      <alignment horizontal="left" vertical="center"/>
    </xf>
    <xf numFmtId="0" fontId="70" fillId="0" borderId="677">
      <protection locked="0"/>
    </xf>
    <xf numFmtId="49" fontId="19" fillId="70" borderId="679">
      <alignment horizontal="center"/>
      <protection locked="0"/>
    </xf>
    <xf numFmtId="0" fontId="75" fillId="0" borderId="696"/>
    <xf numFmtId="0" fontId="70" fillId="0" borderId="680">
      <protection locked="0"/>
    </xf>
    <xf numFmtId="0" fontId="75" fillId="0" borderId="702"/>
    <xf numFmtId="0" fontId="70" fillId="0" borderId="704">
      <protection locked="0"/>
    </xf>
    <xf numFmtId="0" fontId="75" fillId="0" borderId="699"/>
    <xf numFmtId="49" fontId="19" fillId="70" borderId="694">
      <alignment horizontal="center"/>
      <protection locked="0"/>
    </xf>
    <xf numFmtId="0" fontId="75" fillId="0" borderId="681"/>
    <xf numFmtId="0" fontId="75" fillId="0" borderId="717"/>
    <xf numFmtId="0" fontId="70" fillId="0" borderId="686">
      <protection locked="0"/>
    </xf>
    <xf numFmtId="0" fontId="44" fillId="0" borderId="706">
      <alignment horizontal="left" vertical="center"/>
    </xf>
    <xf numFmtId="0" fontId="70" fillId="0" borderId="707">
      <protection locked="0"/>
    </xf>
    <xf numFmtId="0" fontId="75" fillId="0" borderId="693"/>
    <xf numFmtId="0" fontId="18" fillId="0" borderId="0"/>
    <xf numFmtId="9" fontId="18" fillId="0" borderId="0" applyFont="0" applyFill="0" applyBorder="0" applyAlignment="0" applyProtection="0"/>
    <xf numFmtId="0" fontId="35" fillId="51" borderId="722" applyNumberFormat="0" applyAlignment="0" applyProtection="0"/>
    <xf numFmtId="0" fontId="25" fillId="51" borderId="720" applyNumberFormat="0" applyAlignment="0" applyProtection="0"/>
    <xf numFmtId="43" fontId="18" fillId="0" borderId="0" applyFont="0" applyFill="0" applyBorder="0" applyAlignment="0" applyProtection="0"/>
    <xf numFmtId="0" fontId="32" fillId="38" borderId="720" applyNumberFormat="0" applyAlignment="0" applyProtection="0"/>
    <xf numFmtId="0" fontId="32" fillId="38" borderId="720" applyNumberFormat="0" applyAlignment="0" applyProtection="0"/>
    <xf numFmtId="43" fontId="18" fillId="0" borderId="0" applyFont="0" applyFill="0" applyBorder="0" applyAlignment="0" applyProtection="0"/>
    <xf numFmtId="0" fontId="22" fillId="58" borderId="721" applyNumberFormat="0" applyFont="0" applyAlignment="0" applyProtection="0"/>
    <xf numFmtId="0" fontId="35" fillId="51" borderId="722" applyNumberFormat="0" applyAlignment="0" applyProtection="0"/>
    <xf numFmtId="9" fontId="18" fillId="0" borderId="0" applyFont="0" applyFill="0" applyBorder="0" applyAlignment="0" applyProtection="0"/>
    <xf numFmtId="0" fontId="18" fillId="0" borderId="0"/>
    <xf numFmtId="0" fontId="37" fillId="0" borderId="723" applyNumberFormat="0" applyFill="0" applyAlignment="0" applyProtection="0"/>
    <xf numFmtId="0" fontId="37" fillId="0" borderId="723" applyNumberFormat="0" applyFill="0" applyAlignment="0" applyProtection="0"/>
    <xf numFmtId="0" fontId="18" fillId="0" borderId="0"/>
    <xf numFmtId="43" fontId="18" fillId="0" borderId="0" applyFont="0" applyFill="0" applyBorder="0" applyAlignment="0" applyProtection="0"/>
    <xf numFmtId="0" fontId="32" fillId="38" borderId="720" applyNumberFormat="0" applyAlignment="0" applyProtection="0"/>
    <xf numFmtId="0" fontId="35" fillId="51" borderId="722" applyNumberFormat="0" applyAlignment="0" applyProtection="0"/>
    <xf numFmtId="9" fontId="18" fillId="0" borderId="0" applyFont="0" applyFill="0" applyBorder="0" applyAlignment="0" applyProtection="0"/>
    <xf numFmtId="0" fontId="37" fillId="0" borderId="723" applyNumberFormat="0" applyFill="0" applyAlignment="0" applyProtection="0"/>
    <xf numFmtId="43" fontId="18" fillId="0" borderId="0" applyFont="0" applyFill="0" applyBorder="0" applyAlignment="0" applyProtection="0"/>
    <xf numFmtId="0" fontId="18" fillId="0" borderId="0"/>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0" fontId="16" fillId="0" borderId="723" applyNumberFormat="0" applyFill="0" applyAlignment="0" applyProtection="0"/>
    <xf numFmtId="0" fontId="70" fillId="0" borderId="719">
      <protection locked="0"/>
    </xf>
    <xf numFmtId="0" fontId="70" fillId="0" borderId="719">
      <protection locked="0"/>
    </xf>
    <xf numFmtId="0" fontId="70" fillId="0" borderId="719">
      <protection locked="0"/>
    </xf>
    <xf numFmtId="0" fontId="70" fillId="0" borderId="411">
      <protection locked="0"/>
    </xf>
    <xf numFmtId="0" fontId="70" fillId="0" borderId="758">
      <protection locked="0"/>
    </xf>
    <xf numFmtId="0" fontId="44" fillId="0" borderId="709">
      <alignment horizontal="left" vertical="center"/>
    </xf>
    <xf numFmtId="0" fontId="44" fillId="0" borderId="496">
      <alignment horizontal="left" vertical="center"/>
    </xf>
    <xf numFmtId="0" fontId="70" fillId="0" borderId="713">
      <protection locked="0"/>
    </xf>
    <xf numFmtId="0" fontId="75" fillId="0" borderId="726"/>
    <xf numFmtId="0" fontId="44" fillId="0" borderId="730">
      <alignment horizontal="left" vertical="center"/>
    </xf>
    <xf numFmtId="0" fontId="75" fillId="0" borderId="693"/>
    <xf numFmtId="49" fontId="19" fillId="70" borderId="745">
      <alignment horizontal="center"/>
      <protection locked="0"/>
    </xf>
    <xf numFmtId="0" fontId="44" fillId="0" borderId="657">
      <alignment horizontal="left" vertical="center"/>
    </xf>
    <xf numFmtId="0" fontId="70" fillId="0" borderId="677">
      <protection locked="0"/>
    </xf>
    <xf numFmtId="49" fontId="19" fillId="70" borderId="496">
      <alignment horizontal="center"/>
      <protection locked="0"/>
    </xf>
    <xf numFmtId="0" fontId="75" fillId="0" borderId="641"/>
    <xf numFmtId="49" fontId="19" fillId="70" borderId="742">
      <alignment horizontal="center"/>
      <protection locked="0"/>
    </xf>
    <xf numFmtId="49" fontId="19" fillId="70" borderId="742">
      <alignment horizontal="center"/>
      <protection locked="0"/>
    </xf>
    <xf numFmtId="49" fontId="19" fillId="70" borderId="739">
      <alignment horizontal="center"/>
      <protection locked="0"/>
    </xf>
    <xf numFmtId="0" fontId="70" fillId="0" borderId="731">
      <protection locked="0"/>
    </xf>
    <xf numFmtId="0" fontId="70" fillId="0" borderId="746">
      <protection locked="0"/>
    </xf>
    <xf numFmtId="0" fontId="75" fillId="0" borderId="744"/>
    <xf numFmtId="49" fontId="19" fillId="70" borderId="733">
      <alignment horizontal="center"/>
      <protection locked="0"/>
    </xf>
    <xf numFmtId="0" fontId="75" fillId="0" borderId="729"/>
    <xf numFmtId="0" fontId="70" fillId="0" borderId="761">
      <protection locked="0"/>
    </xf>
    <xf numFmtId="49" fontId="19" fillId="70" borderId="745">
      <alignment horizontal="center"/>
      <protection locked="0"/>
    </xf>
    <xf numFmtId="0" fontId="70" fillId="0" borderId="749">
      <protection locked="0"/>
    </xf>
    <xf numFmtId="49" fontId="19" fillId="70" borderId="727">
      <alignment horizontal="center"/>
      <protection locked="0"/>
    </xf>
    <xf numFmtId="0" fontId="70" fillId="0" borderId="755">
      <protection locked="0"/>
    </xf>
    <xf numFmtId="0" fontId="44" fillId="0" borderId="736">
      <alignment horizontal="left" vertical="center"/>
    </xf>
    <xf numFmtId="0" fontId="70" fillId="0" borderId="743">
      <protection locked="0"/>
    </xf>
    <xf numFmtId="0" fontId="75" fillId="0" borderId="741"/>
    <xf numFmtId="0" fontId="70" fillId="0" borderId="734">
      <protection locked="0"/>
    </xf>
    <xf numFmtId="0" fontId="44" fillId="0" borderId="754">
      <alignment horizontal="left" vertical="center"/>
    </xf>
    <xf numFmtId="0" fontId="75" fillId="0" borderId="750"/>
    <xf numFmtId="0" fontId="44" fillId="0" borderId="745">
      <alignment horizontal="left" vertical="center"/>
    </xf>
    <xf numFmtId="0" fontId="75" fillId="0" borderId="741"/>
    <xf numFmtId="0" fontId="75" fillId="0" borderId="738"/>
    <xf numFmtId="0" fontId="70" fillId="0" borderId="752">
      <protection locked="0"/>
    </xf>
    <xf numFmtId="0" fontId="44" fillId="0" borderId="742">
      <alignment horizontal="left" vertical="center"/>
    </xf>
    <xf numFmtId="0" fontId="44" fillId="0" borderId="739">
      <alignment horizontal="left" vertical="center"/>
    </xf>
    <xf numFmtId="0" fontId="75" fillId="0" borderId="759"/>
    <xf numFmtId="49" fontId="19" fillId="70" borderId="739">
      <alignment horizontal="center"/>
      <protection locked="0"/>
    </xf>
    <xf numFmtId="0" fontId="44" fillId="0" borderId="748">
      <alignment horizontal="left" vertical="center"/>
    </xf>
    <xf numFmtId="0" fontId="70" fillId="0" borderId="728">
      <protection locked="0"/>
    </xf>
    <xf numFmtId="0" fontId="75" fillId="0" borderId="732"/>
    <xf numFmtId="0" fontId="44" fillId="0" borderId="757">
      <alignment horizontal="left" vertical="center"/>
    </xf>
    <xf numFmtId="49" fontId="19" fillId="70" borderId="754">
      <alignment horizontal="center"/>
      <protection locked="0"/>
    </xf>
    <xf numFmtId="0" fontId="75" fillId="0" borderId="753"/>
    <xf numFmtId="0" fontId="75" fillId="0" borderId="726"/>
    <xf numFmtId="0" fontId="44" fillId="0" borderId="724">
      <alignment horizontal="left" vertical="center"/>
    </xf>
    <xf numFmtId="0" fontId="70" fillId="0" borderId="725">
      <protection locked="0"/>
    </xf>
    <xf numFmtId="49" fontId="19" fillId="70" borderId="709">
      <alignment horizontal="center"/>
      <protection locked="0"/>
    </xf>
    <xf numFmtId="0" fontId="44" fillId="0" borderId="733">
      <alignment horizontal="left" vertical="center"/>
    </xf>
    <xf numFmtId="49" fontId="19" fillId="70" borderId="748">
      <alignment horizontal="center"/>
      <protection locked="0"/>
    </xf>
    <xf numFmtId="49" fontId="19" fillId="70" borderId="736">
      <alignment horizontal="center"/>
      <protection locked="0"/>
    </xf>
    <xf numFmtId="0" fontId="75" fillId="0" borderId="726"/>
    <xf numFmtId="0" fontId="70" fillId="0" borderId="737">
      <protection locked="0"/>
    </xf>
    <xf numFmtId="0" fontId="70" fillId="0" borderId="740">
      <protection locked="0"/>
    </xf>
    <xf numFmtId="0" fontId="75" fillId="0" borderId="717"/>
    <xf numFmtId="49" fontId="19" fillId="70" borderId="757">
      <alignment horizontal="center"/>
      <protection locked="0"/>
    </xf>
    <xf numFmtId="49" fontId="19" fillId="70" borderId="757">
      <alignment horizontal="center"/>
      <protection locked="0"/>
    </xf>
    <xf numFmtId="0" fontId="75" fillId="0" borderId="759"/>
    <xf numFmtId="0" fontId="44" fillId="0" borderId="727">
      <alignment horizontal="left" vertical="center"/>
    </xf>
    <xf numFmtId="49" fontId="19" fillId="70" borderId="733">
      <alignment horizontal="center"/>
      <protection locked="0"/>
    </xf>
    <xf numFmtId="0" fontId="44" fillId="0" borderId="760">
      <alignment horizontal="left" vertical="center"/>
    </xf>
    <xf numFmtId="0" fontId="75" fillId="0" borderId="756"/>
    <xf numFmtId="0" fontId="70" fillId="0" borderId="734">
      <protection locked="0"/>
    </xf>
    <xf numFmtId="0" fontId="44" fillId="0" borderId="733">
      <alignment horizontal="left" vertical="center"/>
    </xf>
    <xf numFmtId="0" fontId="75" fillId="0" borderId="735"/>
    <xf numFmtId="49" fontId="19" fillId="70" borderId="730">
      <alignment horizontal="center"/>
      <protection locked="0"/>
    </xf>
    <xf numFmtId="0" fontId="75" fillId="0" borderId="744"/>
    <xf numFmtId="0" fontId="44" fillId="0" borderId="751">
      <alignment horizontal="left" vertical="center"/>
    </xf>
    <xf numFmtId="0" fontId="75" fillId="0" borderId="747"/>
    <xf numFmtId="0" fontId="25" fillId="51"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22" fillId="58" borderId="763" applyNumberFormat="0" applyFont="0" applyAlignment="0" applyProtection="0"/>
    <xf numFmtId="0" fontId="35" fillId="51" borderId="764"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7" fillId="0" borderId="765" applyNumberFormat="0" applyFill="0" applyAlignment="0" applyProtection="0"/>
    <xf numFmtId="0" fontId="25" fillId="51" borderId="762" applyNumberFormat="0" applyAlignment="0" applyProtection="0"/>
    <xf numFmtId="0" fontId="32" fillId="38" borderId="762" applyNumberFormat="0" applyAlignment="0" applyProtection="0"/>
    <xf numFmtId="0" fontId="22" fillId="58" borderId="763" applyNumberFormat="0" applyFont="0" applyAlignment="0" applyProtection="0"/>
    <xf numFmtId="0" fontId="35" fillId="51" borderId="764" applyNumberFormat="0" applyAlignment="0" applyProtection="0"/>
    <xf numFmtId="0" fontId="37" fillId="0" borderId="765" applyNumberFormat="0" applyFill="0" applyAlignment="0" applyProtection="0"/>
    <xf numFmtId="0" fontId="75" fillId="0" borderId="766"/>
    <xf numFmtId="0" fontId="44" fillId="0" borderId="779">
      <alignment horizontal="left" vertical="center"/>
    </xf>
    <xf numFmtId="0" fontId="70" fillId="0" borderId="810">
      <protection locked="0"/>
    </xf>
    <xf numFmtId="0" fontId="70" fillId="0" borderId="768">
      <protection locked="0"/>
    </xf>
    <xf numFmtId="0" fontId="44" fillId="0" borderId="767">
      <alignment horizontal="left" vertical="center"/>
    </xf>
    <xf numFmtId="0" fontId="44" fillId="0" borderId="809">
      <alignment horizontal="left" vertical="center"/>
    </xf>
    <xf numFmtId="0" fontId="44" fillId="0" borderId="785">
      <alignment horizontal="left" vertical="center"/>
    </xf>
    <xf numFmtId="0" fontId="75" fillId="0" borderId="787"/>
    <xf numFmtId="0" fontId="70" fillId="0" borderId="786">
      <protection locked="0"/>
    </xf>
    <xf numFmtId="0" fontId="75" fillId="0" borderId="775"/>
    <xf numFmtId="49" fontId="19" fillId="70" borderId="812">
      <alignment horizontal="center"/>
      <protection locked="0"/>
    </xf>
    <xf numFmtId="49" fontId="19" fillId="70" borderId="794">
      <alignment horizontal="center"/>
      <protection locked="0"/>
    </xf>
    <xf numFmtId="49" fontId="19" fillId="70" borderId="797">
      <alignment horizontal="center"/>
      <protection locked="0"/>
    </xf>
    <xf numFmtId="0" fontId="70" fillId="0" borderId="792">
      <protection locked="0"/>
    </xf>
    <xf numFmtId="0" fontId="75" fillId="0" borderId="781"/>
    <xf numFmtId="0" fontId="70" fillId="0" borderId="798">
      <protection locked="0"/>
    </xf>
    <xf numFmtId="0" fontId="75" fillId="0" borderId="787"/>
    <xf numFmtId="0" fontId="44" fillId="0" borderId="791">
      <alignment horizontal="left" vertical="center"/>
    </xf>
    <xf numFmtId="0" fontId="70" fillId="0" borderId="813">
      <protection locked="0"/>
    </xf>
    <xf numFmtId="0" fontId="70" fillId="0" borderId="780">
      <protection locked="0"/>
    </xf>
    <xf numFmtId="0" fontId="44" fillId="0" borderId="815">
      <alignment horizontal="left" vertical="center"/>
    </xf>
    <xf numFmtId="0" fontId="70" fillId="0" borderId="816">
      <protection locked="0"/>
    </xf>
    <xf numFmtId="0" fontId="44" fillId="0" borderId="788">
      <alignment horizontal="left" vertical="center"/>
    </xf>
    <xf numFmtId="0" fontId="70" fillId="0" borderId="795">
      <protection locked="0"/>
    </xf>
    <xf numFmtId="0" fontId="70" fillId="0" borderId="789">
      <protection locked="0"/>
    </xf>
    <xf numFmtId="0" fontId="44" fillId="0" borderId="773">
      <alignment horizontal="left" vertical="center"/>
    </xf>
    <xf numFmtId="0" fontId="44" fillId="0" borderId="812">
      <alignment horizontal="left" vertical="center"/>
    </xf>
    <xf numFmtId="0" fontId="75" fillId="0" borderId="778"/>
    <xf numFmtId="0" fontId="44" fillId="0" borderId="776">
      <alignment horizontal="left" vertical="center"/>
    </xf>
    <xf numFmtId="0" fontId="70" fillId="0" borderId="807">
      <protection locked="0"/>
    </xf>
    <xf numFmtId="0" fontId="75" fillId="0" borderId="784"/>
    <xf numFmtId="0" fontId="75" fillId="0" borderId="811"/>
    <xf numFmtId="0" fontId="75" fillId="0" borderId="772"/>
    <xf numFmtId="0" fontId="44" fillId="0" borderId="770">
      <alignment horizontal="left" vertical="center"/>
    </xf>
    <xf numFmtId="0" fontId="70" fillId="0" borderId="771">
      <protection locked="0"/>
    </xf>
    <xf numFmtId="49" fontId="19" fillId="70" borderId="767">
      <alignment horizontal="center"/>
      <protection locked="0"/>
    </xf>
    <xf numFmtId="49" fontId="19" fillId="70" borderId="803">
      <alignment horizontal="center"/>
      <protection locked="0"/>
    </xf>
    <xf numFmtId="49" fontId="19" fillId="70" borderId="776">
      <alignment horizontal="center"/>
      <protection locked="0"/>
    </xf>
    <xf numFmtId="0" fontId="44" fillId="0" borderId="806">
      <alignment horizontal="left" vertical="center"/>
    </xf>
    <xf numFmtId="0" fontId="75" fillId="0" borderId="790"/>
    <xf numFmtId="0" fontId="75" fillId="0" borderId="805"/>
    <xf numFmtId="0" fontId="44" fillId="0" borderId="800">
      <alignment horizontal="left" vertical="center"/>
    </xf>
    <xf numFmtId="0" fontId="44" fillId="0" borderId="797">
      <alignment horizontal="left" vertical="center"/>
    </xf>
    <xf numFmtId="49" fontId="19" fillId="70" borderId="806">
      <alignment horizontal="center"/>
      <protection locked="0"/>
    </xf>
    <xf numFmtId="0" fontId="44" fillId="0" borderId="782">
      <alignment horizontal="left" vertical="center"/>
    </xf>
    <xf numFmtId="0" fontId="75" fillId="0" borderId="802"/>
    <xf numFmtId="49" fontId="19" fillId="70" borderId="773">
      <alignment horizontal="center"/>
      <protection locked="0"/>
    </xf>
    <xf numFmtId="0" fontId="75" fillId="0" borderId="808"/>
    <xf numFmtId="0" fontId="75" fillId="0" borderId="781"/>
    <xf numFmtId="0" fontId="75" fillId="0" borderId="769"/>
    <xf numFmtId="0" fontId="44" fillId="0" borderId="794">
      <alignment horizontal="left" vertical="center"/>
    </xf>
    <xf numFmtId="0" fontId="70" fillId="0" borderId="774">
      <protection locked="0"/>
    </xf>
    <xf numFmtId="49" fontId="19" fillId="70" borderId="776">
      <alignment horizontal="center"/>
      <protection locked="0"/>
    </xf>
    <xf numFmtId="0" fontId="75" fillId="0" borderId="793"/>
    <xf numFmtId="0" fontId="70" fillId="0" borderId="777">
      <protection locked="0"/>
    </xf>
    <xf numFmtId="0" fontId="75" fillId="0" borderId="799"/>
    <xf numFmtId="0" fontId="70" fillId="0" borderId="801">
      <protection locked="0"/>
    </xf>
    <xf numFmtId="0" fontId="75" fillId="0" borderId="796"/>
    <xf numFmtId="49" fontId="19" fillId="70" borderId="791">
      <alignment horizontal="center"/>
      <protection locked="0"/>
    </xf>
    <xf numFmtId="0" fontId="75" fillId="0" borderId="778"/>
    <xf numFmtId="0" fontId="75" fillId="0" borderId="814"/>
    <xf numFmtId="0" fontId="70" fillId="0" borderId="783">
      <protection locked="0"/>
    </xf>
    <xf numFmtId="0" fontId="44" fillId="0" borderId="803">
      <alignment horizontal="left" vertical="center"/>
    </xf>
    <xf numFmtId="0" fontId="70" fillId="0" borderId="804">
      <protection locked="0"/>
    </xf>
    <xf numFmtId="0" fontId="75" fillId="0" borderId="790"/>
    <xf numFmtId="0" fontId="35" fillId="51" borderId="819" applyNumberFormat="0" applyAlignment="0" applyProtection="0"/>
    <xf numFmtId="0" fontId="25" fillId="51" borderId="817" applyNumberFormat="0" applyAlignment="0" applyProtection="0"/>
    <xf numFmtId="0" fontId="32" fillId="38" borderId="817" applyNumberFormat="0" applyAlignment="0" applyProtection="0"/>
    <xf numFmtId="0" fontId="32" fillId="38" borderId="817" applyNumberFormat="0" applyAlignment="0" applyProtection="0"/>
    <xf numFmtId="0" fontId="22" fillId="58" borderId="818" applyNumberFormat="0" applyFont="0" applyAlignment="0" applyProtection="0"/>
    <xf numFmtId="0" fontId="35" fillId="51" borderId="819" applyNumberFormat="0" applyAlignment="0" applyProtection="0"/>
    <xf numFmtId="0" fontId="37" fillId="0" borderId="820" applyNumberFormat="0" applyFill="0" applyAlignment="0" applyProtection="0"/>
    <xf numFmtId="0" fontId="37" fillId="0" borderId="820" applyNumberFormat="0" applyFill="0" applyAlignment="0" applyProtection="0"/>
    <xf numFmtId="0" fontId="32" fillId="38" borderId="817" applyNumberFormat="0" applyAlignment="0" applyProtection="0"/>
    <xf numFmtId="0" fontId="35" fillId="51" borderId="819" applyNumberFormat="0" applyAlignment="0" applyProtection="0"/>
    <xf numFmtId="0" fontId="37" fillId="0" borderId="820" applyNumberFormat="0" applyFill="0" applyAlignment="0" applyProtection="0"/>
    <xf numFmtId="0" fontId="16" fillId="0" borderId="820" applyNumberFormat="0" applyFill="0" applyAlignment="0" applyProtection="0"/>
    <xf numFmtId="0" fontId="70" fillId="0" borderId="816">
      <protection locked="0"/>
    </xf>
    <xf numFmtId="0" fontId="70" fillId="0" borderId="816">
      <protection locked="0"/>
    </xf>
    <xf numFmtId="0" fontId="70" fillId="0" borderId="816">
      <protection locked="0"/>
    </xf>
    <xf numFmtId="0" fontId="25" fillId="51" borderId="817" applyNumberFormat="0" applyAlignment="0" applyProtection="0"/>
    <xf numFmtId="0" fontId="32" fillId="38" borderId="817" applyNumberFormat="0" applyAlignment="0" applyProtection="0"/>
    <xf numFmtId="0" fontId="22" fillId="58" borderId="818" applyNumberFormat="0" applyFont="0" applyAlignment="0" applyProtection="0"/>
    <xf numFmtId="0" fontId="35" fillId="51" borderId="819" applyNumberFormat="0" applyAlignment="0" applyProtection="0"/>
    <xf numFmtId="0" fontId="37" fillId="0" borderId="820" applyNumberFormat="0" applyFill="0" applyAlignment="0" applyProtection="0"/>
    <xf numFmtId="0" fontId="32" fillId="38" borderId="817" applyNumberFormat="0" applyAlignment="0" applyProtection="0"/>
    <xf numFmtId="0" fontId="32" fillId="38" borderId="817" applyNumberFormat="0" applyAlignment="0" applyProtection="0"/>
    <xf numFmtId="0" fontId="32" fillId="38" borderId="817" applyNumberFormat="0" applyAlignment="0" applyProtection="0"/>
    <xf numFmtId="0" fontId="32" fillId="38" borderId="817" applyNumberFormat="0" applyAlignment="0" applyProtection="0"/>
    <xf numFmtId="0" fontId="70" fillId="0" borderId="858">
      <protection locked="0"/>
    </xf>
    <xf numFmtId="0" fontId="44" fillId="0" borderId="821">
      <alignment horizontal="left" vertical="center"/>
    </xf>
    <xf numFmtId="0" fontId="44" fillId="0" borderId="757">
      <alignment horizontal="left" vertical="center"/>
    </xf>
    <xf numFmtId="0" fontId="70" fillId="0" borderId="822">
      <protection locked="0"/>
    </xf>
    <xf numFmtId="0" fontId="75" fillId="0" borderId="826"/>
    <xf numFmtId="0" fontId="44" fillId="0" borderId="830">
      <alignment horizontal="left" vertical="center"/>
    </xf>
    <xf numFmtId="0" fontId="75" fillId="0" borderId="814"/>
    <xf numFmtId="49" fontId="19" fillId="70" borderId="845">
      <alignment horizontal="center"/>
      <protection locked="0"/>
    </xf>
    <xf numFmtId="49" fontId="19" fillId="70" borderId="842">
      <alignment horizontal="center"/>
      <protection locked="0"/>
    </xf>
    <xf numFmtId="49" fontId="19" fillId="70" borderId="842">
      <alignment horizontal="center"/>
      <protection locked="0"/>
    </xf>
    <xf numFmtId="49" fontId="19" fillId="70" borderId="839">
      <alignment horizontal="center"/>
      <protection locked="0"/>
    </xf>
    <xf numFmtId="0" fontId="70" fillId="0" borderId="831">
      <protection locked="0"/>
    </xf>
    <xf numFmtId="0" fontId="70" fillId="0" borderId="846">
      <protection locked="0"/>
    </xf>
    <xf numFmtId="0" fontId="75" fillId="0" borderId="844"/>
    <xf numFmtId="49" fontId="19" fillId="70" borderId="833">
      <alignment horizontal="center"/>
      <protection locked="0"/>
    </xf>
    <xf numFmtId="0" fontId="75" fillId="0" borderId="829"/>
    <xf numFmtId="0" fontId="70" fillId="0" borderId="861">
      <protection locked="0"/>
    </xf>
    <xf numFmtId="49" fontId="19" fillId="70" borderId="845">
      <alignment horizontal="center"/>
      <protection locked="0"/>
    </xf>
    <xf numFmtId="0" fontId="70" fillId="0" borderId="849">
      <protection locked="0"/>
    </xf>
    <xf numFmtId="49" fontId="19" fillId="70" borderId="827">
      <alignment horizontal="center"/>
      <protection locked="0"/>
    </xf>
    <xf numFmtId="0" fontId="70" fillId="0" borderId="855">
      <protection locked="0"/>
    </xf>
    <xf numFmtId="0" fontId="44" fillId="0" borderId="836">
      <alignment horizontal="left" vertical="center"/>
    </xf>
    <xf numFmtId="0" fontId="70" fillId="0" borderId="843">
      <protection locked="0"/>
    </xf>
    <xf numFmtId="0" fontId="75" fillId="0" borderId="841"/>
    <xf numFmtId="0" fontId="70" fillId="0" borderId="834">
      <protection locked="0"/>
    </xf>
    <xf numFmtId="0" fontId="44" fillId="0" borderId="854">
      <alignment horizontal="left" vertical="center"/>
    </xf>
    <xf numFmtId="0" fontId="75" fillId="0" borderId="850"/>
    <xf numFmtId="0" fontId="44" fillId="0" borderId="845">
      <alignment horizontal="left" vertical="center"/>
    </xf>
    <xf numFmtId="0" fontId="75" fillId="0" borderId="841"/>
    <xf numFmtId="0" fontId="75" fillId="0" borderId="838"/>
    <xf numFmtId="0" fontId="70" fillId="0" borderId="852">
      <protection locked="0"/>
    </xf>
    <xf numFmtId="0" fontId="44" fillId="0" borderId="842">
      <alignment horizontal="left" vertical="center"/>
    </xf>
    <xf numFmtId="0" fontId="44" fillId="0" borderId="839">
      <alignment horizontal="left" vertical="center"/>
    </xf>
    <xf numFmtId="0" fontId="75" fillId="0" borderId="859"/>
    <xf numFmtId="49" fontId="19" fillId="70" borderId="839">
      <alignment horizontal="center"/>
      <protection locked="0"/>
    </xf>
    <xf numFmtId="0" fontId="44" fillId="0" borderId="848">
      <alignment horizontal="left" vertical="center"/>
    </xf>
    <xf numFmtId="0" fontId="70" fillId="0" borderId="828">
      <protection locked="0"/>
    </xf>
    <xf numFmtId="0" fontId="75" fillId="0" borderId="832"/>
    <xf numFmtId="0" fontId="44" fillId="0" borderId="857">
      <alignment horizontal="left" vertical="center"/>
    </xf>
    <xf numFmtId="49" fontId="19" fillId="70" borderId="854">
      <alignment horizontal="center"/>
      <protection locked="0"/>
    </xf>
    <xf numFmtId="0" fontId="75" fillId="0" borderId="853"/>
    <xf numFmtId="0" fontId="75" fillId="0" borderId="826"/>
    <xf numFmtId="0" fontId="44" fillId="0" borderId="824">
      <alignment horizontal="left" vertical="center"/>
    </xf>
    <xf numFmtId="0" fontId="70" fillId="0" borderId="825">
      <protection locked="0"/>
    </xf>
    <xf numFmtId="49" fontId="19" fillId="70" borderId="821">
      <alignment horizontal="center"/>
      <protection locked="0"/>
    </xf>
    <xf numFmtId="0" fontId="44" fillId="0" borderId="833">
      <alignment horizontal="left" vertical="center"/>
    </xf>
    <xf numFmtId="49" fontId="19" fillId="70" borderId="848">
      <alignment horizontal="center"/>
      <protection locked="0"/>
    </xf>
    <xf numFmtId="49" fontId="19" fillId="70" borderId="836">
      <alignment horizontal="center"/>
      <protection locked="0"/>
    </xf>
    <xf numFmtId="0" fontId="75" fillId="0" borderId="826"/>
    <xf numFmtId="0" fontId="70" fillId="0" borderId="837">
      <protection locked="0"/>
    </xf>
    <xf numFmtId="0" fontId="70" fillId="0" borderId="840">
      <protection locked="0"/>
    </xf>
    <xf numFmtId="0" fontId="75" fillId="0" borderId="823"/>
    <xf numFmtId="49" fontId="19" fillId="70" borderId="857">
      <alignment horizontal="center"/>
      <protection locked="0"/>
    </xf>
    <xf numFmtId="49" fontId="19" fillId="70" borderId="857">
      <alignment horizontal="center"/>
      <protection locked="0"/>
    </xf>
    <xf numFmtId="0" fontId="75" fillId="0" borderId="859"/>
    <xf numFmtId="0" fontId="44" fillId="0" borderId="827">
      <alignment horizontal="left" vertical="center"/>
    </xf>
    <xf numFmtId="49" fontId="19" fillId="70" borderId="833">
      <alignment horizontal="center"/>
      <protection locked="0"/>
    </xf>
    <xf numFmtId="0" fontId="44" fillId="0" borderId="860">
      <alignment horizontal="left" vertical="center"/>
    </xf>
    <xf numFmtId="0" fontId="75" fillId="0" borderId="856"/>
    <xf numFmtId="0" fontId="70" fillId="0" borderId="834">
      <protection locked="0"/>
    </xf>
    <xf numFmtId="0" fontId="44" fillId="0" borderId="833">
      <alignment horizontal="left" vertical="center"/>
    </xf>
    <xf numFmtId="0" fontId="75" fillId="0" borderId="835"/>
    <xf numFmtId="49" fontId="19" fillId="70" borderId="830">
      <alignment horizontal="center"/>
      <protection locked="0"/>
    </xf>
    <xf numFmtId="0" fontId="75" fillId="0" borderId="844"/>
    <xf numFmtId="0" fontId="44" fillId="0" borderId="851">
      <alignment horizontal="left" vertical="center"/>
    </xf>
    <xf numFmtId="0" fontId="75" fillId="0" borderId="847"/>
    <xf numFmtId="0" fontId="25" fillId="51"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22" fillId="58" borderId="863" applyNumberFormat="0" applyFont="0" applyAlignment="0" applyProtection="0"/>
    <xf numFmtId="0" fontId="35" fillId="51" borderId="864"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7" fillId="0" borderId="865" applyNumberFormat="0" applyFill="0" applyAlignment="0" applyProtection="0"/>
    <xf numFmtId="0" fontId="25" fillId="51" borderId="862" applyNumberFormat="0" applyAlignment="0" applyProtection="0"/>
    <xf numFmtId="0" fontId="32" fillId="38" borderId="862" applyNumberFormat="0" applyAlignment="0" applyProtection="0"/>
    <xf numFmtId="0" fontId="22" fillId="58" borderId="863" applyNumberFormat="0" applyFont="0" applyAlignment="0" applyProtection="0"/>
    <xf numFmtId="0" fontId="35" fillId="51" borderId="864" applyNumberFormat="0" applyAlignment="0" applyProtection="0"/>
    <xf numFmtId="0" fontId="37" fillId="0" borderId="865" applyNumberFormat="0" applyFill="0" applyAlignment="0" applyProtection="0"/>
    <xf numFmtId="0" fontId="75" fillId="0" borderId="866"/>
    <xf numFmtId="0" fontId="44" fillId="0" borderId="879">
      <alignment horizontal="left" vertical="center"/>
    </xf>
    <xf numFmtId="0" fontId="70" fillId="0" borderId="910">
      <protection locked="0"/>
    </xf>
    <xf numFmtId="0" fontId="70" fillId="0" borderId="868">
      <protection locked="0"/>
    </xf>
    <xf numFmtId="0" fontId="44" fillId="0" borderId="867">
      <alignment horizontal="left" vertical="center"/>
    </xf>
    <xf numFmtId="0" fontId="44" fillId="0" borderId="909">
      <alignment horizontal="left" vertical="center"/>
    </xf>
    <xf numFmtId="0" fontId="44" fillId="0" borderId="885">
      <alignment horizontal="left" vertical="center"/>
    </xf>
    <xf numFmtId="0" fontId="75" fillId="0" borderId="887"/>
    <xf numFmtId="0" fontId="70" fillId="0" borderId="886">
      <protection locked="0"/>
    </xf>
    <xf numFmtId="0" fontId="75" fillId="0" borderId="875"/>
    <xf numFmtId="49" fontId="19" fillId="70" borderId="912">
      <alignment horizontal="center"/>
      <protection locked="0"/>
    </xf>
    <xf numFmtId="49" fontId="19" fillId="70" borderId="894">
      <alignment horizontal="center"/>
      <protection locked="0"/>
    </xf>
    <xf numFmtId="49" fontId="19" fillId="70" borderId="897">
      <alignment horizontal="center"/>
      <protection locked="0"/>
    </xf>
    <xf numFmtId="0" fontId="70" fillId="0" borderId="892">
      <protection locked="0"/>
    </xf>
    <xf numFmtId="0" fontId="75" fillId="0" borderId="881"/>
    <xf numFmtId="0" fontId="70" fillId="0" borderId="898">
      <protection locked="0"/>
    </xf>
    <xf numFmtId="0" fontId="75" fillId="0" borderId="887"/>
    <xf numFmtId="0" fontId="44" fillId="0" borderId="891">
      <alignment horizontal="left" vertical="center"/>
    </xf>
    <xf numFmtId="0" fontId="70" fillId="0" borderId="913">
      <protection locked="0"/>
    </xf>
    <xf numFmtId="0" fontId="70" fillId="0" borderId="880">
      <protection locked="0"/>
    </xf>
    <xf numFmtId="0" fontId="44" fillId="0" borderId="915">
      <alignment horizontal="left" vertical="center"/>
    </xf>
    <xf numFmtId="0" fontId="70" fillId="0" borderId="916">
      <protection locked="0"/>
    </xf>
    <xf numFmtId="0" fontId="44" fillId="0" borderId="888">
      <alignment horizontal="left" vertical="center"/>
    </xf>
    <xf numFmtId="0" fontId="70" fillId="0" borderId="895">
      <protection locked="0"/>
    </xf>
    <xf numFmtId="0" fontId="70" fillId="0" borderId="889">
      <protection locked="0"/>
    </xf>
    <xf numFmtId="0" fontId="44" fillId="0" borderId="873">
      <alignment horizontal="left" vertical="center"/>
    </xf>
    <xf numFmtId="0" fontId="44" fillId="0" borderId="912">
      <alignment horizontal="left" vertical="center"/>
    </xf>
    <xf numFmtId="0" fontId="75" fillId="0" borderId="878"/>
    <xf numFmtId="0" fontId="44" fillId="0" borderId="876">
      <alignment horizontal="left" vertical="center"/>
    </xf>
    <xf numFmtId="0" fontId="70" fillId="0" borderId="907">
      <protection locked="0"/>
    </xf>
    <xf numFmtId="0" fontId="75" fillId="0" borderId="884"/>
    <xf numFmtId="0" fontId="75" fillId="0" borderId="911"/>
    <xf numFmtId="0" fontId="75" fillId="0" borderId="872"/>
    <xf numFmtId="0" fontId="44" fillId="0" borderId="870">
      <alignment horizontal="left" vertical="center"/>
    </xf>
    <xf numFmtId="0" fontId="70" fillId="0" borderId="871">
      <protection locked="0"/>
    </xf>
    <xf numFmtId="49" fontId="19" fillId="70" borderId="867">
      <alignment horizontal="center"/>
      <protection locked="0"/>
    </xf>
    <xf numFmtId="49" fontId="19" fillId="70" borderId="903">
      <alignment horizontal="center"/>
      <protection locked="0"/>
    </xf>
    <xf numFmtId="49" fontId="19" fillId="70" borderId="876">
      <alignment horizontal="center"/>
      <protection locked="0"/>
    </xf>
    <xf numFmtId="0" fontId="44" fillId="0" borderId="906">
      <alignment horizontal="left" vertical="center"/>
    </xf>
    <xf numFmtId="0" fontId="75" fillId="0" borderId="890"/>
    <xf numFmtId="0" fontId="75" fillId="0" borderId="905"/>
    <xf numFmtId="0" fontId="44" fillId="0" borderId="900">
      <alignment horizontal="left" vertical="center"/>
    </xf>
    <xf numFmtId="0" fontId="44" fillId="0" borderId="897">
      <alignment horizontal="left" vertical="center"/>
    </xf>
    <xf numFmtId="49" fontId="19" fillId="70" borderId="906">
      <alignment horizontal="center"/>
      <protection locked="0"/>
    </xf>
    <xf numFmtId="0" fontId="44" fillId="0" borderId="882">
      <alignment horizontal="left" vertical="center"/>
    </xf>
    <xf numFmtId="0" fontId="75" fillId="0" borderId="902"/>
    <xf numFmtId="49" fontId="19" fillId="70" borderId="873">
      <alignment horizontal="center"/>
      <protection locked="0"/>
    </xf>
    <xf numFmtId="0" fontId="75" fillId="0" borderId="908"/>
    <xf numFmtId="0" fontId="75" fillId="0" borderId="881"/>
    <xf numFmtId="0" fontId="75" fillId="0" borderId="869"/>
    <xf numFmtId="0" fontId="44" fillId="0" borderId="894">
      <alignment horizontal="left" vertical="center"/>
    </xf>
    <xf numFmtId="0" fontId="70" fillId="0" borderId="874">
      <protection locked="0"/>
    </xf>
    <xf numFmtId="49" fontId="19" fillId="70" borderId="876">
      <alignment horizontal="center"/>
      <protection locked="0"/>
    </xf>
    <xf numFmtId="0" fontId="75" fillId="0" borderId="893"/>
    <xf numFmtId="0" fontId="70" fillId="0" borderId="877">
      <protection locked="0"/>
    </xf>
    <xf numFmtId="0" fontId="75" fillId="0" borderId="899"/>
    <xf numFmtId="0" fontId="70" fillId="0" borderId="901">
      <protection locked="0"/>
    </xf>
    <xf numFmtId="0" fontId="75" fillId="0" borderId="896"/>
    <xf numFmtId="49" fontId="19" fillId="70" borderId="891">
      <alignment horizontal="center"/>
      <protection locked="0"/>
    </xf>
    <xf numFmtId="0" fontId="75" fillId="0" borderId="878"/>
    <xf numFmtId="0" fontId="75" fillId="0" borderId="914"/>
    <xf numFmtId="0" fontId="70" fillId="0" borderId="883">
      <protection locked="0"/>
    </xf>
    <xf numFmtId="0" fontId="44" fillId="0" borderId="903">
      <alignment horizontal="left" vertical="center"/>
    </xf>
    <xf numFmtId="0" fontId="70" fillId="0" borderId="904">
      <protection locked="0"/>
    </xf>
    <xf numFmtId="0" fontId="75" fillId="0" borderId="890"/>
    <xf numFmtId="0" fontId="35" fillId="51" borderId="919" applyNumberFormat="0" applyAlignment="0" applyProtection="0"/>
    <xf numFmtId="0" fontId="25" fillId="51" borderId="917" applyNumberFormat="0" applyAlignment="0" applyProtection="0"/>
    <xf numFmtId="0" fontId="32" fillId="38" borderId="917" applyNumberFormat="0" applyAlignment="0" applyProtection="0"/>
    <xf numFmtId="0" fontId="32" fillId="38" borderId="917" applyNumberFormat="0" applyAlignment="0" applyProtection="0"/>
    <xf numFmtId="0" fontId="22" fillId="58" borderId="918" applyNumberFormat="0" applyFont="0" applyAlignment="0" applyProtection="0"/>
    <xf numFmtId="0" fontId="35" fillId="51" borderId="919" applyNumberFormat="0" applyAlignment="0" applyProtection="0"/>
    <xf numFmtId="0" fontId="37" fillId="0" borderId="920" applyNumberFormat="0" applyFill="0" applyAlignment="0" applyProtection="0"/>
    <xf numFmtId="0" fontId="37" fillId="0" borderId="920" applyNumberFormat="0" applyFill="0" applyAlignment="0" applyProtection="0"/>
    <xf numFmtId="0" fontId="32" fillId="38" borderId="917" applyNumberFormat="0" applyAlignment="0" applyProtection="0"/>
    <xf numFmtId="0" fontId="35" fillId="51" borderId="919" applyNumberFormat="0" applyAlignment="0" applyProtection="0"/>
    <xf numFmtId="0" fontId="37" fillId="0" borderId="920" applyNumberFormat="0" applyFill="0" applyAlignment="0" applyProtection="0"/>
    <xf numFmtId="0" fontId="16" fillId="0" borderId="920" applyNumberFormat="0" applyFill="0" applyAlignment="0" applyProtection="0"/>
    <xf numFmtId="0" fontId="70" fillId="0" borderId="916">
      <protection locked="0"/>
    </xf>
    <xf numFmtId="0" fontId="70" fillId="0" borderId="916">
      <protection locked="0"/>
    </xf>
    <xf numFmtId="0" fontId="70" fillId="0" borderId="916">
      <protection locked="0"/>
    </xf>
    <xf numFmtId="0" fontId="70" fillId="0" borderId="907">
      <protection locked="0"/>
    </xf>
    <xf numFmtId="0" fontId="70" fillId="0" borderId="961">
      <protection locked="0"/>
    </xf>
    <xf numFmtId="0" fontId="44" fillId="0" borderId="924">
      <alignment horizontal="left" vertical="center"/>
    </xf>
    <xf numFmtId="0" fontId="44" fillId="0" borderId="906">
      <alignment horizontal="left" vertical="center"/>
    </xf>
    <xf numFmtId="0" fontId="70" fillId="0" borderId="925">
      <protection locked="0"/>
    </xf>
    <xf numFmtId="0" fontId="75" fillId="0" borderId="929"/>
    <xf numFmtId="0" fontId="44" fillId="0" borderId="933">
      <alignment horizontal="left" vertical="center"/>
    </xf>
    <xf numFmtId="0" fontId="75" fillId="0" borderId="923"/>
    <xf numFmtId="49" fontId="19" fillId="70" borderId="948">
      <alignment horizontal="center"/>
      <protection locked="0"/>
    </xf>
    <xf numFmtId="0" fontId="44" fillId="0" borderId="921">
      <alignment horizontal="left" vertical="center"/>
    </xf>
    <xf numFmtId="0" fontId="70" fillId="0" borderId="922">
      <protection locked="0"/>
    </xf>
    <xf numFmtId="49" fontId="19" fillId="70" borderId="906">
      <alignment horizontal="center"/>
      <protection locked="0"/>
    </xf>
    <xf numFmtId="0" fontId="75" fillId="0" borderId="914"/>
    <xf numFmtId="49" fontId="19" fillId="70" borderId="945">
      <alignment horizontal="center"/>
      <protection locked="0"/>
    </xf>
    <xf numFmtId="49" fontId="19" fillId="70" borderId="945">
      <alignment horizontal="center"/>
      <protection locked="0"/>
    </xf>
    <xf numFmtId="49" fontId="19" fillId="70" borderId="942">
      <alignment horizontal="center"/>
      <protection locked="0"/>
    </xf>
    <xf numFmtId="0" fontId="70" fillId="0" borderId="934">
      <protection locked="0"/>
    </xf>
    <xf numFmtId="0" fontId="70" fillId="0" borderId="949">
      <protection locked="0"/>
    </xf>
    <xf numFmtId="0" fontId="75" fillId="0" borderId="947"/>
    <xf numFmtId="49" fontId="19" fillId="70" borderId="936">
      <alignment horizontal="center"/>
      <protection locked="0"/>
    </xf>
    <xf numFmtId="0" fontId="75" fillId="0" borderId="932"/>
    <xf numFmtId="0" fontId="70" fillId="0" borderId="964">
      <protection locked="0"/>
    </xf>
    <xf numFmtId="49" fontId="19" fillId="70" borderId="948">
      <alignment horizontal="center"/>
      <protection locked="0"/>
    </xf>
    <xf numFmtId="0" fontId="70" fillId="0" borderId="952">
      <protection locked="0"/>
    </xf>
    <xf numFmtId="49" fontId="19" fillId="70" borderId="930">
      <alignment horizontal="center"/>
      <protection locked="0"/>
    </xf>
    <xf numFmtId="0" fontId="70" fillId="0" borderId="958">
      <protection locked="0"/>
    </xf>
    <xf numFmtId="0" fontId="44" fillId="0" borderId="939">
      <alignment horizontal="left" vertical="center"/>
    </xf>
    <xf numFmtId="0" fontId="70" fillId="0" borderId="946">
      <protection locked="0"/>
    </xf>
    <xf numFmtId="0" fontId="75" fillId="0" borderId="944"/>
    <xf numFmtId="0" fontId="70" fillId="0" borderId="937">
      <protection locked="0"/>
    </xf>
    <xf numFmtId="0" fontId="44" fillId="0" borderId="957">
      <alignment horizontal="left" vertical="center"/>
    </xf>
    <xf numFmtId="0" fontId="75" fillId="0" borderId="953"/>
    <xf numFmtId="0" fontId="44" fillId="0" borderId="948">
      <alignment horizontal="left" vertical="center"/>
    </xf>
    <xf numFmtId="0" fontId="75" fillId="0" borderId="944"/>
    <xf numFmtId="0" fontId="75" fillId="0" borderId="941"/>
    <xf numFmtId="0" fontId="70" fillId="0" borderId="955">
      <protection locked="0"/>
    </xf>
    <xf numFmtId="0" fontId="44" fillId="0" borderId="945">
      <alignment horizontal="left" vertical="center"/>
    </xf>
    <xf numFmtId="0" fontId="44" fillId="0" borderId="942">
      <alignment horizontal="left" vertical="center"/>
    </xf>
    <xf numFmtId="0" fontId="75" fillId="0" borderId="962"/>
    <xf numFmtId="49" fontId="19" fillId="70" borderId="942">
      <alignment horizontal="center"/>
      <protection locked="0"/>
    </xf>
    <xf numFmtId="0" fontId="44" fillId="0" borderId="951">
      <alignment horizontal="left" vertical="center"/>
    </xf>
    <xf numFmtId="0" fontId="70" fillId="0" borderId="931">
      <protection locked="0"/>
    </xf>
    <xf numFmtId="0" fontId="75" fillId="0" borderId="935"/>
    <xf numFmtId="0" fontId="44" fillId="0" borderId="960">
      <alignment horizontal="left" vertical="center"/>
    </xf>
    <xf numFmtId="49" fontId="19" fillId="70" borderId="957">
      <alignment horizontal="center"/>
      <protection locked="0"/>
    </xf>
    <xf numFmtId="0" fontId="75" fillId="0" borderId="956"/>
    <xf numFmtId="0" fontId="75" fillId="0" borderId="929"/>
    <xf numFmtId="0" fontId="44" fillId="0" borderId="927">
      <alignment horizontal="left" vertical="center"/>
    </xf>
    <xf numFmtId="0" fontId="70" fillId="0" borderId="928">
      <protection locked="0"/>
    </xf>
    <xf numFmtId="49" fontId="19" fillId="70" borderId="924">
      <alignment horizontal="center"/>
      <protection locked="0"/>
    </xf>
    <xf numFmtId="0" fontId="44" fillId="0" borderId="936">
      <alignment horizontal="left" vertical="center"/>
    </xf>
    <xf numFmtId="49" fontId="19" fillId="70" borderId="951">
      <alignment horizontal="center"/>
      <protection locked="0"/>
    </xf>
    <xf numFmtId="49" fontId="19" fillId="70" borderId="939">
      <alignment horizontal="center"/>
      <protection locked="0"/>
    </xf>
    <xf numFmtId="0" fontId="75" fillId="0" borderId="929"/>
    <xf numFmtId="0" fontId="70" fillId="0" borderId="940">
      <protection locked="0"/>
    </xf>
    <xf numFmtId="0" fontId="70" fillId="0" borderId="943">
      <protection locked="0"/>
    </xf>
    <xf numFmtId="0" fontId="75" fillId="0" borderId="926"/>
    <xf numFmtId="49" fontId="19" fillId="70" borderId="960">
      <alignment horizontal="center"/>
      <protection locked="0"/>
    </xf>
    <xf numFmtId="49" fontId="19" fillId="70" borderId="960">
      <alignment horizontal="center"/>
      <protection locked="0"/>
    </xf>
    <xf numFmtId="0" fontId="75" fillId="0" borderId="962"/>
    <xf numFmtId="0" fontId="44" fillId="0" borderId="930">
      <alignment horizontal="left" vertical="center"/>
    </xf>
    <xf numFmtId="49" fontId="19" fillId="70" borderId="936">
      <alignment horizontal="center"/>
      <protection locked="0"/>
    </xf>
    <xf numFmtId="0" fontId="44" fillId="0" borderId="963">
      <alignment horizontal="left" vertical="center"/>
    </xf>
    <xf numFmtId="0" fontId="75" fillId="0" borderId="959"/>
    <xf numFmtId="0" fontId="70" fillId="0" borderId="937">
      <protection locked="0"/>
    </xf>
    <xf numFmtId="0" fontId="44" fillId="0" borderId="936">
      <alignment horizontal="left" vertical="center"/>
    </xf>
    <xf numFmtId="0" fontId="75" fillId="0" borderId="938"/>
    <xf numFmtId="49" fontId="19" fillId="70" borderId="933">
      <alignment horizontal="center"/>
      <protection locked="0"/>
    </xf>
    <xf numFmtId="0" fontId="75" fillId="0" borderId="947"/>
    <xf numFmtId="0" fontId="44" fillId="0" borderId="954">
      <alignment horizontal="left" vertical="center"/>
    </xf>
    <xf numFmtId="0" fontId="75" fillId="0" borderId="950"/>
    <xf numFmtId="0" fontId="25" fillId="51"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22" fillId="58" borderId="966" applyNumberFormat="0" applyFont="0" applyAlignment="0" applyProtection="0"/>
    <xf numFmtId="0" fontId="35" fillId="51" borderId="967"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7" fillId="0" borderId="968" applyNumberFormat="0" applyFill="0" applyAlignment="0" applyProtection="0"/>
    <xf numFmtId="0" fontId="25" fillId="51" borderId="965" applyNumberFormat="0" applyAlignment="0" applyProtection="0"/>
    <xf numFmtId="0" fontId="32" fillId="38" borderId="965" applyNumberFormat="0" applyAlignment="0" applyProtection="0"/>
    <xf numFmtId="0" fontId="22" fillId="58" borderId="966" applyNumberFormat="0" applyFont="0" applyAlignment="0" applyProtection="0"/>
    <xf numFmtId="0" fontId="35" fillId="51" borderId="967" applyNumberFormat="0" applyAlignment="0" applyProtection="0"/>
    <xf numFmtId="0" fontId="37" fillId="0" borderId="968" applyNumberFormat="0" applyFill="0" applyAlignment="0" applyProtection="0"/>
    <xf numFmtId="0" fontId="75" fillId="0" borderId="969"/>
    <xf numFmtId="0" fontId="44" fillId="0" borderId="982">
      <alignment horizontal="left" vertical="center"/>
    </xf>
    <xf numFmtId="0" fontId="70" fillId="0" borderId="1013">
      <protection locked="0"/>
    </xf>
    <xf numFmtId="0" fontId="70" fillId="0" borderId="971">
      <protection locked="0"/>
    </xf>
    <xf numFmtId="0" fontId="44" fillId="0" borderId="970">
      <alignment horizontal="left" vertical="center"/>
    </xf>
    <xf numFmtId="0" fontId="44" fillId="0" borderId="1012">
      <alignment horizontal="left" vertical="center"/>
    </xf>
    <xf numFmtId="0" fontId="44" fillId="0" borderId="988">
      <alignment horizontal="left" vertical="center"/>
    </xf>
    <xf numFmtId="0" fontId="75" fillId="0" borderId="990"/>
    <xf numFmtId="0" fontId="70" fillId="0" borderId="989">
      <protection locked="0"/>
    </xf>
    <xf numFmtId="0" fontId="75" fillId="0" borderId="978"/>
    <xf numFmtId="49" fontId="19" fillId="70" borderId="1015">
      <alignment horizontal="center"/>
      <protection locked="0"/>
    </xf>
    <xf numFmtId="49" fontId="19" fillId="70" borderId="997">
      <alignment horizontal="center"/>
      <protection locked="0"/>
    </xf>
    <xf numFmtId="49" fontId="19" fillId="70" borderId="1000">
      <alignment horizontal="center"/>
      <protection locked="0"/>
    </xf>
    <xf numFmtId="0" fontId="70" fillId="0" borderId="995">
      <protection locked="0"/>
    </xf>
    <xf numFmtId="0" fontId="75" fillId="0" borderId="984"/>
    <xf numFmtId="0" fontId="70" fillId="0" borderId="1001">
      <protection locked="0"/>
    </xf>
    <xf numFmtId="0" fontId="75" fillId="0" borderId="990"/>
    <xf numFmtId="0" fontId="44" fillId="0" borderId="994">
      <alignment horizontal="left" vertical="center"/>
    </xf>
    <xf numFmtId="0" fontId="70" fillId="0" borderId="1016">
      <protection locked="0"/>
    </xf>
    <xf numFmtId="0" fontId="70" fillId="0" borderId="983">
      <protection locked="0"/>
    </xf>
    <xf numFmtId="0" fontId="44" fillId="0" borderId="1018">
      <alignment horizontal="left" vertical="center"/>
    </xf>
    <xf numFmtId="0" fontId="70" fillId="0" borderId="1019">
      <protection locked="0"/>
    </xf>
    <xf numFmtId="0" fontId="44" fillId="0" borderId="991">
      <alignment horizontal="left" vertical="center"/>
    </xf>
    <xf numFmtId="0" fontId="70" fillId="0" borderId="998">
      <protection locked="0"/>
    </xf>
    <xf numFmtId="0" fontId="70" fillId="0" borderId="992">
      <protection locked="0"/>
    </xf>
    <xf numFmtId="0" fontId="44" fillId="0" borderId="976">
      <alignment horizontal="left" vertical="center"/>
    </xf>
    <xf numFmtId="0" fontId="44" fillId="0" borderId="1015">
      <alignment horizontal="left" vertical="center"/>
    </xf>
    <xf numFmtId="0" fontId="75" fillId="0" borderId="981"/>
    <xf numFmtId="0" fontId="44" fillId="0" borderId="979">
      <alignment horizontal="left" vertical="center"/>
    </xf>
    <xf numFmtId="0" fontId="70" fillId="0" borderId="1010">
      <protection locked="0"/>
    </xf>
    <xf numFmtId="0" fontId="75" fillId="0" borderId="987"/>
    <xf numFmtId="0" fontId="75" fillId="0" borderId="1014"/>
    <xf numFmtId="0" fontId="75" fillId="0" borderId="975"/>
    <xf numFmtId="0" fontId="44" fillId="0" borderId="973">
      <alignment horizontal="left" vertical="center"/>
    </xf>
    <xf numFmtId="0" fontId="70" fillId="0" borderId="974">
      <protection locked="0"/>
    </xf>
    <xf numFmtId="49" fontId="19" fillId="70" borderId="970">
      <alignment horizontal="center"/>
      <protection locked="0"/>
    </xf>
    <xf numFmtId="49" fontId="19" fillId="70" borderId="1006">
      <alignment horizontal="center"/>
      <protection locked="0"/>
    </xf>
    <xf numFmtId="49" fontId="19" fillId="70" borderId="979">
      <alignment horizontal="center"/>
      <protection locked="0"/>
    </xf>
    <xf numFmtId="0" fontId="44" fillId="0" borderId="1009">
      <alignment horizontal="left" vertical="center"/>
    </xf>
    <xf numFmtId="0" fontId="75" fillId="0" borderId="993"/>
    <xf numFmtId="0" fontId="75" fillId="0" borderId="1008"/>
    <xf numFmtId="0" fontId="44" fillId="0" borderId="1003">
      <alignment horizontal="left" vertical="center"/>
    </xf>
    <xf numFmtId="0" fontId="44" fillId="0" borderId="1000">
      <alignment horizontal="left" vertical="center"/>
    </xf>
    <xf numFmtId="49" fontId="19" fillId="70" borderId="1009">
      <alignment horizontal="center"/>
      <protection locked="0"/>
    </xf>
    <xf numFmtId="0" fontId="44" fillId="0" borderId="985">
      <alignment horizontal="left" vertical="center"/>
    </xf>
    <xf numFmtId="0" fontId="75" fillId="0" borderId="1005"/>
    <xf numFmtId="49" fontId="19" fillId="70" borderId="976">
      <alignment horizontal="center"/>
      <protection locked="0"/>
    </xf>
    <xf numFmtId="0" fontId="75" fillId="0" borderId="1011"/>
    <xf numFmtId="0" fontId="75" fillId="0" borderId="984"/>
    <xf numFmtId="0" fontId="75" fillId="0" borderId="972"/>
    <xf numFmtId="0" fontId="44" fillId="0" borderId="997">
      <alignment horizontal="left" vertical="center"/>
    </xf>
    <xf numFmtId="0" fontId="70" fillId="0" borderId="977">
      <protection locked="0"/>
    </xf>
    <xf numFmtId="49" fontId="19" fillId="70" borderId="979">
      <alignment horizontal="center"/>
      <protection locked="0"/>
    </xf>
    <xf numFmtId="0" fontId="75" fillId="0" borderId="996"/>
    <xf numFmtId="0" fontId="70" fillId="0" borderId="980">
      <protection locked="0"/>
    </xf>
    <xf numFmtId="0" fontId="75" fillId="0" borderId="1002"/>
    <xf numFmtId="0" fontId="70" fillId="0" borderId="1004">
      <protection locked="0"/>
    </xf>
    <xf numFmtId="0" fontId="75" fillId="0" borderId="999"/>
    <xf numFmtId="49" fontId="19" fillId="70" borderId="994">
      <alignment horizontal="center"/>
      <protection locked="0"/>
    </xf>
    <xf numFmtId="0" fontId="75" fillId="0" borderId="981"/>
    <xf numFmtId="0" fontId="75" fillId="0" borderId="1017"/>
    <xf numFmtId="0" fontId="70" fillId="0" borderId="986">
      <protection locked="0"/>
    </xf>
    <xf numFmtId="0" fontId="44" fillId="0" borderId="1006">
      <alignment horizontal="left" vertical="center"/>
    </xf>
    <xf numFmtId="0" fontId="70" fillId="0" borderId="1007">
      <protection locked="0"/>
    </xf>
    <xf numFmtId="0" fontId="75" fillId="0" borderId="993"/>
    <xf numFmtId="0" fontId="35" fillId="51" borderId="1022" applyNumberFormat="0" applyAlignment="0" applyProtection="0"/>
    <xf numFmtId="0" fontId="25" fillId="51" borderId="1020" applyNumberFormat="0" applyAlignment="0" applyProtection="0"/>
    <xf numFmtId="0" fontId="32" fillId="38" borderId="1020" applyNumberFormat="0" applyAlignment="0" applyProtection="0"/>
    <xf numFmtId="0" fontId="32" fillId="38" borderId="1020" applyNumberFormat="0" applyAlignment="0" applyProtection="0"/>
    <xf numFmtId="0" fontId="22" fillId="58" borderId="1021" applyNumberFormat="0" applyFont="0" applyAlignment="0" applyProtection="0"/>
    <xf numFmtId="0" fontId="35" fillId="51" borderId="1022" applyNumberFormat="0" applyAlignment="0" applyProtection="0"/>
    <xf numFmtId="0" fontId="37" fillId="0" borderId="1023" applyNumberFormat="0" applyFill="0" applyAlignment="0" applyProtection="0"/>
    <xf numFmtId="0" fontId="37" fillId="0" borderId="1023" applyNumberFormat="0" applyFill="0" applyAlignment="0" applyProtection="0"/>
    <xf numFmtId="0" fontId="32" fillId="38" borderId="1020" applyNumberFormat="0" applyAlignment="0" applyProtection="0"/>
    <xf numFmtId="0" fontId="35" fillId="51" borderId="1022" applyNumberFormat="0" applyAlignment="0" applyProtection="0"/>
    <xf numFmtId="0" fontId="37" fillId="0" borderId="1023" applyNumberFormat="0" applyFill="0" applyAlignment="0" applyProtection="0"/>
    <xf numFmtId="0" fontId="16" fillId="0" borderId="1023" applyNumberFormat="0" applyFill="0" applyAlignment="0" applyProtection="0"/>
    <xf numFmtId="0" fontId="70" fillId="0" borderId="1019">
      <protection locked="0"/>
    </xf>
    <xf numFmtId="0" fontId="70" fillId="0" borderId="1019">
      <protection locked="0"/>
    </xf>
    <xf numFmtId="0" fontId="70" fillId="0" borderId="1019">
      <protection locked="0"/>
    </xf>
    <xf numFmtId="0" fontId="18" fillId="0" borderId="0"/>
    <xf numFmtId="0" fontId="22" fillId="58" borderId="1021" applyNumberFormat="0" applyFont="0" applyAlignment="0" applyProtection="0"/>
    <xf numFmtId="0" fontId="25" fillId="51" borderId="1020" applyNumberFormat="0" applyAlignment="0" applyProtection="0"/>
    <xf numFmtId="43" fontId="18" fillId="0" borderId="0" applyFont="0" applyFill="0" applyBorder="0" applyAlignment="0" applyProtection="0"/>
    <xf numFmtId="0" fontId="25" fillId="51" borderId="1020" applyNumberFormat="0" applyAlignment="0" applyProtection="0"/>
    <xf numFmtId="43" fontId="18"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0" fontId="75" fillId="0" borderId="972"/>
    <xf numFmtId="0" fontId="75" fillId="0" borderId="972"/>
    <xf numFmtId="0" fontId="44" fillId="0" borderId="954">
      <alignment horizontal="left" vertical="center"/>
    </xf>
    <xf numFmtId="0" fontId="44" fillId="0" borderId="954">
      <alignment horizontal="left" vertical="center"/>
    </xf>
    <xf numFmtId="0" fontId="75" fillId="0" borderId="1024"/>
    <xf numFmtId="0" fontId="75" fillId="0" borderId="1024"/>
    <xf numFmtId="0" fontId="75" fillId="0" borderId="1024"/>
    <xf numFmtId="0" fontId="75" fillId="0" borderId="1024"/>
    <xf numFmtId="0" fontId="44" fillId="0" borderId="1015">
      <alignment horizontal="left" vertical="center"/>
    </xf>
    <xf numFmtId="0" fontId="44" fillId="0" borderId="1015">
      <alignment horizontal="left" vertical="center"/>
    </xf>
    <xf numFmtId="0" fontId="44" fillId="0" borderId="1015">
      <alignment horizontal="left" vertical="center"/>
    </xf>
    <xf numFmtId="0" fontId="32" fillId="38" borderId="917" applyNumberFormat="0" applyAlignment="0" applyProtection="0"/>
    <xf numFmtId="0" fontId="32" fillId="38" borderId="1020" applyNumberFormat="0" applyAlignment="0" applyProtection="0"/>
    <xf numFmtId="0" fontId="32" fillId="38" borderId="1020" applyNumberFormat="0" applyAlignment="0" applyProtection="0"/>
    <xf numFmtId="0" fontId="32" fillId="38" borderId="917" applyNumberFormat="0" applyAlignment="0" applyProtection="0"/>
    <xf numFmtId="0" fontId="32" fillId="38" borderId="1020" applyNumberFormat="0" applyAlignment="0" applyProtection="0"/>
    <xf numFmtId="0" fontId="32" fillId="38" borderId="1020" applyNumberFormat="0" applyAlignment="0" applyProtection="0"/>
    <xf numFmtId="0" fontId="32" fillId="38" borderId="1020" applyNumberFormat="0" applyAlignment="0" applyProtection="0"/>
    <xf numFmtId="0" fontId="32" fillId="38" borderId="1020" applyNumberFormat="0" applyAlignment="0" applyProtection="0"/>
    <xf numFmtId="0" fontId="44" fillId="0" borderId="1003">
      <alignment horizontal="left" vertical="center"/>
    </xf>
    <xf numFmtId="0" fontId="44" fillId="0" borderId="1003">
      <alignment horizontal="left" vertical="center"/>
    </xf>
    <xf numFmtId="0" fontId="75" fillId="0" borderId="1008"/>
    <xf numFmtId="0" fontId="75" fillId="0" borderId="1008"/>
    <xf numFmtId="0" fontId="44" fillId="0" borderId="906">
      <alignment horizontal="left" vertical="center"/>
    </xf>
    <xf numFmtId="0" fontId="44" fillId="0" borderId="906">
      <alignment horizontal="left" vertical="center"/>
    </xf>
    <xf numFmtId="0" fontId="75" fillId="0" borderId="938"/>
    <xf numFmtId="0" fontId="75" fillId="0" borderId="938"/>
    <xf numFmtId="0" fontId="75" fillId="0" borderId="938"/>
    <xf numFmtId="0" fontId="47" fillId="0" borderId="0"/>
    <xf numFmtId="43" fontId="18" fillId="0" borderId="0" applyFont="0" applyFill="0" applyBorder="0" applyAlignment="0" applyProtection="0"/>
    <xf numFmtId="0" fontId="25" fillId="51" borderId="1020" applyNumberFormat="0" applyAlignment="0" applyProtection="0"/>
    <xf numFmtId="0" fontId="22" fillId="58" borderId="1021" applyNumberFormat="0" applyFont="0" applyAlignment="0" applyProtection="0"/>
    <xf numFmtId="0" fontId="22" fillId="8" borderId="8" applyNumberFormat="0" applyFont="0" applyAlignment="0" applyProtection="0"/>
    <xf numFmtId="0" fontId="35" fillId="51" borderId="1022" applyNumberFormat="0" applyAlignment="0" applyProtection="0"/>
    <xf numFmtId="43" fontId="18" fillId="0" borderId="0" applyFont="0" applyFill="0" applyBorder="0" applyAlignment="0" applyProtection="0"/>
    <xf numFmtId="0" fontId="25" fillId="51" borderId="917" applyNumberFormat="0" applyAlignment="0" applyProtection="0"/>
    <xf numFmtId="0" fontId="70" fillId="0" borderId="1007">
      <protection locked="0"/>
    </xf>
    <xf numFmtId="0" fontId="70" fillId="0" borderId="1007">
      <protection locked="0"/>
    </xf>
    <xf numFmtId="0" fontId="70" fillId="0" borderId="1007">
      <protection locked="0"/>
    </xf>
    <xf numFmtId="0" fontId="70" fillId="0" borderId="1007">
      <protection locked="0"/>
    </xf>
    <xf numFmtId="0" fontId="70" fillId="0" borderId="1007">
      <protection locked="0"/>
    </xf>
    <xf numFmtId="0" fontId="70" fillId="0" borderId="1007">
      <protection locked="0"/>
    </xf>
    <xf numFmtId="0" fontId="37" fillId="0" borderId="1023" applyNumberFormat="0" applyFill="0" applyAlignment="0" applyProtection="0"/>
    <xf numFmtId="0" fontId="22" fillId="58" borderId="918" applyNumberFormat="0" applyFont="0" applyAlignment="0" applyProtection="0"/>
    <xf numFmtId="49" fontId="19" fillId="70" borderId="1015">
      <alignment horizontal="center"/>
      <protection locked="0"/>
    </xf>
    <xf numFmtId="49" fontId="19" fillId="70" borderId="1015">
      <alignment horizontal="center"/>
      <protection locked="0"/>
    </xf>
    <xf numFmtId="0" fontId="18" fillId="0" borderId="0"/>
    <xf numFmtId="0" fontId="35" fillId="51" borderId="1022" applyNumberFormat="0" applyAlignment="0" applyProtection="0"/>
    <xf numFmtId="0" fontId="70" fillId="0" borderId="971">
      <protection locked="0"/>
    </xf>
    <xf numFmtId="0" fontId="70" fillId="0" borderId="971">
      <protection locked="0"/>
    </xf>
    <xf numFmtId="0" fontId="70" fillId="0" borderId="971">
      <protection locked="0"/>
    </xf>
    <xf numFmtId="0" fontId="70" fillId="0" borderId="971">
      <protection locked="0"/>
    </xf>
    <xf numFmtId="0" fontId="70" fillId="0" borderId="971">
      <protection locked="0"/>
    </xf>
    <xf numFmtId="0" fontId="70" fillId="0" borderId="971">
      <protection locked="0"/>
    </xf>
    <xf numFmtId="0" fontId="37" fillId="0" borderId="1023" applyNumberFormat="0" applyFill="0" applyAlignment="0" applyProtection="0"/>
    <xf numFmtId="0" fontId="22" fillId="58" borderId="1021" applyNumberFormat="0" applyFont="0" applyAlignment="0" applyProtection="0"/>
    <xf numFmtId="49" fontId="19" fillId="70" borderId="1003">
      <alignment horizontal="center"/>
      <protection locked="0"/>
    </xf>
    <xf numFmtId="49" fontId="19" fillId="70" borderId="1003">
      <alignment horizontal="center"/>
      <protection locked="0"/>
    </xf>
    <xf numFmtId="49" fontId="19" fillId="70" borderId="1003">
      <alignment horizontal="center"/>
      <protection locked="0"/>
    </xf>
    <xf numFmtId="49" fontId="19" fillId="70" borderId="1003">
      <alignment horizontal="center"/>
      <protection locked="0"/>
    </xf>
    <xf numFmtId="0" fontId="18" fillId="0" borderId="0"/>
    <xf numFmtId="0" fontId="35" fillId="51" borderId="919" applyNumberFormat="0" applyAlignment="0" applyProtection="0"/>
    <xf numFmtId="0" fontId="70" fillId="0" borderId="922">
      <protection locked="0"/>
    </xf>
    <xf numFmtId="0" fontId="70" fillId="0" borderId="922">
      <protection locked="0"/>
    </xf>
    <xf numFmtId="0" fontId="70" fillId="0" borderId="922">
      <protection locked="0"/>
    </xf>
    <xf numFmtId="0" fontId="70" fillId="0" borderId="922">
      <protection locked="0"/>
    </xf>
    <xf numFmtId="0" fontId="70" fillId="0" borderId="922">
      <protection locked="0"/>
    </xf>
    <xf numFmtId="0" fontId="37" fillId="0" borderId="920" applyNumberFormat="0" applyFill="0" applyAlignment="0" applyProtection="0"/>
    <xf numFmtId="49" fontId="19" fillId="70" borderId="954">
      <alignment horizontal="center"/>
      <protection locked="0"/>
    </xf>
    <xf numFmtId="49" fontId="19" fillId="70" borderId="954">
      <alignment horizontal="center"/>
      <protection locked="0"/>
    </xf>
    <xf numFmtId="49" fontId="19" fillId="70" borderId="954">
      <alignment horizontal="center"/>
      <protection locked="0"/>
    </xf>
    <xf numFmtId="49" fontId="19" fillId="70" borderId="954">
      <alignment horizontal="center"/>
      <protection locked="0"/>
    </xf>
    <xf numFmtId="0" fontId="18" fillId="0" borderId="0"/>
    <xf numFmtId="0" fontId="35" fillId="51" borderId="1022" applyNumberFormat="0" applyAlignment="0" applyProtection="0"/>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9" fontId="18" fillId="0" borderId="0" applyFont="0" applyFill="0" applyBorder="0" applyAlignment="0" applyProtection="0"/>
    <xf numFmtId="0" fontId="37" fillId="0" borderId="1023" applyNumberFormat="0" applyFill="0" applyAlignment="0" applyProtection="0"/>
    <xf numFmtId="49" fontId="19" fillId="70" borderId="906">
      <alignment horizontal="center"/>
      <protection locked="0"/>
    </xf>
    <xf numFmtId="49" fontId="19" fillId="70" borderId="906">
      <alignment horizontal="center"/>
      <protection locked="0"/>
    </xf>
  </cellStyleXfs>
  <cellXfs count="762">
    <xf numFmtId="0" fontId="0" fillId="0" borderId="0" xfId="0"/>
    <xf numFmtId="0" fontId="16" fillId="0" borderId="0" xfId="170" applyFont="1"/>
    <xf numFmtId="0" fontId="1" fillId="0" borderId="0" xfId="170"/>
    <xf numFmtId="0" fontId="16" fillId="0" borderId="10" xfId="170" applyFont="1" applyBorder="1" applyAlignment="1">
      <alignment vertical="center"/>
    </xf>
    <xf numFmtId="0" fontId="16" fillId="0" borderId="10" xfId="170" applyFont="1" applyBorder="1" applyAlignment="1">
      <alignment horizontal="center" vertical="center"/>
    </xf>
    <xf numFmtId="0" fontId="16" fillId="0" borderId="10" xfId="170" applyFont="1" applyBorder="1"/>
    <xf numFmtId="0" fontId="16" fillId="0" borderId="10" xfId="170" applyFont="1" applyBorder="1" applyAlignment="1">
      <alignment horizontal="center"/>
    </xf>
    <xf numFmtId="0" fontId="16" fillId="0" borderId="27" xfId="170" applyFont="1" applyBorder="1" applyAlignment="1">
      <alignment horizontal="center"/>
    </xf>
    <xf numFmtId="0" fontId="16" fillId="0" borderId="33" xfId="170" applyFont="1" applyBorder="1" applyAlignment="1">
      <alignment horizontal="center"/>
    </xf>
    <xf numFmtId="0" fontId="1" fillId="0" borderId="10" xfId="170" applyBorder="1"/>
    <xf numFmtId="0" fontId="21" fillId="0" borderId="10" xfId="170" applyFont="1" applyFill="1" applyBorder="1" applyAlignment="1">
      <alignment vertical="center"/>
    </xf>
    <xf numFmtId="0" fontId="1" fillId="0" borderId="10" xfId="170" applyFill="1" applyBorder="1" applyAlignment="1">
      <alignment horizontal="center" vertical="center"/>
    </xf>
    <xf numFmtId="9" fontId="21" fillId="0" borderId="10" xfId="198" applyFont="1" applyFill="1" applyBorder="1" applyAlignment="1">
      <alignment horizontal="center" vertical="center"/>
    </xf>
    <xf numFmtId="0" fontId="21" fillId="0" borderId="10" xfId="170" applyFont="1" applyFill="1" applyBorder="1" applyAlignment="1">
      <alignment wrapText="1"/>
    </xf>
    <xf numFmtId="0" fontId="1" fillId="0" borderId="10" xfId="170" applyFill="1" applyBorder="1"/>
    <xf numFmtId="0" fontId="1" fillId="0" borderId="10" xfId="170" applyFill="1" applyBorder="1" applyAlignment="1">
      <alignment horizontal="center"/>
    </xf>
    <xf numFmtId="0" fontId="1" fillId="0" borderId="10" xfId="170" applyFont="1" applyFill="1" applyBorder="1"/>
    <xf numFmtId="0" fontId="1" fillId="0" borderId="10" xfId="170" applyFill="1" applyBorder="1" applyAlignment="1">
      <alignment vertical="center"/>
    </xf>
    <xf numFmtId="3" fontId="0" fillId="67" borderId="10" xfId="0" applyNumberFormat="1" applyFill="1" applyBorder="1" applyAlignment="1">
      <alignment horizontal="center"/>
    </xf>
    <xf numFmtId="0" fontId="0" fillId="0" borderId="10" xfId="0" applyBorder="1"/>
    <xf numFmtId="3" fontId="0" fillId="0" borderId="10" xfId="0" applyNumberFormat="1" applyFill="1" applyBorder="1" applyAlignment="1">
      <alignment horizontal="center"/>
    </xf>
    <xf numFmtId="4" fontId="0" fillId="0" borderId="10" xfId="0" applyNumberFormat="1" applyBorder="1" applyAlignment="1">
      <alignment horizontal="center"/>
    </xf>
    <xf numFmtId="166" fontId="20" fillId="66" borderId="10" xfId="1" applyNumberFormat="1" applyFont="1" applyFill="1" applyBorder="1" applyAlignment="1">
      <alignment horizontal="right"/>
    </xf>
    <xf numFmtId="0" fontId="20" fillId="66" borderId="10" xfId="162" applyFont="1" applyFill="1" applyBorder="1" applyAlignment="1">
      <alignment horizontal="left"/>
    </xf>
    <xf numFmtId="3" fontId="0" fillId="0" borderId="10" xfId="0" applyNumberFormat="1" applyBorder="1" applyAlignment="1">
      <alignment horizontal="center"/>
    </xf>
    <xf numFmtId="0" fontId="0" fillId="0" borderId="0" xfId="0" applyFill="1" applyBorder="1"/>
    <xf numFmtId="0" fontId="43" fillId="0" borderId="0" xfId="245" applyFont="1" applyFill="1" applyBorder="1" applyAlignment="1">
      <alignment horizontal="left" vertical="top" indent="1"/>
    </xf>
    <xf numFmtId="0" fontId="20" fillId="66" borderId="26" xfId="162" applyFont="1" applyFill="1" applyBorder="1" applyAlignment="1">
      <alignment horizontal="right"/>
    </xf>
    <xf numFmtId="0" fontId="16" fillId="0" borderId="0" xfId="0" applyFont="1"/>
    <xf numFmtId="0" fontId="42" fillId="0" borderId="31" xfId="162" applyFont="1" applyFill="1" applyBorder="1" applyAlignment="1">
      <alignment horizontal="center"/>
    </xf>
    <xf numFmtId="0" fontId="42" fillId="0" borderId="28" xfId="162" applyFont="1" applyFill="1" applyBorder="1" applyAlignment="1">
      <alignment horizontal="center"/>
    </xf>
    <xf numFmtId="0" fontId="43" fillId="0" borderId="26" xfId="245" applyFont="1" applyFill="1" applyBorder="1" applyAlignment="1">
      <alignment horizontal="left" vertical="top"/>
    </xf>
    <xf numFmtId="0" fontId="43" fillId="0" borderId="32" xfId="245" applyFont="1" applyFill="1" applyBorder="1" applyAlignment="1">
      <alignment vertical="top"/>
    </xf>
    <xf numFmtId="0" fontId="43" fillId="0" borderId="26" xfId="245" applyFont="1" applyFill="1" applyBorder="1" applyAlignment="1">
      <alignment horizontal="left" vertical="top" indent="1"/>
    </xf>
    <xf numFmtId="0" fontId="20" fillId="0" borderId="34" xfId="162" applyFont="1" applyFill="1" applyBorder="1" applyAlignment="1">
      <alignment horizontal="left"/>
    </xf>
    <xf numFmtId="0" fontId="20" fillId="0" borderId="20" xfId="162" applyFont="1" applyFill="1" applyBorder="1" applyAlignment="1">
      <alignment horizontal="left"/>
    </xf>
    <xf numFmtId="0" fontId="20" fillId="0" borderId="30" xfId="162" applyFont="1" applyFill="1" applyBorder="1" applyAlignment="1">
      <alignment horizontal="left"/>
    </xf>
    <xf numFmtId="0" fontId="20" fillId="0" borderId="11" xfId="162" applyFont="1" applyFill="1" applyBorder="1" applyAlignment="1">
      <alignment horizontal="left"/>
    </xf>
    <xf numFmtId="0" fontId="20" fillId="0" borderId="10" xfId="162" applyFont="1" applyFill="1" applyBorder="1" applyAlignment="1">
      <alignment horizontal="left"/>
    </xf>
    <xf numFmtId="0" fontId="20" fillId="0" borderId="20" xfId="162" applyFont="1" applyFill="1" applyBorder="1" applyAlignment="1">
      <alignment horizontal="right"/>
    </xf>
    <xf numFmtId="0" fontId="20" fillId="0" borderId="11" xfId="162" applyFont="1" applyFill="1" applyBorder="1" applyAlignment="1">
      <alignment horizontal="right"/>
    </xf>
    <xf numFmtId="0" fontId="20" fillId="0" borderId="10" xfId="162" applyFont="1" applyFill="1" applyBorder="1" applyAlignment="1">
      <alignment horizontal="right"/>
    </xf>
    <xf numFmtId="0" fontId="20" fillId="0" borderId="28" xfId="162" applyFont="1" applyFill="1" applyBorder="1" applyAlignment="1">
      <alignment horizontal="right"/>
    </xf>
    <xf numFmtId="164" fontId="0" fillId="0" borderId="10" xfId="0" applyNumberFormat="1" applyBorder="1" applyAlignment="1">
      <alignment horizontal="center"/>
    </xf>
    <xf numFmtId="0" fontId="0" fillId="0" borderId="10" xfId="0" applyBorder="1" applyAlignment="1">
      <alignment horizontal="right"/>
    </xf>
    <xf numFmtId="0" fontId="21" fillId="0" borderId="10" xfId="259" applyBorder="1"/>
    <xf numFmtId="0" fontId="21" fillId="0" borderId="10" xfId="259" applyFill="1" applyBorder="1"/>
    <xf numFmtId="0" fontId="16" fillId="67" borderId="10" xfId="0" applyFont="1" applyFill="1" applyBorder="1" applyAlignment="1">
      <alignment horizontal="center" vertical="center" wrapText="1"/>
    </xf>
    <xf numFmtId="0" fontId="0" fillId="67" borderId="10" xfId="0" applyFill="1" applyBorder="1" applyAlignment="1">
      <alignment horizontal="left"/>
    </xf>
    <xf numFmtId="0" fontId="0" fillId="67" borderId="10" xfId="0" applyFill="1" applyBorder="1" applyAlignment="1">
      <alignment horizontal="center"/>
    </xf>
    <xf numFmtId="171" fontId="0" fillId="0" borderId="10" xfId="0" applyNumberFormat="1" applyBorder="1" applyAlignment="1">
      <alignment horizontal="center"/>
    </xf>
    <xf numFmtId="0" fontId="21" fillId="0" borderId="10" xfId="254" applyBorder="1"/>
    <xf numFmtId="0" fontId="20" fillId="0" borderId="29" xfId="162" applyFont="1" applyFill="1" applyBorder="1" applyAlignment="1">
      <alignment horizontal="right"/>
    </xf>
    <xf numFmtId="0" fontId="20" fillId="0" borderId="26" xfId="162" applyFont="1" applyFill="1" applyBorder="1" applyAlignment="1">
      <alignment horizontal="right"/>
    </xf>
    <xf numFmtId="0" fontId="21" fillId="0" borderId="10" xfId="254" applyFont="1" applyBorder="1"/>
    <xf numFmtId="4" fontId="0" fillId="67" borderId="10" xfId="0" applyNumberFormat="1" applyFill="1" applyBorder="1" applyAlignment="1">
      <alignment horizontal="center" wrapText="1"/>
    </xf>
    <xf numFmtId="0" fontId="0" fillId="67" borderId="37" xfId="0" applyFill="1" applyBorder="1" applyAlignment="1">
      <alignment horizontal="center" wrapText="1"/>
    </xf>
    <xf numFmtId="0" fontId="0" fillId="67" borderId="10" xfId="0" applyFill="1" applyBorder="1" applyAlignment="1">
      <alignment horizontal="center" wrapText="1"/>
    </xf>
    <xf numFmtId="0" fontId="16" fillId="67" borderId="10" xfId="0" applyFont="1" applyFill="1" applyBorder="1" applyAlignment="1">
      <alignment horizontal="center" vertical="center" wrapText="1"/>
    </xf>
    <xf numFmtId="0" fontId="0" fillId="67" borderId="10" xfId="0" applyFill="1" applyBorder="1" applyAlignment="1">
      <alignment horizontal="center"/>
    </xf>
    <xf numFmtId="0" fontId="0" fillId="0" borderId="0" xfId="0" applyBorder="1" applyAlignment="1">
      <alignment horizontal="left"/>
    </xf>
    <xf numFmtId="3" fontId="0" fillId="68" borderId="10" xfId="0" applyNumberFormat="1" applyFill="1" applyBorder="1" applyAlignment="1">
      <alignment horizontal="center"/>
    </xf>
    <xf numFmtId="9" fontId="0" fillId="68" borderId="10" xfId="2" applyFont="1" applyFill="1" applyBorder="1" applyAlignment="1">
      <alignment horizontal="center"/>
    </xf>
    <xf numFmtId="0" fontId="0" fillId="68" borderId="10" xfId="0" applyFill="1" applyBorder="1"/>
    <xf numFmtId="4" fontId="0" fillId="0" borderId="10" xfId="0" applyNumberFormat="1" applyFill="1" applyBorder="1" applyAlignment="1">
      <alignment horizontal="center"/>
    </xf>
    <xf numFmtId="0" fontId="0" fillId="0" borderId="10" xfId="0" applyFill="1" applyBorder="1"/>
    <xf numFmtId="0" fontId="0" fillId="0" borderId="10" xfId="0" applyFill="1" applyBorder="1" applyAlignment="1">
      <alignment horizontal="right"/>
    </xf>
    <xf numFmtId="164" fontId="0" fillId="0" borderId="10" xfId="1" applyNumberFormat="1" applyFont="1" applyBorder="1" applyAlignment="1">
      <alignment horizontal="center"/>
    </xf>
    <xf numFmtId="0" fontId="0" fillId="68" borderId="10" xfId="0" applyFill="1" applyBorder="1" applyAlignment="1">
      <alignment horizontal="center"/>
    </xf>
    <xf numFmtId="177" fontId="0" fillId="0" borderId="10" xfId="0" applyNumberFormat="1" applyBorder="1" applyAlignment="1">
      <alignment horizontal="center"/>
    </xf>
    <xf numFmtId="0" fontId="20" fillId="0" borderId="0" xfId="162" applyFont="1" applyFill="1" applyBorder="1" applyAlignment="1">
      <alignment horizontal="left"/>
    </xf>
    <xf numFmtId="165" fontId="20" fillId="0" borderId="10" xfId="162" applyNumberFormat="1" applyFont="1" applyFill="1" applyBorder="1" applyAlignment="1"/>
    <xf numFmtId="0" fontId="0" fillId="0" borderId="34" xfId="0" applyBorder="1"/>
    <xf numFmtId="4" fontId="0" fillId="68" borderId="10" xfId="0" applyNumberFormat="1" applyFill="1" applyBorder="1" applyAlignment="1">
      <alignment horizontal="center"/>
    </xf>
    <xf numFmtId="165" fontId="20" fillId="0" borderId="26" xfId="162" applyNumberFormat="1" applyFont="1" applyFill="1" applyBorder="1" applyAlignment="1"/>
    <xf numFmtId="165" fontId="20" fillId="66" borderId="29" xfId="162" applyNumberFormat="1" applyFont="1" applyFill="1" applyBorder="1" applyAlignment="1"/>
    <xf numFmtId="165" fontId="20" fillId="66" borderId="26" xfId="162" applyNumberFormat="1" applyFont="1" applyFill="1" applyBorder="1" applyAlignment="1"/>
    <xf numFmtId="0" fontId="42" fillId="0" borderId="41" xfId="162" applyFont="1" applyFill="1" applyBorder="1" applyAlignment="1">
      <alignment horizontal="left" vertical="top"/>
    </xf>
    <xf numFmtId="0" fontId="0" fillId="0" borderId="10" xfId="0" applyBorder="1" applyAlignment="1">
      <alignment horizontal="center"/>
    </xf>
    <xf numFmtId="0" fontId="16" fillId="67" borderId="10" xfId="0" applyFont="1" applyFill="1" applyBorder="1" applyAlignment="1">
      <alignment horizontal="center" vertical="center"/>
    </xf>
    <xf numFmtId="0" fontId="19" fillId="67" borderId="36" xfId="3783" applyFont="1" applyFill="1" applyBorder="1" applyAlignment="1">
      <alignment horizontal="center" wrapText="1"/>
    </xf>
    <xf numFmtId="0" fontId="1" fillId="0" borderId="10" xfId="3783" applyFont="1" applyFill="1" applyBorder="1" applyAlignment="1">
      <alignment horizontal="right"/>
    </xf>
    <xf numFmtId="4" fontId="21" fillId="0" borderId="10" xfId="3783" applyNumberFormat="1" applyFill="1" applyBorder="1" applyAlignment="1">
      <alignment horizontal="center"/>
    </xf>
    <xf numFmtId="0" fontId="21" fillId="67" borderId="37" xfId="3783" applyFont="1" applyFill="1" applyBorder="1" applyAlignment="1">
      <alignment horizontal="left"/>
    </xf>
    <xf numFmtId="0" fontId="0" fillId="0" borderId="10" xfId="3783" applyFont="1" applyFill="1" applyBorder="1" applyAlignment="1">
      <alignment horizontal="right" wrapText="1"/>
    </xf>
    <xf numFmtId="171" fontId="21" fillId="0" borderId="10" xfId="3783" applyNumberFormat="1" applyFill="1" applyBorder="1" applyAlignment="1">
      <alignment horizontal="center"/>
    </xf>
    <xf numFmtId="0" fontId="0" fillId="0" borderId="10" xfId="0" applyFill="1" applyBorder="1" applyAlignment="1">
      <alignment horizontal="center"/>
    </xf>
    <xf numFmtId="3" fontId="21" fillId="68" borderId="10" xfId="3792" applyNumberFormat="1" applyFill="1" applyBorder="1" applyAlignment="1">
      <alignment horizontal="center"/>
    </xf>
    <xf numFmtId="3" fontId="21" fillId="68" borderId="10" xfId="3791" applyNumberFormat="1" applyFill="1" applyBorder="1" applyAlignment="1">
      <alignment horizontal="center"/>
    </xf>
    <xf numFmtId="3" fontId="21" fillId="68" borderId="10" xfId="3790" applyNumberFormat="1" applyFill="1" applyBorder="1" applyAlignment="1">
      <alignment horizontal="center"/>
    </xf>
    <xf numFmtId="3" fontId="21" fillId="68" borderId="10" xfId="3747" applyNumberFormat="1" applyFill="1" applyBorder="1" applyAlignment="1">
      <alignment horizontal="center"/>
    </xf>
    <xf numFmtId="3" fontId="21" fillId="68" borderId="10" xfId="3749" applyNumberFormat="1" applyFill="1" applyBorder="1" applyAlignment="1">
      <alignment horizontal="center"/>
    </xf>
    <xf numFmtId="3" fontId="21" fillId="68" borderId="10" xfId="3794" applyNumberFormat="1" applyFill="1" applyBorder="1" applyAlignment="1">
      <alignment horizontal="center"/>
    </xf>
    <xf numFmtId="4" fontId="21" fillId="68" borderId="10" xfId="3783" applyNumberFormat="1" applyFill="1" applyBorder="1" applyAlignment="1">
      <alignment horizontal="center"/>
    </xf>
    <xf numFmtId="0" fontId="21" fillId="68" borderId="10" xfId="3783" applyNumberFormat="1" applyFont="1" applyFill="1" applyBorder="1" applyAlignment="1">
      <alignment horizontal="center" vertical="center"/>
    </xf>
    <xf numFmtId="177" fontId="21" fillId="0" borderId="10" xfId="3783" applyNumberFormat="1" applyFill="1" applyBorder="1" applyAlignment="1">
      <alignment horizontal="center"/>
    </xf>
    <xf numFmtId="0" fontId="19" fillId="67" borderId="10" xfId="3783" applyFont="1" applyFill="1" applyBorder="1" applyAlignment="1">
      <alignment horizontal="center"/>
    </xf>
    <xf numFmtId="0" fontId="16" fillId="67" borderId="10" xfId="3783" applyFont="1" applyFill="1" applyBorder="1" applyAlignment="1">
      <alignment horizontal="center"/>
    </xf>
    <xf numFmtId="9" fontId="21" fillId="0" borderId="10" xfId="2" applyFont="1" applyFill="1" applyBorder="1" applyAlignment="1">
      <alignment horizontal="center"/>
    </xf>
    <xf numFmtId="0" fontId="0" fillId="0" borderId="10" xfId="3783" applyFont="1" applyFill="1" applyBorder="1" applyAlignment="1">
      <alignment horizontal="right"/>
    </xf>
    <xf numFmtId="0" fontId="0" fillId="67" borderId="10" xfId="0" applyFill="1" applyBorder="1"/>
    <xf numFmtId="0" fontId="16" fillId="0" borderId="0" xfId="0" applyFont="1" applyFill="1" applyBorder="1" applyAlignment="1"/>
    <xf numFmtId="0" fontId="0" fillId="67" borderId="10" xfId="0" applyFill="1" applyBorder="1" applyAlignment="1">
      <alignment horizontal="center" vertical="center" wrapText="1"/>
    </xf>
    <xf numFmtId="3" fontId="0" fillId="0" borderId="10" xfId="1" applyNumberFormat="1" applyFont="1" applyBorder="1" applyAlignment="1">
      <alignment horizontal="center"/>
    </xf>
    <xf numFmtId="0" fontId="0" fillId="0" borderId="10" xfId="0" applyFont="1" applyBorder="1" applyAlignment="1">
      <alignment horizontal="right"/>
    </xf>
    <xf numFmtId="0" fontId="0" fillId="67" borderId="10" xfId="0" applyFont="1" applyFill="1" applyBorder="1" applyAlignment="1">
      <alignment horizontal="left" vertical="center"/>
    </xf>
    <xf numFmtId="3" fontId="0" fillId="0" borderId="10" xfId="1" applyNumberFormat="1" applyFont="1" applyFill="1" applyBorder="1" applyAlignment="1">
      <alignment horizontal="center"/>
    </xf>
    <xf numFmtId="171" fontId="0" fillId="0" borderId="10" xfId="1" applyNumberFormat="1" applyFont="1" applyFill="1" applyBorder="1" applyAlignment="1">
      <alignment horizontal="center"/>
    </xf>
    <xf numFmtId="9" fontId="0" fillId="0" borderId="10" xfId="2" applyFont="1" applyFill="1" applyBorder="1" applyAlignment="1">
      <alignment horizontal="center"/>
    </xf>
    <xf numFmtId="2" fontId="0" fillId="0" borderId="10" xfId="0" applyNumberFormat="1" applyFill="1" applyBorder="1" applyAlignment="1">
      <alignment horizontal="center"/>
    </xf>
    <xf numFmtId="3" fontId="0" fillId="68" borderId="10" xfId="1" applyNumberFormat="1" applyFont="1" applyFill="1" applyBorder="1" applyAlignment="1">
      <alignment horizontal="center"/>
    </xf>
    <xf numFmtId="185" fontId="0" fillId="68" borderId="10" xfId="1" applyNumberFormat="1" applyFont="1" applyFill="1" applyBorder="1" applyAlignment="1">
      <alignment horizontal="center"/>
    </xf>
    <xf numFmtId="10" fontId="0" fillId="68" borderId="10" xfId="2" applyNumberFormat="1" applyFont="1" applyFill="1" applyBorder="1" applyAlignment="1">
      <alignment horizontal="center"/>
    </xf>
    <xf numFmtId="186" fontId="0" fillId="68" borderId="10" xfId="2" applyNumberFormat="1" applyFont="1" applyFill="1" applyBorder="1" applyAlignment="1">
      <alignment horizontal="center"/>
    </xf>
    <xf numFmtId="2" fontId="0" fillId="68" borderId="10" xfId="0" applyNumberFormat="1" applyFill="1" applyBorder="1" applyAlignment="1">
      <alignment horizontal="center"/>
    </xf>
    <xf numFmtId="0" fontId="0" fillId="68" borderId="10" xfId="0" applyFill="1" applyBorder="1" applyAlignment="1">
      <alignment horizontal="center" vertical="center"/>
    </xf>
    <xf numFmtId="4" fontId="0" fillId="68" borderId="10" xfId="1" applyNumberFormat="1" applyFont="1" applyFill="1" applyBorder="1" applyAlignment="1">
      <alignment horizontal="center"/>
    </xf>
    <xf numFmtId="0" fontId="21" fillId="0" borderId="0" xfId="3798"/>
    <xf numFmtId="0" fontId="21" fillId="0" borderId="10" xfId="163" applyBorder="1" applyAlignment="1">
      <alignment horizontal="center" vertical="center"/>
    </xf>
    <xf numFmtId="0" fontId="21" fillId="0" borderId="10" xfId="163" applyFont="1" applyBorder="1" applyAlignment="1">
      <alignment horizontal="center" vertical="center"/>
    </xf>
    <xf numFmtId="0" fontId="21" fillId="0" borderId="10" xfId="171" applyFont="1" applyFill="1" applyBorder="1" applyAlignment="1" applyProtection="1">
      <alignment horizontal="center" vertical="center"/>
    </xf>
    <xf numFmtId="2" fontId="21" fillId="0" borderId="10" xfId="171" quotePrefix="1" applyNumberFormat="1" applyFont="1" applyFill="1" applyBorder="1" applyAlignment="1" applyProtection="1">
      <alignment horizontal="center" vertical="center"/>
    </xf>
    <xf numFmtId="49" fontId="21" fillId="0" borderId="10" xfId="171" applyNumberFormat="1" applyFont="1" applyFill="1" applyBorder="1" applyAlignment="1" applyProtection="1">
      <alignment horizontal="center" vertical="center"/>
    </xf>
    <xf numFmtId="0" fontId="62" fillId="0" borderId="0" xfId="171" applyFont="1" applyFill="1" applyBorder="1" applyAlignment="1">
      <alignment vertical="center"/>
    </xf>
    <xf numFmtId="0" fontId="19" fillId="0" borderId="16" xfId="163" applyFont="1" applyBorder="1" applyAlignment="1">
      <alignment vertical="center" wrapText="1"/>
    </xf>
    <xf numFmtId="0" fontId="21" fillId="0" borderId="10" xfId="163" applyFont="1" applyFill="1" applyBorder="1" applyAlignment="1">
      <alignment horizontal="center" vertical="center"/>
    </xf>
    <xf numFmtId="2" fontId="21" fillId="0" borderId="10" xfId="171" applyNumberFormat="1" applyFont="1" applyFill="1" applyBorder="1" applyAlignment="1">
      <alignment horizontal="center" vertical="center"/>
    </xf>
    <xf numFmtId="187" fontId="21" fillId="0" borderId="10" xfId="171" applyNumberFormat="1" applyFont="1" applyFill="1" applyBorder="1" applyAlignment="1">
      <alignment horizontal="center" vertical="center"/>
    </xf>
    <xf numFmtId="0" fontId="21" fillId="0" borderId="10" xfId="171" applyFont="1" applyFill="1" applyBorder="1" applyAlignment="1">
      <alignment horizontal="left" vertical="center"/>
    </xf>
    <xf numFmtId="0" fontId="19" fillId="0" borderId="0" xfId="163" applyFont="1" applyBorder="1" applyAlignment="1">
      <alignment vertical="center" wrapText="1"/>
    </xf>
    <xf numFmtId="0" fontId="19" fillId="0" borderId="0" xfId="171" applyFont="1" applyFill="1" applyBorder="1" applyAlignment="1" applyProtection="1">
      <alignment vertical="center"/>
    </xf>
    <xf numFmtId="0" fontId="21" fillId="0" borderId="27" xfId="163" applyBorder="1" applyAlignment="1">
      <alignment horizontal="center" vertical="center"/>
    </xf>
    <xf numFmtId="0" fontId="19" fillId="0" borderId="27" xfId="171" applyFont="1" applyFill="1" applyBorder="1" applyAlignment="1" applyProtection="1">
      <alignment vertical="center"/>
    </xf>
    <xf numFmtId="0" fontId="19" fillId="0" borderId="100" xfId="163" applyFont="1" applyBorder="1" applyAlignment="1">
      <alignment vertical="center" wrapText="1"/>
    </xf>
    <xf numFmtId="0" fontId="21" fillId="0" borderId="0" xfId="3798" applyBorder="1" applyAlignment="1">
      <alignment vertical="center"/>
    </xf>
    <xf numFmtId="0" fontId="19" fillId="0" borderId="110" xfId="163" applyFont="1" applyBorder="1" applyAlignment="1">
      <alignment vertical="center" wrapText="1"/>
    </xf>
    <xf numFmtId="187" fontId="21" fillId="0" borderId="26" xfId="171" applyNumberFormat="1" applyFont="1" applyFill="1" applyBorder="1" applyAlignment="1">
      <alignment horizontal="center" vertical="center"/>
    </xf>
    <xf numFmtId="0" fontId="19" fillId="0" borderId="100" xfId="171" applyFont="1" applyFill="1" applyBorder="1" applyAlignment="1" applyProtection="1">
      <alignment vertical="center"/>
    </xf>
    <xf numFmtId="0" fontId="19" fillId="0" borderId="110" xfId="171" applyFont="1" applyFill="1" applyBorder="1" applyAlignment="1" applyProtection="1">
      <alignment vertical="center"/>
    </xf>
    <xf numFmtId="0" fontId="19" fillId="0" borderId="10" xfId="163" applyFont="1" applyFill="1" applyBorder="1" applyAlignment="1">
      <alignment horizontal="center" vertical="center" wrapText="1"/>
    </xf>
    <xf numFmtId="0" fontId="19" fillId="0" borderId="10" xfId="171" applyNumberFormat="1" applyFont="1" applyFill="1" applyBorder="1" applyAlignment="1">
      <alignment horizontal="center" vertical="center"/>
    </xf>
    <xf numFmtId="0" fontId="19" fillId="0" borderId="10" xfId="163" applyFont="1" applyFill="1" applyBorder="1" applyAlignment="1">
      <alignment horizontal="center" vertical="center"/>
    </xf>
    <xf numFmtId="0" fontId="21" fillId="0" borderId="0" xfId="3798" applyFill="1" applyAlignment="1">
      <alignment vertical="center"/>
    </xf>
    <xf numFmtId="0" fontId="19" fillId="0" borderId="16" xfId="171" applyFont="1" applyFill="1" applyBorder="1" applyAlignment="1" applyProtection="1">
      <alignment vertical="center"/>
    </xf>
    <xf numFmtId="0" fontId="19" fillId="0" borderId="33" xfId="171" applyFont="1" applyFill="1" applyBorder="1" applyAlignment="1" applyProtection="1">
      <alignment vertical="center"/>
    </xf>
    <xf numFmtId="11" fontId="21" fillId="0" borderId="10" xfId="171" applyNumberFormat="1" applyFont="1" applyFill="1" applyBorder="1" applyAlignment="1">
      <alignment horizontal="center" vertical="center"/>
    </xf>
    <xf numFmtId="11" fontId="19" fillId="0" borderId="10" xfId="171" applyNumberFormat="1" applyFont="1" applyFill="1" applyBorder="1" applyAlignment="1" applyProtection="1">
      <alignment vertical="center"/>
    </xf>
    <xf numFmtId="11" fontId="19" fillId="0" borderId="27" xfId="171" applyNumberFormat="1" applyFont="1" applyFill="1" applyBorder="1" applyAlignment="1" applyProtection="1">
      <alignment vertical="center"/>
    </xf>
    <xf numFmtId="0" fontId="42" fillId="0" borderId="10" xfId="3798" applyFont="1" applyFill="1" applyBorder="1" applyAlignment="1">
      <alignment horizontal="center" wrapText="1"/>
    </xf>
    <xf numFmtId="0" fontId="42" fillId="0" borderId="30" xfId="3798" applyFont="1" applyFill="1" applyBorder="1" applyAlignment="1">
      <alignment horizontal="center" wrapText="1"/>
    </xf>
    <xf numFmtId="0" fontId="21" fillId="0" borderId="35" xfId="163" applyBorder="1" applyAlignment="1">
      <alignment horizontal="center" vertical="center"/>
    </xf>
    <xf numFmtId="0" fontId="21" fillId="0" borderId="112" xfId="163" applyBorder="1" applyAlignment="1">
      <alignment horizontal="center" vertical="center"/>
    </xf>
    <xf numFmtId="0" fontId="21" fillId="0" borderId="35" xfId="3798" applyFill="1" applyBorder="1" applyAlignment="1">
      <alignment vertical="center"/>
    </xf>
    <xf numFmtId="0" fontId="21" fillId="0" borderId="105" xfId="3798" applyFill="1" applyBorder="1" applyAlignment="1">
      <alignment vertical="center"/>
    </xf>
    <xf numFmtId="3" fontId="21" fillId="0" borderId="0" xfId="3798" applyNumberFormat="1" applyFill="1" applyAlignment="1">
      <alignment vertical="center"/>
    </xf>
    <xf numFmtId="187" fontId="21" fillId="0" borderId="30" xfId="171" applyNumberFormat="1" applyFont="1" applyFill="1" applyBorder="1" applyAlignment="1">
      <alignment horizontal="center" vertical="center"/>
    </xf>
    <xf numFmtId="0" fontId="21" fillId="0" borderId="0" xfId="3798" applyFill="1"/>
    <xf numFmtId="188" fontId="21" fillId="0" borderId="10" xfId="171" applyNumberFormat="1" applyFont="1" applyFill="1" applyBorder="1" applyAlignment="1">
      <alignment horizontal="center" vertical="center"/>
    </xf>
    <xf numFmtId="0" fontId="21" fillId="0" borderId="0" xfId="3883"/>
    <xf numFmtId="0" fontId="19" fillId="0" borderId="0" xfId="3883" applyFont="1" applyAlignment="1">
      <alignment horizontal="center"/>
    </xf>
    <xf numFmtId="0" fontId="21" fillId="0" borderId="10" xfId="171" applyFont="1" applyFill="1" applyBorder="1" applyAlignment="1" applyProtection="1">
      <alignment horizontal="center" vertical="center"/>
    </xf>
    <xf numFmtId="2" fontId="21" fillId="0" borderId="10" xfId="171" applyNumberFormat="1" applyFont="1" applyFill="1" applyBorder="1" applyAlignment="1">
      <alignment horizontal="center"/>
    </xf>
    <xf numFmtId="0" fontId="21" fillId="0" borderId="10" xfId="171" applyFont="1" applyFill="1" applyBorder="1" applyAlignment="1" applyProtection="1">
      <alignment vertical="center"/>
    </xf>
    <xf numFmtId="0" fontId="62" fillId="0" borderId="10" xfId="171" applyFont="1" applyFill="1" applyBorder="1" applyAlignment="1">
      <alignment vertical="center"/>
    </xf>
    <xf numFmtId="0" fontId="19" fillId="0" borderId="10" xfId="3883" applyNumberFormat="1" applyFont="1" applyBorder="1" applyAlignment="1">
      <alignment horizontal="center" vertical="center"/>
    </xf>
    <xf numFmtId="0" fontId="19" fillId="0" borderId="10" xfId="3883" applyNumberFormat="1" applyFont="1" applyFill="1" applyBorder="1" applyAlignment="1">
      <alignment horizontal="center" vertical="center"/>
    </xf>
    <xf numFmtId="2" fontId="21" fillId="0" borderId="10" xfId="163" applyNumberFormat="1" applyFont="1" applyFill="1" applyBorder="1" applyAlignment="1">
      <alignment horizontal="center"/>
    </xf>
    <xf numFmtId="3" fontId="21" fillId="0" borderId="10" xfId="171" applyNumberFormat="1" applyFont="1" applyFill="1" applyBorder="1" applyAlignment="1">
      <alignment horizontal="center"/>
    </xf>
    <xf numFmtId="2" fontId="21" fillId="72" borderId="10" xfId="171" applyNumberFormat="1" applyFont="1" applyFill="1" applyBorder="1" applyAlignment="1">
      <alignment horizontal="center"/>
    </xf>
    <xf numFmtId="0" fontId="62" fillId="0" borderId="10" xfId="171" applyFont="1" applyFill="1" applyBorder="1" applyAlignment="1">
      <alignment horizontal="center" vertical="center"/>
    </xf>
    <xf numFmtId="2" fontId="62" fillId="72" borderId="10" xfId="171" applyNumberFormat="1" applyFont="1" applyFill="1" applyBorder="1" applyAlignment="1">
      <alignment horizontal="center" vertical="center"/>
    </xf>
    <xf numFmtId="0" fontId="21" fillId="0" borderId="0" xfId="3894"/>
    <xf numFmtId="0" fontId="21" fillId="0" borderId="10" xfId="171" applyFont="1" applyFill="1" applyBorder="1" applyAlignment="1">
      <alignment horizontal="center"/>
    </xf>
    <xf numFmtId="0" fontId="0" fillId="0" borderId="10" xfId="0" applyBorder="1" applyAlignment="1">
      <alignment horizontal="center"/>
    </xf>
    <xf numFmtId="0" fontId="16" fillId="67" borderId="27" xfId="0" applyFont="1" applyFill="1" applyBorder="1" applyAlignment="1">
      <alignment horizontal="center" vertical="center"/>
    </xf>
    <xf numFmtId="0" fontId="16" fillId="67" borderId="10" xfId="0" applyFont="1" applyFill="1" applyBorder="1" applyAlignment="1">
      <alignment horizontal="center" vertical="center" wrapText="1"/>
    </xf>
    <xf numFmtId="185" fontId="19" fillId="73" borderId="10" xfId="3883" applyNumberFormat="1" applyFont="1" applyFill="1" applyBorder="1" applyAlignment="1">
      <alignment horizontal="center"/>
    </xf>
    <xf numFmtId="0" fontId="19" fillId="0" borderId="10" xfId="3897" applyNumberFormat="1" applyFont="1" applyFill="1" applyBorder="1" applyAlignment="1">
      <alignment horizontal="center" vertical="center"/>
    </xf>
    <xf numFmtId="2" fontId="21" fillId="72" borderId="10" xfId="163" applyNumberFormat="1" applyFont="1" applyFill="1" applyBorder="1" applyAlignment="1">
      <alignment horizontal="center"/>
    </xf>
    <xf numFmtId="3" fontId="21" fillId="72" borderId="10" xfId="171" applyNumberFormat="1" applyFont="1" applyFill="1" applyBorder="1" applyAlignment="1">
      <alignment horizontal="center"/>
    </xf>
    <xf numFmtId="0" fontId="19" fillId="0" borderId="0" xfId="350" applyFont="1"/>
    <xf numFmtId="0" fontId="21" fillId="0" borderId="0" xfId="350" applyFont="1"/>
    <xf numFmtId="0" fontId="21" fillId="0" borderId="0" xfId="350" applyFont="1" applyFill="1"/>
    <xf numFmtId="0" fontId="40" fillId="0" borderId="0" xfId="350" applyFont="1" applyFill="1"/>
    <xf numFmtId="0" fontId="19" fillId="0" borderId="10" xfId="350" applyFont="1" applyBorder="1" applyAlignment="1">
      <alignment wrapText="1"/>
    </xf>
    <xf numFmtId="0" fontId="21" fillId="0" borderId="0" xfId="350" applyFont="1" applyBorder="1"/>
    <xf numFmtId="0" fontId="21" fillId="0" borderId="10" xfId="350" applyFont="1" applyBorder="1" applyAlignment="1">
      <alignment wrapText="1"/>
    </xf>
    <xf numFmtId="0" fontId="21" fillId="0" borderId="10" xfId="350" applyFont="1" applyBorder="1"/>
    <xf numFmtId="0" fontId="19" fillId="0" borderId="10" xfId="350" applyFont="1" applyBorder="1"/>
    <xf numFmtId="0" fontId="19" fillId="0" borderId="0" xfId="350" applyFont="1" applyBorder="1"/>
    <xf numFmtId="0" fontId="21" fillId="0" borderId="0" xfId="350"/>
    <xf numFmtId="0" fontId="92" fillId="0" borderId="0" xfId="350" applyFont="1" applyAlignment="1">
      <alignment horizontal="center"/>
    </xf>
    <xf numFmtId="0" fontId="19" fillId="0" borderId="0" xfId="350" applyFont="1" applyBorder="1" applyAlignment="1">
      <alignment horizontal="center"/>
    </xf>
    <xf numFmtId="0" fontId="21" fillId="0" borderId="0" xfId="350" applyFont="1" applyAlignment="1">
      <alignment horizontal="center"/>
    </xf>
    <xf numFmtId="0" fontId="21" fillId="0" borderId="0" xfId="350" applyFont="1" applyFill="1" applyAlignment="1">
      <alignment horizontal="center"/>
    </xf>
    <xf numFmtId="0" fontId="21" fillId="75" borderId="0" xfId="350" applyFill="1"/>
    <xf numFmtId="0" fontId="19" fillId="0" borderId="0" xfId="350" applyFont="1" applyFill="1" applyBorder="1" applyAlignment="1">
      <alignment horizontal="center"/>
    </xf>
    <xf numFmtId="0" fontId="92" fillId="0" borderId="0" xfId="350" applyFont="1" applyFill="1" applyAlignment="1">
      <alignment horizontal="center"/>
    </xf>
    <xf numFmtId="0" fontId="93" fillId="0" borderId="150" xfId="350" applyFont="1" applyBorder="1" applyAlignment="1">
      <alignment horizontal="center"/>
    </xf>
    <xf numFmtId="0" fontId="93" fillId="0" borderId="33" xfId="350" applyFont="1" applyBorder="1" applyAlignment="1">
      <alignment horizontal="center"/>
    </xf>
    <xf numFmtId="0" fontId="93" fillId="0" borderId="0" xfId="350" applyFont="1" applyBorder="1" applyAlignment="1">
      <alignment horizontal="center"/>
    </xf>
    <xf numFmtId="0" fontId="93" fillId="0" borderId="175" xfId="350" applyFont="1" applyFill="1" applyBorder="1" applyAlignment="1">
      <alignment horizontal="center"/>
    </xf>
    <xf numFmtId="0" fontId="93" fillId="0" borderId="176" xfId="350" applyFont="1" applyBorder="1" applyAlignment="1"/>
    <xf numFmtId="0" fontId="93" fillId="0" borderId="176" xfId="350" applyFont="1" applyFill="1" applyBorder="1" applyAlignment="1"/>
    <xf numFmtId="0" fontId="93" fillId="0" borderId="43" xfId="350" applyFont="1" applyBorder="1" applyAlignment="1"/>
    <xf numFmtId="0" fontId="93" fillId="0" borderId="177" xfId="350" applyFont="1" applyBorder="1" applyAlignment="1"/>
    <xf numFmtId="0" fontId="93" fillId="75" borderId="177" xfId="350" applyFont="1" applyFill="1" applyBorder="1" applyAlignment="1"/>
    <xf numFmtId="0" fontId="93" fillId="75" borderId="176" xfId="350" applyFont="1" applyFill="1" applyBorder="1" applyAlignment="1"/>
    <xf numFmtId="0" fontId="93" fillId="75" borderId="175" xfId="350" applyFont="1" applyFill="1" applyBorder="1" applyAlignment="1"/>
    <xf numFmtId="0" fontId="93" fillId="0" borderId="175" xfId="350" applyFont="1" applyFill="1" applyBorder="1" applyAlignment="1"/>
    <xf numFmtId="0" fontId="93" fillId="0" borderId="178" xfId="350" quotePrefix="1" applyFont="1" applyBorder="1" applyAlignment="1">
      <alignment horizontal="center"/>
    </xf>
    <xf numFmtId="0" fontId="93" fillId="53" borderId="175" xfId="350" quotePrefix="1" applyFont="1" applyFill="1" applyBorder="1" applyAlignment="1">
      <alignment horizontal="center"/>
    </xf>
    <xf numFmtId="0" fontId="93" fillId="0" borderId="175" xfId="350" quotePrefix="1" applyFont="1" applyFill="1" applyBorder="1" applyAlignment="1">
      <alignment horizontal="center"/>
    </xf>
    <xf numFmtId="0" fontId="93" fillId="0" borderId="175" xfId="350" quotePrefix="1" applyFont="1" applyBorder="1" applyAlignment="1">
      <alignment horizontal="center"/>
    </xf>
    <xf numFmtId="16" fontId="93" fillId="0" borderId="175" xfId="350" quotePrefix="1" applyNumberFormat="1" applyFont="1" applyBorder="1" applyAlignment="1">
      <alignment horizontal="center"/>
    </xf>
    <xf numFmtId="0" fontId="93" fillId="0" borderId="175" xfId="350" applyFont="1" applyBorder="1" applyAlignment="1">
      <alignment horizontal="center"/>
    </xf>
    <xf numFmtId="0" fontId="93" fillId="0" borderId="166" xfId="350" applyFont="1" applyBorder="1" applyAlignment="1">
      <alignment horizontal="center"/>
    </xf>
    <xf numFmtId="0" fontId="93" fillId="76" borderId="166" xfId="350" applyFont="1" applyFill="1" applyBorder="1" applyAlignment="1">
      <alignment horizontal="center" wrapText="1"/>
    </xf>
    <xf numFmtId="0" fontId="92" fillId="0" borderId="10" xfId="350" applyFont="1" applyBorder="1" applyAlignment="1">
      <alignment horizontal="center"/>
    </xf>
    <xf numFmtId="0" fontId="93" fillId="0" borderId="10" xfId="350" applyFont="1" applyFill="1" applyBorder="1" applyAlignment="1">
      <alignment horizontal="left"/>
    </xf>
    <xf numFmtId="1" fontId="94" fillId="0" borderId="0" xfId="350" applyNumberFormat="1" applyFont="1" applyAlignment="1">
      <alignment horizontal="center"/>
    </xf>
    <xf numFmtId="1" fontId="94" fillId="76" borderId="10" xfId="350" applyNumberFormat="1" applyFont="1" applyFill="1" applyBorder="1"/>
    <xf numFmtId="0" fontId="92" fillId="0" borderId="10" xfId="350" applyFont="1" applyFill="1" applyBorder="1"/>
    <xf numFmtId="0" fontId="92" fillId="0" borderId="37" xfId="350" applyFont="1" applyFill="1" applyBorder="1" applyAlignment="1">
      <alignment horizontal="center"/>
    </xf>
    <xf numFmtId="0" fontId="92" fillId="0" borderId="10" xfId="350" applyFont="1" applyFill="1" applyBorder="1" applyAlignment="1">
      <alignment horizontal="center"/>
    </xf>
    <xf numFmtId="4" fontId="92" fillId="0" borderId="10" xfId="350" applyNumberFormat="1" applyFont="1" applyFill="1" applyBorder="1" applyAlignment="1">
      <alignment horizontal="center"/>
    </xf>
    <xf numFmtId="3" fontId="92" fillId="0" borderId="10" xfId="350" applyNumberFormat="1" applyFont="1" applyFill="1" applyBorder="1" applyAlignment="1"/>
    <xf numFmtId="1" fontId="92" fillId="0" borderId="10" xfId="350" applyNumberFormat="1" applyFont="1" applyFill="1" applyBorder="1" applyAlignment="1"/>
    <xf numFmtId="4" fontId="92" fillId="0" borderId="37" xfId="350" applyNumberFormat="1" applyFont="1" applyFill="1" applyBorder="1" applyAlignment="1">
      <alignment horizontal="center"/>
    </xf>
    <xf numFmtId="3" fontId="92" fillId="0" borderId="37" xfId="350" applyNumberFormat="1" applyFont="1" applyFill="1" applyBorder="1" applyAlignment="1"/>
    <xf numFmtId="1" fontId="92" fillId="0" borderId="37" xfId="350" applyNumberFormat="1" applyFont="1" applyFill="1" applyBorder="1" applyAlignment="1"/>
    <xf numFmtId="0" fontId="92" fillId="0" borderId="37" xfId="350" applyFont="1" applyFill="1" applyBorder="1"/>
    <xf numFmtId="0" fontId="92" fillId="0" borderId="37" xfId="350" quotePrefix="1" applyFont="1" applyFill="1" applyBorder="1" applyAlignment="1">
      <alignment horizontal="center"/>
    </xf>
    <xf numFmtId="1" fontId="94" fillId="76" borderId="37" xfId="350" applyNumberFormat="1" applyFont="1" applyFill="1" applyBorder="1"/>
    <xf numFmtId="0" fontId="93" fillId="0" borderId="11" xfId="350" applyFont="1" applyFill="1" applyBorder="1"/>
    <xf numFmtId="0" fontId="92" fillId="0" borderId="11" xfId="350" applyFont="1" applyFill="1" applyBorder="1" applyAlignment="1">
      <alignment horizontal="center"/>
    </xf>
    <xf numFmtId="3" fontId="92" fillId="0" borderId="11" xfId="350" applyNumberFormat="1" applyFont="1" applyFill="1" applyBorder="1" applyAlignment="1">
      <alignment horizontal="center"/>
    </xf>
    <xf numFmtId="3" fontId="92" fillId="0" borderId="11" xfId="350" applyNumberFormat="1" applyFont="1" applyFill="1" applyBorder="1" applyAlignment="1"/>
    <xf numFmtId="0" fontId="92" fillId="0" borderId="0" xfId="350" applyFont="1" applyFill="1" applyBorder="1"/>
    <xf numFmtId="0" fontId="92" fillId="0" borderId="0" xfId="350" applyFont="1" applyFill="1" applyBorder="1" applyAlignment="1">
      <alignment horizontal="center"/>
    </xf>
    <xf numFmtId="3" fontId="92" fillId="0" borderId="0" xfId="350" applyNumberFormat="1" applyFont="1" applyFill="1" applyBorder="1" applyAlignment="1">
      <alignment horizontal="center"/>
    </xf>
    <xf numFmtId="3" fontId="92" fillId="0" borderId="0" xfId="350" applyNumberFormat="1" applyFont="1" applyFill="1" applyBorder="1" applyAlignment="1"/>
    <xf numFmtId="3" fontId="92" fillId="53" borderId="0" xfId="350" applyNumberFormat="1" applyFont="1" applyFill="1" applyBorder="1" applyAlignment="1"/>
    <xf numFmtId="1" fontId="94" fillId="76" borderId="0" xfId="350" applyNumberFormat="1" applyFont="1" applyFill="1" applyBorder="1"/>
    <xf numFmtId="0" fontId="95" fillId="0" borderId="100" xfId="3903" applyFont="1" applyFill="1" applyBorder="1" applyAlignment="1">
      <alignment vertical="top" wrapText="1"/>
    </xf>
    <xf numFmtId="0" fontId="96" fillId="0" borderId="0" xfId="350" applyFont="1" applyBorder="1"/>
    <xf numFmtId="3" fontId="96" fillId="0" borderId="0" xfId="350" applyNumberFormat="1" applyFont="1" applyBorder="1"/>
    <xf numFmtId="3" fontId="96" fillId="0" borderId="0" xfId="350" applyNumberFormat="1" applyFont="1" applyFill="1" applyBorder="1"/>
    <xf numFmtId="0" fontId="97" fillId="0" borderId="0" xfId="350" applyFont="1" applyAlignment="1">
      <alignment horizontal="center"/>
    </xf>
    <xf numFmtId="0" fontId="97" fillId="0" borderId="0" xfId="350" applyFont="1" applyFill="1" applyAlignment="1">
      <alignment horizontal="center"/>
    </xf>
    <xf numFmtId="0" fontId="97" fillId="0" borderId="0" xfId="350" applyFont="1"/>
    <xf numFmtId="0" fontId="94" fillId="0" borderId="0" xfId="3903" applyFont="1" applyFill="1" applyBorder="1" applyAlignment="1">
      <alignment horizontal="left" vertical="top" wrapText="1" indent="1"/>
    </xf>
    <xf numFmtId="0" fontId="92" fillId="0" borderId="0" xfId="350" applyFont="1" applyBorder="1" applyAlignment="1">
      <alignment horizontal="left" wrapText="1" indent="2"/>
    </xf>
    <xf numFmtId="0" fontId="94" fillId="0" borderId="0" xfId="350" applyFont="1"/>
    <xf numFmtId="0" fontId="94" fillId="0" borderId="0" xfId="350" applyFont="1" applyFill="1"/>
    <xf numFmtId="3" fontId="66" fillId="0" borderId="0" xfId="350" applyNumberFormat="1" applyFont="1" applyAlignment="1">
      <alignment horizontal="center"/>
    </xf>
    <xf numFmtId="0" fontId="94" fillId="0" borderId="0" xfId="350" applyFont="1" applyAlignment="1">
      <alignment horizontal="left" indent="1"/>
    </xf>
    <xf numFmtId="3" fontId="94" fillId="0" borderId="0" xfId="350" applyNumberFormat="1" applyFont="1"/>
    <xf numFmtId="0" fontId="94" fillId="0" borderId="0" xfId="3903" applyFont="1" applyFill="1" applyBorder="1" applyAlignment="1">
      <alignment horizontal="left" vertical="top" indent="1"/>
    </xf>
    <xf numFmtId="0" fontId="19" fillId="77" borderId="0" xfId="350" applyFont="1" applyFill="1" applyBorder="1" applyAlignment="1">
      <alignment horizontal="center"/>
    </xf>
    <xf numFmtId="0" fontId="21" fillId="0" borderId="0" xfId="350" applyFill="1"/>
    <xf numFmtId="0" fontId="93" fillId="0" borderId="150" xfId="350" applyFont="1" applyFill="1" applyBorder="1" applyAlignment="1">
      <alignment horizontal="center"/>
    </xf>
    <xf numFmtId="0" fontId="93" fillId="0" borderId="33" xfId="350" applyFont="1" applyFill="1" applyBorder="1" applyAlignment="1">
      <alignment horizontal="center"/>
    </xf>
    <xf numFmtId="0" fontId="93" fillId="0" borderId="0" xfId="350" applyFont="1" applyFill="1" applyBorder="1" applyAlignment="1">
      <alignment horizontal="center"/>
    </xf>
    <xf numFmtId="0" fontId="93" fillId="0" borderId="37" xfId="350" applyFont="1" applyBorder="1" applyAlignment="1"/>
    <xf numFmtId="0" fontId="93" fillId="0" borderId="37" xfId="350" applyFont="1" applyFill="1" applyBorder="1" applyAlignment="1"/>
    <xf numFmtId="0" fontId="93" fillId="0" borderId="40" xfId="350" applyFont="1" applyBorder="1" applyAlignment="1"/>
    <xf numFmtId="0" fontId="93" fillId="0" borderId="105" xfId="350" applyFont="1" applyBorder="1" applyAlignment="1"/>
    <xf numFmtId="0" fontId="93" fillId="75" borderId="105" xfId="350" applyFont="1" applyFill="1" applyBorder="1" applyAlignment="1"/>
    <xf numFmtId="0" fontId="93" fillId="75" borderId="37" xfId="350" applyFont="1" applyFill="1" applyBorder="1" applyAlignment="1"/>
    <xf numFmtId="0" fontId="93" fillId="75" borderId="10" xfId="350" applyFont="1" applyFill="1" applyBorder="1" applyAlignment="1"/>
    <xf numFmtId="0" fontId="93" fillId="78" borderId="10" xfId="350" applyFont="1" applyFill="1" applyBorder="1" applyAlignment="1"/>
    <xf numFmtId="0" fontId="93" fillId="0" borderId="10" xfId="350" applyFont="1" applyFill="1" applyBorder="1" applyAlignment="1"/>
    <xf numFmtId="0" fontId="93" fillId="0" borderId="33" xfId="350" quotePrefix="1" applyFont="1" applyBorder="1" applyAlignment="1">
      <alignment horizontal="center"/>
    </xf>
    <xf numFmtId="0" fontId="93" fillId="53" borderId="10" xfId="350" quotePrefix="1" applyFont="1" applyFill="1" applyBorder="1" applyAlignment="1">
      <alignment horizontal="center"/>
    </xf>
    <xf numFmtId="0" fontId="93" fillId="0" borderId="10" xfId="350" quotePrefix="1" applyFont="1" applyFill="1" applyBorder="1" applyAlignment="1">
      <alignment horizontal="center"/>
    </xf>
    <xf numFmtId="0" fontId="93" fillId="0" borderId="10" xfId="350" quotePrefix="1" applyFont="1" applyBorder="1" applyAlignment="1">
      <alignment horizontal="center"/>
    </xf>
    <xf numFmtId="16" fontId="93" fillId="0" borderId="10" xfId="350" quotePrefix="1" applyNumberFormat="1" applyFont="1" applyBorder="1" applyAlignment="1">
      <alignment horizontal="center"/>
    </xf>
    <xf numFmtId="0" fontId="93" fillId="0" borderId="10" xfId="350" applyFont="1" applyBorder="1" applyAlignment="1">
      <alignment horizontal="center"/>
    </xf>
    <xf numFmtId="0" fontId="93" fillId="0" borderId="27" xfId="350" applyFont="1" applyBorder="1" applyAlignment="1">
      <alignment horizontal="center"/>
    </xf>
    <xf numFmtId="0" fontId="93" fillId="76" borderId="27" xfId="350" applyFont="1" applyFill="1" applyBorder="1" applyAlignment="1">
      <alignment horizontal="center" wrapText="1"/>
    </xf>
    <xf numFmtId="3" fontId="92" fillId="0" borderId="10" xfId="350" applyNumberFormat="1" applyFont="1" applyFill="1" applyBorder="1" applyAlignment="1">
      <alignment horizontal="center"/>
    </xf>
    <xf numFmtId="1" fontId="94" fillId="0" borderId="0" xfId="350" applyNumberFormat="1" applyFont="1" applyFill="1" applyAlignment="1">
      <alignment horizontal="center"/>
    </xf>
    <xf numFmtId="1" fontId="94" fillId="0" borderId="10" xfId="350" applyNumberFormat="1" applyFont="1" applyFill="1" applyBorder="1"/>
    <xf numFmtId="1" fontId="92" fillId="0" borderId="33" xfId="350" applyNumberFormat="1" applyFont="1" applyFill="1" applyBorder="1" applyAlignment="1"/>
    <xf numFmtId="3" fontId="92" fillId="0" borderId="37" xfId="350" applyNumberFormat="1" applyFont="1" applyFill="1" applyBorder="1" applyAlignment="1">
      <alignment horizontal="center"/>
    </xf>
    <xf numFmtId="0" fontId="19" fillId="0" borderId="10" xfId="350" applyFont="1" applyFill="1" applyBorder="1" applyAlignment="1">
      <alignment horizontal="center" vertical="center" wrapText="1"/>
    </xf>
    <xf numFmtId="0" fontId="21" fillId="0" borderId="0" xfId="350" applyAlignment="1">
      <alignment horizontal="center" wrapText="1"/>
    </xf>
    <xf numFmtId="0" fontId="21" fillId="0" borderId="10" xfId="350" applyFill="1" applyBorder="1" applyAlignment="1">
      <alignment wrapText="1"/>
    </xf>
    <xf numFmtId="0" fontId="21" fillId="0" borderId="10" xfId="350" applyFont="1" applyFill="1" applyBorder="1" applyAlignment="1">
      <alignment horizontal="center" vertical="center" wrapText="1"/>
    </xf>
    <xf numFmtId="0" fontId="21" fillId="0" borderId="10" xfId="350" applyFont="1" applyFill="1" applyBorder="1" applyAlignment="1">
      <alignment horizontal="left" vertical="center" wrapText="1"/>
    </xf>
    <xf numFmtId="0" fontId="21" fillId="0" borderId="10" xfId="350" applyFill="1" applyBorder="1" applyAlignment="1">
      <alignment horizontal="center" vertical="center" wrapText="1"/>
    </xf>
    <xf numFmtId="0" fontId="21" fillId="0" borderId="37" xfId="350" applyFont="1" applyFill="1" applyBorder="1" applyAlignment="1">
      <alignment horizontal="center" vertical="center"/>
    </xf>
    <xf numFmtId="0" fontId="19" fillId="0" borderId="0" xfId="350" applyFont="1" applyFill="1" applyBorder="1" applyAlignment="1">
      <alignment horizontal="center" vertical="center" wrapText="1"/>
    </xf>
    <xf numFmtId="0" fontId="21" fillId="0" borderId="0" xfId="350" applyFill="1" applyBorder="1" applyAlignment="1">
      <alignment wrapText="1"/>
    </xf>
    <xf numFmtId="0" fontId="21" fillId="0" borderId="0" xfId="350" applyFill="1" applyBorder="1" applyAlignment="1">
      <alignment horizontal="center" vertical="center" wrapText="1"/>
    </xf>
    <xf numFmtId="0" fontId="21" fillId="0" borderId="0" xfId="350" applyFont="1" applyFill="1" applyBorder="1" applyAlignment="1">
      <alignment horizontal="center" vertical="center" wrapText="1"/>
    </xf>
    <xf numFmtId="0" fontId="19" fillId="0" borderId="0" xfId="350" applyFont="1" applyFill="1" applyAlignment="1">
      <alignment horizontal="center" wrapText="1"/>
    </xf>
    <xf numFmtId="0" fontId="19" fillId="0" borderId="0" xfId="350" applyFont="1" applyFill="1" applyAlignment="1">
      <alignment horizontal="left" wrapText="1"/>
    </xf>
    <xf numFmtId="0" fontId="21" fillId="0" borderId="0" xfId="350" applyFont="1" applyFill="1" applyAlignment="1">
      <alignment horizontal="left"/>
    </xf>
    <xf numFmtId="2" fontId="21" fillId="0" borderId="0" xfId="350" applyNumberFormat="1" applyFill="1"/>
    <xf numFmtId="0" fontId="19" fillId="0" borderId="0" xfId="350" applyFont="1" applyFill="1" applyAlignment="1">
      <alignment horizontal="right"/>
    </xf>
    <xf numFmtId="0" fontId="19" fillId="0" borderId="0" xfId="350" applyFont="1" applyFill="1"/>
    <xf numFmtId="1" fontId="19" fillId="0" borderId="0" xfId="350" applyNumberFormat="1" applyFont="1" applyFill="1"/>
    <xf numFmtId="1" fontId="21" fillId="0" borderId="0" xfId="350" applyNumberFormat="1" applyFill="1"/>
    <xf numFmtId="0" fontId="19" fillId="0" borderId="0" xfId="350" applyFont="1" applyFill="1" applyAlignment="1">
      <alignment vertical="center"/>
    </xf>
    <xf numFmtId="0" fontId="21" fillId="0" borderId="0" xfId="350" applyFont="1" applyFill="1" applyAlignment="1">
      <alignment horizontal="center" vertical="center"/>
    </xf>
    <xf numFmtId="0" fontId="21" fillId="0" borderId="0" xfId="350" applyFont="1" applyFill="1" applyAlignment="1">
      <alignment vertical="center"/>
    </xf>
    <xf numFmtId="0" fontId="98" fillId="0" borderId="0" xfId="350" applyFont="1" applyFill="1" applyAlignment="1">
      <alignment horizontal="center" vertical="center"/>
    </xf>
    <xf numFmtId="0" fontId="21" fillId="0" borderId="0" xfId="350" applyFont="1" applyAlignment="1">
      <alignment vertical="center"/>
    </xf>
    <xf numFmtId="0" fontId="21" fillId="0" borderId="0" xfId="350" applyAlignment="1">
      <alignment horizontal="center"/>
    </xf>
    <xf numFmtId="0" fontId="21" fillId="0" borderId="0" xfId="350" applyAlignment="1">
      <alignment horizontal="left"/>
    </xf>
    <xf numFmtId="0" fontId="21" fillId="0" borderId="0" xfId="350" applyFont="1" applyAlignment="1">
      <alignment horizontal="left"/>
    </xf>
    <xf numFmtId="0" fontId="19" fillId="67" borderId="20" xfId="350" applyFont="1" applyFill="1" applyBorder="1" applyAlignment="1">
      <alignment horizontal="center" vertical="center"/>
    </xf>
    <xf numFmtId="0" fontId="21" fillId="0" borderId="37" xfId="350" applyFont="1" applyBorder="1" applyAlignment="1">
      <alignment horizontal="center"/>
    </xf>
    <xf numFmtId="3" fontId="21" fillId="0" borderId="37" xfId="350" quotePrefix="1" applyNumberFormat="1" applyFill="1" applyBorder="1" applyAlignment="1">
      <alignment horizontal="center"/>
    </xf>
    <xf numFmtId="164" fontId="1" fillId="0" borderId="37" xfId="1998" applyNumberFormat="1" applyFill="1" applyBorder="1" applyAlignment="1">
      <alignment horizontal="center"/>
    </xf>
    <xf numFmtId="164" fontId="1" fillId="0" borderId="37" xfId="2005" applyNumberFormat="1" applyFill="1" applyBorder="1" applyAlignment="1">
      <alignment horizontal="center"/>
    </xf>
    <xf numFmtId="164" fontId="1" fillId="0" borderId="37" xfId="3904" applyNumberFormat="1" applyFill="1" applyBorder="1" applyAlignment="1">
      <alignment horizontal="center"/>
    </xf>
    <xf numFmtId="164" fontId="1" fillId="0" borderId="37" xfId="3905" applyNumberFormat="1" applyFill="1" applyBorder="1" applyAlignment="1">
      <alignment horizontal="center"/>
    </xf>
    <xf numFmtId="164" fontId="1" fillId="0" borderId="37" xfId="3906" applyNumberFormat="1" applyFill="1" applyBorder="1" applyAlignment="1">
      <alignment horizontal="center"/>
    </xf>
    <xf numFmtId="164" fontId="1" fillId="0" borderId="37" xfId="3907" applyNumberFormat="1" applyFill="1" applyBorder="1" applyAlignment="1">
      <alignment horizontal="center"/>
    </xf>
    <xf numFmtId="164" fontId="1" fillId="0" borderId="37" xfId="3908" applyNumberFormat="1" applyFill="1" applyBorder="1" applyAlignment="1">
      <alignment horizontal="center"/>
    </xf>
    <xf numFmtId="164" fontId="1" fillId="0" borderId="37" xfId="3909" applyNumberFormat="1" applyFill="1" applyBorder="1" applyAlignment="1">
      <alignment horizontal="center"/>
    </xf>
    <xf numFmtId="164" fontId="1" fillId="0" borderId="37" xfId="3910" applyNumberFormat="1" applyFill="1" applyBorder="1" applyAlignment="1">
      <alignment horizontal="center"/>
    </xf>
    <xf numFmtId="164" fontId="21" fillId="0" borderId="37" xfId="350" applyNumberFormat="1" applyFill="1" applyBorder="1" applyAlignment="1">
      <alignment horizontal="center"/>
    </xf>
    <xf numFmtId="164" fontId="1" fillId="0" borderId="37" xfId="3911" applyNumberFormat="1" applyFill="1" applyBorder="1" applyAlignment="1">
      <alignment horizontal="center"/>
    </xf>
    <xf numFmtId="165" fontId="21" fillId="0" borderId="37" xfId="350" applyNumberFormat="1" applyBorder="1" applyAlignment="1">
      <alignment horizontal="center"/>
    </xf>
    <xf numFmtId="0" fontId="21" fillId="0" borderId="10" xfId="350" applyFont="1" applyBorder="1" applyAlignment="1">
      <alignment horizontal="center"/>
    </xf>
    <xf numFmtId="3" fontId="21" fillId="0" borderId="10" xfId="350" quotePrefix="1" applyNumberFormat="1" applyFill="1" applyBorder="1" applyAlignment="1">
      <alignment horizontal="center"/>
    </xf>
    <xf numFmtId="164" fontId="1" fillId="0" borderId="10" xfId="2010" applyNumberFormat="1" applyFill="1" applyBorder="1" applyAlignment="1">
      <alignment horizontal="center"/>
    </xf>
    <xf numFmtId="164" fontId="1" fillId="0" borderId="10" xfId="2022" applyNumberFormat="1" applyFill="1" applyBorder="1" applyAlignment="1">
      <alignment horizontal="center"/>
    </xf>
    <xf numFmtId="164" fontId="1" fillId="0" borderId="10" xfId="3912" applyNumberFormat="1" applyFill="1" applyBorder="1" applyAlignment="1">
      <alignment horizontal="center"/>
    </xf>
    <xf numFmtId="164" fontId="1" fillId="0" borderId="10" xfId="3913" applyNumberFormat="1" applyFill="1" applyBorder="1" applyAlignment="1">
      <alignment horizontal="center"/>
    </xf>
    <xf numFmtId="164" fontId="1" fillId="0" borderId="10" xfId="3914" applyNumberFormat="1" applyFill="1" applyBorder="1" applyAlignment="1">
      <alignment horizontal="center"/>
    </xf>
    <xf numFmtId="164" fontId="1" fillId="0" borderId="10" xfId="3915" applyNumberFormat="1" applyFill="1" applyBorder="1" applyAlignment="1">
      <alignment horizontal="center"/>
    </xf>
    <xf numFmtId="164" fontId="1" fillId="0" borderId="10" xfId="3916" applyNumberFormat="1" applyFill="1" applyBorder="1" applyAlignment="1">
      <alignment horizontal="center"/>
    </xf>
    <xf numFmtId="164" fontId="1" fillId="0" borderId="10" xfId="3917" applyNumberFormat="1" applyFill="1" applyBorder="1" applyAlignment="1">
      <alignment horizontal="center"/>
    </xf>
    <xf numFmtId="164" fontId="1" fillId="0" borderId="10" xfId="3918" applyNumberFormat="1" applyFill="1" applyBorder="1" applyAlignment="1">
      <alignment horizontal="center"/>
    </xf>
    <xf numFmtId="164" fontId="21" fillId="0" borderId="10" xfId="350" applyNumberFormat="1" applyFill="1" applyBorder="1" applyAlignment="1">
      <alignment horizontal="center"/>
    </xf>
    <xf numFmtId="164" fontId="1" fillId="0" borderId="10" xfId="3919" applyNumberFormat="1" applyFill="1" applyBorder="1" applyAlignment="1">
      <alignment horizontal="center"/>
    </xf>
    <xf numFmtId="165" fontId="21" fillId="0" borderId="10" xfId="350" applyNumberFormat="1" applyBorder="1" applyAlignment="1">
      <alignment horizontal="center"/>
    </xf>
    <xf numFmtId="164" fontId="1" fillId="0" borderId="10" xfId="2016" applyNumberFormat="1" applyFill="1" applyBorder="1" applyAlignment="1">
      <alignment horizontal="center"/>
    </xf>
    <xf numFmtId="164" fontId="1" fillId="0" borderId="10" xfId="3920" applyNumberFormat="1" applyFill="1" applyBorder="1" applyAlignment="1">
      <alignment horizontal="center"/>
    </xf>
    <xf numFmtId="164" fontId="1" fillId="0" borderId="10" xfId="3921" applyNumberFormat="1" applyFill="1" applyBorder="1" applyAlignment="1">
      <alignment horizontal="center"/>
    </xf>
    <xf numFmtId="164" fontId="1" fillId="0" borderId="10" xfId="3922" applyNumberFormat="1" applyFill="1" applyBorder="1" applyAlignment="1">
      <alignment horizontal="center"/>
    </xf>
    <xf numFmtId="164" fontId="1" fillId="0" borderId="10" xfId="3923" applyNumberFormat="1" applyFill="1" applyBorder="1" applyAlignment="1">
      <alignment horizontal="center"/>
    </xf>
    <xf numFmtId="164" fontId="1" fillId="0" borderId="10" xfId="3924" applyNumberFormat="1" applyFill="1" applyBorder="1" applyAlignment="1">
      <alignment horizontal="center"/>
    </xf>
    <xf numFmtId="164" fontId="1" fillId="0" borderId="10" xfId="3925" applyNumberFormat="1" applyFill="1" applyBorder="1" applyAlignment="1">
      <alignment horizontal="center"/>
    </xf>
    <xf numFmtId="164" fontId="1" fillId="0" borderId="10" xfId="3926" applyNumberFormat="1" applyFill="1" applyBorder="1" applyAlignment="1">
      <alignment horizontal="center"/>
    </xf>
    <xf numFmtId="164" fontId="1" fillId="0" borderId="10" xfId="3927" applyNumberFormat="1" applyFill="1" applyBorder="1" applyAlignment="1">
      <alignment horizontal="center"/>
    </xf>
    <xf numFmtId="164" fontId="1" fillId="0" borderId="10" xfId="3928" applyNumberFormat="1" applyFill="1" applyBorder="1" applyAlignment="1">
      <alignment horizontal="center"/>
    </xf>
    <xf numFmtId="165" fontId="21" fillId="0" borderId="0" xfId="350" applyNumberFormat="1" applyBorder="1" applyAlignment="1">
      <alignment horizontal="center"/>
    </xf>
    <xf numFmtId="0" fontId="21" fillId="0" borderId="10" xfId="350" applyFont="1" applyBorder="1" applyAlignment="1">
      <alignment horizontal="center" vertical="center"/>
    </xf>
    <xf numFmtId="164" fontId="1" fillId="0" borderId="10" xfId="1999" applyNumberFormat="1" applyFill="1" applyBorder="1" applyAlignment="1">
      <alignment horizontal="center"/>
    </xf>
    <xf numFmtId="164" fontId="1" fillId="0" borderId="10" xfId="3929" applyNumberFormat="1" applyFill="1" applyBorder="1" applyAlignment="1">
      <alignment horizontal="center"/>
    </xf>
    <xf numFmtId="164" fontId="1" fillId="0" borderId="10" xfId="3930" applyNumberFormat="1" applyFill="1" applyBorder="1" applyAlignment="1">
      <alignment horizontal="center"/>
    </xf>
    <xf numFmtId="164" fontId="1" fillId="0" borderId="10" xfId="3931" applyNumberFormat="1" applyFill="1" applyBorder="1" applyAlignment="1">
      <alignment horizontal="center"/>
    </xf>
    <xf numFmtId="164" fontId="1" fillId="0" borderId="10" xfId="3932" applyNumberFormat="1" applyFill="1" applyBorder="1" applyAlignment="1">
      <alignment horizontal="center"/>
    </xf>
    <xf numFmtId="164" fontId="1" fillId="0" borderId="10" xfId="3933" applyNumberFormat="1" applyFill="1" applyBorder="1" applyAlignment="1">
      <alignment horizontal="center"/>
    </xf>
    <xf numFmtId="164" fontId="1" fillId="0" borderId="10" xfId="3934" applyNumberFormat="1" applyFill="1" applyBorder="1" applyAlignment="1">
      <alignment horizontal="center"/>
    </xf>
    <xf numFmtId="164" fontId="1" fillId="0" borderId="10" xfId="3935" applyNumberFormat="1" applyFill="1" applyBorder="1" applyAlignment="1">
      <alignment horizontal="center"/>
    </xf>
    <xf numFmtId="164" fontId="1" fillId="0" borderId="10" xfId="3936" applyNumberFormat="1" applyFill="1" applyBorder="1" applyAlignment="1">
      <alignment horizontal="center"/>
    </xf>
    <xf numFmtId="164" fontId="1" fillId="0" borderId="10" xfId="3937" applyNumberFormat="1" applyFill="1" applyBorder="1" applyAlignment="1">
      <alignment horizontal="center"/>
    </xf>
    <xf numFmtId="0" fontId="39" fillId="0" borderId="0" xfId="350" applyFont="1" applyBorder="1" applyAlignment="1">
      <alignment horizontal="left" indent="3"/>
    </xf>
    <xf numFmtId="0" fontId="21" fillId="0" borderId="0" xfId="350" applyFont="1" applyBorder="1" applyAlignment="1">
      <alignment horizontal="center"/>
    </xf>
    <xf numFmtId="3" fontId="21" fillId="0" borderId="0" xfId="350" quotePrefix="1" applyNumberFormat="1" applyBorder="1" applyAlignment="1">
      <alignment horizontal="center"/>
    </xf>
    <xf numFmtId="2" fontId="21" fillId="0" borderId="0" xfId="350" applyNumberFormat="1" applyBorder="1" applyAlignment="1">
      <alignment horizontal="center"/>
    </xf>
    <xf numFmtId="2" fontId="19" fillId="0" borderId="0" xfId="350" applyNumberFormat="1" applyFont="1" applyBorder="1" applyAlignment="1">
      <alignment horizontal="right"/>
    </xf>
    <xf numFmtId="2" fontId="19" fillId="0" borderId="10" xfId="350" applyNumberFormat="1" applyFont="1" applyBorder="1" applyAlignment="1">
      <alignment horizontal="center"/>
    </xf>
    <xf numFmtId="3" fontId="21" fillId="0" borderId="0" xfId="350" applyNumberFormat="1" applyBorder="1" applyAlignment="1">
      <alignment horizontal="center"/>
    </xf>
    <xf numFmtId="0" fontId="21" fillId="0" borderId="0" xfId="350" applyBorder="1" applyAlignment="1">
      <alignment horizontal="center"/>
    </xf>
    <xf numFmtId="0" fontId="20" fillId="0" borderId="0" xfId="413" applyFont="1" applyFill="1" applyAlignment="1">
      <alignment vertical="top" wrapText="1"/>
    </xf>
    <xf numFmtId="0" fontId="21" fillId="0" borderId="0" xfId="413" applyAlignment="1">
      <alignment vertical="top"/>
    </xf>
    <xf numFmtId="0" fontId="20" fillId="0" borderId="0" xfId="413" applyFont="1" applyFill="1" applyAlignment="1">
      <alignment vertical="top"/>
    </xf>
    <xf numFmtId="0" fontId="21" fillId="0" borderId="0" xfId="350" applyFont="1" applyAlignment="1">
      <alignment horizontal="left" vertical="center"/>
    </xf>
    <xf numFmtId="0" fontId="19" fillId="67" borderId="181" xfId="350" applyFont="1" applyFill="1" applyBorder="1" applyAlignment="1">
      <alignment horizontal="center" vertical="center"/>
    </xf>
    <xf numFmtId="0" fontId="19" fillId="67" borderId="184" xfId="350" applyFont="1" applyFill="1" applyBorder="1" applyAlignment="1">
      <alignment horizontal="center" vertical="center"/>
    </xf>
    <xf numFmtId="0" fontId="21" fillId="0" borderId="10" xfId="350" applyBorder="1" applyAlignment="1">
      <alignment horizontal="center" vertical="center"/>
    </xf>
    <xf numFmtId="0" fontId="21" fillId="0" borderId="10" xfId="350" applyFont="1" applyFill="1" applyBorder="1" applyAlignment="1">
      <alignment horizontal="center" vertical="center"/>
    </xf>
    <xf numFmtId="2" fontId="21" fillId="0" borderId="37" xfId="350" applyNumberFormat="1" applyFont="1" applyFill="1" applyBorder="1" applyAlignment="1">
      <alignment horizontal="center" vertical="center"/>
    </xf>
    <xf numFmtId="0" fontId="21" fillId="0" borderId="10" xfId="350" applyFill="1" applyBorder="1"/>
    <xf numFmtId="0" fontId="21" fillId="0" borderId="0" xfId="350" applyAlignment="1">
      <alignment horizontal="center" vertical="center"/>
    </xf>
    <xf numFmtId="1" fontId="21" fillId="0" borderId="10" xfId="350" applyNumberFormat="1" applyFont="1" applyFill="1" applyBorder="1" applyAlignment="1">
      <alignment horizontal="center" vertical="center"/>
    </xf>
    <xf numFmtId="0" fontId="21" fillId="0" borderId="10" xfId="350" applyFill="1" applyBorder="1" applyAlignment="1">
      <alignment horizontal="left" vertical="center"/>
    </xf>
    <xf numFmtId="0" fontId="21" fillId="0" borderId="0" xfId="350" applyFont="1" applyFill="1" applyBorder="1" applyAlignment="1">
      <alignment horizontal="left" vertical="center" wrapText="1"/>
    </xf>
    <xf numFmtId="0" fontId="21" fillId="0" borderId="0" xfId="350" applyFill="1" applyBorder="1" applyAlignment="1">
      <alignment horizontal="left" vertical="center"/>
    </xf>
    <xf numFmtId="0" fontId="21" fillId="0" borderId="0" xfId="350" applyBorder="1" applyAlignment="1">
      <alignment horizontal="center" vertical="center"/>
    </xf>
    <xf numFmtId="0" fontId="21" fillId="0" borderId="0" xfId="350" applyFont="1" applyFill="1" applyBorder="1" applyAlignment="1">
      <alignment horizontal="center" vertical="center"/>
    </xf>
    <xf numFmtId="1" fontId="21" fillId="0" borderId="0" xfId="350" applyNumberFormat="1" applyFont="1" applyFill="1" applyBorder="1" applyAlignment="1">
      <alignment horizontal="center" vertical="center"/>
    </xf>
    <xf numFmtId="164" fontId="21" fillId="0" borderId="0" xfId="350" applyNumberFormat="1" applyFont="1" applyBorder="1" applyAlignment="1">
      <alignment horizontal="center" vertical="center"/>
    </xf>
    <xf numFmtId="2" fontId="21" fillId="0" borderId="0" xfId="350" applyNumberFormat="1" applyFont="1" applyFill="1" applyBorder="1" applyAlignment="1">
      <alignment horizontal="center" vertical="center"/>
    </xf>
    <xf numFmtId="0" fontId="21" fillId="0" borderId="0" xfId="350" applyFont="1" applyBorder="1" applyAlignment="1">
      <alignment horizontal="center" vertical="center"/>
    </xf>
    <xf numFmtId="0" fontId="19" fillId="67" borderId="186" xfId="350" applyFont="1" applyFill="1" applyBorder="1" applyAlignment="1">
      <alignment horizontal="center" vertical="center"/>
    </xf>
    <xf numFmtId="0" fontId="19" fillId="0" borderId="0" xfId="350" applyFont="1" applyAlignment="1">
      <alignment vertical="center"/>
    </xf>
    <xf numFmtId="2" fontId="21" fillId="0" borderId="10" xfId="350" applyNumberFormat="1" applyFont="1" applyFill="1" applyBorder="1" applyAlignment="1">
      <alignment horizontal="center" vertical="center"/>
    </xf>
    <xf numFmtId="165" fontId="21" fillId="0" borderId="0" xfId="350" applyNumberFormat="1" applyFont="1" applyBorder="1" applyAlignment="1">
      <alignment horizontal="center" vertical="center"/>
    </xf>
    <xf numFmtId="49" fontId="20" fillId="0" borderId="0" xfId="350" applyNumberFormat="1" applyFont="1" applyFill="1" applyAlignment="1">
      <alignment vertical="center"/>
    </xf>
    <xf numFmtId="0" fontId="20" fillId="0" borderId="0" xfId="350" applyFont="1" applyAlignment="1">
      <alignment vertical="center"/>
    </xf>
    <xf numFmtId="49" fontId="20" fillId="0" borderId="0" xfId="350" applyNumberFormat="1" applyFont="1" applyAlignment="1">
      <alignment vertical="center"/>
    </xf>
    <xf numFmtId="0" fontId="42" fillId="0" borderId="0" xfId="350" applyFont="1" applyBorder="1" applyAlignment="1">
      <alignment horizontal="center" vertical="center"/>
    </xf>
    <xf numFmtId="0" fontId="20" fillId="0" borderId="0" xfId="350" applyFont="1" applyFill="1" applyBorder="1" applyAlignment="1">
      <alignment vertical="center"/>
    </xf>
    <xf numFmtId="0" fontId="20" fillId="0" borderId="0" xfId="350" applyFont="1" applyFill="1" applyAlignment="1">
      <alignment vertical="center"/>
    </xf>
    <xf numFmtId="49" fontId="20" fillId="0" borderId="0" xfId="350" applyNumberFormat="1" applyFont="1" applyFill="1" applyAlignment="1"/>
    <xf numFmtId="164" fontId="20" fillId="0" borderId="0" xfId="350" applyNumberFormat="1" applyFont="1" applyFill="1" applyBorder="1" applyAlignment="1">
      <alignment vertical="center"/>
    </xf>
    <xf numFmtId="165" fontId="21" fillId="0" borderId="0" xfId="350" applyNumberFormat="1" applyFont="1" applyAlignment="1">
      <alignment vertical="center"/>
    </xf>
    <xf numFmtId="0" fontId="19" fillId="67" borderId="183" xfId="350" applyFont="1" applyFill="1" applyBorder="1" applyAlignment="1">
      <alignment horizontal="center" vertical="center"/>
    </xf>
    <xf numFmtId="2" fontId="21" fillId="0" borderId="186" xfId="350" applyNumberFormat="1" applyFont="1" applyFill="1" applyBorder="1" applyAlignment="1">
      <alignment horizontal="center" vertical="center" wrapText="1"/>
    </xf>
    <xf numFmtId="0" fontId="19" fillId="0" borderId="175" xfId="350" applyFont="1" applyFill="1" applyBorder="1" applyAlignment="1">
      <alignment horizontal="center" wrapText="1"/>
    </xf>
    <xf numFmtId="0" fontId="19" fillId="0" borderId="175" xfId="350" applyFont="1" applyFill="1" applyBorder="1" applyAlignment="1">
      <alignment horizontal="left" wrapText="1"/>
    </xf>
    <xf numFmtId="0" fontId="19" fillId="0" borderId="0" xfId="350" applyFont="1" applyFill="1" applyBorder="1" applyAlignment="1">
      <alignment horizontal="center" wrapText="1"/>
    </xf>
    <xf numFmtId="0" fontId="19" fillId="0" borderId="0" xfId="350" applyFont="1" applyBorder="1" applyAlignment="1">
      <alignment horizontal="center" wrapText="1"/>
    </xf>
    <xf numFmtId="0" fontId="21" fillId="0" borderId="188" xfId="350" applyFont="1" applyFill="1" applyBorder="1"/>
    <xf numFmtId="0" fontId="21" fillId="0" borderId="0" xfId="350" applyFont="1" applyFill="1" applyBorder="1"/>
    <xf numFmtId="0" fontId="100" fillId="0" borderId="0" xfId="350" applyFont="1" applyFill="1" applyBorder="1"/>
    <xf numFmtId="2" fontId="21" fillId="0" borderId="188" xfId="350" applyNumberFormat="1" applyFont="1" applyFill="1" applyBorder="1"/>
    <xf numFmtId="0" fontId="21" fillId="0" borderId="0" xfId="350" applyFont="1" applyFill="1" applyBorder="1" applyAlignment="1">
      <alignment horizontal="left"/>
    </xf>
    <xf numFmtId="0" fontId="19" fillId="0" borderId="105" xfId="350" applyFont="1" applyBorder="1" applyAlignment="1">
      <alignment horizontal="right" vertical="center"/>
    </xf>
    <xf numFmtId="0" fontId="21" fillId="0" borderId="10" xfId="350" applyFill="1" applyBorder="1" applyAlignment="1">
      <alignment horizontal="center" vertical="center"/>
    </xf>
    <xf numFmtId="2" fontId="21" fillId="0" borderId="10" xfId="350" applyNumberFormat="1" applyFill="1" applyBorder="1" applyAlignment="1">
      <alignment horizontal="center" vertical="center"/>
    </xf>
    <xf numFmtId="0" fontId="19" fillId="0" borderId="33" xfId="350" applyFont="1" applyBorder="1" applyAlignment="1">
      <alignment horizontal="right" vertical="center"/>
    </xf>
    <xf numFmtId="0" fontId="19" fillId="0" borderId="26" xfId="350" applyFont="1" applyBorder="1" applyAlignment="1">
      <alignment horizontal="right" vertical="center"/>
    </xf>
    <xf numFmtId="0" fontId="19" fillId="0" borderId="189" xfId="350" applyFont="1" applyBorder="1" applyAlignment="1">
      <alignment horizontal="right" vertical="center"/>
    </xf>
    <xf numFmtId="0" fontId="21" fillId="0" borderId="20" xfId="350" applyFill="1" applyBorder="1" applyAlignment="1">
      <alignment horizontal="center" vertical="center"/>
    </xf>
    <xf numFmtId="2" fontId="21" fillId="0" borderId="20" xfId="350" applyNumberFormat="1" applyFill="1" applyBorder="1" applyAlignment="1">
      <alignment horizontal="center" vertical="center"/>
    </xf>
    <xf numFmtId="0" fontId="21" fillId="0" borderId="105" xfId="350" applyBorder="1"/>
    <xf numFmtId="0" fontId="21" fillId="0" borderId="37" xfId="350" applyFill="1" applyBorder="1"/>
    <xf numFmtId="2" fontId="19" fillId="0" borderId="10" xfId="350" applyNumberFormat="1" applyFont="1" applyFill="1" applyBorder="1"/>
    <xf numFmtId="0" fontId="21" fillId="0" borderId="33" xfId="350" applyBorder="1"/>
    <xf numFmtId="0" fontId="21" fillId="0" borderId="10" xfId="350" applyBorder="1"/>
    <xf numFmtId="0" fontId="19" fillId="0" borderId="33" xfId="350" applyFont="1" applyBorder="1" applyAlignment="1">
      <alignment horizontal="right"/>
    </xf>
    <xf numFmtId="164" fontId="19" fillId="0" borderId="10" xfId="350" applyNumberFormat="1" applyFont="1" applyFill="1" applyBorder="1"/>
    <xf numFmtId="0" fontId="19" fillId="0" borderId="0" xfId="350" applyFont="1" applyAlignment="1">
      <alignment horizontal="right"/>
    </xf>
    <xf numFmtId="164" fontId="19" fillId="0" borderId="0" xfId="350" applyNumberFormat="1" applyFont="1" applyFill="1"/>
    <xf numFmtId="2" fontId="19" fillId="0" borderId="0" xfId="350" applyNumberFormat="1" applyFont="1" applyFill="1"/>
    <xf numFmtId="0" fontId="100" fillId="0" borderId="0" xfId="350" applyFont="1" applyFill="1"/>
    <xf numFmtId="165" fontId="19" fillId="0" borderId="0" xfId="350" applyNumberFormat="1" applyFont="1" applyFill="1"/>
    <xf numFmtId="192" fontId="19" fillId="0" borderId="0" xfId="350" applyNumberFormat="1" applyFont="1" applyFill="1"/>
    <xf numFmtId="193" fontId="19" fillId="0" borderId="0" xfId="350" applyNumberFormat="1" applyFont="1" applyFill="1"/>
    <xf numFmtId="194" fontId="19" fillId="0" borderId="186" xfId="350" applyNumberFormat="1" applyFont="1" applyFill="1" applyBorder="1"/>
    <xf numFmtId="0" fontId="21" fillId="0" borderId="0" xfId="350" applyFill="1" applyAlignment="1">
      <alignment horizontal="right"/>
    </xf>
    <xf numFmtId="195" fontId="19" fillId="0" borderId="0" xfId="350" applyNumberFormat="1" applyFont="1" applyFill="1"/>
    <xf numFmtId="195" fontId="21" fillId="0" borderId="0" xfId="350" applyNumberFormat="1" applyFont="1" applyFill="1"/>
    <xf numFmtId="195" fontId="21" fillId="0" borderId="0" xfId="350" applyNumberFormat="1" applyFill="1"/>
    <xf numFmtId="0" fontId="46" fillId="0" borderId="0" xfId="350" applyFont="1" applyAlignment="1">
      <alignment horizontal="right"/>
    </xf>
    <xf numFmtId="0" fontId="19" fillId="0" borderId="0" xfId="350" applyFont="1" applyAlignment="1">
      <alignment horizontal="center"/>
    </xf>
    <xf numFmtId="0" fontId="19" fillId="0" borderId="0" xfId="350" applyFont="1" applyFill="1" applyAlignment="1">
      <alignment horizontal="center"/>
    </xf>
    <xf numFmtId="0" fontId="46" fillId="0" borderId="0" xfId="350" applyFont="1" applyAlignment="1">
      <alignment horizontal="left"/>
    </xf>
    <xf numFmtId="0" fontId="19" fillId="55" borderId="0" xfId="350" applyFont="1" applyFill="1" applyAlignment="1">
      <alignment horizontal="center"/>
    </xf>
    <xf numFmtId="0" fontId="19" fillId="0" borderId="0" xfId="350" applyFont="1" applyAlignment="1">
      <alignment horizontal="center" wrapText="1"/>
    </xf>
    <xf numFmtId="11" fontId="19" fillId="55" borderId="0" xfId="350" applyNumberFormat="1" applyFont="1" applyFill="1" applyAlignment="1">
      <alignment horizontal="center"/>
    </xf>
    <xf numFmtId="11" fontId="21" fillId="55" borderId="0" xfId="350" applyNumberFormat="1" applyFont="1" applyFill="1" applyAlignment="1">
      <alignment horizontal="right"/>
    </xf>
    <xf numFmtId="11" fontId="21" fillId="55" borderId="0" xfId="350" applyNumberFormat="1" applyFont="1" applyFill="1" applyAlignment="1">
      <alignment horizontal="center"/>
    </xf>
    <xf numFmtId="11" fontId="21" fillId="55" borderId="0" xfId="350" applyNumberFormat="1" applyFill="1"/>
    <xf numFmtId="0" fontId="46" fillId="0" borderId="0" xfId="350" applyFont="1"/>
    <xf numFmtId="0" fontId="50" fillId="0" borderId="0" xfId="350" applyFont="1"/>
    <xf numFmtId="11" fontId="103" fillId="55" borderId="0" xfId="350" applyNumberFormat="1" applyFont="1" applyFill="1"/>
    <xf numFmtId="0" fontId="40" fillId="0" borderId="0" xfId="350" applyFont="1"/>
    <xf numFmtId="11" fontId="104" fillId="55" borderId="0" xfId="350" applyNumberFormat="1" applyFont="1" applyFill="1"/>
    <xf numFmtId="0" fontId="104" fillId="0" borderId="0" xfId="350" applyFont="1"/>
    <xf numFmtId="0" fontId="105" fillId="0" borderId="0" xfId="350" applyFont="1"/>
    <xf numFmtId="11" fontId="105" fillId="55" borderId="0" xfId="350" applyNumberFormat="1" applyFont="1" applyFill="1"/>
    <xf numFmtId="11" fontId="21" fillId="55" borderId="0" xfId="350" applyNumberFormat="1" applyFont="1" applyFill="1"/>
    <xf numFmtId="0" fontId="103" fillId="0" borderId="0" xfId="350" applyFont="1"/>
    <xf numFmtId="11" fontId="100" fillId="55" borderId="0" xfId="350" applyNumberFormat="1" applyFont="1" applyFill="1"/>
    <xf numFmtId="11" fontId="21" fillId="0" borderId="0" xfId="350" applyNumberFormat="1"/>
    <xf numFmtId="1" fontId="21" fillId="0" borderId="0" xfId="350" applyNumberFormat="1"/>
    <xf numFmtId="11" fontId="106" fillId="0" borderId="0" xfId="350" applyNumberFormat="1" applyFont="1"/>
    <xf numFmtId="0" fontId="106" fillId="0" borderId="0" xfId="350" applyFont="1"/>
    <xf numFmtId="11" fontId="106" fillId="55" borderId="0" xfId="350" applyNumberFormat="1" applyFont="1" applyFill="1"/>
    <xf numFmtId="0" fontId="21" fillId="0" borderId="0" xfId="350" applyBorder="1" applyAlignment="1">
      <alignment horizontal="right"/>
    </xf>
    <xf numFmtId="11" fontId="21" fillId="55" borderId="0" xfId="247" applyNumberFormat="1" applyFill="1" applyBorder="1" applyAlignment="1">
      <alignment horizontal="left"/>
    </xf>
    <xf numFmtId="0" fontId="21" fillId="0" borderId="0" xfId="350" applyBorder="1"/>
    <xf numFmtId="0" fontId="106" fillId="0" borderId="0" xfId="350" applyFont="1" applyAlignment="1">
      <alignment horizontal="center"/>
    </xf>
    <xf numFmtId="11" fontId="46" fillId="55" borderId="0" xfId="350" applyNumberFormat="1" applyFont="1" applyFill="1"/>
    <xf numFmtId="0" fontId="107" fillId="0" borderId="0" xfId="350" applyFont="1"/>
    <xf numFmtId="11" fontId="105" fillId="0" borderId="0" xfId="350" applyNumberFormat="1" applyFont="1"/>
    <xf numFmtId="0" fontId="105" fillId="0" borderId="0" xfId="350" applyFont="1" applyFill="1"/>
    <xf numFmtId="0" fontId="108" fillId="0" borderId="0" xfId="350" applyFont="1"/>
    <xf numFmtId="11" fontId="21" fillId="55" borderId="0" xfId="350" applyNumberFormat="1" applyFill="1" applyBorder="1"/>
    <xf numFmtId="0" fontId="21" fillId="0" borderId="27" xfId="350" applyBorder="1"/>
    <xf numFmtId="166" fontId="21" fillId="0" borderId="150" xfId="247" applyNumberFormat="1" applyBorder="1"/>
    <xf numFmtId="196" fontId="110" fillId="0" borderId="0" xfId="350" applyNumberFormat="1" applyFont="1"/>
    <xf numFmtId="11" fontId="46" fillId="0" borderId="0" xfId="350" applyNumberFormat="1" applyFont="1"/>
    <xf numFmtId="11" fontId="100" fillId="0" borderId="0" xfId="350" applyNumberFormat="1" applyFont="1"/>
    <xf numFmtId="0" fontId="100" fillId="0" borderId="0" xfId="350" applyFont="1"/>
    <xf numFmtId="0" fontId="111" fillId="0" borderId="0" xfId="350" applyFont="1"/>
    <xf numFmtId="0" fontId="1" fillId="77" borderId="10" xfId="823" applyFill="1" applyBorder="1"/>
    <xf numFmtId="4" fontId="21" fillId="0" borderId="188" xfId="350" applyNumberFormat="1" applyFont="1" applyFill="1" applyBorder="1"/>
    <xf numFmtId="2" fontId="21" fillId="0" borderId="10" xfId="350" applyNumberFormat="1" applyFill="1" applyBorder="1" applyAlignment="1">
      <alignment horizontal="center" vertical="center" wrapText="1"/>
    </xf>
    <xf numFmtId="2" fontId="0" fillId="0" borderId="10" xfId="0" applyNumberFormat="1" applyBorder="1" applyAlignment="1">
      <alignment horizontal="center"/>
    </xf>
    <xf numFmtId="0" fontId="0" fillId="68" borderId="37" xfId="0" applyFill="1" applyBorder="1" applyAlignment="1">
      <alignment horizontal="center"/>
    </xf>
    <xf numFmtId="164" fontId="0" fillId="68" borderId="37" xfId="0" applyNumberFormat="1" applyFill="1" applyBorder="1" applyAlignment="1">
      <alignment horizontal="center"/>
    </xf>
    <xf numFmtId="164" fontId="0" fillId="68" borderId="10" xfId="2" applyNumberFormat="1" applyFont="1" applyFill="1" applyBorder="1" applyAlignment="1">
      <alignment horizontal="center"/>
    </xf>
    <xf numFmtId="0" fontId="0" fillId="67" borderId="10" xfId="0" applyFill="1" applyBorder="1" applyAlignment="1">
      <alignment horizontal="center"/>
    </xf>
    <xf numFmtId="0" fontId="16" fillId="67" borderId="10" xfId="0" applyFont="1" applyFill="1" applyBorder="1" applyAlignment="1">
      <alignment horizontal="center" vertical="center" wrapText="1"/>
    </xf>
    <xf numFmtId="0" fontId="0" fillId="67" borderId="37" xfId="0" applyFill="1" applyBorder="1" applyAlignment="1">
      <alignment horizontal="center" vertical="center" wrapText="1"/>
    </xf>
    <xf numFmtId="2" fontId="18" fillId="0" borderId="10" xfId="163" applyNumberFormat="1" applyFont="1" applyFill="1" applyBorder="1" applyAlignment="1">
      <alignment horizontal="center"/>
    </xf>
    <xf numFmtId="0" fontId="0" fillId="0" borderId="0" xfId="0" applyFill="1"/>
    <xf numFmtId="0" fontId="18" fillId="0" borderId="10" xfId="171" applyFont="1" applyFill="1" applyBorder="1" applyAlignment="1" applyProtection="1">
      <alignment horizontal="center" vertical="center"/>
    </xf>
    <xf numFmtId="187" fontId="18" fillId="0" borderId="26" xfId="171" applyNumberFormat="1" applyFont="1" applyFill="1" applyBorder="1" applyAlignment="1">
      <alignment horizontal="center" vertical="center"/>
    </xf>
    <xf numFmtId="0" fontId="115" fillId="0" borderId="0" xfId="0" applyFont="1" applyFill="1"/>
    <xf numFmtId="0" fontId="18" fillId="0" borderId="10" xfId="171" applyFont="1" applyFill="1" applyBorder="1" applyAlignment="1">
      <alignment horizontal="left" vertical="center"/>
    </xf>
    <xf numFmtId="0" fontId="18" fillId="0" borderId="10" xfId="171" applyFont="1" applyFill="1" applyBorder="1" applyAlignment="1">
      <alignment horizontal="center"/>
    </xf>
    <xf numFmtId="0" fontId="0" fillId="67" borderId="10" xfId="0" applyFill="1" applyBorder="1" applyAlignment="1">
      <alignment horizontal="center"/>
    </xf>
    <xf numFmtId="0" fontId="18" fillId="0" borderId="188" xfId="350" applyFont="1" applyFill="1" applyBorder="1"/>
    <xf numFmtId="164" fontId="0" fillId="0" borderId="10" xfId="0" applyNumberFormat="1" applyFill="1" applyBorder="1" applyAlignment="1">
      <alignment horizontal="center"/>
    </xf>
    <xf numFmtId="49" fontId="21" fillId="0" borderId="27" xfId="171" applyNumberFormat="1" applyFont="1" applyFill="1" applyBorder="1" applyAlignment="1" applyProtection="1">
      <alignment horizontal="center" vertical="center"/>
    </xf>
    <xf numFmtId="2" fontId="21" fillId="71" borderId="10" xfId="163" applyNumberFormat="1" applyFont="1" applyFill="1" applyBorder="1" applyAlignment="1">
      <alignment horizontal="center"/>
    </xf>
    <xf numFmtId="2" fontId="19" fillId="73" borderId="10" xfId="3883" applyNumberFormat="1" applyFont="1" applyFill="1" applyBorder="1" applyAlignment="1">
      <alignment horizontal="center"/>
    </xf>
    <xf numFmtId="185" fontId="21" fillId="0" borderId="0" xfId="3798" applyNumberFormat="1" applyFill="1" applyAlignment="1">
      <alignment vertical="center"/>
    </xf>
    <xf numFmtId="0" fontId="18" fillId="0" borderId="0" xfId="3798" applyFont="1" applyFill="1" applyAlignment="1">
      <alignment vertical="center"/>
    </xf>
    <xf numFmtId="0" fontId="18" fillId="0" borderId="0" xfId="3894" applyFont="1"/>
    <xf numFmtId="0" fontId="18" fillId="0" borderId="10" xfId="163" applyFont="1" applyBorder="1" applyAlignment="1">
      <alignment horizontal="center" vertical="center"/>
    </xf>
    <xf numFmtId="0" fontId="0" fillId="0" borderId="33" xfId="0" applyBorder="1" applyAlignment="1">
      <alignment horizontal="center"/>
    </xf>
    <xf numFmtId="9" fontId="0" fillId="0" borderId="10" xfId="0" applyNumberFormat="1" applyFill="1" applyBorder="1" applyAlignment="1">
      <alignment horizontal="center"/>
    </xf>
    <xf numFmtId="0" fontId="16" fillId="0" borderId="0" xfId="0" applyFont="1"/>
    <xf numFmtId="0" fontId="0" fillId="0" borderId="10" xfId="0" applyBorder="1" applyAlignment="1">
      <alignment horizontal="right"/>
    </xf>
    <xf numFmtId="9" fontId="0" fillId="0" borderId="10" xfId="2" applyFont="1" applyFill="1" applyBorder="1" applyAlignment="1">
      <alignment horizontal="center"/>
    </xf>
    <xf numFmtId="0" fontId="0" fillId="67" borderId="37" xfId="0" applyFill="1" applyBorder="1" applyAlignment="1">
      <alignment horizontal="center" vertical="center" wrapText="1"/>
    </xf>
    <xf numFmtId="0" fontId="0" fillId="0" borderId="10" xfId="0" applyBorder="1" applyAlignment="1">
      <alignment horizontal="right"/>
    </xf>
    <xf numFmtId="0" fontId="19" fillId="67" borderId="181" xfId="350" applyFont="1" applyFill="1" applyBorder="1" applyAlignment="1">
      <alignment horizontal="center" vertical="center"/>
    </xf>
    <xf numFmtId="0" fontId="19" fillId="67" borderId="184" xfId="350" applyFont="1" applyFill="1" applyBorder="1" applyAlignment="1">
      <alignment horizontal="center" vertical="center"/>
    </xf>
    <xf numFmtId="0" fontId="0" fillId="0" borderId="10" xfId="0" applyBorder="1" applyAlignment="1">
      <alignment horizontal="center"/>
    </xf>
    <xf numFmtId="0" fontId="0" fillId="0" borderId="37" xfId="0" applyFill="1" applyBorder="1" applyAlignment="1">
      <alignment horizontal="center"/>
    </xf>
    <xf numFmtId="164" fontId="0" fillId="0" borderId="10" xfId="2" applyNumberFormat="1" applyFont="1" applyFill="1" applyBorder="1" applyAlignment="1">
      <alignment horizontal="center"/>
    </xf>
    <xf numFmtId="2" fontId="21" fillId="79" borderId="10" xfId="163" applyNumberFormat="1" applyFont="1" applyFill="1" applyBorder="1" applyAlignment="1">
      <alignment horizontal="center"/>
    </xf>
    <xf numFmtId="164" fontId="21" fillId="0" borderId="10" xfId="350" applyNumberFormat="1" applyFont="1" applyFill="1" applyBorder="1" applyAlignment="1">
      <alignment horizontal="center" vertical="center"/>
    </xf>
    <xf numFmtId="0" fontId="20" fillId="0" borderId="0" xfId="9024" applyFont="1" applyFill="1" applyBorder="1" applyAlignment="1">
      <alignment vertical="center" wrapText="1"/>
    </xf>
    <xf numFmtId="2" fontId="20" fillId="0" borderId="0" xfId="9024" applyNumberFormat="1" applyFont="1" applyFill="1" applyAlignment="1">
      <alignment vertical="center"/>
    </xf>
    <xf numFmtId="49" fontId="20" fillId="0" borderId="0" xfId="9024" applyNumberFormat="1" applyFont="1" applyFill="1" applyAlignment="1">
      <alignment vertical="center"/>
    </xf>
    <xf numFmtId="0" fontId="20" fillId="0" borderId="0" xfId="9024" applyFont="1" applyFill="1" applyAlignment="1">
      <alignment vertical="center"/>
    </xf>
    <xf numFmtId="0" fontId="20" fillId="0" borderId="0" xfId="9024" applyFont="1" applyFill="1" applyBorder="1" applyAlignment="1">
      <alignment vertical="center"/>
    </xf>
    <xf numFmtId="0" fontId="119" fillId="0" borderId="0" xfId="9024"/>
    <xf numFmtId="0" fontId="0" fillId="0" borderId="0" xfId="0" applyAlignment="1">
      <alignment horizontal="center"/>
    </xf>
    <xf numFmtId="0" fontId="19" fillId="0" borderId="1025" xfId="350" applyFont="1" applyFill="1" applyBorder="1" applyAlignment="1">
      <alignment horizontal="center" vertical="center" wrapText="1"/>
    </xf>
    <xf numFmtId="0" fontId="16" fillId="0" borderId="10" xfId="0" applyFont="1" applyBorder="1" applyAlignment="1">
      <alignment horizontal="center"/>
    </xf>
    <xf numFmtId="0" fontId="16" fillId="0" borderId="10" xfId="0" applyFont="1" applyBorder="1" applyAlignment="1">
      <alignment horizontal="center" vertical="center"/>
    </xf>
    <xf numFmtId="11" fontId="85" fillId="0" borderId="10" xfId="350" applyNumberFormat="1" applyFont="1" applyFill="1" applyBorder="1" applyAlignment="1">
      <alignment horizontal="center" vertical="center"/>
    </xf>
    <xf numFmtId="0" fontId="85" fillId="0" borderId="10" xfId="350" applyFont="1" applyFill="1" applyBorder="1" applyAlignment="1">
      <alignment horizontal="center" vertical="center"/>
    </xf>
    <xf numFmtId="11" fontId="115" fillId="0" borderId="10" xfId="350" applyNumberFormat="1" applyFont="1" applyFill="1" applyBorder="1" applyAlignment="1">
      <alignment horizontal="center" vertical="center"/>
    </xf>
    <xf numFmtId="0" fontId="115" fillId="0" borderId="10" xfId="350" applyFont="1" applyFill="1" applyBorder="1" applyAlignment="1">
      <alignment horizontal="center" vertical="center"/>
    </xf>
    <xf numFmtId="11" fontId="120" fillId="0" borderId="10" xfId="350" applyNumberFormat="1" applyFont="1" applyFill="1" applyBorder="1" applyAlignment="1">
      <alignment horizontal="center" vertical="center"/>
    </xf>
    <xf numFmtId="0" fontId="120" fillId="0" borderId="10" xfId="350" applyFont="1" applyFill="1" applyBorder="1" applyAlignment="1">
      <alignment horizontal="center" vertical="center"/>
    </xf>
    <xf numFmtId="11" fontId="121" fillId="0" borderId="10" xfId="350" applyNumberFormat="1" applyFont="1" applyFill="1" applyBorder="1" applyAlignment="1">
      <alignment horizontal="center" vertical="center"/>
    </xf>
    <xf numFmtId="11" fontId="122" fillId="0" borderId="10" xfId="350" applyNumberFormat="1" applyFont="1" applyFill="1" applyBorder="1" applyAlignment="1">
      <alignment horizontal="center" vertical="center"/>
    </xf>
    <xf numFmtId="0" fontId="122" fillId="0" borderId="10" xfId="350" applyFont="1" applyFill="1" applyBorder="1" applyAlignment="1">
      <alignment horizontal="center" vertical="center"/>
    </xf>
    <xf numFmtId="11" fontId="123" fillId="0" borderId="10" xfId="350" applyNumberFormat="1" applyFont="1" applyFill="1" applyBorder="1" applyAlignment="1">
      <alignment horizontal="center" vertical="center"/>
    </xf>
    <xf numFmtId="0" fontId="123" fillId="0" borderId="10" xfId="350" applyFont="1" applyFill="1" applyBorder="1" applyAlignment="1">
      <alignment horizontal="center" vertical="center"/>
    </xf>
    <xf numFmtId="11" fontId="124" fillId="0" borderId="10" xfId="350" applyNumberFormat="1" applyFont="1" applyFill="1" applyBorder="1" applyAlignment="1">
      <alignment horizontal="center" vertical="center"/>
    </xf>
    <xf numFmtId="0" fontId="124" fillId="0" borderId="10" xfId="350" applyFont="1" applyFill="1" applyBorder="1" applyAlignment="1">
      <alignment horizontal="center" vertical="center"/>
    </xf>
    <xf numFmtId="0" fontId="0" fillId="67" borderId="10" xfId="0" applyFill="1" applyBorder="1" applyAlignment="1">
      <alignment horizontal="center"/>
    </xf>
    <xf numFmtId="0" fontId="0" fillId="0" borderId="10" xfId="0" applyBorder="1" applyAlignment="1">
      <alignment horizontal="right"/>
    </xf>
    <xf numFmtId="164" fontId="18" fillId="0" borderId="10" xfId="8453" applyNumberFormat="1" applyFont="1" applyFill="1" applyBorder="1" applyAlignment="1">
      <alignment horizontal="center" vertical="center"/>
    </xf>
    <xf numFmtId="0" fontId="18" fillId="0" borderId="0" xfId="8612" applyFill="1" applyAlignment="1">
      <alignment vertical="center"/>
    </xf>
    <xf numFmtId="0" fontId="18" fillId="0" borderId="0" xfId="8612"/>
    <xf numFmtId="0" fontId="0" fillId="0" borderId="10" xfId="0" applyBorder="1" applyAlignment="1">
      <alignment horizontal="center"/>
    </xf>
    <xf numFmtId="0" fontId="0" fillId="0" borderId="10" xfId="0" applyBorder="1" applyAlignment="1">
      <alignment horizontal="center"/>
    </xf>
    <xf numFmtId="0" fontId="16" fillId="67" borderId="10" xfId="0" applyFont="1" applyFill="1" applyBorder="1" applyAlignment="1">
      <alignment horizontal="center"/>
    </xf>
    <xf numFmtId="0" fontId="16" fillId="0" borderId="10" xfId="0" applyFont="1" applyBorder="1" applyAlignment="1">
      <alignment horizontal="center"/>
    </xf>
    <xf numFmtId="0" fontId="19" fillId="0" borderId="10" xfId="3883" applyNumberFormat="1" applyFont="1" applyFill="1" applyBorder="1" applyAlignment="1">
      <alignment horizontal="center" vertical="center" wrapText="1"/>
    </xf>
    <xf numFmtId="166" fontId="20" fillId="0" borderId="10" xfId="1" applyNumberFormat="1" applyFont="1" applyFill="1" applyBorder="1" applyAlignment="1">
      <alignment horizontal="right"/>
    </xf>
    <xf numFmtId="0" fontId="19" fillId="0" borderId="0" xfId="3883" applyNumberFormat="1" applyFont="1" applyFill="1" applyBorder="1" applyAlignment="1">
      <alignment horizontal="center" vertical="center" wrapText="1"/>
    </xf>
    <xf numFmtId="0" fontId="20" fillId="0" borderId="10" xfId="162" applyFont="1" applyFill="1" applyBorder="1" applyAlignment="1">
      <alignment horizontal="center" vertical="center"/>
    </xf>
    <xf numFmtId="0" fontId="20" fillId="0" borderId="10" xfId="245" applyFont="1" applyFill="1" applyBorder="1" applyAlignment="1">
      <alignment horizontal="center" vertical="center"/>
    </xf>
    <xf numFmtId="0" fontId="18" fillId="0" borderId="10" xfId="259" applyFont="1" applyFill="1" applyBorder="1"/>
    <xf numFmtId="0" fontId="20" fillId="0" borderId="0" xfId="162" applyFont="1" applyFill="1" applyBorder="1" applyAlignment="1">
      <alignment horizontal="center" vertical="center"/>
    </xf>
    <xf numFmtId="166" fontId="20" fillId="0" borderId="0" xfId="1" applyNumberFormat="1" applyFont="1" applyFill="1" applyBorder="1" applyAlignment="1">
      <alignment horizontal="right"/>
    </xf>
    <xf numFmtId="0" fontId="16" fillId="67" borderId="10" xfId="0" applyFont="1" applyFill="1" applyBorder="1" applyAlignment="1">
      <alignment horizontal="center"/>
    </xf>
    <xf numFmtId="0" fontId="90" fillId="0" borderId="10" xfId="3882" applyFont="1" applyFill="1" applyBorder="1" applyAlignment="1"/>
    <xf numFmtId="0" fontId="18" fillId="0" borderId="0" xfId="350" applyFont="1" applyFill="1" applyAlignment="1">
      <alignment horizontal="left"/>
    </xf>
    <xf numFmtId="0" fontId="21" fillId="0" borderId="0" xfId="350" applyBorder="1" applyAlignment="1">
      <alignment horizontal="center" vertical="center" wrapText="1"/>
    </xf>
    <xf numFmtId="0" fontId="20" fillId="0" borderId="0" xfId="162" applyFont="1" applyFill="1" applyBorder="1" applyAlignment="1">
      <alignment horizontal="right"/>
    </xf>
    <xf numFmtId="0" fontId="19" fillId="0" borderId="0" xfId="350" applyFont="1" applyAlignment="1">
      <alignment horizontal="left"/>
    </xf>
    <xf numFmtId="0" fontId="18" fillId="0" borderId="0" xfId="350" applyFont="1" applyFill="1" applyBorder="1" applyAlignment="1">
      <alignment horizontal="right" vertical="center"/>
    </xf>
    <xf numFmtId="0" fontId="18" fillId="0" borderId="0" xfId="350" applyFont="1" applyFill="1" applyBorder="1" applyAlignment="1">
      <alignment horizontal="right" vertical="center" wrapText="1"/>
    </xf>
    <xf numFmtId="0" fontId="16" fillId="67" borderId="10" xfId="0" applyFont="1" applyFill="1" applyBorder="1" applyAlignment="1">
      <alignment horizontal="center"/>
    </xf>
    <xf numFmtId="11" fontId="21" fillId="0" borderId="10" xfId="163" applyNumberFormat="1" applyFont="1" applyFill="1" applyBorder="1" applyAlignment="1">
      <alignment horizontal="center"/>
    </xf>
    <xf numFmtId="11" fontId="21" fillId="0" borderId="10" xfId="171" applyNumberFormat="1" applyFont="1" applyFill="1" applyBorder="1" applyAlignment="1">
      <alignment horizontal="center"/>
    </xf>
    <xf numFmtId="4" fontId="0" fillId="0" borderId="10" xfId="0" applyNumberFormat="1" applyFont="1" applyFill="1" applyBorder="1" applyAlignment="1">
      <alignment horizontal="center"/>
    </xf>
    <xf numFmtId="3" fontId="0" fillId="67" borderId="10" xfId="0" applyNumberFormat="1" applyFill="1" applyBorder="1" applyAlignment="1">
      <alignment horizontal="center" vertical="center" wrapText="1"/>
    </xf>
    <xf numFmtId="4" fontId="0" fillId="67" borderId="37" xfId="0" applyNumberFormat="1" applyFill="1" applyBorder="1" applyAlignment="1">
      <alignment horizontal="center" vertical="center" wrapText="1"/>
    </xf>
    <xf numFmtId="3" fontId="21" fillId="0" borderId="188" xfId="350" applyNumberFormat="1" applyFont="1" applyFill="1" applyBorder="1"/>
    <xf numFmtId="1" fontId="21" fillId="0" borderId="10" xfId="350" applyNumberFormat="1" applyFill="1" applyBorder="1" applyAlignment="1">
      <alignment horizontal="center" vertical="center"/>
    </xf>
    <xf numFmtId="3" fontId="16" fillId="68" borderId="10" xfId="0" applyNumberFormat="1" applyFont="1" applyFill="1" applyBorder="1" applyAlignment="1">
      <alignment horizontal="right"/>
    </xf>
    <xf numFmtId="3" fontId="16" fillId="68" borderId="10" xfId="0" applyNumberFormat="1" applyFont="1" applyFill="1" applyBorder="1" applyAlignment="1">
      <alignment horizontal="center"/>
    </xf>
    <xf numFmtId="185" fontId="16" fillId="68" borderId="10" xfId="0" applyNumberFormat="1" applyFont="1" applyFill="1" applyBorder="1" applyAlignment="1">
      <alignment horizontal="center"/>
    </xf>
    <xf numFmtId="0" fontId="21" fillId="0" borderId="0" xfId="350" applyFont="1" applyFill="1" applyBorder="1" applyAlignment="1">
      <alignment horizontal="center"/>
    </xf>
    <xf numFmtId="0" fontId="20" fillId="0" borderId="0" xfId="422" applyFont="1" applyFill="1" applyAlignment="1">
      <alignment vertical="top"/>
    </xf>
    <xf numFmtId="164" fontId="21" fillId="0" borderId="0" xfId="350" applyNumberFormat="1" applyFill="1" applyBorder="1" applyAlignment="1">
      <alignment horizontal="center"/>
    </xf>
    <xf numFmtId="164" fontId="21" fillId="0" borderId="0" xfId="350" applyNumberFormat="1" applyFont="1" applyFill="1" applyBorder="1" applyAlignment="1">
      <alignment horizontal="center" vertical="center"/>
    </xf>
    <xf numFmtId="0" fontId="42" fillId="0" borderId="1029" xfId="162" applyFont="1" applyFill="1" applyBorder="1" applyAlignment="1">
      <alignment horizontal="center"/>
    </xf>
    <xf numFmtId="0" fontId="20" fillId="0" borderId="27" xfId="2" applyNumberFormat="1" applyFont="1" applyFill="1" applyBorder="1" applyAlignment="1">
      <alignment horizontal="center"/>
    </xf>
    <xf numFmtId="184" fontId="20" fillId="0" borderId="27" xfId="2" applyNumberFormat="1" applyFont="1" applyFill="1" applyBorder="1" applyAlignment="1">
      <alignment horizontal="center"/>
    </xf>
    <xf numFmtId="165" fontId="20" fillId="0" borderId="190" xfId="162" applyNumberFormat="1" applyFont="1" applyFill="1" applyBorder="1" applyAlignment="1">
      <alignment horizontal="center"/>
    </xf>
    <xf numFmtId="165" fontId="20" fillId="0" borderId="27" xfId="162" applyNumberFormat="1" applyFont="1" applyFill="1" applyBorder="1" applyAlignment="1"/>
    <xf numFmtId="165" fontId="20" fillId="0" borderId="27" xfId="162" applyNumberFormat="1" applyFont="1" applyFill="1" applyBorder="1" applyAlignment="1">
      <alignment horizontal="center"/>
    </xf>
    <xf numFmtId="165" fontId="20" fillId="0" borderId="24" xfId="162" applyNumberFormat="1" applyFont="1" applyFill="1" applyBorder="1" applyAlignment="1">
      <alignment horizontal="center"/>
    </xf>
    <xf numFmtId="0" fontId="0" fillId="0" borderId="30" xfId="0" applyBorder="1"/>
    <xf numFmtId="11" fontId="0" fillId="0" borderId="10" xfId="0" applyNumberFormat="1" applyBorder="1" applyAlignment="1">
      <alignment horizontal="center"/>
    </xf>
    <xf numFmtId="0" fontId="19" fillId="73" borderId="10" xfId="3883" applyFont="1" applyFill="1" applyBorder="1" applyAlignment="1">
      <alignment horizontal="center"/>
    </xf>
    <xf numFmtId="0" fontId="19" fillId="0" borderId="10" xfId="3798" applyFont="1" applyFill="1" applyBorder="1" applyAlignment="1">
      <alignment horizontal="center" vertical="center"/>
    </xf>
    <xf numFmtId="0" fontId="16" fillId="0" borderId="27" xfId="163" applyFont="1" applyBorder="1" applyAlignment="1">
      <alignment horizontal="center" vertical="center"/>
    </xf>
    <xf numFmtId="0" fontId="16" fillId="0" borderId="16" xfId="163" applyFont="1" applyBorder="1" applyAlignment="1">
      <alignment horizontal="center" vertical="center"/>
    </xf>
    <xf numFmtId="0" fontId="19" fillId="0" borderId="27" xfId="163" applyFont="1" applyFill="1" applyBorder="1" applyAlignment="1">
      <alignment horizontal="left" vertical="center" wrapText="1"/>
    </xf>
    <xf numFmtId="0" fontId="19" fillId="0" borderId="16" xfId="163" applyFont="1" applyFill="1" applyBorder="1" applyAlignment="1">
      <alignment horizontal="left" vertical="center" wrapText="1"/>
    </xf>
    <xf numFmtId="0" fontId="19" fillId="0" borderId="1006" xfId="163" applyFont="1" applyFill="1" applyBorder="1" applyAlignment="1">
      <alignment horizontal="left" vertical="center" wrapText="1"/>
    </xf>
    <xf numFmtId="0" fontId="19" fillId="0" borderId="33" xfId="163" applyFont="1" applyFill="1" applyBorder="1" applyAlignment="1">
      <alignment horizontal="left" vertical="center" wrapText="1"/>
    </xf>
    <xf numFmtId="0" fontId="16" fillId="0" borderId="38" xfId="163" applyFont="1" applyBorder="1" applyAlignment="1">
      <alignment horizontal="center" vertical="center"/>
    </xf>
    <xf numFmtId="0" fontId="16" fillId="0" borderId="113" xfId="163" applyFont="1" applyBorder="1" applyAlignment="1">
      <alignment horizontal="center" vertical="center"/>
    </xf>
    <xf numFmtId="0" fontId="16" fillId="0" borderId="114" xfId="163" applyFont="1" applyBorder="1" applyAlignment="1">
      <alignment horizontal="center" vertical="center"/>
    </xf>
    <xf numFmtId="0" fontId="19" fillId="0" borderId="36" xfId="163" applyFont="1" applyFill="1" applyBorder="1" applyAlignment="1">
      <alignment horizontal="center" vertical="center" wrapText="1"/>
    </xf>
    <xf numFmtId="0" fontId="19" fillId="0" borderId="37" xfId="163" applyFont="1" applyFill="1" applyBorder="1" applyAlignment="1">
      <alignment horizontal="center" vertical="center" wrapText="1"/>
    </xf>
    <xf numFmtId="0" fontId="19" fillId="0" borderId="111" xfId="163" applyFont="1" applyFill="1" applyBorder="1" applyAlignment="1">
      <alignment horizontal="center" vertical="center"/>
    </xf>
    <xf numFmtId="0" fontId="19" fillId="0" borderId="105" xfId="163" applyFont="1" applyFill="1" applyBorder="1" applyAlignment="1">
      <alignment horizontal="center" vertical="center"/>
    </xf>
    <xf numFmtId="0" fontId="19" fillId="0" borderId="36" xfId="163" applyFont="1" applyFill="1" applyBorder="1" applyAlignment="1">
      <alignment horizontal="center" vertical="center"/>
    </xf>
    <xf numFmtId="0" fontId="19" fillId="0" borderId="37" xfId="163" applyFont="1" applyFill="1" applyBorder="1" applyAlignment="1">
      <alignment horizontal="center" vertical="center"/>
    </xf>
    <xf numFmtId="0" fontId="19" fillId="0" borderId="27" xfId="171" applyNumberFormat="1" applyFont="1" applyFill="1" applyBorder="1" applyAlignment="1">
      <alignment horizontal="center" vertical="center" wrapText="1"/>
    </xf>
    <xf numFmtId="0" fontId="19" fillId="0" borderId="33" xfId="171" applyNumberFormat="1" applyFont="1" applyFill="1" applyBorder="1" applyAlignment="1">
      <alignment horizontal="center" vertical="center" wrapText="1"/>
    </xf>
    <xf numFmtId="0" fontId="19" fillId="0" borderId="10" xfId="171" applyNumberFormat="1" applyFont="1" applyFill="1" applyBorder="1" applyAlignment="1">
      <alignment horizontal="center" vertical="center" wrapText="1"/>
    </xf>
    <xf numFmtId="0" fontId="19" fillId="0" borderId="27" xfId="163" applyFont="1" applyFill="1" applyBorder="1" applyAlignment="1">
      <alignment horizontal="center" vertical="center"/>
    </xf>
    <xf numFmtId="0" fontId="19" fillId="0" borderId="33" xfId="163" applyFont="1" applyFill="1" applyBorder="1" applyAlignment="1">
      <alignment horizontal="center" vertical="center"/>
    </xf>
    <xf numFmtId="0" fontId="42" fillId="0" borderId="36" xfId="3798" applyFont="1" applyFill="1" applyBorder="1" applyAlignment="1">
      <alignment horizontal="center" vertical="center" wrapText="1"/>
    </xf>
    <xf numFmtId="0" fontId="42" fillId="0" borderId="37" xfId="3798" applyFont="1" applyFill="1" applyBorder="1" applyAlignment="1">
      <alignment horizontal="center" vertical="center" wrapText="1"/>
    </xf>
    <xf numFmtId="0" fontId="16" fillId="0" borderId="33" xfId="163" applyFont="1" applyBorder="1" applyAlignment="1">
      <alignment horizontal="center" vertical="center"/>
    </xf>
    <xf numFmtId="0" fontId="42" fillId="0" borderId="191" xfId="3798" applyFont="1" applyFill="1" applyBorder="1" applyAlignment="1">
      <alignment horizontal="center" vertical="center" wrapText="1"/>
    </xf>
    <xf numFmtId="0" fontId="42" fillId="0" borderId="39" xfId="3798" applyFont="1" applyFill="1" applyBorder="1" applyAlignment="1">
      <alignment horizontal="center" vertical="center" wrapText="1"/>
    </xf>
    <xf numFmtId="0" fontId="19" fillId="0" borderId="27" xfId="259" applyFont="1" applyBorder="1" applyAlignment="1">
      <alignment horizontal="center"/>
    </xf>
    <xf numFmtId="0" fontId="19" fillId="0" borderId="16" xfId="259" applyFont="1" applyBorder="1" applyAlignment="1">
      <alignment horizontal="center"/>
    </xf>
    <xf numFmtId="0" fontId="19" fillId="0" borderId="33" xfId="259" applyFont="1" applyBorder="1" applyAlignment="1">
      <alignment horizontal="center"/>
    </xf>
    <xf numFmtId="0" fontId="19" fillId="73" borderId="27" xfId="3883" applyFont="1" applyFill="1" applyBorder="1" applyAlignment="1">
      <alignment horizontal="center"/>
    </xf>
    <xf numFmtId="0" fontId="19" fillId="73" borderId="162" xfId="3883" applyFont="1" applyFill="1" applyBorder="1" applyAlignment="1">
      <alignment horizontal="center"/>
    </xf>
    <xf numFmtId="0" fontId="19" fillId="73" borderId="33" xfId="3883" applyFont="1" applyFill="1" applyBorder="1" applyAlignment="1">
      <alignment horizontal="center"/>
    </xf>
    <xf numFmtId="0" fontId="19" fillId="0" borderId="10" xfId="3883" applyFont="1" applyBorder="1" applyAlignment="1" applyProtection="1">
      <alignment horizontal="center" vertical="center"/>
    </xf>
    <xf numFmtId="0" fontId="19" fillId="0" borderId="10" xfId="3883" applyFont="1" applyBorder="1" applyAlignment="1" applyProtection="1">
      <alignment horizontal="center" vertical="center" wrapText="1"/>
    </xf>
    <xf numFmtId="0" fontId="19" fillId="0" borderId="37" xfId="3883" applyNumberFormat="1" applyFont="1" applyBorder="1" applyAlignment="1">
      <alignment horizontal="center" vertical="center"/>
    </xf>
    <xf numFmtId="0" fontId="21" fillId="0" borderId="37" xfId="3883" applyBorder="1" applyAlignment="1">
      <alignment horizontal="center" vertical="center"/>
    </xf>
    <xf numFmtId="0" fontId="19" fillId="0" borderId="27" xfId="3883" applyNumberFormat="1" applyFont="1" applyBorder="1" applyAlignment="1">
      <alignment horizontal="center" vertical="center"/>
    </xf>
    <xf numFmtId="0" fontId="19" fillId="0" borderId="162" xfId="3883" applyNumberFormat="1" applyFont="1" applyBorder="1" applyAlignment="1">
      <alignment horizontal="center" vertical="center"/>
    </xf>
    <xf numFmtId="0" fontId="19" fillId="0" borderId="33" xfId="3883" applyNumberFormat="1" applyFont="1" applyBorder="1" applyAlignment="1">
      <alignment horizontal="center" vertical="center"/>
    </xf>
    <xf numFmtId="0" fontId="19" fillId="0" borderId="27" xfId="3883" applyNumberFormat="1" applyFont="1" applyFill="1" applyBorder="1" applyAlignment="1">
      <alignment horizontal="center" vertical="center"/>
    </xf>
    <xf numFmtId="0" fontId="19" fillId="0" borderId="33" xfId="3883" applyNumberFormat="1" applyFont="1" applyFill="1" applyBorder="1" applyAlignment="1">
      <alignment horizontal="center" vertical="center"/>
    </xf>
    <xf numFmtId="0" fontId="19" fillId="0" borderId="27" xfId="3897" applyNumberFormat="1" applyFont="1" applyFill="1" applyBorder="1" applyAlignment="1">
      <alignment horizontal="center" vertical="center" wrapText="1"/>
    </xf>
    <xf numFmtId="0" fontId="19" fillId="0" borderId="33" xfId="3897" applyNumberFormat="1" applyFont="1" applyFill="1" applyBorder="1" applyAlignment="1">
      <alignment horizontal="center" vertical="center" wrapText="1"/>
    </xf>
    <xf numFmtId="0" fontId="19" fillId="0" borderId="10" xfId="3897" applyNumberFormat="1" applyFont="1" applyFill="1" applyBorder="1" applyAlignment="1">
      <alignment horizontal="center" vertical="center" wrapText="1"/>
    </xf>
    <xf numFmtId="0" fontId="20" fillId="66" borderId="1016" xfId="2" applyNumberFormat="1" applyFont="1" applyFill="1" applyBorder="1" applyAlignment="1">
      <alignment horizontal="center" vertical="center"/>
    </xf>
    <xf numFmtId="0" fontId="20" fillId="66" borderId="1030" xfId="2" applyNumberFormat="1" applyFont="1" applyFill="1" applyBorder="1" applyAlignment="1">
      <alignment horizontal="center" vertical="center"/>
    </xf>
    <xf numFmtId="0" fontId="20" fillId="66" borderId="1031" xfId="2" applyNumberFormat="1" applyFont="1" applyFill="1" applyBorder="1" applyAlignment="1">
      <alignment horizontal="center" vertical="center"/>
    </xf>
    <xf numFmtId="0" fontId="20" fillId="0" borderId="11" xfId="162" applyFont="1" applyFill="1" applyBorder="1" applyAlignment="1">
      <alignment horizontal="left"/>
    </xf>
    <xf numFmtId="0" fontId="20" fillId="0" borderId="31" xfId="162" applyFont="1" applyFill="1" applyBorder="1" applyAlignment="1">
      <alignment horizontal="left"/>
    </xf>
    <xf numFmtId="0" fontId="20" fillId="0" borderId="10" xfId="162" applyFont="1" applyFill="1" applyBorder="1" applyAlignment="1">
      <alignment horizontal="left"/>
    </xf>
    <xf numFmtId="0" fontId="20" fillId="0" borderId="30" xfId="162" applyFont="1" applyFill="1" applyBorder="1" applyAlignment="1">
      <alignment horizontal="left"/>
    </xf>
    <xf numFmtId="0" fontId="0" fillId="0" borderId="30" xfId="0" applyBorder="1" applyAlignment="1">
      <alignment horizontal="center" vertical="center"/>
    </xf>
    <xf numFmtId="0" fontId="0" fillId="0" borderId="0" xfId="0" applyAlignment="1">
      <alignment horizontal="left" wrapText="1"/>
    </xf>
    <xf numFmtId="0" fontId="0" fillId="0" borderId="10" xfId="0" applyBorder="1" applyAlignment="1">
      <alignment horizontal="left"/>
    </xf>
    <xf numFmtId="0" fontId="16" fillId="67" borderId="27" xfId="0" applyFont="1" applyFill="1" applyBorder="1" applyAlignment="1">
      <alignment horizontal="center" vertical="center" wrapText="1"/>
    </xf>
    <xf numFmtId="0" fontId="16" fillId="67" borderId="33" xfId="0" applyFont="1" applyFill="1" applyBorder="1" applyAlignment="1">
      <alignment horizontal="center" vertical="center" wrapText="1"/>
    </xf>
    <xf numFmtId="0" fontId="0" fillId="0" borderId="27" xfId="0" applyBorder="1" applyAlignment="1">
      <alignment horizontal="center"/>
    </xf>
    <xf numFmtId="0" fontId="0" fillId="0" borderId="33" xfId="0" applyBorder="1" applyAlignment="1">
      <alignment horizontal="center"/>
    </xf>
    <xf numFmtId="0" fontId="0" fillId="0" borderId="10" xfId="0" applyBorder="1" applyAlignment="1">
      <alignment horizontal="center"/>
    </xf>
    <xf numFmtId="0" fontId="0" fillId="67" borderId="10" xfId="0" applyFill="1" applyBorder="1" applyAlignment="1">
      <alignment horizontal="center"/>
    </xf>
    <xf numFmtId="0" fontId="0" fillId="0" borderId="27" xfId="0" applyFill="1" applyBorder="1" applyAlignment="1">
      <alignment horizontal="left"/>
    </xf>
    <xf numFmtId="0" fontId="0" fillId="0" borderId="33" xfId="0" applyFill="1" applyBorder="1" applyAlignment="1">
      <alignment horizontal="left"/>
    </xf>
    <xf numFmtId="0" fontId="0" fillId="0" borderId="27" xfId="0" applyBorder="1" applyAlignment="1">
      <alignment horizontal="left"/>
    </xf>
    <xf numFmtId="0" fontId="0" fillId="0" borderId="33" xfId="0" applyBorder="1" applyAlignment="1">
      <alignment horizontal="left"/>
    </xf>
    <xf numFmtId="0" fontId="19" fillId="0" borderId="27" xfId="254" applyNumberFormat="1" applyFont="1" applyFill="1" applyBorder="1" applyAlignment="1">
      <alignment horizontal="center" vertical="center" wrapText="1"/>
    </xf>
    <xf numFmtId="0" fontId="19" fillId="0" borderId="33" xfId="254" applyNumberFormat="1" applyFont="1" applyFill="1" applyBorder="1" applyAlignment="1">
      <alignment horizontal="center" vertical="center" wrapText="1"/>
    </xf>
    <xf numFmtId="0" fontId="16" fillId="67" borderId="99" xfId="0" applyFont="1" applyFill="1" applyBorder="1" applyAlignment="1">
      <alignment horizontal="center" vertical="center"/>
    </xf>
    <xf numFmtId="0" fontId="16" fillId="67" borderId="37" xfId="0" applyFont="1" applyFill="1" applyBorder="1" applyAlignment="1">
      <alignment horizontal="center" vertical="center"/>
    </xf>
    <xf numFmtId="0" fontId="85" fillId="67" borderId="10" xfId="0" applyFont="1" applyFill="1" applyBorder="1" applyAlignment="1">
      <alignment horizontal="center"/>
    </xf>
    <xf numFmtId="0" fontId="16" fillId="67" borderId="27" xfId="0" applyFont="1" applyFill="1" applyBorder="1" applyAlignment="1">
      <alignment horizontal="center" vertical="center"/>
    </xf>
    <xf numFmtId="0" fontId="16" fillId="67" borderId="33" xfId="0" applyFont="1" applyFill="1" applyBorder="1" applyAlignment="1">
      <alignment horizontal="center" vertical="center"/>
    </xf>
    <xf numFmtId="0" fontId="0" fillId="67" borderId="10" xfId="0" applyFill="1" applyBorder="1" applyAlignment="1">
      <alignment horizontal="center" wrapText="1"/>
    </xf>
    <xf numFmtId="0" fontId="0" fillId="0" borderId="10" xfId="0" applyBorder="1" applyAlignment="1">
      <alignment horizontal="right"/>
    </xf>
    <xf numFmtId="0" fontId="16" fillId="67" borderId="10" xfId="0" applyFont="1" applyFill="1" applyBorder="1" applyAlignment="1">
      <alignment horizontal="center"/>
    </xf>
    <xf numFmtId="0" fontId="0" fillId="0" borderId="10" xfId="0" applyFill="1" applyBorder="1" applyAlignment="1">
      <alignment horizontal="left"/>
    </xf>
    <xf numFmtId="0" fontId="16" fillId="67" borderId="36" xfId="0" applyFont="1" applyFill="1" applyBorder="1" applyAlignment="1">
      <alignment horizontal="center" vertical="center"/>
    </xf>
    <xf numFmtId="0" fontId="16" fillId="67" borderId="27" xfId="0" applyFont="1" applyFill="1" applyBorder="1" applyAlignment="1">
      <alignment horizontal="center"/>
    </xf>
    <xf numFmtId="0" fontId="16" fillId="67" borderId="33" xfId="0" applyFont="1" applyFill="1" applyBorder="1" applyAlignment="1">
      <alignment horizontal="center"/>
    </xf>
    <xf numFmtId="0" fontId="16" fillId="67" borderId="10" xfId="0" applyFont="1" applyFill="1" applyBorder="1" applyAlignment="1">
      <alignment horizontal="center" vertical="center" wrapText="1"/>
    </xf>
    <xf numFmtId="0" fontId="0" fillId="67" borderId="27" xfId="0" applyFill="1" applyBorder="1" applyAlignment="1">
      <alignment horizontal="center"/>
    </xf>
    <xf numFmtId="0" fontId="0" fillId="67" borderId="33" xfId="0" applyFill="1" applyBorder="1" applyAlignment="1">
      <alignment horizontal="center"/>
    </xf>
    <xf numFmtId="0" fontId="19" fillId="0" borderId="37" xfId="350" applyFont="1" applyFill="1" applyBorder="1" applyAlignment="1">
      <alignment horizontal="center"/>
    </xf>
    <xf numFmtId="0" fontId="19" fillId="0" borderId="10" xfId="350" applyFont="1" applyFill="1" applyBorder="1" applyAlignment="1">
      <alignment horizontal="center"/>
    </xf>
    <xf numFmtId="0" fontId="16" fillId="0" borderId="10" xfId="0" applyFont="1" applyBorder="1" applyAlignment="1">
      <alignment horizontal="center"/>
    </xf>
    <xf numFmtId="0" fontId="19" fillId="0" borderId="27" xfId="350" applyFont="1" applyFill="1" applyBorder="1" applyAlignment="1">
      <alignment horizontal="center" vertical="center" wrapText="1"/>
    </xf>
    <xf numFmtId="0" fontId="19" fillId="0" borderId="33" xfId="350" applyFont="1" applyFill="1" applyBorder="1" applyAlignment="1">
      <alignment horizontal="center" vertical="center" wrapText="1"/>
    </xf>
    <xf numFmtId="0" fontId="62" fillId="67" borderId="10" xfId="171" applyFont="1" applyFill="1" applyBorder="1" applyAlignment="1">
      <alignment horizontal="center" vertical="center"/>
    </xf>
    <xf numFmtId="0" fontId="16" fillId="67" borderId="177" xfId="0" applyFont="1" applyFill="1" applyBorder="1" applyAlignment="1">
      <alignment horizontal="center" vertical="center"/>
    </xf>
    <xf numFmtId="0" fontId="16" fillId="67" borderId="105" xfId="0" applyFont="1" applyFill="1" applyBorder="1" applyAlignment="1">
      <alignment horizontal="center" vertical="center"/>
    </xf>
    <xf numFmtId="0" fontId="16" fillId="0" borderId="10" xfId="0" applyFont="1" applyFill="1" applyBorder="1" applyAlignment="1">
      <alignment horizontal="center"/>
    </xf>
    <xf numFmtId="0" fontId="19" fillId="67" borderId="1026" xfId="171" applyFont="1" applyFill="1" applyBorder="1" applyAlignment="1" applyProtection="1">
      <alignment horizontal="center" vertical="center"/>
    </xf>
    <xf numFmtId="0" fontId="19" fillId="67" borderId="105" xfId="171" applyFont="1" applyFill="1" applyBorder="1" applyAlignment="1" applyProtection="1">
      <alignment horizontal="center" vertical="center"/>
    </xf>
    <xf numFmtId="0" fontId="19" fillId="67" borderId="1027" xfId="171" applyFont="1" applyFill="1" applyBorder="1" applyAlignment="1" applyProtection="1">
      <alignment horizontal="center" vertical="center"/>
    </xf>
    <xf numFmtId="0" fontId="19" fillId="67" borderId="1028" xfId="171" applyFont="1" applyFill="1" applyBorder="1" applyAlignment="1" applyProtection="1">
      <alignment horizontal="center" vertical="center"/>
    </xf>
    <xf numFmtId="0" fontId="19" fillId="67" borderId="35" xfId="171" applyFont="1" applyFill="1" applyBorder="1" applyAlignment="1" applyProtection="1">
      <alignment horizontal="center" vertical="center"/>
    </xf>
    <xf numFmtId="0" fontId="62" fillId="0" borderId="27" xfId="171" applyFont="1" applyFill="1" applyBorder="1" applyAlignment="1">
      <alignment horizontal="left" vertical="center"/>
    </xf>
    <xf numFmtId="0" fontId="62" fillId="0" borderId="1006" xfId="171" applyFont="1" applyFill="1" applyBorder="1" applyAlignment="1">
      <alignment horizontal="left" vertical="center"/>
    </xf>
    <xf numFmtId="0" fontId="62" fillId="0" borderId="33" xfId="171" applyFont="1" applyFill="1" applyBorder="1" applyAlignment="1">
      <alignment horizontal="left" vertical="center"/>
    </xf>
    <xf numFmtId="0" fontId="21" fillId="0" borderId="27" xfId="171" applyFont="1" applyFill="1" applyBorder="1" applyAlignment="1">
      <alignment horizontal="left" vertical="center"/>
    </xf>
    <xf numFmtId="0" fontId="21" fillId="0" borderId="1006" xfId="171" applyFont="1" applyFill="1" applyBorder="1" applyAlignment="1">
      <alignment horizontal="left" vertical="center"/>
    </xf>
    <xf numFmtId="0" fontId="21" fillId="0" borderId="33" xfId="171" applyFont="1" applyFill="1" applyBorder="1" applyAlignment="1">
      <alignment horizontal="left" vertical="center"/>
    </xf>
    <xf numFmtId="0" fontId="21" fillId="0" borderId="27" xfId="171" applyFont="1" applyFill="1" applyBorder="1" applyAlignment="1" applyProtection="1">
      <alignment horizontal="left" vertical="center"/>
    </xf>
    <xf numFmtId="0" fontId="21" fillId="0" borderId="1006" xfId="171" applyFont="1" applyFill="1" applyBorder="1" applyAlignment="1" applyProtection="1">
      <alignment horizontal="left" vertical="center"/>
    </xf>
    <xf numFmtId="0" fontId="21" fillId="0" borderId="33" xfId="171" applyFont="1" applyFill="1" applyBorder="1" applyAlignment="1" applyProtection="1">
      <alignment horizontal="left" vertical="center"/>
    </xf>
    <xf numFmtId="0" fontId="16" fillId="0" borderId="27" xfId="170" applyFont="1" applyBorder="1" applyAlignment="1">
      <alignment horizontal="center" wrapText="1"/>
    </xf>
    <xf numFmtId="0" fontId="16" fillId="0" borderId="33" xfId="170" applyFont="1" applyBorder="1" applyAlignment="1">
      <alignment horizontal="center"/>
    </xf>
    <xf numFmtId="0" fontId="21" fillId="0" borderId="27" xfId="350" applyFont="1" applyFill="1" applyBorder="1" applyAlignment="1">
      <alignment horizontal="center"/>
    </xf>
    <xf numFmtId="0" fontId="21" fillId="0" borderId="150" xfId="350" applyFont="1" applyFill="1" applyBorder="1" applyAlignment="1">
      <alignment horizontal="center"/>
    </xf>
    <xf numFmtId="0" fontId="21" fillId="0" borderId="33" xfId="350" applyFont="1" applyFill="1" applyBorder="1" applyAlignment="1">
      <alignment horizontal="center"/>
    </xf>
    <xf numFmtId="0" fontId="93" fillId="0" borderId="27" xfId="350" applyFont="1" applyFill="1" applyBorder="1" applyAlignment="1">
      <alignment horizontal="left"/>
    </xf>
    <xf numFmtId="0" fontId="93" fillId="0" borderId="150" xfId="350" applyFont="1" applyFill="1" applyBorder="1" applyAlignment="1">
      <alignment horizontal="left"/>
    </xf>
    <xf numFmtId="0" fontId="93" fillId="0" borderId="33" xfId="350" applyFont="1" applyFill="1" applyBorder="1" applyAlignment="1">
      <alignment horizontal="left"/>
    </xf>
    <xf numFmtId="0" fontId="93" fillId="0" borderId="175" xfId="350" applyFont="1" applyFill="1" applyBorder="1" applyAlignment="1">
      <alignment horizontal="center"/>
    </xf>
    <xf numFmtId="0" fontId="93" fillId="0" borderId="176" xfId="350" applyFont="1" applyFill="1" applyBorder="1" applyAlignment="1">
      <alignment horizontal="center"/>
    </xf>
    <xf numFmtId="0" fontId="21" fillId="0" borderId="37" xfId="350" applyFont="1" applyFill="1" applyBorder="1" applyAlignment="1">
      <alignment horizontal="center"/>
    </xf>
    <xf numFmtId="0" fontId="93" fillId="0" borderId="27" xfId="350" applyFont="1" applyBorder="1" applyAlignment="1">
      <alignment horizontal="center"/>
    </xf>
    <xf numFmtId="0" fontId="93" fillId="0" borderId="150" xfId="350" applyFont="1" applyBorder="1" applyAlignment="1">
      <alignment horizontal="center"/>
    </xf>
    <xf numFmtId="0" fontId="93" fillId="0" borderId="27" xfId="350" applyFont="1" applyFill="1" applyBorder="1" applyAlignment="1">
      <alignment horizontal="center"/>
    </xf>
    <xf numFmtId="0" fontId="19" fillId="0" borderId="0" xfId="350" applyFont="1" applyBorder="1" applyAlignment="1">
      <alignment horizontal="center"/>
    </xf>
    <xf numFmtId="0" fontId="19" fillId="0" borderId="0" xfId="350" applyFont="1" applyFill="1" applyBorder="1" applyAlignment="1">
      <alignment horizontal="center"/>
    </xf>
    <xf numFmtId="0" fontId="19" fillId="0" borderId="35" xfId="350" applyFont="1" applyBorder="1" applyAlignment="1">
      <alignment horizontal="center"/>
    </xf>
    <xf numFmtId="0" fontId="93" fillId="0" borderId="10" xfId="350" applyFont="1" applyFill="1" applyBorder="1" applyAlignment="1">
      <alignment horizontal="center" wrapText="1"/>
    </xf>
    <xf numFmtId="0" fontId="93" fillId="0" borderId="10" xfId="350" applyFont="1" applyFill="1" applyBorder="1" applyAlignment="1">
      <alignment horizontal="center"/>
    </xf>
    <xf numFmtId="0" fontId="93" fillId="0" borderId="175" xfId="350" applyFont="1" applyFill="1" applyBorder="1" applyAlignment="1">
      <alignment horizontal="center" wrapText="1"/>
    </xf>
    <xf numFmtId="0" fontId="93" fillId="0" borderId="176" xfId="350" applyFont="1" applyFill="1" applyBorder="1" applyAlignment="1">
      <alignment horizontal="center" wrapText="1"/>
    </xf>
    <xf numFmtId="0" fontId="21" fillId="0" borderId="37" xfId="350" applyFont="1" applyFill="1" applyBorder="1" applyAlignment="1">
      <alignment horizontal="center" wrapText="1"/>
    </xf>
    <xf numFmtId="0" fontId="93" fillId="0" borderId="27" xfId="350" applyFont="1" applyBorder="1" applyAlignment="1">
      <alignment horizontal="center" wrapText="1"/>
    </xf>
    <xf numFmtId="0" fontId="93" fillId="0" borderId="10" xfId="350" applyFont="1" applyBorder="1" applyAlignment="1">
      <alignment horizontal="center" wrapText="1"/>
    </xf>
    <xf numFmtId="0" fontId="93" fillId="0" borderId="150" xfId="350" applyFont="1" applyFill="1" applyBorder="1" applyAlignment="1">
      <alignment horizontal="center"/>
    </xf>
    <xf numFmtId="0" fontId="21" fillId="0" borderId="150" xfId="350" applyFill="1" applyBorder="1" applyAlignment="1">
      <alignment horizontal="center"/>
    </xf>
    <xf numFmtId="0" fontId="21" fillId="0" borderId="33" xfId="350" applyFill="1" applyBorder="1" applyAlignment="1">
      <alignment horizontal="center"/>
    </xf>
    <xf numFmtId="0" fontId="21" fillId="0" borderId="27" xfId="350" applyFill="1" applyBorder="1" applyAlignment="1">
      <alignment horizontal="center"/>
    </xf>
    <xf numFmtId="0" fontId="19" fillId="0" borderId="35" xfId="350" applyFont="1" applyFill="1" applyBorder="1" applyAlignment="1">
      <alignment horizontal="center"/>
    </xf>
    <xf numFmtId="0" fontId="93" fillId="0" borderId="10" xfId="350" applyFont="1" applyBorder="1" applyAlignment="1">
      <alignment horizontal="center"/>
    </xf>
    <xf numFmtId="0" fontId="21" fillId="0" borderId="175" xfId="350" applyBorder="1" applyAlignment="1">
      <alignment horizontal="center" vertical="center" wrapText="1"/>
    </xf>
    <xf numFmtId="0" fontId="21" fillId="0" borderId="176" xfId="350" applyBorder="1" applyAlignment="1">
      <alignment horizontal="center" vertical="center" wrapText="1"/>
    </xf>
    <xf numFmtId="0" fontId="21" fillId="0" borderId="37" xfId="350" applyBorder="1" applyAlignment="1">
      <alignment horizontal="center" vertical="center" wrapText="1"/>
    </xf>
    <xf numFmtId="0" fontId="19" fillId="67" borderId="10" xfId="350" applyFont="1" applyFill="1" applyBorder="1" applyAlignment="1">
      <alignment horizontal="center" vertical="center" wrapText="1"/>
    </xf>
    <xf numFmtId="0" fontId="19" fillId="67" borderId="20" xfId="350" applyFont="1" applyFill="1" applyBorder="1" applyAlignment="1">
      <alignment horizontal="center" vertical="center" wrapText="1"/>
    </xf>
    <xf numFmtId="0" fontId="19" fillId="67" borderId="10" xfId="350" applyFont="1" applyFill="1" applyBorder="1" applyAlignment="1">
      <alignment horizontal="center" vertical="center"/>
    </xf>
    <xf numFmtId="0" fontId="19" fillId="67" borderId="15" xfId="350" applyFont="1" applyFill="1" applyBorder="1" applyAlignment="1">
      <alignment horizontal="center" vertical="center"/>
    </xf>
    <xf numFmtId="0" fontId="19" fillId="67" borderId="180" xfId="350" applyFont="1" applyFill="1" applyBorder="1" applyAlignment="1">
      <alignment horizontal="center" vertical="center"/>
    </xf>
    <xf numFmtId="0" fontId="19" fillId="67" borderId="181" xfId="350" applyFont="1" applyFill="1" applyBorder="1" applyAlignment="1">
      <alignment horizontal="center" vertical="center" wrapText="1"/>
    </xf>
    <xf numFmtId="0" fontId="19" fillId="67" borderId="187" xfId="350" applyFont="1" applyFill="1" applyBorder="1" applyAlignment="1">
      <alignment horizontal="center" vertical="center" wrapText="1"/>
    </xf>
    <xf numFmtId="0" fontId="19" fillId="67" borderId="32" xfId="350" applyFont="1" applyFill="1" applyBorder="1" applyAlignment="1">
      <alignment horizontal="center" vertical="center" wrapText="1"/>
    </xf>
    <xf numFmtId="0" fontId="19" fillId="67" borderId="184" xfId="350" applyFont="1" applyFill="1" applyBorder="1" applyAlignment="1">
      <alignment horizontal="center" vertical="center" wrapText="1"/>
    </xf>
    <xf numFmtId="0" fontId="42" fillId="67" borderId="181" xfId="350" applyFont="1" applyFill="1" applyBorder="1" applyAlignment="1">
      <alignment horizontal="center" vertical="center" wrapText="1"/>
    </xf>
    <xf numFmtId="0" fontId="42" fillId="67" borderId="184" xfId="350" applyFont="1" applyFill="1" applyBorder="1" applyAlignment="1">
      <alignment horizontal="center" vertical="center" wrapText="1"/>
    </xf>
    <xf numFmtId="0" fontId="19" fillId="67" borderId="179" xfId="350" applyFont="1" applyFill="1" applyBorder="1" applyAlignment="1">
      <alignment horizontal="center" vertical="center"/>
    </xf>
    <xf numFmtId="0" fontId="56" fillId="67" borderId="181" xfId="350" applyFont="1" applyFill="1" applyBorder="1" applyAlignment="1">
      <alignment horizontal="center" vertical="center" wrapText="1"/>
    </xf>
    <xf numFmtId="0" fontId="56" fillId="67" borderId="184" xfId="350" applyFont="1" applyFill="1" applyBorder="1" applyAlignment="1">
      <alignment horizontal="center" vertical="center" wrapText="1"/>
    </xf>
    <xf numFmtId="0" fontId="19" fillId="67" borderId="181" xfId="350" applyFont="1" applyFill="1" applyBorder="1" applyAlignment="1">
      <alignment horizontal="center" vertical="center"/>
    </xf>
    <xf numFmtId="0" fontId="19" fillId="67" borderId="184" xfId="350" applyFont="1" applyFill="1" applyBorder="1" applyAlignment="1">
      <alignment horizontal="center" vertical="center"/>
    </xf>
    <xf numFmtId="0" fontId="19" fillId="67" borderId="182" xfId="350" applyFont="1" applyFill="1" applyBorder="1" applyAlignment="1">
      <alignment horizontal="center" vertical="center" wrapText="1"/>
    </xf>
    <xf numFmtId="0" fontId="19" fillId="67" borderId="185" xfId="350" applyFont="1" applyFill="1" applyBorder="1" applyAlignment="1">
      <alignment horizontal="center" vertical="center"/>
    </xf>
    <xf numFmtId="0" fontId="19" fillId="67" borderId="179" xfId="350" applyFont="1" applyFill="1" applyBorder="1" applyAlignment="1">
      <alignment horizontal="center" vertical="center" wrapText="1"/>
    </xf>
    <xf numFmtId="0" fontId="19" fillId="67" borderId="15" xfId="350" applyFont="1" applyFill="1" applyBorder="1" applyAlignment="1">
      <alignment horizontal="center" vertical="center" wrapText="1"/>
    </xf>
    <xf numFmtId="0" fontId="19" fillId="67" borderId="180" xfId="350" applyFont="1" applyFill="1" applyBorder="1" applyAlignment="1">
      <alignment horizontal="center" vertical="center" wrapText="1"/>
    </xf>
    <xf numFmtId="0" fontId="19" fillId="0" borderId="0" xfId="350" applyFont="1" applyFill="1" applyAlignment="1">
      <alignment horizontal="center"/>
    </xf>
    <xf numFmtId="0" fontId="19" fillId="0" borderId="0" xfId="350" applyFont="1" applyAlignment="1">
      <alignment horizontal="center"/>
    </xf>
    <xf numFmtId="0" fontId="19" fillId="74" borderId="0" xfId="350" applyFont="1" applyFill="1" applyAlignment="1">
      <alignment horizontal="center"/>
    </xf>
  </cellXfs>
  <cellStyles count="10471">
    <cellStyle name=" 1" xfId="4"/>
    <cellStyle name=" 1 2" xfId="8418"/>
    <cellStyle name=" 1 3" xfId="9545"/>
    <cellStyle name="#,###" xfId="5"/>
    <cellStyle name="#,### 2" xfId="6"/>
    <cellStyle name="#,### 2 2" xfId="2032"/>
    <cellStyle name="#,### 3" xfId="2031"/>
    <cellStyle name="#,###.00" xfId="7"/>
    <cellStyle name="#,###.00 2" xfId="8"/>
    <cellStyle name="#,###.00 2 2" xfId="2034"/>
    <cellStyle name="#,###.00 3" xfId="2033"/>
    <cellStyle name="#.0" xfId="9"/>
    <cellStyle name="#.0 2" xfId="10"/>
    <cellStyle name="#.0 2 2" xfId="11"/>
    <cellStyle name="#.0 2 2 2" xfId="2036"/>
    <cellStyle name="#.0 2 3" xfId="2035"/>
    <cellStyle name="#.0 3" xfId="3938"/>
    <cellStyle name="#.0 3 2" xfId="3939"/>
    <cellStyle name="#.0 4" xfId="3940"/>
    <cellStyle name="#.0 5" xfId="8419"/>
    <cellStyle name="#.0 6" xfId="9546"/>
    <cellStyle name="_PS3 Inventory for Sens. Study" xfId="12"/>
    <cellStyle name="_PS3 Inventory for Sens. Study 2" xfId="1992"/>
    <cellStyle name="_PS3 Inventory for Sens. Study 2 2" xfId="8491"/>
    <cellStyle name="_PS3 Inventory for Sens. Study 2 3" xfId="9618"/>
    <cellStyle name="_PS3 Inventory for Sens. Study 3" xfId="8420"/>
    <cellStyle name="_PS3 Inventory for Sens. Study 4" xfId="9547"/>
    <cellStyle name="_PS4 Inventory for H2S Study" xfId="13"/>
    <cellStyle name="_PS4 Inventory for H2S Study 2" xfId="8421"/>
    <cellStyle name="_PS4 Inventory for H2S Study 3" xfId="9548"/>
    <cellStyle name="_PS4 Inventory for Sens. Study" xfId="14"/>
    <cellStyle name="_PS4 Inventory for Sens. Study 2" xfId="8422"/>
    <cellStyle name="_PS4 Inventory for Sens. Study 3" xfId="9549"/>
    <cellStyle name="_source loc and params" xfId="15"/>
    <cellStyle name="_source loc and params 2" xfId="1993"/>
    <cellStyle name="_source loc and params 2 2" xfId="8492"/>
    <cellStyle name="_source loc and params 2 3" xfId="9619"/>
    <cellStyle name="_source loc and params 3" xfId="8423"/>
    <cellStyle name="_source loc and params 4" xfId="9550"/>
    <cellStyle name="2 decimal" xfId="322"/>
    <cellStyle name="20% - Accent1" xfId="278" builtinId="30" customBuiltin="1"/>
    <cellStyle name="20% - Accent1 2" xfId="17"/>
    <cellStyle name="20% - Accent1 2 2" xfId="895"/>
    <cellStyle name="20% - Accent1 2 2 2" xfId="1694"/>
    <cellStyle name="20% - Accent1 2 2 2 2" xfId="3353"/>
    <cellStyle name="20% - Accent1 2 2 2 2 2" xfId="3941"/>
    <cellStyle name="20% - Accent1 2 2 2 3" xfId="3942"/>
    <cellStyle name="20% - Accent1 2 2 3" xfId="2559"/>
    <cellStyle name="20% - Accent1 2 2 3 2" xfId="3943"/>
    <cellStyle name="20% - Accent1 2 2 4" xfId="3944"/>
    <cellStyle name="20% - Accent1 2 3" xfId="1298"/>
    <cellStyle name="20% - Accent1 2 3 2" xfId="2957"/>
    <cellStyle name="20% - Accent1 2 3 2 2" xfId="3945"/>
    <cellStyle name="20% - Accent1 2 3 3" xfId="3946"/>
    <cellStyle name="20% - Accent1 2 4" xfId="2163"/>
    <cellStyle name="20% - Accent1 2 4 2" xfId="3947"/>
    <cellStyle name="20% - Accent1 2 5" xfId="3948"/>
    <cellStyle name="20% - Accent1 2 6" xfId="8737"/>
    <cellStyle name="20% - Accent1 2 7" xfId="8907"/>
    <cellStyle name="20% - Accent1 2 8" xfId="8948"/>
    <cellStyle name="20% - Accent1 2 9" xfId="8987"/>
    <cellStyle name="20% - Accent1 3" xfId="16"/>
    <cellStyle name="20% - Accent1 3 2" xfId="927"/>
    <cellStyle name="20% - Accent1 3 2 2" xfId="1726"/>
    <cellStyle name="20% - Accent1 3 2 2 2" xfId="3385"/>
    <cellStyle name="20% - Accent1 3 2 2 2 2" xfId="3949"/>
    <cellStyle name="20% - Accent1 3 2 2 3" xfId="3950"/>
    <cellStyle name="20% - Accent1 3 2 3" xfId="2591"/>
    <cellStyle name="20% - Accent1 3 2 3 2" xfId="3951"/>
    <cellStyle name="20% - Accent1 3 2 4" xfId="3952"/>
    <cellStyle name="20% - Accent1 3 3" xfId="1330"/>
    <cellStyle name="20% - Accent1 3 3 2" xfId="2989"/>
    <cellStyle name="20% - Accent1 3 3 2 2" xfId="3953"/>
    <cellStyle name="20% - Accent1 3 3 3" xfId="3954"/>
    <cellStyle name="20% - Accent1 3 4" xfId="2195"/>
    <cellStyle name="20% - Accent1 3 4 2" xfId="3955"/>
    <cellStyle name="20% - Accent1 3 5" xfId="530"/>
    <cellStyle name="20% - Accent1 4" xfId="748"/>
    <cellStyle name="20% - Accent1 4 2" xfId="1145"/>
    <cellStyle name="20% - Accent1 4 2 2" xfId="1944"/>
    <cellStyle name="20% - Accent1 4 2 2 2" xfId="3603"/>
    <cellStyle name="20% - Accent1 4 2 2 2 2" xfId="3956"/>
    <cellStyle name="20% - Accent1 4 2 2 3" xfId="3957"/>
    <cellStyle name="20% - Accent1 4 2 3" xfId="2809"/>
    <cellStyle name="20% - Accent1 4 2 3 2" xfId="3958"/>
    <cellStyle name="20% - Accent1 4 2 4" xfId="3959"/>
    <cellStyle name="20% - Accent1 4 3" xfId="1548"/>
    <cellStyle name="20% - Accent1 4 3 2" xfId="3207"/>
    <cellStyle name="20% - Accent1 4 3 2 2" xfId="3960"/>
    <cellStyle name="20% - Accent1 4 3 3" xfId="3961"/>
    <cellStyle name="20% - Accent1 4 4" xfId="2413"/>
    <cellStyle name="20% - Accent1 4 4 2" xfId="3962"/>
    <cellStyle name="20% - Accent1 4 5" xfId="3963"/>
    <cellStyle name="20% - Accent1 5" xfId="796"/>
    <cellStyle name="20% - Accent1 5 2" xfId="1595"/>
    <cellStyle name="20% - Accent1 5 2 2" xfId="3254"/>
    <cellStyle name="20% - Accent1 5 2 2 2" xfId="3964"/>
    <cellStyle name="20% - Accent1 5 2 3" xfId="3965"/>
    <cellStyle name="20% - Accent1 5 3" xfId="2460"/>
    <cellStyle name="20% - Accent1 5 3 2" xfId="3966"/>
    <cellStyle name="20% - Accent1 5 4" xfId="3967"/>
    <cellStyle name="20% - Accent1 6" xfId="1199"/>
    <cellStyle name="20% - Accent1 6 2" xfId="2858"/>
    <cellStyle name="20% - Accent1 6 2 2" xfId="3968"/>
    <cellStyle name="20% - Accent1 6 3" xfId="3969"/>
    <cellStyle name="20% - Accent1 7" xfId="2001"/>
    <cellStyle name="20% - Accent1 7 2" xfId="3656"/>
    <cellStyle name="20% - Accent1 8" xfId="396"/>
    <cellStyle name="20% - Accent1 8 2" xfId="2064"/>
    <cellStyle name="20% - Accent1 9" xfId="2047"/>
    <cellStyle name="20% - Accent2" xfId="282" builtinId="34" customBuiltin="1"/>
    <cellStyle name="20% - Accent2 2" xfId="19"/>
    <cellStyle name="20% - Accent2 2 2" xfId="898"/>
    <cellStyle name="20% - Accent2 2 2 2" xfId="1697"/>
    <cellStyle name="20% - Accent2 2 2 2 2" xfId="3356"/>
    <cellStyle name="20% - Accent2 2 2 2 2 2" xfId="3970"/>
    <cellStyle name="20% - Accent2 2 2 2 3" xfId="3971"/>
    <cellStyle name="20% - Accent2 2 2 3" xfId="2562"/>
    <cellStyle name="20% - Accent2 2 2 3 2" xfId="3972"/>
    <cellStyle name="20% - Accent2 2 2 4" xfId="3973"/>
    <cellStyle name="20% - Accent2 2 3" xfId="1301"/>
    <cellStyle name="20% - Accent2 2 3 2" xfId="2960"/>
    <cellStyle name="20% - Accent2 2 3 2 2" xfId="3974"/>
    <cellStyle name="20% - Accent2 2 3 3" xfId="3975"/>
    <cellStyle name="20% - Accent2 2 4" xfId="2166"/>
    <cellStyle name="20% - Accent2 2 4 2" xfId="3976"/>
    <cellStyle name="20% - Accent2 2 5" xfId="3977"/>
    <cellStyle name="20% - Accent2 2 6" xfId="8738"/>
    <cellStyle name="20% - Accent2 2 7" xfId="8900"/>
    <cellStyle name="20% - Accent2 2 8" xfId="8947"/>
    <cellStyle name="20% - Accent2 2 9" xfId="8986"/>
    <cellStyle name="20% - Accent2 3" xfId="18"/>
    <cellStyle name="20% - Accent2 3 2" xfId="929"/>
    <cellStyle name="20% - Accent2 3 2 2" xfId="1728"/>
    <cellStyle name="20% - Accent2 3 2 2 2" xfId="3387"/>
    <cellStyle name="20% - Accent2 3 2 2 2 2" xfId="3978"/>
    <cellStyle name="20% - Accent2 3 2 2 3" xfId="3979"/>
    <cellStyle name="20% - Accent2 3 2 3" xfId="2593"/>
    <cellStyle name="20% - Accent2 3 2 3 2" xfId="3980"/>
    <cellStyle name="20% - Accent2 3 2 4" xfId="3981"/>
    <cellStyle name="20% - Accent2 3 3" xfId="1332"/>
    <cellStyle name="20% - Accent2 3 3 2" xfId="2991"/>
    <cellStyle name="20% - Accent2 3 3 2 2" xfId="3982"/>
    <cellStyle name="20% - Accent2 3 3 3" xfId="3983"/>
    <cellStyle name="20% - Accent2 3 4" xfId="2197"/>
    <cellStyle name="20% - Accent2 3 4 2" xfId="3984"/>
    <cellStyle name="20% - Accent2 3 5" xfId="532"/>
    <cellStyle name="20% - Accent2 4" xfId="752"/>
    <cellStyle name="20% - Accent2 4 2" xfId="1149"/>
    <cellStyle name="20% - Accent2 4 2 2" xfId="1948"/>
    <cellStyle name="20% - Accent2 4 2 2 2" xfId="3607"/>
    <cellStyle name="20% - Accent2 4 2 2 2 2" xfId="3985"/>
    <cellStyle name="20% - Accent2 4 2 2 3" xfId="3986"/>
    <cellStyle name="20% - Accent2 4 2 3" xfId="2813"/>
    <cellStyle name="20% - Accent2 4 2 3 2" xfId="3987"/>
    <cellStyle name="20% - Accent2 4 2 4" xfId="3988"/>
    <cellStyle name="20% - Accent2 4 3" xfId="1552"/>
    <cellStyle name="20% - Accent2 4 3 2" xfId="3211"/>
    <cellStyle name="20% - Accent2 4 3 2 2" xfId="3989"/>
    <cellStyle name="20% - Accent2 4 3 3" xfId="3990"/>
    <cellStyle name="20% - Accent2 4 4" xfId="2417"/>
    <cellStyle name="20% - Accent2 4 4 2" xfId="3991"/>
    <cellStyle name="20% - Accent2 4 5" xfId="3992"/>
    <cellStyle name="20% - Accent2 5" xfId="798"/>
    <cellStyle name="20% - Accent2 5 2" xfId="1597"/>
    <cellStyle name="20% - Accent2 5 2 2" xfId="3256"/>
    <cellStyle name="20% - Accent2 5 2 2 2" xfId="3993"/>
    <cellStyle name="20% - Accent2 5 2 3" xfId="3994"/>
    <cellStyle name="20% - Accent2 5 3" xfId="2462"/>
    <cellStyle name="20% - Accent2 5 3 2" xfId="3995"/>
    <cellStyle name="20% - Accent2 5 4" xfId="3996"/>
    <cellStyle name="20% - Accent2 6" xfId="1201"/>
    <cellStyle name="20% - Accent2 6 2" xfId="2860"/>
    <cellStyle name="20% - Accent2 6 2 2" xfId="3997"/>
    <cellStyle name="20% - Accent2 6 3" xfId="3998"/>
    <cellStyle name="20% - Accent2 7" xfId="2003"/>
    <cellStyle name="20% - Accent2 7 2" xfId="3658"/>
    <cellStyle name="20% - Accent2 8" xfId="398"/>
    <cellStyle name="20% - Accent2 8 2" xfId="2066"/>
    <cellStyle name="20% - Accent2 9" xfId="2049"/>
    <cellStyle name="20% - Accent3" xfId="286" builtinId="38" customBuiltin="1"/>
    <cellStyle name="20% - Accent3 2" xfId="21"/>
    <cellStyle name="20% - Accent3 2 2" xfId="900"/>
    <cellStyle name="20% - Accent3 2 2 2" xfId="1699"/>
    <cellStyle name="20% - Accent3 2 2 2 2" xfId="3358"/>
    <cellStyle name="20% - Accent3 2 2 2 2 2" xfId="3999"/>
    <cellStyle name="20% - Accent3 2 2 2 3" xfId="4000"/>
    <cellStyle name="20% - Accent3 2 2 3" xfId="2564"/>
    <cellStyle name="20% - Accent3 2 2 3 2" xfId="4001"/>
    <cellStyle name="20% - Accent3 2 2 4" xfId="4002"/>
    <cellStyle name="20% - Accent3 2 3" xfId="1303"/>
    <cellStyle name="20% - Accent3 2 3 2" xfId="2962"/>
    <cellStyle name="20% - Accent3 2 3 2 2" xfId="4003"/>
    <cellStyle name="20% - Accent3 2 3 3" xfId="4004"/>
    <cellStyle name="20% - Accent3 2 4" xfId="2168"/>
    <cellStyle name="20% - Accent3 2 4 2" xfId="4005"/>
    <cellStyle name="20% - Accent3 2 5" xfId="4006"/>
    <cellStyle name="20% - Accent3 2 6" xfId="8740"/>
    <cellStyle name="20% - Accent3 2 7" xfId="8898"/>
    <cellStyle name="20% - Accent3 2 8" xfId="8946"/>
    <cellStyle name="20% - Accent3 2 9" xfId="8985"/>
    <cellStyle name="20% - Accent3 3" xfId="20"/>
    <cellStyle name="20% - Accent3 3 2" xfId="932"/>
    <cellStyle name="20% - Accent3 3 2 2" xfId="1731"/>
    <cellStyle name="20% - Accent3 3 2 2 2" xfId="3390"/>
    <cellStyle name="20% - Accent3 3 2 2 2 2" xfId="4007"/>
    <cellStyle name="20% - Accent3 3 2 2 3" xfId="4008"/>
    <cellStyle name="20% - Accent3 3 2 3" xfId="2596"/>
    <cellStyle name="20% - Accent3 3 2 3 2" xfId="4009"/>
    <cellStyle name="20% - Accent3 3 2 4" xfId="4010"/>
    <cellStyle name="20% - Accent3 3 3" xfId="1335"/>
    <cellStyle name="20% - Accent3 3 3 2" xfId="2994"/>
    <cellStyle name="20% - Accent3 3 3 2 2" xfId="4011"/>
    <cellStyle name="20% - Accent3 3 3 3" xfId="4012"/>
    <cellStyle name="20% - Accent3 3 4" xfId="2200"/>
    <cellStyle name="20% - Accent3 3 4 2" xfId="4013"/>
    <cellStyle name="20% - Accent3 3 5" xfId="535"/>
    <cellStyle name="20% - Accent3 4" xfId="755"/>
    <cellStyle name="20% - Accent3 4 2" xfId="1152"/>
    <cellStyle name="20% - Accent3 4 2 2" xfId="1951"/>
    <cellStyle name="20% - Accent3 4 2 2 2" xfId="3610"/>
    <cellStyle name="20% - Accent3 4 2 2 2 2" xfId="4014"/>
    <cellStyle name="20% - Accent3 4 2 2 3" xfId="4015"/>
    <cellStyle name="20% - Accent3 4 2 3" xfId="2816"/>
    <cellStyle name="20% - Accent3 4 2 3 2" xfId="4016"/>
    <cellStyle name="20% - Accent3 4 2 4" xfId="4017"/>
    <cellStyle name="20% - Accent3 4 3" xfId="1555"/>
    <cellStyle name="20% - Accent3 4 3 2" xfId="3214"/>
    <cellStyle name="20% - Accent3 4 3 2 2" xfId="4018"/>
    <cellStyle name="20% - Accent3 4 3 3" xfId="4019"/>
    <cellStyle name="20% - Accent3 4 4" xfId="2420"/>
    <cellStyle name="20% - Accent3 4 4 2" xfId="4020"/>
    <cellStyle name="20% - Accent3 4 5" xfId="4021"/>
    <cellStyle name="20% - Accent3 5" xfId="800"/>
    <cellStyle name="20% - Accent3 5 2" xfId="1599"/>
    <cellStyle name="20% - Accent3 5 2 2" xfId="3258"/>
    <cellStyle name="20% - Accent3 5 2 2 2" xfId="4022"/>
    <cellStyle name="20% - Accent3 5 2 3" xfId="4023"/>
    <cellStyle name="20% - Accent3 5 3" xfId="2464"/>
    <cellStyle name="20% - Accent3 5 3 2" xfId="4024"/>
    <cellStyle name="20% - Accent3 5 4" xfId="4025"/>
    <cellStyle name="20% - Accent3 6" xfId="1203"/>
    <cellStyle name="20% - Accent3 6 2" xfId="2862"/>
    <cellStyle name="20% - Accent3 6 2 2" xfId="4026"/>
    <cellStyle name="20% - Accent3 6 3" xfId="4027"/>
    <cellStyle name="20% - Accent3 7" xfId="2006"/>
    <cellStyle name="20% - Accent3 7 2" xfId="3661"/>
    <cellStyle name="20% - Accent3 8" xfId="400"/>
    <cellStyle name="20% - Accent3 8 2" xfId="2068"/>
    <cellStyle name="20% - Accent3 9" xfId="2051"/>
    <cellStyle name="20% - Accent4" xfId="290" builtinId="42" customBuiltin="1"/>
    <cellStyle name="20% - Accent4 2" xfId="23"/>
    <cellStyle name="20% - Accent4 2 2" xfId="903"/>
    <cellStyle name="20% - Accent4 2 2 2" xfId="1702"/>
    <cellStyle name="20% - Accent4 2 2 2 2" xfId="3361"/>
    <cellStyle name="20% - Accent4 2 2 2 2 2" xfId="4028"/>
    <cellStyle name="20% - Accent4 2 2 2 3" xfId="4029"/>
    <cellStyle name="20% - Accent4 2 2 3" xfId="2567"/>
    <cellStyle name="20% - Accent4 2 2 3 2" xfId="4030"/>
    <cellStyle name="20% - Accent4 2 2 4" xfId="4031"/>
    <cellStyle name="20% - Accent4 2 3" xfId="1306"/>
    <cellStyle name="20% - Accent4 2 3 2" xfId="2965"/>
    <cellStyle name="20% - Accent4 2 3 2 2" xfId="4032"/>
    <cellStyle name="20% - Accent4 2 3 3" xfId="4033"/>
    <cellStyle name="20% - Accent4 2 4" xfId="2171"/>
    <cellStyle name="20% - Accent4 2 4 2" xfId="4034"/>
    <cellStyle name="20% - Accent4 2 5" xfId="4035"/>
    <cellStyle name="20% - Accent4 2 6" xfId="8741"/>
    <cellStyle name="20% - Accent4 2 7" xfId="8897"/>
    <cellStyle name="20% - Accent4 2 8" xfId="8945"/>
    <cellStyle name="20% - Accent4 2 9" xfId="8984"/>
    <cellStyle name="20% - Accent4 3" xfId="22"/>
    <cellStyle name="20% - Accent4 3 2" xfId="935"/>
    <cellStyle name="20% - Accent4 3 2 2" xfId="1734"/>
    <cellStyle name="20% - Accent4 3 2 2 2" xfId="3393"/>
    <cellStyle name="20% - Accent4 3 2 2 2 2" xfId="4036"/>
    <cellStyle name="20% - Accent4 3 2 2 3" xfId="4037"/>
    <cellStyle name="20% - Accent4 3 2 3" xfId="2599"/>
    <cellStyle name="20% - Accent4 3 2 3 2" xfId="4038"/>
    <cellStyle name="20% - Accent4 3 2 4" xfId="4039"/>
    <cellStyle name="20% - Accent4 3 3" xfId="1338"/>
    <cellStyle name="20% - Accent4 3 3 2" xfId="2997"/>
    <cellStyle name="20% - Accent4 3 3 2 2" xfId="4040"/>
    <cellStyle name="20% - Accent4 3 3 3" xfId="4041"/>
    <cellStyle name="20% - Accent4 3 4" xfId="2203"/>
    <cellStyle name="20% - Accent4 3 4 2" xfId="4042"/>
    <cellStyle name="20% - Accent4 3 5" xfId="538"/>
    <cellStyle name="20% - Accent4 4" xfId="759"/>
    <cellStyle name="20% - Accent4 4 2" xfId="1156"/>
    <cellStyle name="20% - Accent4 4 2 2" xfId="1955"/>
    <cellStyle name="20% - Accent4 4 2 2 2" xfId="3614"/>
    <cellStyle name="20% - Accent4 4 2 2 2 2" xfId="4043"/>
    <cellStyle name="20% - Accent4 4 2 2 3" xfId="4044"/>
    <cellStyle name="20% - Accent4 4 2 3" xfId="2820"/>
    <cellStyle name="20% - Accent4 4 2 3 2" xfId="4045"/>
    <cellStyle name="20% - Accent4 4 2 4" xfId="4046"/>
    <cellStyle name="20% - Accent4 4 3" xfId="1559"/>
    <cellStyle name="20% - Accent4 4 3 2" xfId="3218"/>
    <cellStyle name="20% - Accent4 4 3 2 2" xfId="4047"/>
    <cellStyle name="20% - Accent4 4 3 3" xfId="4048"/>
    <cellStyle name="20% - Accent4 4 4" xfId="2424"/>
    <cellStyle name="20% - Accent4 4 4 2" xfId="4049"/>
    <cellStyle name="20% - Accent4 4 5" xfId="4050"/>
    <cellStyle name="20% - Accent4 5" xfId="802"/>
    <cellStyle name="20% - Accent4 5 2" xfId="1601"/>
    <cellStyle name="20% - Accent4 5 2 2" xfId="3260"/>
    <cellStyle name="20% - Accent4 5 2 2 2" xfId="4051"/>
    <cellStyle name="20% - Accent4 5 2 3" xfId="4052"/>
    <cellStyle name="20% - Accent4 5 3" xfId="2466"/>
    <cellStyle name="20% - Accent4 5 3 2" xfId="4053"/>
    <cellStyle name="20% - Accent4 5 4" xfId="4054"/>
    <cellStyle name="20% - Accent4 6" xfId="1205"/>
    <cellStyle name="20% - Accent4 6 2" xfId="2864"/>
    <cellStyle name="20% - Accent4 6 2 2" xfId="4055"/>
    <cellStyle name="20% - Accent4 6 3" xfId="4056"/>
    <cellStyle name="20% - Accent4 7" xfId="2008"/>
    <cellStyle name="20% - Accent4 7 2" xfId="3663"/>
    <cellStyle name="20% - Accent4 8" xfId="402"/>
    <cellStyle name="20% - Accent4 8 2" xfId="2070"/>
    <cellStyle name="20% - Accent4 9" xfId="2053"/>
    <cellStyle name="20% - Accent5" xfId="294" builtinId="46" customBuiltin="1"/>
    <cellStyle name="20% - Accent5 2" xfId="25"/>
    <cellStyle name="20% - Accent5 2 2" xfId="907"/>
    <cellStyle name="20% - Accent5 2 2 2" xfId="1706"/>
    <cellStyle name="20% - Accent5 2 2 2 2" xfId="3365"/>
    <cellStyle name="20% - Accent5 2 2 2 2 2" xfId="4057"/>
    <cellStyle name="20% - Accent5 2 2 2 3" xfId="4058"/>
    <cellStyle name="20% - Accent5 2 2 3" xfId="2571"/>
    <cellStyle name="20% - Accent5 2 2 3 2" xfId="4059"/>
    <cellStyle name="20% - Accent5 2 2 4" xfId="4060"/>
    <cellStyle name="20% - Accent5 2 3" xfId="1310"/>
    <cellStyle name="20% - Accent5 2 3 2" xfId="2969"/>
    <cellStyle name="20% - Accent5 2 3 2 2" xfId="4061"/>
    <cellStyle name="20% - Accent5 2 3 3" xfId="4062"/>
    <cellStyle name="20% - Accent5 2 4" xfId="2175"/>
    <cellStyle name="20% - Accent5 2 4 2" xfId="4063"/>
    <cellStyle name="20% - Accent5 2 5" xfId="4064"/>
    <cellStyle name="20% - Accent5 2 6" xfId="8743"/>
    <cellStyle name="20% - Accent5 2 7" xfId="8896"/>
    <cellStyle name="20% - Accent5 2 8" xfId="8944"/>
    <cellStyle name="20% - Accent5 2 9" xfId="8983"/>
    <cellStyle name="20% - Accent5 3" xfId="24"/>
    <cellStyle name="20% - Accent5 3 2" xfId="937"/>
    <cellStyle name="20% - Accent5 3 2 2" xfId="1736"/>
    <cellStyle name="20% - Accent5 3 2 2 2" xfId="3395"/>
    <cellStyle name="20% - Accent5 3 2 2 2 2" xfId="4065"/>
    <cellStyle name="20% - Accent5 3 2 2 3" xfId="4066"/>
    <cellStyle name="20% - Accent5 3 2 3" xfId="2601"/>
    <cellStyle name="20% - Accent5 3 2 3 2" xfId="4067"/>
    <cellStyle name="20% - Accent5 3 2 4" xfId="4068"/>
    <cellStyle name="20% - Accent5 3 3" xfId="1340"/>
    <cellStyle name="20% - Accent5 3 3 2" xfId="2999"/>
    <cellStyle name="20% - Accent5 3 3 2 2" xfId="4069"/>
    <cellStyle name="20% - Accent5 3 3 3" xfId="4070"/>
    <cellStyle name="20% - Accent5 3 4" xfId="2205"/>
    <cellStyle name="20% - Accent5 3 4 2" xfId="4071"/>
    <cellStyle name="20% - Accent5 3 5" xfId="540"/>
    <cellStyle name="20% - Accent5 4" xfId="761"/>
    <cellStyle name="20% - Accent5 4 2" xfId="1158"/>
    <cellStyle name="20% - Accent5 4 2 2" xfId="1957"/>
    <cellStyle name="20% - Accent5 4 2 2 2" xfId="3616"/>
    <cellStyle name="20% - Accent5 4 2 2 2 2" xfId="4072"/>
    <cellStyle name="20% - Accent5 4 2 2 3" xfId="4073"/>
    <cellStyle name="20% - Accent5 4 2 3" xfId="2822"/>
    <cellStyle name="20% - Accent5 4 2 3 2" xfId="4074"/>
    <cellStyle name="20% - Accent5 4 2 4" xfId="4075"/>
    <cellStyle name="20% - Accent5 4 3" xfId="1561"/>
    <cellStyle name="20% - Accent5 4 3 2" xfId="3220"/>
    <cellStyle name="20% - Accent5 4 3 2 2" xfId="4076"/>
    <cellStyle name="20% - Accent5 4 3 3" xfId="4077"/>
    <cellStyle name="20% - Accent5 4 4" xfId="2426"/>
    <cellStyle name="20% - Accent5 4 4 2" xfId="4078"/>
    <cellStyle name="20% - Accent5 4 5" xfId="4079"/>
    <cellStyle name="20% - Accent5 5" xfId="804"/>
    <cellStyle name="20% - Accent5 5 2" xfId="1603"/>
    <cellStyle name="20% - Accent5 5 2 2" xfId="3262"/>
    <cellStyle name="20% - Accent5 5 2 2 2" xfId="4080"/>
    <cellStyle name="20% - Accent5 5 2 3" xfId="4081"/>
    <cellStyle name="20% - Accent5 5 3" xfId="2468"/>
    <cellStyle name="20% - Accent5 5 3 2" xfId="4082"/>
    <cellStyle name="20% - Accent5 5 4" xfId="4083"/>
    <cellStyle name="20% - Accent5 6" xfId="1207"/>
    <cellStyle name="20% - Accent5 6 2" xfId="2866"/>
    <cellStyle name="20% - Accent5 6 2 2" xfId="4084"/>
    <cellStyle name="20% - Accent5 6 3" xfId="4085"/>
    <cellStyle name="20% - Accent5 7" xfId="2011"/>
    <cellStyle name="20% - Accent5 7 2" xfId="3666"/>
    <cellStyle name="20% - Accent5 8" xfId="404"/>
    <cellStyle name="20% - Accent5 8 2" xfId="2072"/>
    <cellStyle name="20% - Accent5 9" xfId="2055"/>
    <cellStyle name="20% - Accent6" xfId="298" builtinId="50" customBuiltin="1"/>
    <cellStyle name="20% - Accent6 2" xfId="27"/>
    <cellStyle name="20% - Accent6 2 2" xfId="910"/>
    <cellStyle name="20% - Accent6 2 2 2" xfId="1709"/>
    <cellStyle name="20% - Accent6 2 2 2 2" xfId="3368"/>
    <cellStyle name="20% - Accent6 2 2 2 2 2" xfId="4086"/>
    <cellStyle name="20% - Accent6 2 2 2 3" xfId="4087"/>
    <cellStyle name="20% - Accent6 2 2 3" xfId="2574"/>
    <cellStyle name="20% - Accent6 2 2 3 2" xfId="4088"/>
    <cellStyle name="20% - Accent6 2 2 4" xfId="4089"/>
    <cellStyle name="20% - Accent6 2 3" xfId="1313"/>
    <cellStyle name="20% - Accent6 2 3 2" xfId="2972"/>
    <cellStyle name="20% - Accent6 2 3 2 2" xfId="4090"/>
    <cellStyle name="20% - Accent6 2 3 3" xfId="4091"/>
    <cellStyle name="20% - Accent6 2 4" xfId="2178"/>
    <cellStyle name="20% - Accent6 2 4 2" xfId="4092"/>
    <cellStyle name="20% - Accent6 2 5" xfId="4093"/>
    <cellStyle name="20% - Accent6 2 6" xfId="8745"/>
    <cellStyle name="20% - Accent6 2 7" xfId="8894"/>
    <cellStyle name="20% - Accent6 2 8" xfId="8943"/>
    <cellStyle name="20% - Accent6 2 9" xfId="8982"/>
    <cellStyle name="20% - Accent6 3" xfId="26"/>
    <cellStyle name="20% - Accent6 3 2" xfId="941"/>
    <cellStyle name="20% - Accent6 3 2 2" xfId="1740"/>
    <cellStyle name="20% - Accent6 3 2 2 2" xfId="3399"/>
    <cellStyle name="20% - Accent6 3 2 2 2 2" xfId="4094"/>
    <cellStyle name="20% - Accent6 3 2 2 3" xfId="4095"/>
    <cellStyle name="20% - Accent6 3 2 3" xfId="2605"/>
    <cellStyle name="20% - Accent6 3 2 3 2" xfId="4096"/>
    <cellStyle name="20% - Accent6 3 2 4" xfId="4097"/>
    <cellStyle name="20% - Accent6 3 3" xfId="1344"/>
    <cellStyle name="20% - Accent6 3 3 2" xfId="3003"/>
    <cellStyle name="20% - Accent6 3 3 2 2" xfId="4098"/>
    <cellStyle name="20% - Accent6 3 3 3" xfId="4099"/>
    <cellStyle name="20% - Accent6 3 4" xfId="2209"/>
    <cellStyle name="20% - Accent6 3 4 2" xfId="4100"/>
    <cellStyle name="20% - Accent6 3 5" xfId="544"/>
    <cellStyle name="20% - Accent6 4" xfId="765"/>
    <cellStyle name="20% - Accent6 4 2" xfId="1162"/>
    <cellStyle name="20% - Accent6 4 2 2" xfId="1961"/>
    <cellStyle name="20% - Accent6 4 2 2 2" xfId="3620"/>
    <cellStyle name="20% - Accent6 4 2 2 2 2" xfId="4101"/>
    <cellStyle name="20% - Accent6 4 2 2 3" xfId="4102"/>
    <cellStyle name="20% - Accent6 4 2 3" xfId="2826"/>
    <cellStyle name="20% - Accent6 4 2 3 2" xfId="4103"/>
    <cellStyle name="20% - Accent6 4 2 4" xfId="4104"/>
    <cellStyle name="20% - Accent6 4 3" xfId="1565"/>
    <cellStyle name="20% - Accent6 4 3 2" xfId="3224"/>
    <cellStyle name="20% - Accent6 4 3 2 2" xfId="4105"/>
    <cellStyle name="20% - Accent6 4 3 3" xfId="4106"/>
    <cellStyle name="20% - Accent6 4 4" xfId="2430"/>
    <cellStyle name="20% - Accent6 4 4 2" xfId="4107"/>
    <cellStyle name="20% - Accent6 4 5" xfId="4108"/>
    <cellStyle name="20% - Accent6 5" xfId="806"/>
    <cellStyle name="20% - Accent6 5 2" xfId="1605"/>
    <cellStyle name="20% - Accent6 5 2 2" xfId="3264"/>
    <cellStyle name="20% - Accent6 5 2 2 2" xfId="4109"/>
    <cellStyle name="20% - Accent6 5 2 3" xfId="4110"/>
    <cellStyle name="20% - Accent6 5 3" xfId="2470"/>
    <cellStyle name="20% - Accent6 5 3 2" xfId="4111"/>
    <cellStyle name="20% - Accent6 5 4" xfId="4112"/>
    <cellStyle name="20% - Accent6 6" xfId="1209"/>
    <cellStyle name="20% - Accent6 6 2" xfId="2868"/>
    <cellStyle name="20% - Accent6 6 2 2" xfId="4113"/>
    <cellStyle name="20% - Accent6 6 3" xfId="4114"/>
    <cellStyle name="20% - Accent6 7" xfId="2013"/>
    <cellStyle name="20% - Accent6 7 2" xfId="3668"/>
    <cellStyle name="20% - Accent6 8" xfId="406"/>
    <cellStyle name="20% - Accent6 8 2" xfId="2074"/>
    <cellStyle name="20% - Accent6 9" xfId="2057"/>
    <cellStyle name="2decimal" xfId="28"/>
    <cellStyle name="3 decimal" xfId="323"/>
    <cellStyle name="40% - Accent1" xfId="279" builtinId="31" customBuiltin="1"/>
    <cellStyle name="40% - Accent1 2" xfId="30"/>
    <cellStyle name="40% - Accent1 2 2" xfId="896"/>
    <cellStyle name="40% - Accent1 2 2 2" xfId="1695"/>
    <cellStyle name="40% - Accent1 2 2 2 2" xfId="3354"/>
    <cellStyle name="40% - Accent1 2 2 2 2 2" xfId="4115"/>
    <cellStyle name="40% - Accent1 2 2 2 3" xfId="4116"/>
    <cellStyle name="40% - Accent1 2 2 3" xfId="2560"/>
    <cellStyle name="40% - Accent1 2 2 3 2" xfId="4117"/>
    <cellStyle name="40% - Accent1 2 2 4" xfId="4118"/>
    <cellStyle name="40% - Accent1 2 3" xfId="1299"/>
    <cellStyle name="40% - Accent1 2 3 2" xfId="2958"/>
    <cellStyle name="40% - Accent1 2 3 2 2" xfId="4119"/>
    <cellStyle name="40% - Accent1 2 3 3" xfId="4120"/>
    <cellStyle name="40% - Accent1 2 4" xfId="2164"/>
    <cellStyle name="40% - Accent1 2 4 2" xfId="4121"/>
    <cellStyle name="40% - Accent1 2 5" xfId="4122"/>
    <cellStyle name="40% - Accent1 2 6" xfId="8748"/>
    <cellStyle name="40% - Accent1 2 7" xfId="8892"/>
    <cellStyle name="40% - Accent1 2 8" xfId="8942"/>
    <cellStyle name="40% - Accent1 2 9" xfId="8981"/>
    <cellStyle name="40% - Accent1 3" xfId="29"/>
    <cellStyle name="40% - Accent1 3 2" xfId="928"/>
    <cellStyle name="40% - Accent1 3 2 2" xfId="1727"/>
    <cellStyle name="40% - Accent1 3 2 2 2" xfId="3386"/>
    <cellStyle name="40% - Accent1 3 2 2 2 2" xfId="4123"/>
    <cellStyle name="40% - Accent1 3 2 2 3" xfId="4124"/>
    <cellStyle name="40% - Accent1 3 2 3" xfId="2592"/>
    <cellStyle name="40% - Accent1 3 2 3 2" xfId="4125"/>
    <cellStyle name="40% - Accent1 3 2 4" xfId="4126"/>
    <cellStyle name="40% - Accent1 3 3" xfId="1331"/>
    <cellStyle name="40% - Accent1 3 3 2" xfId="2990"/>
    <cellStyle name="40% - Accent1 3 3 2 2" xfId="4127"/>
    <cellStyle name="40% - Accent1 3 3 3" xfId="4128"/>
    <cellStyle name="40% - Accent1 3 4" xfId="2196"/>
    <cellStyle name="40% - Accent1 3 4 2" xfId="4129"/>
    <cellStyle name="40% - Accent1 3 5" xfId="531"/>
    <cellStyle name="40% - Accent1 4" xfId="749"/>
    <cellStyle name="40% - Accent1 4 2" xfId="1146"/>
    <cellStyle name="40% - Accent1 4 2 2" xfId="1945"/>
    <cellStyle name="40% - Accent1 4 2 2 2" xfId="3604"/>
    <cellStyle name="40% - Accent1 4 2 2 2 2" xfId="4130"/>
    <cellStyle name="40% - Accent1 4 2 2 3" xfId="4131"/>
    <cellStyle name="40% - Accent1 4 2 3" xfId="2810"/>
    <cellStyle name="40% - Accent1 4 2 3 2" xfId="4132"/>
    <cellStyle name="40% - Accent1 4 2 4" xfId="4133"/>
    <cellStyle name="40% - Accent1 4 3" xfId="1549"/>
    <cellStyle name="40% - Accent1 4 3 2" xfId="3208"/>
    <cellStyle name="40% - Accent1 4 3 2 2" xfId="4134"/>
    <cellStyle name="40% - Accent1 4 3 3" xfId="4135"/>
    <cellStyle name="40% - Accent1 4 4" xfId="2414"/>
    <cellStyle name="40% - Accent1 4 4 2" xfId="4136"/>
    <cellStyle name="40% - Accent1 4 5" xfId="4137"/>
    <cellStyle name="40% - Accent1 5" xfId="797"/>
    <cellStyle name="40% - Accent1 5 2" xfId="1596"/>
    <cellStyle name="40% - Accent1 5 2 2" xfId="3255"/>
    <cellStyle name="40% - Accent1 5 2 2 2" xfId="4138"/>
    <cellStyle name="40% - Accent1 5 2 3" xfId="4139"/>
    <cellStyle name="40% - Accent1 5 3" xfId="2461"/>
    <cellStyle name="40% - Accent1 5 3 2" xfId="4140"/>
    <cellStyle name="40% - Accent1 5 4" xfId="4141"/>
    <cellStyle name="40% - Accent1 6" xfId="1200"/>
    <cellStyle name="40% - Accent1 6 2" xfId="2859"/>
    <cellStyle name="40% - Accent1 6 2 2" xfId="4142"/>
    <cellStyle name="40% - Accent1 6 3" xfId="4143"/>
    <cellStyle name="40% - Accent1 7" xfId="2002"/>
    <cellStyle name="40% - Accent1 7 2" xfId="3657"/>
    <cellStyle name="40% - Accent1 8" xfId="397"/>
    <cellStyle name="40% - Accent1 8 2" xfId="2065"/>
    <cellStyle name="40% - Accent1 9" xfId="2048"/>
    <cellStyle name="40% - Accent2" xfId="283" builtinId="35" customBuiltin="1"/>
    <cellStyle name="40% - Accent2 2" xfId="32"/>
    <cellStyle name="40% - Accent2 2 2" xfId="899"/>
    <cellStyle name="40% - Accent2 2 2 2" xfId="1698"/>
    <cellStyle name="40% - Accent2 2 2 2 2" xfId="3357"/>
    <cellStyle name="40% - Accent2 2 2 2 2 2" xfId="4144"/>
    <cellStyle name="40% - Accent2 2 2 2 3" xfId="4145"/>
    <cellStyle name="40% - Accent2 2 2 3" xfId="2563"/>
    <cellStyle name="40% - Accent2 2 2 3 2" xfId="4146"/>
    <cellStyle name="40% - Accent2 2 2 4" xfId="4147"/>
    <cellStyle name="40% - Accent2 2 3" xfId="1302"/>
    <cellStyle name="40% - Accent2 2 3 2" xfId="2961"/>
    <cellStyle name="40% - Accent2 2 3 2 2" xfId="4148"/>
    <cellStyle name="40% - Accent2 2 3 3" xfId="4149"/>
    <cellStyle name="40% - Accent2 2 4" xfId="2167"/>
    <cellStyle name="40% - Accent2 2 4 2" xfId="4150"/>
    <cellStyle name="40% - Accent2 2 5" xfId="4151"/>
    <cellStyle name="40% - Accent2 2 6" xfId="8749"/>
    <cellStyle name="40% - Accent2 2 7" xfId="8890"/>
    <cellStyle name="40% - Accent2 2 8" xfId="8941"/>
    <cellStyle name="40% - Accent2 2 9" xfId="8980"/>
    <cellStyle name="40% - Accent2 3" xfId="31"/>
    <cellStyle name="40% - Accent2 3 2" xfId="930"/>
    <cellStyle name="40% - Accent2 3 2 2" xfId="1729"/>
    <cellStyle name="40% - Accent2 3 2 2 2" xfId="3388"/>
    <cellStyle name="40% - Accent2 3 2 2 2 2" xfId="4152"/>
    <cellStyle name="40% - Accent2 3 2 2 3" xfId="4153"/>
    <cellStyle name="40% - Accent2 3 2 3" xfId="2594"/>
    <cellStyle name="40% - Accent2 3 2 3 2" xfId="4154"/>
    <cellStyle name="40% - Accent2 3 2 4" xfId="4155"/>
    <cellStyle name="40% - Accent2 3 3" xfId="1333"/>
    <cellStyle name="40% - Accent2 3 3 2" xfId="2992"/>
    <cellStyle name="40% - Accent2 3 3 2 2" xfId="4156"/>
    <cellStyle name="40% - Accent2 3 3 3" xfId="4157"/>
    <cellStyle name="40% - Accent2 3 4" xfId="2198"/>
    <cellStyle name="40% - Accent2 3 4 2" xfId="4158"/>
    <cellStyle name="40% - Accent2 3 5" xfId="533"/>
    <cellStyle name="40% - Accent2 4" xfId="753"/>
    <cellStyle name="40% - Accent2 4 2" xfId="1150"/>
    <cellStyle name="40% - Accent2 4 2 2" xfId="1949"/>
    <cellStyle name="40% - Accent2 4 2 2 2" xfId="3608"/>
    <cellStyle name="40% - Accent2 4 2 2 2 2" xfId="4159"/>
    <cellStyle name="40% - Accent2 4 2 2 3" xfId="4160"/>
    <cellStyle name="40% - Accent2 4 2 3" xfId="2814"/>
    <cellStyle name="40% - Accent2 4 2 3 2" xfId="4161"/>
    <cellStyle name="40% - Accent2 4 2 4" xfId="4162"/>
    <cellStyle name="40% - Accent2 4 3" xfId="1553"/>
    <cellStyle name="40% - Accent2 4 3 2" xfId="3212"/>
    <cellStyle name="40% - Accent2 4 3 2 2" xfId="4163"/>
    <cellStyle name="40% - Accent2 4 3 3" xfId="4164"/>
    <cellStyle name="40% - Accent2 4 4" xfId="2418"/>
    <cellStyle name="40% - Accent2 4 4 2" xfId="4165"/>
    <cellStyle name="40% - Accent2 4 5" xfId="4166"/>
    <cellStyle name="40% - Accent2 5" xfId="799"/>
    <cellStyle name="40% - Accent2 5 2" xfId="1598"/>
    <cellStyle name="40% - Accent2 5 2 2" xfId="3257"/>
    <cellStyle name="40% - Accent2 5 2 2 2" xfId="4167"/>
    <cellStyle name="40% - Accent2 5 2 3" xfId="4168"/>
    <cellStyle name="40% - Accent2 5 3" xfId="2463"/>
    <cellStyle name="40% - Accent2 5 3 2" xfId="4169"/>
    <cellStyle name="40% - Accent2 5 4" xfId="4170"/>
    <cellStyle name="40% - Accent2 6" xfId="1202"/>
    <cellStyle name="40% - Accent2 6 2" xfId="2861"/>
    <cellStyle name="40% - Accent2 6 2 2" xfId="4171"/>
    <cellStyle name="40% - Accent2 6 3" xfId="4172"/>
    <cellStyle name="40% - Accent2 7" xfId="2004"/>
    <cellStyle name="40% - Accent2 7 2" xfId="3659"/>
    <cellStyle name="40% - Accent2 8" xfId="399"/>
    <cellStyle name="40% - Accent2 8 2" xfId="2067"/>
    <cellStyle name="40% - Accent2 9" xfId="2050"/>
    <cellStyle name="40% - Accent3" xfId="287" builtinId="39" customBuiltin="1"/>
    <cellStyle name="40% - Accent3 2" xfId="34"/>
    <cellStyle name="40% - Accent3 2 2" xfId="901"/>
    <cellStyle name="40% - Accent3 2 2 2" xfId="1700"/>
    <cellStyle name="40% - Accent3 2 2 2 2" xfId="3359"/>
    <cellStyle name="40% - Accent3 2 2 2 2 2" xfId="4173"/>
    <cellStyle name="40% - Accent3 2 2 2 3" xfId="4174"/>
    <cellStyle name="40% - Accent3 2 2 3" xfId="2565"/>
    <cellStyle name="40% - Accent3 2 2 3 2" xfId="4175"/>
    <cellStyle name="40% - Accent3 2 2 4" xfId="4176"/>
    <cellStyle name="40% - Accent3 2 3" xfId="1304"/>
    <cellStyle name="40% - Accent3 2 3 2" xfId="2963"/>
    <cellStyle name="40% - Accent3 2 3 2 2" xfId="4177"/>
    <cellStyle name="40% - Accent3 2 3 3" xfId="4178"/>
    <cellStyle name="40% - Accent3 2 4" xfId="2169"/>
    <cellStyle name="40% - Accent3 2 4 2" xfId="4179"/>
    <cellStyle name="40% - Accent3 2 5" xfId="4180"/>
    <cellStyle name="40% - Accent3 2 6" xfId="8750"/>
    <cellStyle name="40% - Accent3 2 7" xfId="8889"/>
    <cellStyle name="40% - Accent3 2 8" xfId="8939"/>
    <cellStyle name="40% - Accent3 2 9" xfId="8979"/>
    <cellStyle name="40% - Accent3 3" xfId="33"/>
    <cellStyle name="40% - Accent3 3 2" xfId="933"/>
    <cellStyle name="40% - Accent3 3 2 2" xfId="1732"/>
    <cellStyle name="40% - Accent3 3 2 2 2" xfId="3391"/>
    <cellStyle name="40% - Accent3 3 2 2 2 2" xfId="4181"/>
    <cellStyle name="40% - Accent3 3 2 2 3" xfId="4182"/>
    <cellStyle name="40% - Accent3 3 2 3" xfId="2597"/>
    <cellStyle name="40% - Accent3 3 2 3 2" xfId="4183"/>
    <cellStyle name="40% - Accent3 3 2 4" xfId="4184"/>
    <cellStyle name="40% - Accent3 3 3" xfId="1336"/>
    <cellStyle name="40% - Accent3 3 3 2" xfId="2995"/>
    <cellStyle name="40% - Accent3 3 3 2 2" xfId="4185"/>
    <cellStyle name="40% - Accent3 3 3 3" xfId="4186"/>
    <cellStyle name="40% - Accent3 3 4" xfId="2201"/>
    <cellStyle name="40% - Accent3 3 4 2" xfId="4187"/>
    <cellStyle name="40% - Accent3 3 5" xfId="536"/>
    <cellStyle name="40% - Accent3 4" xfId="756"/>
    <cellStyle name="40% - Accent3 4 2" xfId="1153"/>
    <cellStyle name="40% - Accent3 4 2 2" xfId="1952"/>
    <cellStyle name="40% - Accent3 4 2 2 2" xfId="3611"/>
    <cellStyle name="40% - Accent3 4 2 2 2 2" xfId="4188"/>
    <cellStyle name="40% - Accent3 4 2 2 3" xfId="4189"/>
    <cellStyle name="40% - Accent3 4 2 3" xfId="2817"/>
    <cellStyle name="40% - Accent3 4 2 3 2" xfId="4190"/>
    <cellStyle name="40% - Accent3 4 2 4" xfId="4191"/>
    <cellStyle name="40% - Accent3 4 3" xfId="1556"/>
    <cellStyle name="40% - Accent3 4 3 2" xfId="3215"/>
    <cellStyle name="40% - Accent3 4 3 2 2" xfId="4192"/>
    <cellStyle name="40% - Accent3 4 3 3" xfId="4193"/>
    <cellStyle name="40% - Accent3 4 4" xfId="2421"/>
    <cellStyle name="40% - Accent3 4 4 2" xfId="4194"/>
    <cellStyle name="40% - Accent3 4 5" xfId="4195"/>
    <cellStyle name="40% - Accent3 5" xfId="801"/>
    <cellStyle name="40% - Accent3 5 2" xfId="1600"/>
    <cellStyle name="40% - Accent3 5 2 2" xfId="3259"/>
    <cellStyle name="40% - Accent3 5 2 2 2" xfId="4196"/>
    <cellStyle name="40% - Accent3 5 2 3" xfId="4197"/>
    <cellStyle name="40% - Accent3 5 3" xfId="2465"/>
    <cellStyle name="40% - Accent3 5 3 2" xfId="4198"/>
    <cellStyle name="40% - Accent3 5 4" xfId="4199"/>
    <cellStyle name="40% - Accent3 6" xfId="1204"/>
    <cellStyle name="40% - Accent3 6 2" xfId="2863"/>
    <cellStyle name="40% - Accent3 6 2 2" xfId="4200"/>
    <cellStyle name="40% - Accent3 6 3" xfId="4201"/>
    <cellStyle name="40% - Accent3 7" xfId="2007"/>
    <cellStyle name="40% - Accent3 7 2" xfId="3662"/>
    <cellStyle name="40% - Accent3 8" xfId="401"/>
    <cellStyle name="40% - Accent3 8 2" xfId="2069"/>
    <cellStyle name="40% - Accent3 9" xfId="2052"/>
    <cellStyle name="40% - Accent4" xfId="291" builtinId="43" customBuiltin="1"/>
    <cellStyle name="40% - Accent4 2" xfId="36"/>
    <cellStyle name="40% - Accent4 2 2" xfId="904"/>
    <cellStyle name="40% - Accent4 2 2 2" xfId="1703"/>
    <cellStyle name="40% - Accent4 2 2 2 2" xfId="3362"/>
    <cellStyle name="40% - Accent4 2 2 2 2 2" xfId="4202"/>
    <cellStyle name="40% - Accent4 2 2 2 3" xfId="4203"/>
    <cellStyle name="40% - Accent4 2 2 3" xfId="2568"/>
    <cellStyle name="40% - Accent4 2 2 3 2" xfId="4204"/>
    <cellStyle name="40% - Accent4 2 2 4" xfId="4205"/>
    <cellStyle name="40% - Accent4 2 3" xfId="1307"/>
    <cellStyle name="40% - Accent4 2 3 2" xfId="2966"/>
    <cellStyle name="40% - Accent4 2 3 2 2" xfId="4206"/>
    <cellStyle name="40% - Accent4 2 3 3" xfId="4207"/>
    <cellStyle name="40% - Accent4 2 4" xfId="2172"/>
    <cellStyle name="40% - Accent4 2 4 2" xfId="4208"/>
    <cellStyle name="40% - Accent4 2 5" xfId="4209"/>
    <cellStyle name="40% - Accent4 2 6" xfId="8751"/>
    <cellStyle name="40% - Accent4 2 7" xfId="8888"/>
    <cellStyle name="40% - Accent4 2 8" xfId="8938"/>
    <cellStyle name="40% - Accent4 2 9" xfId="8978"/>
    <cellStyle name="40% - Accent4 3" xfId="35"/>
    <cellStyle name="40% - Accent4 3 2" xfId="936"/>
    <cellStyle name="40% - Accent4 3 2 2" xfId="1735"/>
    <cellStyle name="40% - Accent4 3 2 2 2" xfId="3394"/>
    <cellStyle name="40% - Accent4 3 2 2 2 2" xfId="4210"/>
    <cellStyle name="40% - Accent4 3 2 2 3" xfId="4211"/>
    <cellStyle name="40% - Accent4 3 2 3" xfId="2600"/>
    <cellStyle name="40% - Accent4 3 2 3 2" xfId="4212"/>
    <cellStyle name="40% - Accent4 3 2 4" xfId="4213"/>
    <cellStyle name="40% - Accent4 3 3" xfId="1339"/>
    <cellStyle name="40% - Accent4 3 3 2" xfId="2998"/>
    <cellStyle name="40% - Accent4 3 3 2 2" xfId="4214"/>
    <cellStyle name="40% - Accent4 3 3 3" xfId="4215"/>
    <cellStyle name="40% - Accent4 3 4" xfId="2204"/>
    <cellStyle name="40% - Accent4 3 4 2" xfId="4216"/>
    <cellStyle name="40% - Accent4 3 5" xfId="539"/>
    <cellStyle name="40% - Accent4 4" xfId="760"/>
    <cellStyle name="40% - Accent4 4 2" xfId="1157"/>
    <cellStyle name="40% - Accent4 4 2 2" xfId="1956"/>
    <cellStyle name="40% - Accent4 4 2 2 2" xfId="3615"/>
    <cellStyle name="40% - Accent4 4 2 2 2 2" xfId="4217"/>
    <cellStyle name="40% - Accent4 4 2 2 3" xfId="4218"/>
    <cellStyle name="40% - Accent4 4 2 3" xfId="2821"/>
    <cellStyle name="40% - Accent4 4 2 3 2" xfId="4219"/>
    <cellStyle name="40% - Accent4 4 2 4" xfId="4220"/>
    <cellStyle name="40% - Accent4 4 3" xfId="1560"/>
    <cellStyle name="40% - Accent4 4 3 2" xfId="3219"/>
    <cellStyle name="40% - Accent4 4 3 2 2" xfId="4221"/>
    <cellStyle name="40% - Accent4 4 3 3" xfId="4222"/>
    <cellStyle name="40% - Accent4 4 4" xfId="2425"/>
    <cellStyle name="40% - Accent4 4 4 2" xfId="4223"/>
    <cellStyle name="40% - Accent4 4 5" xfId="4224"/>
    <cellStyle name="40% - Accent4 5" xfId="803"/>
    <cellStyle name="40% - Accent4 5 2" xfId="1602"/>
    <cellStyle name="40% - Accent4 5 2 2" xfId="3261"/>
    <cellStyle name="40% - Accent4 5 2 2 2" xfId="4225"/>
    <cellStyle name="40% - Accent4 5 2 3" xfId="4226"/>
    <cellStyle name="40% - Accent4 5 3" xfId="2467"/>
    <cellStyle name="40% - Accent4 5 3 2" xfId="4227"/>
    <cellStyle name="40% - Accent4 5 4" xfId="4228"/>
    <cellStyle name="40% - Accent4 6" xfId="1206"/>
    <cellStyle name="40% - Accent4 6 2" xfId="2865"/>
    <cellStyle name="40% - Accent4 6 2 2" xfId="4229"/>
    <cellStyle name="40% - Accent4 6 3" xfId="4230"/>
    <cellStyle name="40% - Accent4 7" xfId="2009"/>
    <cellStyle name="40% - Accent4 7 2" xfId="3664"/>
    <cellStyle name="40% - Accent4 8" xfId="403"/>
    <cellStyle name="40% - Accent4 8 2" xfId="2071"/>
    <cellStyle name="40% - Accent4 9" xfId="2054"/>
    <cellStyle name="40% - Accent5" xfId="295" builtinId="47" customBuiltin="1"/>
    <cellStyle name="40% - Accent5 2" xfId="38"/>
    <cellStyle name="40% - Accent5 2 2" xfId="908"/>
    <cellStyle name="40% - Accent5 2 2 2" xfId="1707"/>
    <cellStyle name="40% - Accent5 2 2 2 2" xfId="3366"/>
    <cellStyle name="40% - Accent5 2 2 2 2 2" xfId="4231"/>
    <cellStyle name="40% - Accent5 2 2 2 3" xfId="4232"/>
    <cellStyle name="40% - Accent5 2 2 3" xfId="2572"/>
    <cellStyle name="40% - Accent5 2 2 3 2" xfId="4233"/>
    <cellStyle name="40% - Accent5 2 2 4" xfId="4234"/>
    <cellStyle name="40% - Accent5 2 3" xfId="1311"/>
    <cellStyle name="40% - Accent5 2 3 2" xfId="2970"/>
    <cellStyle name="40% - Accent5 2 3 2 2" xfId="4235"/>
    <cellStyle name="40% - Accent5 2 3 3" xfId="4236"/>
    <cellStyle name="40% - Accent5 2 4" xfId="2176"/>
    <cellStyle name="40% - Accent5 2 4 2" xfId="4237"/>
    <cellStyle name="40% - Accent5 2 5" xfId="4238"/>
    <cellStyle name="40% - Accent5 2 6" xfId="8752"/>
    <cellStyle name="40% - Accent5 2 7" xfId="8887"/>
    <cellStyle name="40% - Accent5 2 8" xfId="8937"/>
    <cellStyle name="40% - Accent5 2 9" xfId="8977"/>
    <cellStyle name="40% - Accent5 3" xfId="37"/>
    <cellStyle name="40% - Accent5 3 2" xfId="938"/>
    <cellStyle name="40% - Accent5 3 2 2" xfId="1737"/>
    <cellStyle name="40% - Accent5 3 2 2 2" xfId="3396"/>
    <cellStyle name="40% - Accent5 3 2 2 2 2" xfId="4239"/>
    <cellStyle name="40% - Accent5 3 2 2 3" xfId="4240"/>
    <cellStyle name="40% - Accent5 3 2 3" xfId="2602"/>
    <cellStyle name="40% - Accent5 3 2 3 2" xfId="4241"/>
    <cellStyle name="40% - Accent5 3 2 4" xfId="4242"/>
    <cellStyle name="40% - Accent5 3 3" xfId="1341"/>
    <cellStyle name="40% - Accent5 3 3 2" xfId="3000"/>
    <cellStyle name="40% - Accent5 3 3 2 2" xfId="4243"/>
    <cellStyle name="40% - Accent5 3 3 3" xfId="4244"/>
    <cellStyle name="40% - Accent5 3 4" xfId="2206"/>
    <cellStyle name="40% - Accent5 3 4 2" xfId="4245"/>
    <cellStyle name="40% - Accent5 3 5" xfId="541"/>
    <cellStyle name="40% - Accent5 4" xfId="762"/>
    <cellStyle name="40% - Accent5 4 2" xfId="1159"/>
    <cellStyle name="40% - Accent5 4 2 2" xfId="1958"/>
    <cellStyle name="40% - Accent5 4 2 2 2" xfId="3617"/>
    <cellStyle name="40% - Accent5 4 2 2 2 2" xfId="4246"/>
    <cellStyle name="40% - Accent5 4 2 2 3" xfId="4247"/>
    <cellStyle name="40% - Accent5 4 2 3" xfId="2823"/>
    <cellStyle name="40% - Accent5 4 2 3 2" xfId="4248"/>
    <cellStyle name="40% - Accent5 4 2 4" xfId="4249"/>
    <cellStyle name="40% - Accent5 4 3" xfId="1562"/>
    <cellStyle name="40% - Accent5 4 3 2" xfId="3221"/>
    <cellStyle name="40% - Accent5 4 3 2 2" xfId="4250"/>
    <cellStyle name="40% - Accent5 4 3 3" xfId="4251"/>
    <cellStyle name="40% - Accent5 4 4" xfId="2427"/>
    <cellStyle name="40% - Accent5 4 4 2" xfId="4252"/>
    <cellStyle name="40% - Accent5 4 5" xfId="4253"/>
    <cellStyle name="40% - Accent5 5" xfId="805"/>
    <cellStyle name="40% - Accent5 5 2" xfId="1604"/>
    <cellStyle name="40% - Accent5 5 2 2" xfId="3263"/>
    <cellStyle name="40% - Accent5 5 2 2 2" xfId="4254"/>
    <cellStyle name="40% - Accent5 5 2 3" xfId="4255"/>
    <cellStyle name="40% - Accent5 5 3" xfId="2469"/>
    <cellStyle name="40% - Accent5 5 3 2" xfId="4256"/>
    <cellStyle name="40% - Accent5 5 4" xfId="4257"/>
    <cellStyle name="40% - Accent5 6" xfId="1208"/>
    <cellStyle name="40% - Accent5 6 2" xfId="2867"/>
    <cellStyle name="40% - Accent5 6 2 2" xfId="4258"/>
    <cellStyle name="40% - Accent5 6 3" xfId="4259"/>
    <cellStyle name="40% - Accent5 7" xfId="2012"/>
    <cellStyle name="40% - Accent5 7 2" xfId="3667"/>
    <cellStyle name="40% - Accent5 8" xfId="405"/>
    <cellStyle name="40% - Accent5 8 2" xfId="2073"/>
    <cellStyle name="40% - Accent5 9" xfId="2056"/>
    <cellStyle name="40% - Accent6" xfId="299" builtinId="51" customBuiltin="1"/>
    <cellStyle name="40% - Accent6 2" xfId="40"/>
    <cellStyle name="40% - Accent6 2 2" xfId="911"/>
    <cellStyle name="40% - Accent6 2 2 2" xfId="1710"/>
    <cellStyle name="40% - Accent6 2 2 2 2" xfId="3369"/>
    <cellStyle name="40% - Accent6 2 2 2 2 2" xfId="4260"/>
    <cellStyle name="40% - Accent6 2 2 2 3" xfId="4261"/>
    <cellStyle name="40% - Accent6 2 2 3" xfId="2575"/>
    <cellStyle name="40% - Accent6 2 2 3 2" xfId="4262"/>
    <cellStyle name="40% - Accent6 2 2 4" xfId="4263"/>
    <cellStyle name="40% - Accent6 2 3" xfId="1314"/>
    <cellStyle name="40% - Accent6 2 3 2" xfId="2973"/>
    <cellStyle name="40% - Accent6 2 3 2 2" xfId="4264"/>
    <cellStyle name="40% - Accent6 2 3 3" xfId="4265"/>
    <cellStyle name="40% - Accent6 2 4" xfId="2179"/>
    <cellStyle name="40% - Accent6 2 4 2" xfId="4266"/>
    <cellStyle name="40% - Accent6 2 5" xfId="4267"/>
    <cellStyle name="40% - Accent6 2 6" xfId="8753"/>
    <cellStyle name="40% - Accent6 2 7" xfId="8886"/>
    <cellStyle name="40% - Accent6 2 8" xfId="8936"/>
    <cellStyle name="40% - Accent6 2 9" xfId="8976"/>
    <cellStyle name="40% - Accent6 3" xfId="39"/>
    <cellStyle name="40% - Accent6 3 2" xfId="942"/>
    <cellStyle name="40% - Accent6 3 2 2" xfId="1741"/>
    <cellStyle name="40% - Accent6 3 2 2 2" xfId="3400"/>
    <cellStyle name="40% - Accent6 3 2 2 2 2" xfId="4268"/>
    <cellStyle name="40% - Accent6 3 2 2 3" xfId="4269"/>
    <cellStyle name="40% - Accent6 3 2 3" xfId="2606"/>
    <cellStyle name="40% - Accent6 3 2 3 2" xfId="4270"/>
    <cellStyle name="40% - Accent6 3 2 4" xfId="4271"/>
    <cellStyle name="40% - Accent6 3 3" xfId="1345"/>
    <cellStyle name="40% - Accent6 3 3 2" xfId="3004"/>
    <cellStyle name="40% - Accent6 3 3 2 2" xfId="4272"/>
    <cellStyle name="40% - Accent6 3 3 3" xfId="4273"/>
    <cellStyle name="40% - Accent6 3 4" xfId="2210"/>
    <cellStyle name="40% - Accent6 3 4 2" xfId="4274"/>
    <cellStyle name="40% - Accent6 3 5" xfId="545"/>
    <cellStyle name="40% - Accent6 4" xfId="766"/>
    <cellStyle name="40% - Accent6 4 2" xfId="1163"/>
    <cellStyle name="40% - Accent6 4 2 2" xfId="1962"/>
    <cellStyle name="40% - Accent6 4 2 2 2" xfId="3621"/>
    <cellStyle name="40% - Accent6 4 2 2 2 2" xfId="4275"/>
    <cellStyle name="40% - Accent6 4 2 2 3" xfId="4276"/>
    <cellStyle name="40% - Accent6 4 2 3" xfId="2827"/>
    <cellStyle name="40% - Accent6 4 2 3 2" xfId="4277"/>
    <cellStyle name="40% - Accent6 4 2 4" xfId="4278"/>
    <cellStyle name="40% - Accent6 4 3" xfId="1566"/>
    <cellStyle name="40% - Accent6 4 3 2" xfId="3225"/>
    <cellStyle name="40% - Accent6 4 3 2 2" xfId="4279"/>
    <cellStyle name="40% - Accent6 4 3 3" xfId="4280"/>
    <cellStyle name="40% - Accent6 4 4" xfId="2431"/>
    <cellStyle name="40% - Accent6 4 4 2" xfId="4281"/>
    <cellStyle name="40% - Accent6 4 5" xfId="4282"/>
    <cellStyle name="40% - Accent6 5" xfId="807"/>
    <cellStyle name="40% - Accent6 5 2" xfId="1606"/>
    <cellStyle name="40% - Accent6 5 2 2" xfId="3265"/>
    <cellStyle name="40% - Accent6 5 2 2 2" xfId="4283"/>
    <cellStyle name="40% - Accent6 5 2 3" xfId="4284"/>
    <cellStyle name="40% - Accent6 5 3" xfId="2471"/>
    <cellStyle name="40% - Accent6 5 3 2" xfId="4285"/>
    <cellStyle name="40% - Accent6 5 4" xfId="4286"/>
    <cellStyle name="40% - Accent6 6" xfId="1210"/>
    <cellStyle name="40% - Accent6 6 2" xfId="2869"/>
    <cellStyle name="40% - Accent6 6 2 2" xfId="4287"/>
    <cellStyle name="40% - Accent6 6 3" xfId="4288"/>
    <cellStyle name="40% - Accent6 7" xfId="2014"/>
    <cellStyle name="40% - Accent6 7 2" xfId="3669"/>
    <cellStyle name="40% - Accent6 8" xfId="407"/>
    <cellStyle name="40% - Accent6 8 2" xfId="2075"/>
    <cellStyle name="40% - Accent6 9" xfId="2058"/>
    <cellStyle name="60% - Accent1" xfId="280" builtinId="32" customBuiltin="1"/>
    <cellStyle name="60% - Accent1 2" xfId="42"/>
    <cellStyle name="60% - Accent1 2 2" xfId="8754"/>
    <cellStyle name="60% - Accent1 2 3" xfId="8885"/>
    <cellStyle name="60% - Accent1 2 4" xfId="8935"/>
    <cellStyle name="60% - Accent1 2 5" xfId="8975"/>
    <cellStyle name="60% - Accent1 3" xfId="41"/>
    <cellStyle name="60% - Accent2" xfId="284" builtinId="36" customBuiltin="1"/>
    <cellStyle name="60% - Accent2 2" xfId="44"/>
    <cellStyle name="60% - Accent2 2 2" xfId="8756"/>
    <cellStyle name="60% - Accent2 2 3" xfId="8884"/>
    <cellStyle name="60% - Accent2 2 4" xfId="8934"/>
    <cellStyle name="60% - Accent2 2 5" xfId="8974"/>
    <cellStyle name="60% - Accent2 3" xfId="43"/>
    <cellStyle name="60% - Accent3" xfId="288" builtinId="40" customBuiltin="1"/>
    <cellStyle name="60% - Accent3 2" xfId="46"/>
    <cellStyle name="60% - Accent3 2 2" xfId="8757"/>
    <cellStyle name="60% - Accent3 2 3" xfId="8882"/>
    <cellStyle name="60% - Accent3 2 4" xfId="8933"/>
    <cellStyle name="60% - Accent3 2 5" xfId="8973"/>
    <cellStyle name="60% - Accent3 3" xfId="45"/>
    <cellStyle name="60% - Accent4" xfId="292" builtinId="44" customBuiltin="1"/>
    <cellStyle name="60% - Accent4 2" xfId="48"/>
    <cellStyle name="60% - Accent4 2 2" xfId="8759"/>
    <cellStyle name="60% - Accent4 2 3" xfId="8881"/>
    <cellStyle name="60% - Accent4 2 4" xfId="8931"/>
    <cellStyle name="60% - Accent4 2 5" xfId="8972"/>
    <cellStyle name="60% - Accent4 3" xfId="47"/>
    <cellStyle name="60% - Accent5" xfId="296" builtinId="48" customBuiltin="1"/>
    <cellStyle name="60% - Accent5 2" xfId="50"/>
    <cellStyle name="60% - Accent5 2 2" xfId="8761"/>
    <cellStyle name="60% - Accent5 2 3" xfId="8879"/>
    <cellStyle name="60% - Accent5 2 4" xfId="8930"/>
    <cellStyle name="60% - Accent5 2 5" xfId="8971"/>
    <cellStyle name="60% - Accent5 3" xfId="49"/>
    <cellStyle name="60% - Accent6" xfId="300" builtinId="52" customBuiltin="1"/>
    <cellStyle name="60% - Accent6 2" xfId="52"/>
    <cellStyle name="60% - Accent6 2 2" xfId="8763"/>
    <cellStyle name="60% - Accent6 2 3" xfId="8877"/>
    <cellStyle name="60% - Accent6 2 4" xfId="8928"/>
    <cellStyle name="60% - Accent6 2 5" xfId="8970"/>
    <cellStyle name="60% - Accent6 3" xfId="51"/>
    <cellStyle name="Accent1" xfId="277" builtinId="29" customBuiltin="1"/>
    <cellStyle name="Accent1 2" xfId="54"/>
    <cellStyle name="Accent1 2 2" xfId="8764"/>
    <cellStyle name="Accent1 2 3" xfId="8875"/>
    <cellStyle name="Accent1 2 4" xfId="8926"/>
    <cellStyle name="Accent1 2 5" xfId="8969"/>
    <cellStyle name="Accent1 3" xfId="53"/>
    <cellStyle name="Accent2" xfId="281" builtinId="33" customBuiltin="1"/>
    <cellStyle name="Accent2 2" xfId="56"/>
    <cellStyle name="Accent2 2 2" xfId="8765"/>
    <cellStyle name="Accent2 2 3" xfId="8874"/>
    <cellStyle name="Accent2 2 4" xfId="8924"/>
    <cellStyle name="Accent2 2 5" xfId="8968"/>
    <cellStyle name="Accent2 3" xfId="55"/>
    <cellStyle name="Accent3" xfId="285" builtinId="37" customBuiltin="1"/>
    <cellStyle name="Accent3 2" xfId="58"/>
    <cellStyle name="Accent3 2 2" xfId="8767"/>
    <cellStyle name="Accent3 2 3" xfId="8872"/>
    <cellStyle name="Accent3 2 4" xfId="8922"/>
    <cellStyle name="Accent3 2 5" xfId="8966"/>
    <cellStyle name="Accent3 3" xfId="57"/>
    <cellStyle name="Accent4" xfId="289" builtinId="41" customBuiltin="1"/>
    <cellStyle name="Accent4 2" xfId="60"/>
    <cellStyle name="Accent4 2 2" xfId="8769"/>
    <cellStyle name="Accent4 2 3" xfId="8869"/>
    <cellStyle name="Accent4 2 4" xfId="8733"/>
    <cellStyle name="Accent4 2 5" xfId="8913"/>
    <cellStyle name="Accent4 3" xfId="59"/>
    <cellStyle name="Accent5" xfId="293" builtinId="45" customBuiltin="1"/>
    <cellStyle name="Accent5 2" xfId="62"/>
    <cellStyle name="Accent5 2 2" xfId="8771"/>
    <cellStyle name="Accent5 2 3" xfId="8864"/>
    <cellStyle name="Accent5 2 4" xfId="8734"/>
    <cellStyle name="Accent5 2 5" xfId="8912"/>
    <cellStyle name="Accent5 3" xfId="61"/>
    <cellStyle name="Accent6" xfId="297" builtinId="49" customBuiltin="1"/>
    <cellStyle name="Accent6 2" xfId="64"/>
    <cellStyle name="Accent6 2 2" xfId="8773"/>
    <cellStyle name="Accent6 2 3" xfId="8862"/>
    <cellStyle name="Accent6 2 4" xfId="8735"/>
    <cellStyle name="Accent6 2 5" xfId="8911"/>
    <cellStyle name="Accent6 3" xfId="63"/>
    <cellStyle name="B -" xfId="65"/>
    <cellStyle name="B - Center - Title Top" xfId="66"/>
    <cellStyle name="B -_Discoverer Emissions Chukchi OCS_091709" xfId="67"/>
    <cellStyle name="Background" xfId="328"/>
    <cellStyle name="Bad" xfId="267" builtinId="27" customBuiltin="1"/>
    <cellStyle name="Bad 2" xfId="69"/>
    <cellStyle name="Bad 2 2" xfId="8775"/>
    <cellStyle name="Bad 2 3" xfId="8860"/>
    <cellStyle name="Bad 2 4" xfId="8736"/>
    <cellStyle name="Bad 2 5" xfId="8908"/>
    <cellStyle name="Bad 3" xfId="68"/>
    <cellStyle name="bold" xfId="4289"/>
    <cellStyle name="Calculation" xfId="271" builtinId="22" customBuiltin="1"/>
    <cellStyle name="Calculation 2" xfId="71"/>
    <cellStyle name="Calculation 2 2" xfId="8777"/>
    <cellStyle name="Calculation 2 2 2" xfId="10381"/>
    <cellStyle name="Calculation 2 3" xfId="8859"/>
    <cellStyle name="Calculation 2 3 2" xfId="10415"/>
    <cellStyle name="Calculation 2 4" xfId="8739"/>
    <cellStyle name="Calculation 2 4 2" xfId="10379"/>
    <cellStyle name="Calculation 2 5" xfId="8899"/>
    <cellStyle name="Calculation 2 5 2" xfId="10420"/>
    <cellStyle name="Calculation 3" xfId="70"/>
    <cellStyle name="Calculation 3 2" xfId="9367"/>
    <cellStyle name="Calculation 3 3" xfId="10029"/>
    <cellStyle name="Calculation 3 4" xfId="9015"/>
    <cellStyle name="Calculation 4" xfId="3751"/>
    <cellStyle name="Calculation 4 2" xfId="8565"/>
    <cellStyle name="Calculation 4 2 2" xfId="9928"/>
    <cellStyle name="Calculation 4 2 3" xfId="10276"/>
    <cellStyle name="Calculation 4 2 4" xfId="9266"/>
    <cellStyle name="Calculation 4 3" xfId="9692"/>
    <cellStyle name="Calculation 4 4" xfId="9444"/>
    <cellStyle name="Calculation 4 5" xfId="10104"/>
    <cellStyle name="Calculation 4 6" xfId="9093"/>
    <cellStyle name="Calculation 5" xfId="3799"/>
    <cellStyle name="Calculation 5 2" xfId="8613"/>
    <cellStyle name="Calculation 5 2 2" xfId="9944"/>
    <cellStyle name="Calculation 5 2 3" xfId="10292"/>
    <cellStyle name="Calculation 5 2 4" xfId="9282"/>
    <cellStyle name="Calculation 5 3" xfId="9740"/>
    <cellStyle name="Calculation 5 4" xfId="9460"/>
    <cellStyle name="Calculation 5 5" xfId="10120"/>
    <cellStyle name="Calculation 5 6" xfId="9109"/>
    <cellStyle name="Calculation 6" xfId="3886"/>
    <cellStyle name="Calculation 6 2" xfId="8688"/>
    <cellStyle name="Calculation 6 2 2" xfId="10015"/>
    <cellStyle name="Calculation 6 2 3" xfId="10363"/>
    <cellStyle name="Calculation 6 2 4" xfId="9353"/>
    <cellStyle name="Calculation 6 3" xfId="9815"/>
    <cellStyle name="Calculation 6 4" xfId="9531"/>
    <cellStyle name="Calculation 6 5" xfId="10191"/>
    <cellStyle name="Calculation 6 6" xfId="9180"/>
    <cellStyle name="CB&amp;I Normal" xfId="329"/>
    <cellStyle name="Check Cell" xfId="273" builtinId="23" customBuiltin="1"/>
    <cellStyle name="Check Cell 2" xfId="73"/>
    <cellStyle name="Check Cell 2 2" xfId="8778"/>
    <cellStyle name="Check Cell 2 3" xfId="8857"/>
    <cellStyle name="Check Cell 2 4" xfId="8744"/>
    <cellStyle name="Check Cell 2 5" xfId="8895"/>
    <cellStyle name="Check Cell 3" xfId="72"/>
    <cellStyle name="Comma" xfId="1" builtinId="3"/>
    <cellStyle name="Comma  - Style1" xfId="75"/>
    <cellStyle name="Comma  - Style2" xfId="76"/>
    <cellStyle name="Comma  - Style3" xfId="77"/>
    <cellStyle name="Comma  - Style4" xfId="78"/>
    <cellStyle name="Comma  - Style5" xfId="79"/>
    <cellStyle name="Comma  - Style6" xfId="80"/>
    <cellStyle name="Comma  - Style7" xfId="81"/>
    <cellStyle name="Comma  - Style8" xfId="82"/>
    <cellStyle name="Comma 10" xfId="247"/>
    <cellStyle name="Comma 10 2" xfId="8443"/>
    <cellStyle name="Comma 10 3" xfId="9570"/>
    <cellStyle name="Comma 11" xfId="248"/>
    <cellStyle name="Comma 11 2" xfId="8444"/>
    <cellStyle name="Comma 11 3" xfId="9571"/>
    <cellStyle name="Comma 12" xfId="3753"/>
    <cellStyle name="Comma 12 2" xfId="8567"/>
    <cellStyle name="Comma 12 3" xfId="9694"/>
    <cellStyle name="Comma 13" xfId="3767"/>
    <cellStyle name="Comma 13 2" xfId="8581"/>
    <cellStyle name="Comma 13 3" xfId="9708"/>
    <cellStyle name="Comma 14" xfId="3757"/>
    <cellStyle name="Comma 14 2" xfId="8571"/>
    <cellStyle name="Comma 14 3" xfId="9698"/>
    <cellStyle name="Comma 15" xfId="3778"/>
    <cellStyle name="Comma 15 2" xfId="8592"/>
    <cellStyle name="Comma 15 3" xfId="9719"/>
    <cellStyle name="Comma 16" xfId="3755"/>
    <cellStyle name="Comma 16 2" xfId="8569"/>
    <cellStyle name="Comma 16 3" xfId="9696"/>
    <cellStyle name="Comma 17" xfId="3779"/>
    <cellStyle name="Comma 17 2" xfId="8593"/>
    <cellStyle name="Comma 17 3" xfId="9720"/>
    <cellStyle name="Comma 18" xfId="3763"/>
    <cellStyle name="Comma 18 2" xfId="8577"/>
    <cellStyle name="Comma 18 3" xfId="9704"/>
    <cellStyle name="Comma 19" xfId="3785"/>
    <cellStyle name="Comma 19 2" xfId="8599"/>
    <cellStyle name="Comma 19 3" xfId="9726"/>
    <cellStyle name="Comma 2" xfId="83"/>
    <cellStyle name="Comma 2 2" xfId="84"/>
    <cellStyle name="Comma 2 2 2" xfId="420"/>
    <cellStyle name="Comma 2 2 2 2" xfId="8481"/>
    <cellStyle name="Comma 2 2 2 3" xfId="8780"/>
    <cellStyle name="Comma 2 2 2 3 2" xfId="10383"/>
    <cellStyle name="Comma 2 2 2 3 3" xfId="9608"/>
    <cellStyle name="Comma 2 2 2 4" xfId="8850"/>
    <cellStyle name="Comma 2 2 2 5" xfId="8766"/>
    <cellStyle name="Comma 2 2 2 6" xfId="8873"/>
    <cellStyle name="Comma 2 2 3" xfId="379"/>
    <cellStyle name="Comma 2 3" xfId="410"/>
    <cellStyle name="Comma 2 4" xfId="8424"/>
    <cellStyle name="Comma 2 5" xfId="9551"/>
    <cellStyle name="Comma 20" xfId="3762"/>
    <cellStyle name="Comma 20 2" xfId="8576"/>
    <cellStyle name="Comma 20 3" xfId="9703"/>
    <cellStyle name="Comma 21" xfId="3786"/>
    <cellStyle name="Comma 21 2" xfId="8600"/>
    <cellStyle name="Comma 21 3" xfId="9727"/>
    <cellStyle name="Comma 22" xfId="3766"/>
    <cellStyle name="Comma 22 2" xfId="8580"/>
    <cellStyle name="Comma 22 3" xfId="9707"/>
    <cellStyle name="Comma 23" xfId="3789"/>
    <cellStyle name="Comma 23 2" xfId="8603"/>
    <cellStyle name="Comma 23 3" xfId="9730"/>
    <cellStyle name="Comma 24" xfId="3800"/>
    <cellStyle name="Comma 24 2" xfId="8614"/>
    <cellStyle name="Comma 24 3" xfId="9741"/>
    <cellStyle name="Comma 25" xfId="3887"/>
    <cellStyle name="Comma 25 2" xfId="8689"/>
    <cellStyle name="Comma 25 3" xfId="9816"/>
    <cellStyle name="Comma 26" xfId="3890"/>
    <cellStyle name="Comma 26 2" xfId="8692"/>
    <cellStyle name="Comma 26 3" xfId="9819"/>
    <cellStyle name="Comma 27" xfId="3898"/>
    <cellStyle name="Comma 27 2" xfId="8700"/>
    <cellStyle name="Comma 27 3" xfId="9827"/>
    <cellStyle name="Comma 28" xfId="8779"/>
    <cellStyle name="Comma 28 2" xfId="10382"/>
    <cellStyle name="Comma 29" xfId="8856"/>
    <cellStyle name="Comma 29 2" xfId="10414"/>
    <cellStyle name="Comma 3" xfId="85"/>
    <cellStyle name="Comma 3 2" xfId="1995"/>
    <cellStyle name="Comma 3 2 2" xfId="4290"/>
    <cellStyle name="Comma 3 2 2 2" xfId="8705"/>
    <cellStyle name="Comma 3 2 2 3" xfId="9832"/>
    <cellStyle name="Comma 3 3" xfId="311"/>
    <cellStyle name="Comma 3 3 2" xfId="8454"/>
    <cellStyle name="Comma 3 3 3" xfId="9581"/>
    <cellStyle name="Comma 3 4" xfId="8781"/>
    <cellStyle name="Comma 3 5" xfId="8849"/>
    <cellStyle name="Comma 3 6" xfId="8768"/>
    <cellStyle name="Comma 3 7" xfId="8870"/>
    <cellStyle name="Comma 30" xfId="8746"/>
    <cellStyle name="Comma 30 2" xfId="10380"/>
    <cellStyle name="Comma 31" xfId="8893"/>
    <cellStyle name="Comma 31 2" xfId="10419"/>
    <cellStyle name="Comma 32" xfId="9023"/>
    <cellStyle name="Comma 4" xfId="86"/>
    <cellStyle name="Comma 4 2" xfId="408"/>
    <cellStyle name="Comma 4 2 2" xfId="8474"/>
    <cellStyle name="Comma 4 2 3" xfId="8783"/>
    <cellStyle name="Comma 4 2 3 2" xfId="10384"/>
    <cellStyle name="Comma 4 2 3 3" xfId="9601"/>
    <cellStyle name="Comma 4 2 4" xfId="8847"/>
    <cellStyle name="Comma 4 2 5" xfId="8772"/>
    <cellStyle name="Comma 4 2 6" xfId="8863"/>
    <cellStyle name="Comma 4 3" xfId="327"/>
    <cellStyle name="Comma 4 4" xfId="8782"/>
    <cellStyle name="Comma 4 5" xfId="8848"/>
    <cellStyle name="Comma 4 6" xfId="8770"/>
    <cellStyle name="Comma 4 7" xfId="8865"/>
    <cellStyle name="Comma 5" xfId="87"/>
    <cellStyle name="Comma 5 2" xfId="88"/>
    <cellStyle name="Comma 5 2 2" xfId="89"/>
    <cellStyle name="Comma 5 2 2 2" xfId="8427"/>
    <cellStyle name="Comma 5 2 2 3" xfId="9554"/>
    <cellStyle name="Comma 5 2 3" xfId="8426"/>
    <cellStyle name="Comma 5 2 4" xfId="9553"/>
    <cellStyle name="Comma 5 3" xfId="370"/>
    <cellStyle name="Comma 5 3 2" xfId="8785"/>
    <cellStyle name="Comma 5 3 3" xfId="8845"/>
    <cellStyle name="Comma 5 3 4" xfId="8774"/>
    <cellStyle name="Comma 5 3 5" xfId="8861"/>
    <cellStyle name="Comma 5 4" xfId="8425"/>
    <cellStyle name="Comma 5 5" xfId="9552"/>
    <cellStyle name="Comma 6" xfId="90"/>
    <cellStyle name="Comma 6 2" xfId="8428"/>
    <cellStyle name="Comma 6 3" xfId="9555"/>
    <cellStyle name="Comma 7" xfId="74"/>
    <cellStyle name="Comma 8" xfId="250"/>
    <cellStyle name="Comma 9" xfId="252"/>
    <cellStyle name="Comma 9 2" xfId="8445"/>
    <cellStyle name="Comma 9 3" xfId="9572"/>
    <cellStyle name="comma thou" xfId="324"/>
    <cellStyle name="Comma0" xfId="330"/>
    <cellStyle name="Comment" xfId="91"/>
    <cellStyle name="Currenby_PSV-020crit.XLS" xfId="331"/>
    <cellStyle name="Currency [0]b" xfId="92"/>
    <cellStyle name="currency(2)" xfId="93"/>
    <cellStyle name="Currency0" xfId="332"/>
    <cellStyle name="Date" xfId="333"/>
    <cellStyle name="Dezimal [0]_C4-Data-ZAV-USA" xfId="334"/>
    <cellStyle name="Dezimal_C4-Data-ZAV-USA" xfId="335"/>
    <cellStyle name="Explanatory Text" xfId="275" builtinId="53" customBuiltin="1"/>
    <cellStyle name="Explanatory Text 2" xfId="95"/>
    <cellStyle name="Explanatory Text 2 2" xfId="8786"/>
    <cellStyle name="Explanatory Text 2 3" xfId="8843"/>
    <cellStyle name="Explanatory Text 2 4" xfId="8784"/>
    <cellStyle name="Explanatory Text 2 5" xfId="8846"/>
    <cellStyle name="Explanatory Text 3" xfId="94"/>
    <cellStyle name="F2" xfId="312"/>
    <cellStyle name="F2 - Style4" xfId="336"/>
    <cellStyle name="F2_15193-DS-011-V-82-1" xfId="337"/>
    <cellStyle name="F3" xfId="313"/>
    <cellStyle name="F4" xfId="314"/>
    <cellStyle name="F5" xfId="315"/>
    <cellStyle name="F5 - Style3" xfId="338"/>
    <cellStyle name="F5_15193-DS-011-V-82-1" xfId="339"/>
    <cellStyle name="F6" xfId="316"/>
    <cellStyle name="F6 - Style2" xfId="340"/>
    <cellStyle name="F6_15193-DS-011-V-82-1" xfId="341"/>
    <cellStyle name="F7" xfId="317"/>
    <cellStyle name="F7 - Style1" xfId="342"/>
    <cellStyle name="F7_15193-DS-011-V-82-1" xfId="343"/>
    <cellStyle name="F8" xfId="318"/>
    <cellStyle name="F8 - Style5" xfId="344"/>
    <cellStyle name="F8_15193-DS-011-V-82-1" xfId="345"/>
    <cellStyle name="F9 - Style6" xfId="346"/>
    <cellStyle name="F9 - Style6 10" xfId="3734"/>
    <cellStyle name="F9 - Style6 10 2" xfId="8548"/>
    <cellStyle name="F9 - Style6 10 2 2" xfId="9916"/>
    <cellStyle name="F9 - Style6 10 2 3" xfId="10264"/>
    <cellStyle name="F9 - Style6 10 2 4" xfId="9254"/>
    <cellStyle name="F9 - Style6 10 3" xfId="9675"/>
    <cellStyle name="F9 - Style6 10 4" xfId="9432"/>
    <cellStyle name="F9 - Style6 10 5" xfId="10092"/>
    <cellStyle name="F9 - Style6 10 6" xfId="9081"/>
    <cellStyle name="F9 - Style6 11" xfId="3807"/>
    <cellStyle name="F9 - Style6 11 2" xfId="8620"/>
    <cellStyle name="F9 - Style6 11 2 2" xfId="9949"/>
    <cellStyle name="F9 - Style6 11 2 3" xfId="10297"/>
    <cellStyle name="F9 - Style6 11 2 4" xfId="9287"/>
    <cellStyle name="F9 - Style6 11 3" xfId="9747"/>
    <cellStyle name="F9 - Style6 11 4" xfId="9465"/>
    <cellStyle name="F9 - Style6 11 5" xfId="10125"/>
    <cellStyle name="F9 - Style6 11 6" xfId="9114"/>
    <cellStyle name="F9 - Style6 12" xfId="3847"/>
    <cellStyle name="F9 - Style6 12 2" xfId="8652"/>
    <cellStyle name="F9 - Style6 12 2 2" xfId="9981"/>
    <cellStyle name="F9 - Style6 12 2 3" xfId="10329"/>
    <cellStyle name="F9 - Style6 12 2 4" xfId="9319"/>
    <cellStyle name="F9 - Style6 12 3" xfId="9779"/>
    <cellStyle name="F9 - Style6 12 4" xfId="9497"/>
    <cellStyle name="F9 - Style6 12 5" xfId="10157"/>
    <cellStyle name="F9 - Style6 12 6" xfId="9146"/>
    <cellStyle name="F9 - Style6 13" xfId="3842"/>
    <cellStyle name="F9 - Style6 13 2" xfId="8647"/>
    <cellStyle name="F9 - Style6 13 2 2" xfId="9976"/>
    <cellStyle name="F9 - Style6 13 2 3" xfId="10324"/>
    <cellStyle name="F9 - Style6 13 2 4" xfId="9314"/>
    <cellStyle name="F9 - Style6 13 3" xfId="9774"/>
    <cellStyle name="F9 - Style6 13 4" xfId="9492"/>
    <cellStyle name="F9 - Style6 13 5" xfId="10152"/>
    <cellStyle name="F9 - Style6 13 6" xfId="9141"/>
    <cellStyle name="F9 - Style6 14" xfId="3827"/>
    <cellStyle name="F9 - Style6 14 2" xfId="8634"/>
    <cellStyle name="F9 - Style6 14 2 2" xfId="9963"/>
    <cellStyle name="F9 - Style6 14 2 3" xfId="10311"/>
    <cellStyle name="F9 - Style6 14 2 4" xfId="9301"/>
    <cellStyle name="F9 - Style6 14 3" xfId="9761"/>
    <cellStyle name="F9 - Style6 14 4" xfId="9479"/>
    <cellStyle name="F9 - Style6 14 5" xfId="10139"/>
    <cellStyle name="F9 - Style6 14 6" xfId="9128"/>
    <cellStyle name="F9 - Style6 15" xfId="3816"/>
    <cellStyle name="F9 - Style6 15 2" xfId="8627"/>
    <cellStyle name="F9 - Style6 15 2 2" xfId="9956"/>
    <cellStyle name="F9 - Style6 15 2 3" xfId="10304"/>
    <cellStyle name="F9 - Style6 15 2 4" xfId="9294"/>
    <cellStyle name="F9 - Style6 15 3" xfId="9754"/>
    <cellStyle name="F9 - Style6 15 4" xfId="9472"/>
    <cellStyle name="F9 - Style6 15 5" xfId="10132"/>
    <cellStyle name="F9 - Style6 15 6" xfId="9121"/>
    <cellStyle name="F9 - Style6 16" xfId="3854"/>
    <cellStyle name="F9 - Style6 16 2" xfId="8659"/>
    <cellStyle name="F9 - Style6 16 2 2" xfId="9988"/>
    <cellStyle name="F9 - Style6 16 2 3" xfId="10336"/>
    <cellStyle name="F9 - Style6 16 2 4" xfId="9326"/>
    <cellStyle name="F9 - Style6 16 3" xfId="9786"/>
    <cellStyle name="F9 - Style6 16 4" xfId="9504"/>
    <cellStyle name="F9 - Style6 16 5" xfId="10164"/>
    <cellStyle name="F9 - Style6 16 6" xfId="9153"/>
    <cellStyle name="F9 - Style6 17" xfId="3869"/>
    <cellStyle name="F9 - Style6 17 2" xfId="8673"/>
    <cellStyle name="F9 - Style6 17 2 2" xfId="10002"/>
    <cellStyle name="F9 - Style6 17 2 3" xfId="10350"/>
    <cellStyle name="F9 - Style6 17 2 4" xfId="9340"/>
    <cellStyle name="F9 - Style6 17 3" xfId="9800"/>
    <cellStyle name="F9 - Style6 17 4" xfId="9518"/>
    <cellStyle name="F9 - Style6 17 5" xfId="10178"/>
    <cellStyle name="F9 - Style6 17 6" xfId="9167"/>
    <cellStyle name="F9 - Style6 18" xfId="3860"/>
    <cellStyle name="F9 - Style6 18 2" xfId="8665"/>
    <cellStyle name="F9 - Style6 18 2 2" xfId="9994"/>
    <cellStyle name="F9 - Style6 18 2 3" xfId="10342"/>
    <cellStyle name="F9 - Style6 18 2 4" xfId="9332"/>
    <cellStyle name="F9 - Style6 18 3" xfId="9792"/>
    <cellStyle name="F9 - Style6 18 4" xfId="9510"/>
    <cellStyle name="F9 - Style6 18 5" xfId="10170"/>
    <cellStyle name="F9 - Style6 18 6" xfId="9159"/>
    <cellStyle name="F9 - Style6 19" xfId="3846"/>
    <cellStyle name="F9 - Style6 19 2" xfId="8651"/>
    <cellStyle name="F9 - Style6 19 2 2" xfId="9980"/>
    <cellStyle name="F9 - Style6 19 2 3" xfId="10328"/>
    <cellStyle name="F9 - Style6 19 2 4" xfId="9318"/>
    <cellStyle name="F9 - Style6 19 3" xfId="9778"/>
    <cellStyle name="F9 - Style6 19 4" xfId="9496"/>
    <cellStyle name="F9 - Style6 19 5" xfId="10156"/>
    <cellStyle name="F9 - Style6 19 6" xfId="9145"/>
    <cellStyle name="F9 - Style6 2" xfId="2857"/>
    <cellStyle name="F9 - Style6 2 10" xfId="3702"/>
    <cellStyle name="F9 - Style6 2 10 2" xfId="8520"/>
    <cellStyle name="F9 - Style6 2 10 2 2" xfId="9888"/>
    <cellStyle name="F9 - Style6 2 10 2 3" xfId="10236"/>
    <cellStyle name="F9 - Style6 2 10 2 4" xfId="9226"/>
    <cellStyle name="F9 - Style6 2 10 3" xfId="9647"/>
    <cellStyle name="F9 - Style6 2 10 4" xfId="9404"/>
    <cellStyle name="F9 - Style6 2 10 5" xfId="10064"/>
    <cellStyle name="F9 - Style6 2 10 6" xfId="9053"/>
    <cellStyle name="F9 - Style6 2 11" xfId="3738"/>
    <cellStyle name="F9 - Style6 2 11 2" xfId="8552"/>
    <cellStyle name="F9 - Style6 2 11 2 2" xfId="9920"/>
    <cellStyle name="F9 - Style6 2 11 2 3" xfId="10268"/>
    <cellStyle name="F9 - Style6 2 11 2 4" xfId="9258"/>
    <cellStyle name="F9 - Style6 2 11 3" xfId="9679"/>
    <cellStyle name="F9 - Style6 2 11 4" xfId="9436"/>
    <cellStyle name="F9 - Style6 2 11 5" xfId="10096"/>
    <cellStyle name="F9 - Style6 2 11 6" xfId="9085"/>
    <cellStyle name="F9 - Style6 2 12" xfId="3709"/>
    <cellStyle name="F9 - Style6 2 12 2" xfId="8527"/>
    <cellStyle name="F9 - Style6 2 12 2 2" xfId="9895"/>
    <cellStyle name="F9 - Style6 2 12 2 3" xfId="10243"/>
    <cellStyle name="F9 - Style6 2 12 2 4" xfId="9233"/>
    <cellStyle name="F9 - Style6 2 12 3" xfId="9654"/>
    <cellStyle name="F9 - Style6 2 12 4" xfId="9411"/>
    <cellStyle name="F9 - Style6 2 12 5" xfId="10071"/>
    <cellStyle name="F9 - Style6 2 12 6" xfId="9060"/>
    <cellStyle name="F9 - Style6 2 13" xfId="3864"/>
    <cellStyle name="F9 - Style6 2 13 2" xfId="8669"/>
    <cellStyle name="F9 - Style6 2 13 2 2" xfId="9998"/>
    <cellStyle name="F9 - Style6 2 13 2 3" xfId="10346"/>
    <cellStyle name="F9 - Style6 2 13 2 4" xfId="9336"/>
    <cellStyle name="F9 - Style6 2 13 3" xfId="9796"/>
    <cellStyle name="F9 - Style6 2 13 4" xfId="9514"/>
    <cellStyle name="F9 - Style6 2 13 5" xfId="10174"/>
    <cellStyle name="F9 - Style6 2 13 6" xfId="9163"/>
    <cellStyle name="F9 - Style6 2 14" xfId="3819"/>
    <cellStyle name="F9 - Style6 2 14 2" xfId="8629"/>
    <cellStyle name="F9 - Style6 2 14 2 2" xfId="9958"/>
    <cellStyle name="F9 - Style6 2 14 2 3" xfId="10306"/>
    <cellStyle name="F9 - Style6 2 14 2 4" xfId="9296"/>
    <cellStyle name="F9 - Style6 2 14 3" xfId="9756"/>
    <cellStyle name="F9 - Style6 2 14 4" xfId="9474"/>
    <cellStyle name="F9 - Style6 2 14 5" xfId="10134"/>
    <cellStyle name="F9 - Style6 2 14 6" xfId="9123"/>
    <cellStyle name="F9 - Style6 2 15" xfId="3875"/>
    <cellStyle name="F9 - Style6 2 15 2" xfId="8679"/>
    <cellStyle name="F9 - Style6 2 15 2 2" xfId="10008"/>
    <cellStyle name="F9 - Style6 2 15 2 3" xfId="10356"/>
    <cellStyle name="F9 - Style6 2 15 2 4" xfId="9346"/>
    <cellStyle name="F9 - Style6 2 15 3" xfId="9806"/>
    <cellStyle name="F9 - Style6 2 15 4" xfId="9524"/>
    <cellStyle name="F9 - Style6 2 15 5" xfId="10184"/>
    <cellStyle name="F9 - Style6 2 15 6" xfId="9173"/>
    <cellStyle name="F9 - Style6 2 16" xfId="3863"/>
    <cellStyle name="F9 - Style6 2 16 2" xfId="8668"/>
    <cellStyle name="F9 - Style6 2 16 2 2" xfId="9997"/>
    <cellStyle name="F9 - Style6 2 16 2 3" xfId="10345"/>
    <cellStyle name="F9 - Style6 2 16 2 4" xfId="9335"/>
    <cellStyle name="F9 - Style6 2 16 3" xfId="9795"/>
    <cellStyle name="F9 - Style6 2 16 4" xfId="9513"/>
    <cellStyle name="F9 - Style6 2 16 5" xfId="10173"/>
    <cellStyle name="F9 - Style6 2 16 6" xfId="9162"/>
    <cellStyle name="F9 - Style6 2 17" xfId="3845"/>
    <cellStyle name="F9 - Style6 2 17 2" xfId="8650"/>
    <cellStyle name="F9 - Style6 2 17 2 2" xfId="9979"/>
    <cellStyle name="F9 - Style6 2 17 2 3" xfId="10327"/>
    <cellStyle name="F9 - Style6 2 17 2 4" xfId="9317"/>
    <cellStyle name="F9 - Style6 2 17 3" xfId="9777"/>
    <cellStyle name="F9 - Style6 2 17 4" xfId="9495"/>
    <cellStyle name="F9 - Style6 2 17 5" xfId="10155"/>
    <cellStyle name="F9 - Style6 2 17 6" xfId="9144"/>
    <cellStyle name="F9 - Style6 2 18" xfId="3829"/>
    <cellStyle name="F9 - Style6 2 18 2" xfId="8636"/>
    <cellStyle name="F9 - Style6 2 18 2 2" xfId="9965"/>
    <cellStyle name="F9 - Style6 2 18 2 3" xfId="10313"/>
    <cellStyle name="F9 - Style6 2 18 2 4" xfId="9303"/>
    <cellStyle name="F9 - Style6 2 18 3" xfId="9763"/>
    <cellStyle name="F9 - Style6 2 18 4" xfId="9481"/>
    <cellStyle name="F9 - Style6 2 18 5" xfId="10141"/>
    <cellStyle name="F9 - Style6 2 18 6" xfId="9130"/>
    <cellStyle name="F9 - Style6 2 19" xfId="3880"/>
    <cellStyle name="F9 - Style6 2 19 2" xfId="8684"/>
    <cellStyle name="F9 - Style6 2 19 2 2" xfId="10013"/>
    <cellStyle name="F9 - Style6 2 19 2 3" xfId="10361"/>
    <cellStyle name="F9 - Style6 2 19 2 4" xfId="9351"/>
    <cellStyle name="F9 - Style6 2 19 3" xfId="9811"/>
    <cellStyle name="F9 - Style6 2 19 4" xfId="9529"/>
    <cellStyle name="F9 - Style6 2 19 5" xfId="10189"/>
    <cellStyle name="F9 - Style6 2 19 6" xfId="9178"/>
    <cellStyle name="F9 - Style6 2 2" xfId="3731"/>
    <cellStyle name="F9 - Style6 2 2 2" xfId="8545"/>
    <cellStyle name="F9 - Style6 2 2 2 2" xfId="9913"/>
    <cellStyle name="F9 - Style6 2 2 2 3" xfId="10261"/>
    <cellStyle name="F9 - Style6 2 2 2 4" xfId="9251"/>
    <cellStyle name="F9 - Style6 2 2 3" xfId="9672"/>
    <cellStyle name="F9 - Style6 2 2 4" xfId="9429"/>
    <cellStyle name="F9 - Style6 2 2 5" xfId="10089"/>
    <cellStyle name="F9 - Style6 2 2 6" xfId="9078"/>
    <cellStyle name="F9 - Style6 2 20" xfId="3873"/>
    <cellStyle name="F9 - Style6 2 20 2" xfId="8677"/>
    <cellStyle name="F9 - Style6 2 20 2 2" xfId="10006"/>
    <cellStyle name="F9 - Style6 2 20 2 3" xfId="10354"/>
    <cellStyle name="F9 - Style6 2 20 2 4" xfId="9344"/>
    <cellStyle name="F9 - Style6 2 20 3" xfId="9804"/>
    <cellStyle name="F9 - Style6 2 20 4" xfId="9522"/>
    <cellStyle name="F9 - Style6 2 20 5" xfId="10182"/>
    <cellStyle name="F9 - Style6 2 20 6" xfId="9171"/>
    <cellStyle name="F9 - Style6 2 21" xfId="3871"/>
    <cellStyle name="F9 - Style6 2 21 2" xfId="8675"/>
    <cellStyle name="F9 - Style6 2 21 2 2" xfId="10004"/>
    <cellStyle name="F9 - Style6 2 21 2 3" xfId="10352"/>
    <cellStyle name="F9 - Style6 2 21 2 4" xfId="9342"/>
    <cellStyle name="F9 - Style6 2 21 3" xfId="9802"/>
    <cellStyle name="F9 - Style6 2 21 4" xfId="9520"/>
    <cellStyle name="F9 - Style6 2 21 5" xfId="10180"/>
    <cellStyle name="F9 - Style6 2 21 6" xfId="9169"/>
    <cellStyle name="F9 - Style6 2 22" xfId="3855"/>
    <cellStyle name="F9 - Style6 2 22 2" xfId="8660"/>
    <cellStyle name="F9 - Style6 2 22 2 2" xfId="9989"/>
    <cellStyle name="F9 - Style6 2 22 2 3" xfId="10337"/>
    <cellStyle name="F9 - Style6 2 22 2 4" xfId="9327"/>
    <cellStyle name="F9 - Style6 2 22 3" xfId="9787"/>
    <cellStyle name="F9 - Style6 2 22 4" xfId="9505"/>
    <cellStyle name="F9 - Style6 2 22 5" xfId="10165"/>
    <cellStyle name="F9 - Style6 2 22 6" xfId="9154"/>
    <cellStyle name="F9 - Style6 2 23" xfId="3862"/>
    <cellStyle name="F9 - Style6 2 23 2" xfId="8667"/>
    <cellStyle name="F9 - Style6 2 23 2 2" xfId="9996"/>
    <cellStyle name="F9 - Style6 2 23 2 3" xfId="10344"/>
    <cellStyle name="F9 - Style6 2 23 2 4" xfId="9334"/>
    <cellStyle name="F9 - Style6 2 23 3" xfId="9794"/>
    <cellStyle name="F9 - Style6 2 23 4" xfId="9512"/>
    <cellStyle name="F9 - Style6 2 23 5" xfId="10172"/>
    <cellStyle name="F9 - Style6 2 23 6" xfId="9161"/>
    <cellStyle name="F9 - Style6 2 24" xfId="3876"/>
    <cellStyle name="F9 - Style6 2 24 2" xfId="8680"/>
    <cellStyle name="F9 - Style6 2 24 2 2" xfId="10009"/>
    <cellStyle name="F9 - Style6 2 24 2 3" xfId="10357"/>
    <cellStyle name="F9 - Style6 2 24 2 4" xfId="9347"/>
    <cellStyle name="F9 - Style6 2 24 3" xfId="9807"/>
    <cellStyle name="F9 - Style6 2 24 4" xfId="9525"/>
    <cellStyle name="F9 - Style6 2 24 5" xfId="10185"/>
    <cellStyle name="F9 - Style6 2 24 6" xfId="9174"/>
    <cellStyle name="F9 - Style6 2 25" xfId="8500"/>
    <cellStyle name="F9 - Style6 2 25 2" xfId="9869"/>
    <cellStyle name="F9 - Style6 2 25 3" xfId="10217"/>
    <cellStyle name="F9 - Style6 2 25 4" xfId="9207"/>
    <cellStyle name="F9 - Style6 2 26" xfId="8794"/>
    <cellStyle name="F9 - Style6 2 26 2" xfId="10390"/>
    <cellStyle name="F9 - Style6 2 26 3" xfId="9627"/>
    <cellStyle name="F9 - Style6 2 27" xfId="8842"/>
    <cellStyle name="F9 - Style6 2 27 2" xfId="10412"/>
    <cellStyle name="F9 - Style6 2 3" xfId="3728"/>
    <cellStyle name="F9 - Style6 2 3 2" xfId="8542"/>
    <cellStyle name="F9 - Style6 2 3 2 2" xfId="9910"/>
    <cellStyle name="F9 - Style6 2 3 2 3" xfId="10258"/>
    <cellStyle name="F9 - Style6 2 3 2 4" xfId="9248"/>
    <cellStyle name="F9 - Style6 2 3 3" xfId="9669"/>
    <cellStyle name="F9 - Style6 2 3 4" xfId="9426"/>
    <cellStyle name="F9 - Style6 2 3 5" xfId="10086"/>
    <cellStyle name="F9 - Style6 2 3 6" xfId="9075"/>
    <cellStyle name="F9 - Style6 2 4" xfId="3689"/>
    <cellStyle name="F9 - Style6 2 4 2" xfId="8509"/>
    <cellStyle name="F9 - Style6 2 4 2 2" xfId="9877"/>
    <cellStyle name="F9 - Style6 2 4 2 3" xfId="10225"/>
    <cellStyle name="F9 - Style6 2 4 2 4" xfId="9215"/>
    <cellStyle name="F9 - Style6 2 4 3" xfId="9636"/>
    <cellStyle name="F9 - Style6 2 4 4" xfId="9393"/>
    <cellStyle name="F9 - Style6 2 4 5" xfId="10053"/>
    <cellStyle name="F9 - Style6 2 4 6" xfId="9042"/>
    <cellStyle name="F9 - Style6 2 5" xfId="382"/>
    <cellStyle name="F9 - Style6 2 5 2" xfId="8468"/>
    <cellStyle name="F9 - Style6 2 5 2 2" xfId="9862"/>
    <cellStyle name="F9 - Style6 2 5 2 3" xfId="10210"/>
    <cellStyle name="F9 - Style6 2 5 2 4" xfId="9200"/>
    <cellStyle name="F9 - Style6 2 5 3" xfId="9595"/>
    <cellStyle name="F9 - Style6 2 5 4" xfId="9380"/>
    <cellStyle name="F9 - Style6 2 5 5" xfId="10042"/>
    <cellStyle name="F9 - Style6 2 5 6" xfId="9028"/>
    <cellStyle name="F9 - Style6 2 6" xfId="3705"/>
    <cellStyle name="F9 - Style6 2 6 2" xfId="8523"/>
    <cellStyle name="F9 - Style6 2 6 2 2" xfId="9891"/>
    <cellStyle name="F9 - Style6 2 6 2 3" xfId="10239"/>
    <cellStyle name="F9 - Style6 2 6 2 4" xfId="9229"/>
    <cellStyle name="F9 - Style6 2 6 3" xfId="9650"/>
    <cellStyle name="F9 - Style6 2 6 4" xfId="9407"/>
    <cellStyle name="F9 - Style6 2 6 5" xfId="10067"/>
    <cellStyle name="F9 - Style6 2 6 6" xfId="9056"/>
    <cellStyle name="F9 - Style6 2 7" xfId="3698"/>
    <cellStyle name="F9 - Style6 2 7 2" xfId="8517"/>
    <cellStyle name="F9 - Style6 2 7 2 2" xfId="9885"/>
    <cellStyle name="F9 - Style6 2 7 2 3" xfId="10233"/>
    <cellStyle name="F9 - Style6 2 7 2 4" xfId="9223"/>
    <cellStyle name="F9 - Style6 2 7 3" xfId="9644"/>
    <cellStyle name="F9 - Style6 2 7 4" xfId="9401"/>
    <cellStyle name="F9 - Style6 2 7 5" xfId="10061"/>
    <cellStyle name="F9 - Style6 2 7 6" xfId="9050"/>
    <cellStyle name="F9 - Style6 2 8" xfId="3743"/>
    <cellStyle name="F9 - Style6 2 8 2" xfId="8557"/>
    <cellStyle name="F9 - Style6 2 8 2 2" xfId="9925"/>
    <cellStyle name="F9 - Style6 2 8 2 3" xfId="10273"/>
    <cellStyle name="F9 - Style6 2 8 2 4" xfId="9263"/>
    <cellStyle name="F9 - Style6 2 8 3" xfId="9684"/>
    <cellStyle name="F9 - Style6 2 8 4" xfId="9441"/>
    <cellStyle name="F9 - Style6 2 8 5" xfId="10101"/>
    <cellStyle name="F9 - Style6 2 8 6" xfId="9090"/>
    <cellStyle name="F9 - Style6 2 9" xfId="3745"/>
    <cellStyle name="F9 - Style6 2 9 2" xfId="8559"/>
    <cellStyle name="F9 - Style6 2 9 2 2" xfId="9927"/>
    <cellStyle name="F9 - Style6 2 9 2 3" xfId="10275"/>
    <cellStyle name="F9 - Style6 2 9 2 4" xfId="9265"/>
    <cellStyle name="F9 - Style6 2 9 3" xfId="9686"/>
    <cellStyle name="F9 - Style6 2 9 4" xfId="9443"/>
    <cellStyle name="F9 - Style6 2 9 5" xfId="10103"/>
    <cellStyle name="F9 - Style6 2 9 6" xfId="9092"/>
    <cellStyle name="F9 - Style6 20" xfId="8793"/>
    <cellStyle name="F9 - Style6 20 2" xfId="10389"/>
    <cellStyle name="F9 - Style6 3" xfId="389"/>
    <cellStyle name="F9 - Style6 3 2" xfId="8470"/>
    <cellStyle name="F9 - Style6 3 2 2" xfId="9864"/>
    <cellStyle name="F9 - Style6 3 2 3" xfId="10212"/>
    <cellStyle name="F9 - Style6 3 2 4" xfId="9202"/>
    <cellStyle name="F9 - Style6 3 3" xfId="8795"/>
    <cellStyle name="F9 - Style6 3 3 2" xfId="10391"/>
    <cellStyle name="F9 - Style6 3 3 3" xfId="9597"/>
    <cellStyle name="F9 - Style6 3 4" xfId="8835"/>
    <cellStyle name="F9 - Style6 3 4 2" xfId="10407"/>
    <cellStyle name="F9 - Style6 3 4 3" xfId="9382"/>
    <cellStyle name="F9 - Style6 3 5" xfId="8787"/>
    <cellStyle name="F9 - Style6 3 5 2" xfId="10385"/>
    <cellStyle name="F9 - Style6 3 6" xfId="8841"/>
    <cellStyle name="F9 - Style6 3 6 2" xfId="10411"/>
    <cellStyle name="F9 - Style6 3 7" xfId="10044"/>
    <cellStyle name="F9 - Style6 3 8" xfId="9030"/>
    <cellStyle name="F9 - Style6 4" xfId="3717"/>
    <cellStyle name="F9 - Style6 4 2" xfId="8535"/>
    <cellStyle name="F9 - Style6 4 2 2" xfId="9903"/>
    <cellStyle name="F9 - Style6 4 2 3" xfId="10251"/>
    <cellStyle name="F9 - Style6 4 2 4" xfId="9241"/>
    <cellStyle name="F9 - Style6 4 3" xfId="8796"/>
    <cellStyle name="F9 - Style6 4 3 2" xfId="10392"/>
    <cellStyle name="F9 - Style6 4 3 3" xfId="9662"/>
    <cellStyle name="F9 - Style6 4 4" xfId="8834"/>
    <cellStyle name="F9 - Style6 4 4 2" xfId="10406"/>
    <cellStyle name="F9 - Style6 4 4 3" xfId="9419"/>
    <cellStyle name="F9 - Style6 4 5" xfId="8788"/>
    <cellStyle name="F9 - Style6 4 5 2" xfId="10386"/>
    <cellStyle name="F9 - Style6 4 6" xfId="8840"/>
    <cellStyle name="F9 - Style6 4 6 2" xfId="10410"/>
    <cellStyle name="F9 - Style6 4 7" xfId="10079"/>
    <cellStyle name="F9 - Style6 4 8" xfId="9068"/>
    <cellStyle name="F9 - Style6 5" xfId="3713"/>
    <cellStyle name="F9 - Style6 5 2" xfId="8531"/>
    <cellStyle name="F9 - Style6 5 2 2" xfId="9899"/>
    <cellStyle name="F9 - Style6 5 2 3" xfId="10247"/>
    <cellStyle name="F9 - Style6 5 2 4" xfId="9237"/>
    <cellStyle name="F9 - Style6 5 3" xfId="9658"/>
    <cellStyle name="F9 - Style6 5 4" xfId="9415"/>
    <cellStyle name="F9 - Style6 5 5" xfId="10075"/>
    <cellStyle name="F9 - Style6 5 6" xfId="9064"/>
    <cellStyle name="F9 - Style6 6" xfId="3741"/>
    <cellStyle name="F9 - Style6 6 2" xfId="8555"/>
    <cellStyle name="F9 - Style6 6 2 2" xfId="9923"/>
    <cellStyle name="F9 - Style6 6 2 3" xfId="10271"/>
    <cellStyle name="F9 - Style6 6 2 4" xfId="9261"/>
    <cellStyle name="F9 - Style6 6 3" xfId="9682"/>
    <cellStyle name="F9 - Style6 6 4" xfId="9439"/>
    <cellStyle name="F9 - Style6 6 5" xfId="10099"/>
    <cellStyle name="F9 - Style6 6 6" xfId="9088"/>
    <cellStyle name="F9 - Style6 7" xfId="3704"/>
    <cellStyle name="F9 - Style6 7 2" xfId="8522"/>
    <cellStyle name="F9 - Style6 7 2 2" xfId="9890"/>
    <cellStyle name="F9 - Style6 7 2 3" xfId="10238"/>
    <cellStyle name="F9 - Style6 7 2 4" xfId="9228"/>
    <cellStyle name="F9 - Style6 7 3" xfId="9649"/>
    <cellStyle name="F9 - Style6 7 4" xfId="9406"/>
    <cellStyle name="F9 - Style6 7 5" xfId="10066"/>
    <cellStyle name="F9 - Style6 7 6" xfId="9055"/>
    <cellStyle name="F9 - Style6 8" xfId="3687"/>
    <cellStyle name="F9 - Style6 8 2" xfId="8507"/>
    <cellStyle name="F9 - Style6 8 2 2" xfId="9875"/>
    <cellStyle name="F9 - Style6 8 2 3" xfId="10223"/>
    <cellStyle name="F9 - Style6 8 2 4" xfId="9213"/>
    <cellStyle name="F9 - Style6 8 3" xfId="9634"/>
    <cellStyle name="F9 - Style6 8 4" xfId="9391"/>
    <cellStyle name="F9 - Style6 8 5" xfId="10051"/>
    <cellStyle name="F9 - Style6 8 6" xfId="9040"/>
    <cellStyle name="F9 - Style6 9" xfId="3716"/>
    <cellStyle name="F9 - Style6 9 2" xfId="8534"/>
    <cellStyle name="F9 - Style6 9 2 2" xfId="9902"/>
    <cellStyle name="F9 - Style6 9 2 3" xfId="10250"/>
    <cellStyle name="F9 - Style6 9 2 4" xfId="9240"/>
    <cellStyle name="F9 - Style6 9 3" xfId="9661"/>
    <cellStyle name="F9 - Style6 9 4" xfId="9418"/>
    <cellStyle name="F9 - Style6 9 5" xfId="10078"/>
    <cellStyle name="F9 - Style6 9 6" xfId="9067"/>
    <cellStyle name="Fixed" xfId="347"/>
    <cellStyle name="fmt" xfId="325"/>
    <cellStyle name="Good" xfId="266" builtinId="26" customBuiltin="1"/>
    <cellStyle name="Good 2" xfId="97"/>
    <cellStyle name="Good 2 2" xfId="8799"/>
    <cellStyle name="Good 2 3" xfId="8832"/>
    <cellStyle name="Good 2 4" xfId="8789"/>
    <cellStyle name="Good 2 5" xfId="8839"/>
    <cellStyle name="Good 3" xfId="96"/>
    <cellStyle name="Grey" xfId="98"/>
    <cellStyle name="Grey 2" xfId="416"/>
    <cellStyle name="Grey 3" xfId="414"/>
    <cellStyle name="Header1" xfId="99"/>
    <cellStyle name="Header2" xfId="100"/>
    <cellStyle name="Header2 10" xfId="3865"/>
    <cellStyle name="Header2 10 2" xfId="8670"/>
    <cellStyle name="Header2 10 2 2" xfId="9999"/>
    <cellStyle name="Header2 10 2 3" xfId="10347"/>
    <cellStyle name="Header2 10 2 4" xfId="9337"/>
    <cellStyle name="Header2 10 3" xfId="9797"/>
    <cellStyle name="Header2 10 4" xfId="9515"/>
    <cellStyle name="Header2 10 5" xfId="10175"/>
    <cellStyle name="Header2 10 6" xfId="9164"/>
    <cellStyle name="Header2 11" xfId="3878"/>
    <cellStyle name="Header2 11 2" xfId="8682"/>
    <cellStyle name="Header2 11 2 2" xfId="10011"/>
    <cellStyle name="Header2 11 2 3" xfId="10359"/>
    <cellStyle name="Header2 11 2 4" xfId="9349"/>
    <cellStyle name="Header2 11 3" xfId="9809"/>
    <cellStyle name="Header2 11 4" xfId="9527"/>
    <cellStyle name="Header2 11 5" xfId="10187"/>
    <cellStyle name="Header2 11 6" xfId="9176"/>
    <cellStyle name="Header2 12" xfId="3841"/>
    <cellStyle name="Header2 12 2" xfId="8646"/>
    <cellStyle name="Header2 12 2 2" xfId="9975"/>
    <cellStyle name="Header2 12 2 3" xfId="10323"/>
    <cellStyle name="Header2 12 2 4" xfId="9313"/>
    <cellStyle name="Header2 12 3" xfId="9773"/>
    <cellStyle name="Header2 12 4" xfId="9491"/>
    <cellStyle name="Header2 12 5" xfId="10151"/>
    <cellStyle name="Header2 12 6" xfId="9140"/>
    <cellStyle name="Header2 2" xfId="2037"/>
    <cellStyle name="Header2 2 10" xfId="3744"/>
    <cellStyle name="Header2 2 10 2" xfId="8558"/>
    <cellStyle name="Header2 2 10 2 2" xfId="9926"/>
    <cellStyle name="Header2 2 10 2 3" xfId="10274"/>
    <cellStyle name="Header2 2 10 2 4" xfId="9264"/>
    <cellStyle name="Header2 2 10 3" xfId="9685"/>
    <cellStyle name="Header2 2 10 4" xfId="9442"/>
    <cellStyle name="Header2 2 10 5" xfId="10102"/>
    <cellStyle name="Header2 2 10 6" xfId="9091"/>
    <cellStyle name="Header2 2 11" xfId="3714"/>
    <cellStyle name="Header2 2 11 2" xfId="8532"/>
    <cellStyle name="Header2 2 11 2 2" xfId="9900"/>
    <cellStyle name="Header2 2 11 2 3" xfId="10248"/>
    <cellStyle name="Header2 2 11 2 4" xfId="9238"/>
    <cellStyle name="Header2 2 11 3" xfId="9659"/>
    <cellStyle name="Header2 2 11 4" xfId="9416"/>
    <cellStyle name="Header2 2 11 5" xfId="10076"/>
    <cellStyle name="Header2 2 11 6" xfId="9065"/>
    <cellStyle name="Header2 2 12" xfId="3737"/>
    <cellStyle name="Header2 2 12 2" xfId="8551"/>
    <cellStyle name="Header2 2 12 2 2" xfId="9919"/>
    <cellStyle name="Header2 2 12 2 3" xfId="10267"/>
    <cellStyle name="Header2 2 12 2 4" xfId="9257"/>
    <cellStyle name="Header2 2 12 3" xfId="9678"/>
    <cellStyle name="Header2 2 12 4" xfId="9435"/>
    <cellStyle name="Header2 2 12 5" xfId="10095"/>
    <cellStyle name="Header2 2 12 6" xfId="9084"/>
    <cellStyle name="Header2 2 13" xfId="3848"/>
    <cellStyle name="Header2 2 13 2" xfId="8653"/>
    <cellStyle name="Header2 2 13 2 2" xfId="9982"/>
    <cellStyle name="Header2 2 13 2 3" xfId="10330"/>
    <cellStyle name="Header2 2 13 2 4" xfId="9320"/>
    <cellStyle name="Header2 2 13 3" xfId="9780"/>
    <cellStyle name="Header2 2 13 4" xfId="9498"/>
    <cellStyle name="Header2 2 13 5" xfId="10158"/>
    <cellStyle name="Header2 2 13 6" xfId="9147"/>
    <cellStyle name="Header2 2 14" xfId="3843"/>
    <cellStyle name="Header2 2 14 2" xfId="8648"/>
    <cellStyle name="Header2 2 14 2 2" xfId="9977"/>
    <cellStyle name="Header2 2 14 2 3" xfId="10325"/>
    <cellStyle name="Header2 2 14 2 4" xfId="9315"/>
    <cellStyle name="Header2 2 14 3" xfId="9775"/>
    <cellStyle name="Header2 2 14 4" xfId="9493"/>
    <cellStyle name="Header2 2 14 5" xfId="10153"/>
    <cellStyle name="Header2 2 14 6" xfId="9142"/>
    <cellStyle name="Header2 2 15" xfId="3808"/>
    <cellStyle name="Header2 2 15 2" xfId="8621"/>
    <cellStyle name="Header2 2 15 2 2" xfId="9950"/>
    <cellStyle name="Header2 2 15 2 3" xfId="10298"/>
    <cellStyle name="Header2 2 15 2 4" xfId="9288"/>
    <cellStyle name="Header2 2 15 3" xfId="9748"/>
    <cellStyle name="Header2 2 15 4" xfId="9466"/>
    <cellStyle name="Header2 2 15 5" xfId="10126"/>
    <cellStyle name="Header2 2 15 6" xfId="9115"/>
    <cellStyle name="Header2 2 16" xfId="3859"/>
    <cellStyle name="Header2 2 16 2" xfId="8664"/>
    <cellStyle name="Header2 2 16 2 2" xfId="9993"/>
    <cellStyle name="Header2 2 16 2 3" xfId="10341"/>
    <cellStyle name="Header2 2 16 2 4" xfId="9331"/>
    <cellStyle name="Header2 2 16 3" xfId="9791"/>
    <cellStyle name="Header2 2 16 4" xfId="9509"/>
    <cellStyle name="Header2 2 16 5" xfId="10169"/>
    <cellStyle name="Header2 2 16 6" xfId="9158"/>
    <cellStyle name="Header2 2 17" xfId="3815"/>
    <cellStyle name="Header2 2 17 2" xfId="8626"/>
    <cellStyle name="Header2 2 17 2 2" xfId="9955"/>
    <cellStyle name="Header2 2 17 2 3" xfId="10303"/>
    <cellStyle name="Header2 2 17 2 4" xfId="9293"/>
    <cellStyle name="Header2 2 17 3" xfId="9753"/>
    <cellStyle name="Header2 2 17 4" xfId="9471"/>
    <cellStyle name="Header2 2 17 5" xfId="10131"/>
    <cellStyle name="Header2 2 17 6" xfId="9120"/>
    <cellStyle name="Header2 2 18" xfId="3837"/>
    <cellStyle name="Header2 2 18 2" xfId="8642"/>
    <cellStyle name="Header2 2 18 2 2" xfId="9971"/>
    <cellStyle name="Header2 2 18 2 3" xfId="10319"/>
    <cellStyle name="Header2 2 18 2 4" xfId="9309"/>
    <cellStyle name="Header2 2 18 3" xfId="9769"/>
    <cellStyle name="Header2 2 18 4" xfId="9487"/>
    <cellStyle name="Header2 2 18 5" xfId="10147"/>
    <cellStyle name="Header2 2 18 6" xfId="9136"/>
    <cellStyle name="Header2 2 19" xfId="3830"/>
    <cellStyle name="Header2 2 19 2" xfId="8637"/>
    <cellStyle name="Header2 2 19 2 2" xfId="9966"/>
    <cellStyle name="Header2 2 19 2 3" xfId="10314"/>
    <cellStyle name="Header2 2 19 2 4" xfId="9304"/>
    <cellStyle name="Header2 2 19 3" xfId="9764"/>
    <cellStyle name="Header2 2 19 4" xfId="9482"/>
    <cellStyle name="Header2 2 19 5" xfId="10142"/>
    <cellStyle name="Header2 2 19 6" xfId="9131"/>
    <cellStyle name="Header2 2 2" xfId="3718"/>
    <cellStyle name="Header2 2 2 2" xfId="8536"/>
    <cellStyle name="Header2 2 2 2 2" xfId="9904"/>
    <cellStyle name="Header2 2 2 2 3" xfId="10252"/>
    <cellStyle name="Header2 2 2 2 4" xfId="9242"/>
    <cellStyle name="Header2 2 2 3" xfId="9663"/>
    <cellStyle name="Header2 2 2 4" xfId="9420"/>
    <cellStyle name="Header2 2 2 5" xfId="10080"/>
    <cellStyle name="Header2 2 2 6" xfId="9069"/>
    <cellStyle name="Header2 2 20" xfId="3857"/>
    <cellStyle name="Header2 2 20 2" xfId="8662"/>
    <cellStyle name="Header2 2 20 2 2" xfId="9991"/>
    <cellStyle name="Header2 2 20 2 3" xfId="10339"/>
    <cellStyle name="Header2 2 20 2 4" xfId="9329"/>
    <cellStyle name="Header2 2 20 3" xfId="9789"/>
    <cellStyle name="Header2 2 20 4" xfId="9507"/>
    <cellStyle name="Header2 2 20 5" xfId="10167"/>
    <cellStyle name="Header2 2 20 6" xfId="9156"/>
    <cellStyle name="Header2 2 21" xfId="3856"/>
    <cellStyle name="Header2 2 21 2" xfId="8661"/>
    <cellStyle name="Header2 2 21 2 2" xfId="9990"/>
    <cellStyle name="Header2 2 21 2 3" xfId="10338"/>
    <cellStyle name="Header2 2 21 2 4" xfId="9328"/>
    <cellStyle name="Header2 2 21 3" xfId="9788"/>
    <cellStyle name="Header2 2 21 4" xfId="9506"/>
    <cellStyle name="Header2 2 21 5" xfId="10166"/>
    <cellStyle name="Header2 2 21 6" xfId="9155"/>
    <cellStyle name="Header2 2 22" xfId="3853"/>
    <cellStyle name="Header2 2 22 2" xfId="8658"/>
    <cellStyle name="Header2 2 22 2 2" xfId="9987"/>
    <cellStyle name="Header2 2 22 2 3" xfId="10335"/>
    <cellStyle name="Header2 2 22 2 4" xfId="9325"/>
    <cellStyle name="Header2 2 22 3" xfId="9785"/>
    <cellStyle name="Header2 2 22 4" xfId="9503"/>
    <cellStyle name="Header2 2 22 5" xfId="10163"/>
    <cellStyle name="Header2 2 22 6" xfId="9152"/>
    <cellStyle name="Header2 2 23" xfId="3814"/>
    <cellStyle name="Header2 2 23 2" xfId="8625"/>
    <cellStyle name="Header2 2 23 2 2" xfId="9954"/>
    <cellStyle name="Header2 2 23 2 3" xfId="10302"/>
    <cellStyle name="Header2 2 23 2 4" xfId="9292"/>
    <cellStyle name="Header2 2 23 3" xfId="9752"/>
    <cellStyle name="Header2 2 23 4" xfId="9470"/>
    <cellStyle name="Header2 2 23 5" xfId="10130"/>
    <cellStyle name="Header2 2 23 6" xfId="9119"/>
    <cellStyle name="Header2 2 24" xfId="3834"/>
    <cellStyle name="Header2 2 24 2" xfId="8640"/>
    <cellStyle name="Header2 2 24 2 2" xfId="9969"/>
    <cellStyle name="Header2 2 24 2 3" xfId="10317"/>
    <cellStyle name="Header2 2 24 2 4" xfId="9307"/>
    <cellStyle name="Header2 2 24 3" xfId="9767"/>
    <cellStyle name="Header2 2 24 4" xfId="9485"/>
    <cellStyle name="Header2 2 24 5" xfId="10145"/>
    <cellStyle name="Header2 2 24 6" xfId="9134"/>
    <cellStyle name="Header2 2 25" xfId="8495"/>
    <cellStyle name="Header2 2 25 2" xfId="9866"/>
    <cellStyle name="Header2 2 25 3" xfId="10214"/>
    <cellStyle name="Header2 2 25 4" xfId="9204"/>
    <cellStyle name="Header2 2 26" xfId="8802"/>
    <cellStyle name="Header2 2 26 2" xfId="10393"/>
    <cellStyle name="Header2 2 26 3" xfId="9622"/>
    <cellStyle name="Header2 2 27" xfId="8838"/>
    <cellStyle name="Header2 2 27 2" xfId="10409"/>
    <cellStyle name="Header2 2 27 3" xfId="9384"/>
    <cellStyle name="Header2 2 28" xfId="9032"/>
    <cellStyle name="Header2 2 3" xfId="3735"/>
    <cellStyle name="Header2 2 3 2" xfId="8549"/>
    <cellStyle name="Header2 2 3 2 2" xfId="9917"/>
    <cellStyle name="Header2 2 3 2 3" xfId="10265"/>
    <cellStyle name="Header2 2 3 2 4" xfId="9255"/>
    <cellStyle name="Header2 2 3 3" xfId="9676"/>
    <cellStyle name="Header2 2 3 4" xfId="9433"/>
    <cellStyle name="Header2 2 3 5" xfId="10093"/>
    <cellStyle name="Header2 2 3 6" xfId="9082"/>
    <cellStyle name="Header2 2 4" xfId="384"/>
    <cellStyle name="Header2 2 4 2" xfId="8469"/>
    <cellStyle name="Header2 2 4 2 2" xfId="9863"/>
    <cellStyle name="Header2 2 4 2 3" xfId="10211"/>
    <cellStyle name="Header2 2 4 2 4" xfId="9201"/>
    <cellStyle name="Header2 2 4 3" xfId="9596"/>
    <cellStyle name="Header2 2 4 4" xfId="9381"/>
    <cellStyle name="Header2 2 4 5" xfId="10043"/>
    <cellStyle name="Header2 2 4 6" xfId="9029"/>
    <cellStyle name="Header2 2 5" xfId="3722"/>
    <cellStyle name="Header2 2 5 2" xfId="8539"/>
    <cellStyle name="Header2 2 5 2 2" xfId="9907"/>
    <cellStyle name="Header2 2 5 2 3" xfId="10255"/>
    <cellStyle name="Header2 2 5 2 4" xfId="9245"/>
    <cellStyle name="Header2 2 5 3" xfId="9666"/>
    <cellStyle name="Header2 2 5 4" xfId="9423"/>
    <cellStyle name="Header2 2 5 5" xfId="10083"/>
    <cellStyle name="Header2 2 5 6" xfId="9072"/>
    <cellStyle name="Header2 2 6" xfId="3708"/>
    <cellStyle name="Header2 2 6 2" xfId="8526"/>
    <cellStyle name="Header2 2 6 2 2" xfId="9894"/>
    <cellStyle name="Header2 2 6 2 3" xfId="10242"/>
    <cellStyle name="Header2 2 6 2 4" xfId="9232"/>
    <cellStyle name="Header2 2 6 3" xfId="9653"/>
    <cellStyle name="Header2 2 6 4" xfId="9410"/>
    <cellStyle name="Header2 2 6 5" xfId="10070"/>
    <cellStyle name="Header2 2 6 6" xfId="9059"/>
    <cellStyle name="Header2 2 7" xfId="3707"/>
    <cellStyle name="Header2 2 7 2" xfId="8525"/>
    <cellStyle name="Header2 2 7 2 2" xfId="9893"/>
    <cellStyle name="Header2 2 7 2 3" xfId="10241"/>
    <cellStyle name="Header2 2 7 2 4" xfId="9231"/>
    <cellStyle name="Header2 2 7 3" xfId="9652"/>
    <cellStyle name="Header2 2 7 4" xfId="9409"/>
    <cellStyle name="Header2 2 7 5" xfId="10069"/>
    <cellStyle name="Header2 2 7 6" xfId="9058"/>
    <cellStyle name="Header2 2 8" xfId="3703"/>
    <cellStyle name="Header2 2 8 2" xfId="8521"/>
    <cellStyle name="Header2 2 8 2 2" xfId="9889"/>
    <cellStyle name="Header2 2 8 2 3" xfId="10237"/>
    <cellStyle name="Header2 2 8 2 4" xfId="9227"/>
    <cellStyle name="Header2 2 8 3" xfId="9648"/>
    <cellStyle name="Header2 2 8 4" xfId="9405"/>
    <cellStyle name="Header2 2 8 5" xfId="10065"/>
    <cellStyle name="Header2 2 8 6" xfId="9054"/>
    <cellStyle name="Header2 2 9" xfId="3711"/>
    <cellStyle name="Header2 2 9 2" xfId="8529"/>
    <cellStyle name="Header2 2 9 2 2" xfId="9897"/>
    <cellStyle name="Header2 2 9 2 3" xfId="10245"/>
    <cellStyle name="Header2 2 9 2 4" xfId="9235"/>
    <cellStyle name="Header2 2 9 3" xfId="9656"/>
    <cellStyle name="Header2 2 9 4" xfId="9413"/>
    <cellStyle name="Header2 2 9 5" xfId="10073"/>
    <cellStyle name="Header2 2 9 6" xfId="9062"/>
    <cellStyle name="Header2 3" xfId="380"/>
    <cellStyle name="Header2 3 2" xfId="8466"/>
    <cellStyle name="Header2 3 2 2" xfId="9860"/>
    <cellStyle name="Header2 3 2 3" xfId="10208"/>
    <cellStyle name="Header2 3 2 4" xfId="9198"/>
    <cellStyle name="Header2 3 3" xfId="8803"/>
    <cellStyle name="Header2 3 3 2" xfId="10394"/>
    <cellStyle name="Header2 3 3 3" xfId="9593"/>
    <cellStyle name="Header2 3 4" xfId="8828"/>
    <cellStyle name="Header2 3 4 2" xfId="10405"/>
    <cellStyle name="Header2 3 5" xfId="8791"/>
    <cellStyle name="Header2 3 5 2" xfId="10387"/>
    <cellStyle name="Header2 3 6" xfId="10040"/>
    <cellStyle name="Header2 4" xfId="378"/>
    <cellStyle name="Header2 4 2" xfId="8465"/>
    <cellStyle name="Header2 4 2 2" xfId="9859"/>
    <cellStyle name="Header2 4 2 3" xfId="10207"/>
    <cellStyle name="Header2 4 2 4" xfId="9197"/>
    <cellStyle name="Header2 4 3" xfId="8804"/>
    <cellStyle name="Header2 4 3 2" xfId="10395"/>
    <cellStyle name="Header2 4 3 3" xfId="9592"/>
    <cellStyle name="Header2 4 4" xfId="8827"/>
    <cellStyle name="Header2 4 4 2" xfId="10404"/>
    <cellStyle name="Header2 4 4 3" xfId="9378"/>
    <cellStyle name="Header2 4 5" xfId="8792"/>
    <cellStyle name="Header2 4 5 2" xfId="10388"/>
    <cellStyle name="Header2 4 6" xfId="8837"/>
    <cellStyle name="Header2 4 6 2" xfId="10408"/>
    <cellStyle name="Header2 4 7" xfId="10039"/>
    <cellStyle name="Header2 4 8" xfId="9026"/>
    <cellStyle name="Header2 5" xfId="3740"/>
    <cellStyle name="Header2 5 2" xfId="8554"/>
    <cellStyle name="Header2 5 2 2" xfId="9922"/>
    <cellStyle name="Header2 5 2 3" xfId="10270"/>
    <cellStyle name="Header2 5 2 4" xfId="9260"/>
    <cellStyle name="Header2 5 3" xfId="9681"/>
    <cellStyle name="Header2 5 4" xfId="9438"/>
    <cellStyle name="Header2 5 5" xfId="10098"/>
    <cellStyle name="Header2 5 6" xfId="9087"/>
    <cellStyle name="Header2 6" xfId="3696"/>
    <cellStyle name="Header2 6 2" xfId="8515"/>
    <cellStyle name="Header2 6 2 2" xfId="9883"/>
    <cellStyle name="Header2 6 2 3" xfId="10231"/>
    <cellStyle name="Header2 6 2 4" xfId="9221"/>
    <cellStyle name="Header2 6 3" xfId="9642"/>
    <cellStyle name="Header2 6 4" xfId="9399"/>
    <cellStyle name="Header2 6 5" xfId="10059"/>
    <cellStyle name="Header2 6 6" xfId="9048"/>
    <cellStyle name="Header2 7" xfId="3701"/>
    <cellStyle name="Header2 7 2" xfId="8519"/>
    <cellStyle name="Header2 7 2 2" xfId="9887"/>
    <cellStyle name="Header2 7 2 3" xfId="10235"/>
    <cellStyle name="Header2 7 2 4" xfId="9225"/>
    <cellStyle name="Header2 7 3" xfId="9646"/>
    <cellStyle name="Header2 7 4" xfId="9403"/>
    <cellStyle name="Header2 7 5" xfId="10063"/>
    <cellStyle name="Header2 7 6" xfId="9052"/>
    <cellStyle name="Header2 8" xfId="3811"/>
    <cellStyle name="Header2 8 2" xfId="8624"/>
    <cellStyle name="Header2 8 2 2" xfId="9953"/>
    <cellStyle name="Header2 8 2 3" xfId="10301"/>
    <cellStyle name="Header2 8 2 4" xfId="9291"/>
    <cellStyle name="Header2 8 3" xfId="9751"/>
    <cellStyle name="Header2 8 4" xfId="9469"/>
    <cellStyle name="Header2 8 5" xfId="10129"/>
    <cellStyle name="Header2 8 6" xfId="9118"/>
    <cellStyle name="Header2 9" xfId="3840"/>
    <cellStyle name="Header2 9 2" xfId="8645"/>
    <cellStyle name="Header2 9 2 2" xfId="9974"/>
    <cellStyle name="Header2 9 2 3" xfId="10322"/>
    <cellStyle name="Header2 9 2 4" xfId="9312"/>
    <cellStyle name="Header2 9 3" xfId="9772"/>
    <cellStyle name="Header2 9 4" xfId="9490"/>
    <cellStyle name="Header2 9 5" xfId="10150"/>
    <cellStyle name="Header2 9 6" xfId="9139"/>
    <cellStyle name="Heading 1" xfId="262" builtinId="16" customBuiltin="1"/>
    <cellStyle name="Heading 1 2" xfId="102"/>
    <cellStyle name="Heading 1 2 2" xfId="8806"/>
    <cellStyle name="Heading 1 2 3" xfId="8825"/>
    <cellStyle name="Heading 1 2 4" xfId="8798"/>
    <cellStyle name="Heading 1 2 5" xfId="8836"/>
    <cellStyle name="Heading 1 3" xfId="101"/>
    <cellStyle name="Heading 2" xfId="263" builtinId="17" customBuiltin="1"/>
    <cellStyle name="Heading 2 2" xfId="104"/>
    <cellStyle name="Heading 2 2 2" xfId="8808"/>
    <cellStyle name="Heading 2 2 3" xfId="8824"/>
    <cellStyle name="Heading 2 2 4" xfId="8800"/>
    <cellStyle name="Heading 2 2 5" xfId="8833"/>
    <cellStyle name="Heading 2 3" xfId="103"/>
    <cellStyle name="Heading 3" xfId="264" builtinId="18" customBuiltin="1"/>
    <cellStyle name="Heading 3 2" xfId="106"/>
    <cellStyle name="Heading 3 2 2" xfId="8809"/>
    <cellStyle name="Heading 3 2 3" xfId="8823"/>
    <cellStyle name="Heading 3 2 4" xfId="8805"/>
    <cellStyle name="Heading 3 2 5" xfId="8830"/>
    <cellStyle name="Heading 3 3" xfId="105"/>
    <cellStyle name="Heading 4" xfId="265" builtinId="19" customBuiltin="1"/>
    <cellStyle name="Heading 4 2" xfId="108"/>
    <cellStyle name="Heading 4 2 2" xfId="8811"/>
    <cellStyle name="Heading 4 2 3" xfId="8820"/>
    <cellStyle name="Heading 4 2 4" xfId="8810"/>
    <cellStyle name="Heading 4 2 5" xfId="8826"/>
    <cellStyle name="Heading 4 3" xfId="107"/>
    <cellStyle name="Hyperlink 2" xfId="109"/>
    <cellStyle name="Hyperlink 3" xfId="8414"/>
    <cellStyle name="Input" xfId="269" builtinId="20" customBuiltin="1"/>
    <cellStyle name="Input - Center - General" xfId="111"/>
    <cellStyle name="Input - Title" xfId="112"/>
    <cellStyle name="Input [yellow]" xfId="113"/>
    <cellStyle name="Input [yellow] 2" xfId="417"/>
    <cellStyle name="Input [yellow] 2 10" xfId="4291"/>
    <cellStyle name="Input [yellow] 2 11" xfId="4292"/>
    <cellStyle name="Input [yellow] 2 12" xfId="4293"/>
    <cellStyle name="Input [yellow] 2 13" xfId="4294"/>
    <cellStyle name="Input [yellow] 2 2" xfId="4295"/>
    <cellStyle name="Input [yellow] 2 3" xfId="4296"/>
    <cellStyle name="Input [yellow] 2 4" xfId="4297"/>
    <cellStyle name="Input [yellow] 2 5" xfId="4298"/>
    <cellStyle name="Input [yellow] 2 6" xfId="4299"/>
    <cellStyle name="Input [yellow] 2 7" xfId="4300"/>
    <cellStyle name="Input [yellow] 2 8" xfId="4301"/>
    <cellStyle name="Input [yellow] 2 9" xfId="4302"/>
    <cellStyle name="Input [yellow] 3" xfId="415"/>
    <cellStyle name="Input [yellow] 4" xfId="4303"/>
    <cellStyle name="Input [yellow] 5" xfId="4304"/>
    <cellStyle name="Input [yellow] 6" xfId="4305"/>
    <cellStyle name="Input [yellow] 7" xfId="4306"/>
    <cellStyle name="Input [yellow] 8" xfId="4307"/>
    <cellStyle name="Input 10" xfId="3765"/>
    <cellStyle name="Input 10 2" xfId="8579"/>
    <cellStyle name="Input 10 2 2" xfId="9932"/>
    <cellStyle name="Input 10 2 3" xfId="10280"/>
    <cellStyle name="Input 10 2 4" xfId="9270"/>
    <cellStyle name="Input 10 3" xfId="9706"/>
    <cellStyle name="Input 10 4" xfId="9448"/>
    <cellStyle name="Input 10 5" xfId="10108"/>
    <cellStyle name="Input 10 6" xfId="9097"/>
    <cellStyle name="Input 11" xfId="3768"/>
    <cellStyle name="Input 11 2" xfId="8582"/>
    <cellStyle name="Input 11 2 2" xfId="9933"/>
    <cellStyle name="Input 11 2 3" xfId="10281"/>
    <cellStyle name="Input 11 2 4" xfId="9271"/>
    <cellStyle name="Input 11 3" xfId="9709"/>
    <cellStyle name="Input 11 4" xfId="9449"/>
    <cellStyle name="Input 11 5" xfId="10109"/>
    <cellStyle name="Input 11 6" xfId="9098"/>
    <cellStyle name="Input 12" xfId="3764"/>
    <cellStyle name="Input 12 2" xfId="8578"/>
    <cellStyle name="Input 12 2 2" xfId="9931"/>
    <cellStyle name="Input 12 2 3" xfId="10279"/>
    <cellStyle name="Input 12 2 4" xfId="9269"/>
    <cellStyle name="Input 12 3" xfId="9705"/>
    <cellStyle name="Input 12 4" xfId="9447"/>
    <cellStyle name="Input 12 5" xfId="10107"/>
    <cellStyle name="Input 12 6" xfId="9096"/>
    <cellStyle name="Input 13" xfId="3769"/>
    <cellStyle name="Input 13 2" xfId="8583"/>
    <cellStyle name="Input 13 2 2" xfId="9934"/>
    <cellStyle name="Input 13 2 3" xfId="10282"/>
    <cellStyle name="Input 13 2 4" xfId="9272"/>
    <cellStyle name="Input 13 3" xfId="9710"/>
    <cellStyle name="Input 13 4" xfId="9450"/>
    <cellStyle name="Input 13 5" xfId="10110"/>
    <cellStyle name="Input 13 6" xfId="9099"/>
    <cellStyle name="Input 14" xfId="3771"/>
    <cellStyle name="Input 14 2" xfId="8585"/>
    <cellStyle name="Input 14 2 2" xfId="9936"/>
    <cellStyle name="Input 14 2 3" xfId="10284"/>
    <cellStyle name="Input 14 2 4" xfId="9274"/>
    <cellStyle name="Input 14 3" xfId="9712"/>
    <cellStyle name="Input 14 4" xfId="9452"/>
    <cellStyle name="Input 14 5" xfId="10112"/>
    <cellStyle name="Input 14 6" xfId="9101"/>
    <cellStyle name="Input 15" xfId="3776"/>
    <cellStyle name="Input 15 2" xfId="8590"/>
    <cellStyle name="Input 15 2 2" xfId="9940"/>
    <cellStyle name="Input 15 2 3" xfId="10288"/>
    <cellStyle name="Input 15 2 4" xfId="9278"/>
    <cellStyle name="Input 15 3" xfId="9717"/>
    <cellStyle name="Input 15 4" xfId="9456"/>
    <cellStyle name="Input 15 5" xfId="10116"/>
    <cellStyle name="Input 15 6" xfId="9105"/>
    <cellStyle name="Input 16" xfId="3770"/>
    <cellStyle name="Input 16 2" xfId="8584"/>
    <cellStyle name="Input 16 2 2" xfId="9935"/>
    <cellStyle name="Input 16 2 3" xfId="10283"/>
    <cellStyle name="Input 16 2 4" xfId="9273"/>
    <cellStyle name="Input 16 3" xfId="9711"/>
    <cellStyle name="Input 16 4" xfId="9451"/>
    <cellStyle name="Input 16 5" xfId="10111"/>
    <cellStyle name="Input 16 6" xfId="9100"/>
    <cellStyle name="Input 17" xfId="3777"/>
    <cellStyle name="Input 17 2" xfId="8591"/>
    <cellStyle name="Input 17 2 2" xfId="9941"/>
    <cellStyle name="Input 17 2 3" xfId="10289"/>
    <cellStyle name="Input 17 2 4" xfId="9279"/>
    <cellStyle name="Input 17 3" xfId="9718"/>
    <cellStyle name="Input 17 4" xfId="9457"/>
    <cellStyle name="Input 17 5" xfId="10117"/>
    <cellStyle name="Input 17 6" xfId="9106"/>
    <cellStyle name="Input 18" xfId="3775"/>
    <cellStyle name="Input 18 2" xfId="8589"/>
    <cellStyle name="Input 18 2 2" xfId="9939"/>
    <cellStyle name="Input 18 2 3" xfId="10287"/>
    <cellStyle name="Input 18 2 4" xfId="9277"/>
    <cellStyle name="Input 18 3" xfId="9716"/>
    <cellStyle name="Input 18 4" xfId="9455"/>
    <cellStyle name="Input 18 5" xfId="10115"/>
    <cellStyle name="Input 18 6" xfId="9104"/>
    <cellStyle name="Input 19" xfId="3780"/>
    <cellStyle name="Input 19 2" xfId="8594"/>
    <cellStyle name="Input 19 2 2" xfId="9942"/>
    <cellStyle name="Input 19 2 3" xfId="10290"/>
    <cellStyle name="Input 19 2 4" xfId="9280"/>
    <cellStyle name="Input 19 3" xfId="9721"/>
    <cellStyle name="Input 19 4" xfId="9458"/>
    <cellStyle name="Input 19 5" xfId="10118"/>
    <cellStyle name="Input 19 6" xfId="9107"/>
    <cellStyle name="Input 2" xfId="114"/>
    <cellStyle name="Input 2 2" xfId="8816"/>
    <cellStyle name="Input 2 2 2" xfId="10400"/>
    <cellStyle name="Input 2 3" xfId="8814"/>
    <cellStyle name="Input 2 3 2" xfId="10398"/>
    <cellStyle name="Input 2 4" xfId="8818"/>
    <cellStyle name="Input 2 4 2" xfId="10402"/>
    <cellStyle name="Input 2 5" xfId="8815"/>
    <cellStyle name="Input 2 5 2" xfId="10399"/>
    <cellStyle name="Input 20" xfId="3801"/>
    <cellStyle name="Input 20 2" xfId="8615"/>
    <cellStyle name="Input 20 2 2" xfId="9945"/>
    <cellStyle name="Input 20 2 3" xfId="10293"/>
    <cellStyle name="Input 20 2 4" xfId="9283"/>
    <cellStyle name="Input 20 3" xfId="9742"/>
    <cellStyle name="Input 20 4" xfId="9461"/>
    <cellStyle name="Input 20 5" xfId="10121"/>
    <cellStyle name="Input 20 6" xfId="9110"/>
    <cellStyle name="Input 21" xfId="3889"/>
    <cellStyle name="Input 21 2" xfId="8691"/>
    <cellStyle name="Input 21 2 2" xfId="10017"/>
    <cellStyle name="Input 21 2 3" xfId="10365"/>
    <cellStyle name="Input 21 2 4" xfId="9355"/>
    <cellStyle name="Input 21 3" xfId="9818"/>
    <cellStyle name="Input 21 4" xfId="9533"/>
    <cellStyle name="Input 21 5" xfId="10193"/>
    <cellStyle name="Input 21 6" xfId="9182"/>
    <cellStyle name="Input 22" xfId="3888"/>
    <cellStyle name="Input 22 2" xfId="8690"/>
    <cellStyle name="Input 22 2 2" xfId="10016"/>
    <cellStyle name="Input 22 2 3" xfId="10364"/>
    <cellStyle name="Input 22 2 4" xfId="9354"/>
    <cellStyle name="Input 22 3" xfId="9817"/>
    <cellStyle name="Input 22 4" xfId="9532"/>
    <cellStyle name="Input 22 5" xfId="10192"/>
    <cellStyle name="Input 22 6" xfId="9181"/>
    <cellStyle name="Input 23" xfId="3899"/>
    <cellStyle name="Input 23 2" xfId="8701"/>
    <cellStyle name="Input 23 2 2" xfId="10022"/>
    <cellStyle name="Input 23 2 3" xfId="10370"/>
    <cellStyle name="Input 23 2 4" xfId="9360"/>
    <cellStyle name="Input 23 3" xfId="9828"/>
    <cellStyle name="Input 23 4" xfId="9538"/>
    <cellStyle name="Input 23 5" xfId="10198"/>
    <cellStyle name="Input 23 6" xfId="9187"/>
    <cellStyle name="Input 24" xfId="4308"/>
    <cellStyle name="Input 25" xfId="4309"/>
    <cellStyle name="Input 26" xfId="4310"/>
    <cellStyle name="Input 27" xfId="4311"/>
    <cellStyle name="Input 28" xfId="4312"/>
    <cellStyle name="Input 29" xfId="4313"/>
    <cellStyle name="Input 3" xfId="110"/>
    <cellStyle name="Input 3 2" xfId="8817"/>
    <cellStyle name="Input 3 2 2" xfId="10401"/>
    <cellStyle name="Input 3 2 3" xfId="9368"/>
    <cellStyle name="Input 3 3" xfId="8813"/>
    <cellStyle name="Input 3 3 2" xfId="10397"/>
    <cellStyle name="Input 3 4" xfId="8821"/>
    <cellStyle name="Input 3 4 2" xfId="10403"/>
    <cellStyle name="Input 3 5" xfId="8812"/>
    <cellStyle name="Input 3 5 2" xfId="10396"/>
    <cellStyle name="Input 3 6" xfId="10030"/>
    <cellStyle name="Input 30" xfId="4314"/>
    <cellStyle name="Input 31" xfId="4315"/>
    <cellStyle name="Input 32" xfId="4316"/>
    <cellStyle name="Input 33" xfId="4317"/>
    <cellStyle name="Input 34" xfId="4318"/>
    <cellStyle name="Input 35" xfId="4319"/>
    <cellStyle name="Input 36" xfId="4320"/>
    <cellStyle name="Input 37" xfId="4321"/>
    <cellStyle name="Input 38" xfId="4322"/>
    <cellStyle name="Input 39" xfId="4323"/>
    <cellStyle name="Input 4" xfId="253"/>
    <cellStyle name="Input 4 2" xfId="9375"/>
    <cellStyle name="Input 4 3" xfId="10037"/>
    <cellStyle name="Input 4 4" xfId="9022"/>
    <cellStyle name="Input 40" xfId="4324"/>
    <cellStyle name="Input 41" xfId="4325"/>
    <cellStyle name="Input 42" xfId="4326"/>
    <cellStyle name="Input 43" xfId="4327"/>
    <cellStyle name="Input 44" xfId="4328"/>
    <cellStyle name="Input 5" xfId="249"/>
    <cellStyle name="Input 5 2" xfId="9373"/>
    <cellStyle name="Input 5 3" xfId="10035"/>
    <cellStyle name="Input 5 4" xfId="9020"/>
    <cellStyle name="Input 6" xfId="251"/>
    <cellStyle name="Input 6 2" xfId="9374"/>
    <cellStyle name="Input 6 3" xfId="10036"/>
    <cellStyle name="Input 6 4" xfId="9021"/>
    <cellStyle name="Input 7" xfId="246"/>
    <cellStyle name="Input 7 2" xfId="9372"/>
    <cellStyle name="Input 7 3" xfId="10034"/>
    <cellStyle name="Input 7 4" xfId="9019"/>
    <cellStyle name="Input 8" xfId="3759"/>
    <cellStyle name="Input 8 2" xfId="8573"/>
    <cellStyle name="Input 8 2 2" xfId="9929"/>
    <cellStyle name="Input 8 2 3" xfId="10277"/>
    <cellStyle name="Input 8 2 4" xfId="9267"/>
    <cellStyle name="Input 8 3" xfId="9700"/>
    <cellStyle name="Input 8 4" xfId="9445"/>
    <cellStyle name="Input 8 5" xfId="10105"/>
    <cellStyle name="Input 8 6" xfId="9094"/>
    <cellStyle name="Input 9" xfId="3761"/>
    <cellStyle name="Input 9 2" xfId="8575"/>
    <cellStyle name="Input 9 2 2" xfId="9930"/>
    <cellStyle name="Input 9 2 3" xfId="10278"/>
    <cellStyle name="Input 9 2 4" xfId="9268"/>
    <cellStyle name="Input 9 3" xfId="9702"/>
    <cellStyle name="Input 9 4" xfId="9446"/>
    <cellStyle name="Input 9 5" xfId="10106"/>
    <cellStyle name="Input 9 6" xfId="9095"/>
    <cellStyle name="Inputs - Center - Comma - 0" xfId="115"/>
    <cellStyle name="Inputted" xfId="348"/>
    <cellStyle name="Linked Cell" xfId="272" builtinId="24" customBuiltin="1"/>
    <cellStyle name="Linked Cell 2" xfId="117"/>
    <cellStyle name="Linked Cell 2 2" xfId="8819"/>
    <cellStyle name="Linked Cell 2 3" xfId="8807"/>
    <cellStyle name="Linked Cell 2 4" xfId="8829"/>
    <cellStyle name="Linked Cell 2 5" xfId="8797"/>
    <cellStyle name="Linked Cell 3" xfId="116"/>
    <cellStyle name="Milliers [0]_CREATIVE" xfId="4329"/>
    <cellStyle name="Milliers_CREATIVE" xfId="4330"/>
    <cellStyle name="millimeter" xfId="349"/>
    <cellStyle name="Monétaire [0]_CREATIVE" xfId="4331"/>
    <cellStyle name="Monétaire_CREATIVE" xfId="4332"/>
    <cellStyle name="Neutral" xfId="268" builtinId="28" customBuiltin="1"/>
    <cellStyle name="Neutral 2" xfId="119"/>
    <cellStyle name="Neutral 2 2" xfId="8822"/>
    <cellStyle name="Neutral 2 3" xfId="8801"/>
    <cellStyle name="Neutral 2 4" xfId="8831"/>
    <cellStyle name="Neutral 2 5" xfId="8790"/>
    <cellStyle name="Neutral 3" xfId="118"/>
    <cellStyle name="Normal" xfId="0" builtinId="0"/>
    <cellStyle name="Normal - Style1" xfId="120"/>
    <cellStyle name="Normal - Style1 2" xfId="121"/>
    <cellStyle name="Normal 10" xfId="122"/>
    <cellStyle name="Normal 10 2" xfId="123"/>
    <cellStyle name="Normal 10 2 2" xfId="124"/>
    <cellStyle name="Normal 10 2 2 2" xfId="125"/>
    <cellStyle name="Normal 10 2 2 2 2" xfId="126"/>
    <cellStyle name="Normal 10 2 2 2 2 2" xfId="127"/>
    <cellStyle name="Normal 10 2 2 2 2 2 2" xfId="128"/>
    <cellStyle name="Normal 10 2 2 2 2 2 2 2" xfId="4333"/>
    <cellStyle name="Normal 10 2 2 2 2 2 2 2 2" xfId="4334"/>
    <cellStyle name="Normal 10 2 2 2 2 2 2 2 2 2" xfId="4335"/>
    <cellStyle name="Normal 10 2 2 2 2 2 2 2 2 2 2" xfId="4336"/>
    <cellStyle name="Normal 10 2 2 2 2 2 2 2 2 2 2 2" xfId="4337"/>
    <cellStyle name="Normal 10 2 2 2 2 2 2 2 2 2 2 2 2" xfId="4338"/>
    <cellStyle name="Normal 10 2 2 2 2 2 2 2 2 2 2 2 2 2" xfId="4339"/>
    <cellStyle name="Normal 10 2 2 2 2 2 2 2 2 2 2 2 2 2 2" xfId="4340"/>
    <cellStyle name="Normal 10 2 2 2 2 2 2 2 2 2 2 2 2 2 2 2" xfId="4341"/>
    <cellStyle name="Normal 10 2 2 2 2 2 2 2 2 2 2 2 2 2 2 2 2" xfId="4342"/>
    <cellStyle name="Normal 10 2 2 2 2 2 2 2 2 2 2 2 2 2 2 2 2 2" xfId="4343"/>
    <cellStyle name="Normal 10 2 2 2 2 2 2 2 2 2 2 2 2 2 2 2 2 2 2" xfId="4344"/>
    <cellStyle name="Normal 10 2 2 2 2 2 2 2 2 2 2 2 2 2 2 2 2 2 2 2" xfId="4345"/>
    <cellStyle name="Normal 10 2 2 2 2 2 2 2 2 2 2 2 2 2 2 2 2 2 2 2 2" xfId="4346"/>
    <cellStyle name="Normal 10 2 2 2 2 2 2 2 2 2 2 2 2 2 2 2 2 2 2 2 2 2" xfId="4347"/>
    <cellStyle name="Normal 10 2 2 2 2 2 2 2 2 2 2 2 2 2 2 2 2 2 2 2 2 2 2" xfId="4348"/>
    <cellStyle name="Normal 10 2 2 2 2 2 2 2 2 2 2 2 2 2 2 2 2 2 2 2 2 2 2 2" xfId="4349"/>
    <cellStyle name="Normal 10 2 2 2 2 2 2 2 2 2 2 2 2 2 2 2 2 2 2 2 2 2 2 2 2" xfId="4350"/>
    <cellStyle name="Normal 10 2 2 2 2 2 2 2 2 2 2 2 2 2 2 2 2 2 2 2 2 2 2 2 2 2" xfId="4351"/>
    <cellStyle name="Normal 10 2 2 2 2 2 2 2 2 2 2 2 2 2 2 2 2 2 2 2 2 2 2 2 2 2 2" xfId="4352"/>
    <cellStyle name="Normal 10 2 2 2 2 2 2 2 2 2 2 2 2 2 2 2 2 2 2 2 2 2 2 2 2 2 2 2" xfId="4353"/>
    <cellStyle name="Normal 10 2 2 2 2 2 2 2 2 2 2 2 2 2 2 2 2 2 2 2 2 2 2 2 2 2 2 2 2" xfId="4354"/>
    <cellStyle name="Normal 10 2 2 2 2 2 2 2 2 2 2 2 2 2 2 2 2 2 2 2 2 2 2 2 2 2 2 2 2 2" xfId="4355"/>
    <cellStyle name="Normal 10 2 2 2 2 2 2 2 2 2 2 2 2 2 2 2 2 2 2 2 2 2 2 2 2 2 2 2 2 2 2" xfId="4356"/>
    <cellStyle name="Normal 10 2 2 2 2 2 2 2 2 2 2 2 2 2 2 2 2 2 2 2 2 2 2 2 2 2 2 2 2 2 2 2" xfId="4357"/>
    <cellStyle name="Normal 10 2 2 2 2 2 2 2 2 2 2 2 2 2 2 2 2 2 2 2 2 2 2 2 2 2 2 2 2 2 2 2 2" xfId="4358"/>
    <cellStyle name="Normal 10 2 2 2 2 2 2 2 2 2 2 2 2 2 2 2 2 2 2 2 2 2 2 2 2 2 2 2 2 2 2 2 2 2" xfId="4359"/>
    <cellStyle name="Normal 10 2 2 2 2 2 2 2 2 2 2 2 2 2 2 2 2 2 2 2 2 2 2 2 2 2 2 2 2 2 2 2 2 2 2" xfId="4360"/>
    <cellStyle name="Normal 10 2 2 2 2 2 2 2 2 2 2 2 2 2 2 2 2 2 2 2 2 2 2 2 2 2 2 2 2 2 2 2 2 2 2 2" xfId="4361"/>
    <cellStyle name="Normal 10 2 2 2 2 2 2 2 2 2 2 2 2 2 2 2 2 2 2 2 2 2 2 2 2 2 2 2 2 2 2 2 2 2 2 2 2" xfId="4362"/>
    <cellStyle name="Normal 10 2 2 2 2 2 2 2 2 2 2 2 2 2 2 2 2 2 2 2 2 2 2 2 2 2 2 2 2 2 2 2 2 2 2 2 2 2" xfId="4363"/>
    <cellStyle name="Normal 10 2 2 2 2 2 2 2 2 2 2 2 2 2 2 2 2 2 2 2 2 2 2 2 2 2 2 2 2 2 2 2 2 2 2 2 2 2 2" xfId="4364"/>
    <cellStyle name="Normal 10 2 2 2 2 2 2 2 2 2 2 2 2 2 2 2 2 2 2 2 2 2 2 2 2 2 2 2 2 2 2 2 2 2 2 2 2 2 2 2" xfId="4365"/>
    <cellStyle name="Normal 10 2 2 2 2 2 2 2 2 2 2 2 2 2 2 2 2 2 2 2 2 2 2 2 2 2 2 2 2 2 2 2 2 2 2 2 2 2 2 2 2" xfId="4366"/>
    <cellStyle name="Normal 10 2 2 2 2 2 2 2 2 2 2 2 2 2 2 2 2 2 2 2 2 2 2 2 2 2 2 2 2 2 2 2 2 2 2 2 2 2 2 2 2 2" xfId="4367"/>
    <cellStyle name="Normal 10 2 2 2 2 2 2 2 2 2 2 2 2 2 2 2 2 2 2 2 2 2 2 2 2 2 2 2 2 2 2 2 2 2 2 2 2 2 2 2 2 2 2" xfId="4368"/>
    <cellStyle name="Normal 10 2 2 2 2 2 2 2 2 2 2 2 2 2 2 2 2 2 2 2 2 2 2 2 2 2 2 2 2 2 2 2 2 2 2 2 2 2 2 2 3" xfId="4369"/>
    <cellStyle name="Normal 10 2 2 2 2 2 2 2 2 2 2 2 2 2 2 2 2 2 2 2 2 2 2 2 2 2 2 2 2 2 2 2 2 2 2 2 2 2 2 3" xfId="4370"/>
    <cellStyle name="Normal 10 2 2 2 2 2 2 2 2 2 2 2 2 2 2 2 2 2 2 2 2 2 2 2 2 2 2 2 2 2 2 2 2 2 2 2 2 2 3" xfId="4371"/>
    <cellStyle name="Normal 10 2 2 2 2 2 2 2 2 2 2 2 2 2 2 2 2 2 2 2 2 2 2 2 2 2 2 2 2 2 2 2 2 2 2 2 2 3" xfId="4372"/>
    <cellStyle name="Normal 10 2 2 2 2 2 2 2 2 2 2 2 2 2 2 2 2 2 2 2 2 2 2 2 2 2 2 2 2 2 2 2 2 2 2 2 2 4" xfId="4373"/>
    <cellStyle name="Normal 10 2 2 2 2 2 2 2 2 2 2 2 2 2 2 2 2 2 2 2 2 2 2 2 2 2 2 2 2 2 2 2 2 2 2 2 3" xfId="4374"/>
    <cellStyle name="Normal 10 2 2 2 2 2 2 2 2 2 2 2 2 2 2 2 2 2 2 2 2 2 2 2 2 2 2 2 2 2 2 2 2 2 2 3" xfId="4375"/>
    <cellStyle name="Normal 10 2 2 2 2 2 2 2 2 2 2 2 2 2 2 2 2 2 2 2 2 2 2 2 2 2 2 2 2 2 2 2 2 2 3" xfId="4376"/>
    <cellStyle name="Normal 10 2 2 2 2 2 2 2 2 2 2 2 2 2 2 2 2 2 2 2 2 2 2 2 2 2 2 2 2 2 2 2 2 3" xfId="4377"/>
    <cellStyle name="Normal 10 2 2 2 2 2 2 2 2 2 2 2 2 2 2 2 2 2 2 2 2 2 2 2 2 2 2 2 2 2 2 2 2 3 2" xfId="4378"/>
    <cellStyle name="Normal 10 2 2 2 2 2 2 2 2 2 2 2 2 2 2 2 2 2 2 2 2 2 2 2 2 2 2 2 2 2 2 2 2 4" xfId="4379"/>
    <cellStyle name="Normal 10 2 2 2 2 2 2 2 2 2 2 2 2 2 2 2 2 2 2 2 2 2 2 2 2 2 2 2 2 2 2 2 2 4 2" xfId="4380"/>
    <cellStyle name="Normal 10 2 2 2 2 2 2 2 2 2 2 2 2 2 2 2 2 2 2 2 2 2 2 2 2 2 2 2 2 2 2 2 2 4 2 2" xfId="4381"/>
    <cellStyle name="Normal 10 2 2 2 2 2 2 2 2 2 2 2 2 2 2 2 2 2 2 2 2 2 2 2 2 2 2 2 2 2 2 2 2 4 3" xfId="4382"/>
    <cellStyle name="Normal 10 2 2 2 2 2 2 2 2 2 2 2 2 2 2 2 2 2 2 2 2 2 2 2 2 2 2 2 2 2 2 2 2 5" xfId="4383"/>
    <cellStyle name="Normal 10 2 2 2 2 2 2 2 2 2 2 2 2 2 2 2 2 2 2 2 2 2 2 2 2 2 2 2 2 2 2 2 3" xfId="4384"/>
    <cellStyle name="Normal 10 2 2 2 2 2 2 2 2 2 2 2 2 2 2 2 2 2 2 2 2 2 2 2 2 2 2 2 2 2 2 3" xfId="4385"/>
    <cellStyle name="Normal 10 2 2 2 2 2 2 2 2 2 2 2 2 2 2 2 2 2 2 2 2 2 2 2 2 2 2 2 2 2 3" xfId="4386"/>
    <cellStyle name="Normal 10 2 2 2 2 2 2 2 2 2 2 2 2 2 2 2 2 2 2 2 2 2 2 2 2 2 2 2 2 3" xfId="4387"/>
    <cellStyle name="Normal 10 2 2 2 2 2 2 2 2 2 2 2 2 2 2 2 2 2 2 2 2 2 2 2 2 2 2 2 3" xfId="4388"/>
    <cellStyle name="Normal 10 2 2 2 2 2 2 2 2 2 2 2 2 2 2 2 2 2 2 2 2 2 2 2 2 2 2 3" xfId="4389"/>
    <cellStyle name="Normal 10 2 2 2 2 2 2 2 2 2 2 2 2 2 2 2 2 2 2 2 2 2 2 2 2 2 3" xfId="4390"/>
    <cellStyle name="Normal 10 2 2 2 2 2 2 2 2 2 2 2 2 2 2 2 2 2 2 2 2 2 2 2 2 3" xfId="4391"/>
    <cellStyle name="Normal 10 2 2 2 2 2 2 2 2 2 2 2 2 2 2 2 2 2 2 2 2 2 2 2 3" xfId="4392"/>
    <cellStyle name="Normal 10 2 2 2 2 2 2 2 2 2 2 2 2 2 2 2 2 2 2 2 2 2 2 3" xfId="4393"/>
    <cellStyle name="Normal 10 2 2 2 2 2 2 2 2 2 2 2 2 2 2 2 2 2 2 2 2 2 2 3 2" xfId="4394"/>
    <cellStyle name="Normal 10 2 2 2 2 2 2 2 2 2 2 2 2 2 2 2 2 2 2 2 2 2 2 4" xfId="4395"/>
    <cellStyle name="Normal 10 2 2 2 2 2 2 2 2 2 2 2 2 2 2 2 2 2 2 2 2 2 3" xfId="4396"/>
    <cellStyle name="Normal 10 2 2 2 2 2 2 2 2 2 2 2 2 2 2 2 2 2 2 2 2 3" xfId="4397"/>
    <cellStyle name="Normal 10 2 2 2 2 2 2 2 2 2 2 2 2 2 2 2 2 2 2 2 3" xfId="4398"/>
    <cellStyle name="Normal 10 2 2 2 2 2 2 2 2 2 2 2 2 2 2 2 2 2 2 3" xfId="4399"/>
    <cellStyle name="Normal 10 2 2 2 2 2 2 2 2 2 2 2 2 2 2 2 2 2 3" xfId="4400"/>
    <cellStyle name="Normal 10 2 2 2 2 2 2 2 2 2 2 2 2 2 2 2 2 3" xfId="4401"/>
    <cellStyle name="Normal 10 2 2 2 2 2 2 2 2 2 2 2 2 2 2 2 3" xfId="4402"/>
    <cellStyle name="Normal 10 2 2 2 2 2 2 2 2 2 2 2 2 2 2 3" xfId="4403"/>
    <cellStyle name="Normal 10 2 2 2 2 2 2 2 2 2 2 2 2 2 3" xfId="4404"/>
    <cellStyle name="Normal 10 2 2 2 2 2 2 2 2 2 2 2 2 3" xfId="4405"/>
    <cellStyle name="Normal 10 2 2 2 2 2 2 2 2 2 2 2 3" xfId="4406"/>
    <cellStyle name="Normal 10 2 2 2 2 2 2 2 2 2 2 3" xfId="4407"/>
    <cellStyle name="Normal 10 2 2 2 2 2 2 2 2 2 2 3 2" xfId="4408"/>
    <cellStyle name="Normal 10 2 2 2 2 2 2 2 2 2 2 3 2 2" xfId="4409"/>
    <cellStyle name="Normal 10 2 2 2 2 2 2 2 2 2 2 3 2 2 2" xfId="4410"/>
    <cellStyle name="Normal 10 2 2 2 2 2 2 2 2 2 2 3 2 2 2 2" xfId="4411"/>
    <cellStyle name="Normal 10 2 2 2 2 2 2 2 2 2 2 3 2 2 2 2 2" xfId="4412"/>
    <cellStyle name="Normal 10 2 2 2 2 2 2 2 2 2 2 3 2 2 2 3" xfId="4413"/>
    <cellStyle name="Normal 10 2 2 2 2 2 2 2 2 2 2 3 2 2 2 3 2" xfId="4414"/>
    <cellStyle name="Normal 10 2 2 2 2 2 2 2 2 2 2 3 2 2 2 3 2 2" xfId="4415"/>
    <cellStyle name="Normal 10 2 2 2 2 2 2 2 2 2 2 3 2 2 2 3 3" xfId="4416"/>
    <cellStyle name="Normal 10 2 2 2 2 2 2 2 2 2 2 3 2 2 2 4" xfId="4417"/>
    <cellStyle name="Normal 10 2 2 2 2 2 2 2 2 2 2 3 2 2 3" xfId="4418"/>
    <cellStyle name="Normal 10 2 2 2 2 2 2 2 2 2 2 3 2 3" xfId="4419"/>
    <cellStyle name="Normal 10 2 2 2 2 2 2 2 2 2 2 3 3" xfId="4420"/>
    <cellStyle name="Normal 10 2 2 2 2 2 2 2 2 2 2 3 3 2" xfId="4421"/>
    <cellStyle name="Normal 10 2 2 2 2 2 2 2 2 2 2 3 3 2 2" xfId="4422"/>
    <cellStyle name="Normal 10 2 2 2 2 2 2 2 2 2 2 3 3 2 2 2" xfId="4423"/>
    <cellStyle name="Normal 10 2 2 2 2 2 2 2 2 2 2 3 3 2 2 2 2" xfId="4424"/>
    <cellStyle name="Normal 10 2 2 2 2 2 2 2 2 2 2 3 3 2 2 2 2 2" xfId="4425"/>
    <cellStyle name="Normal 10 2 2 2 2 2 2 2 2 2 2 3 3 2 2 2 2 2 2" xfId="4426"/>
    <cellStyle name="Normal 10 2 2 2 2 2 2 2 2 2 2 3 4" xfId="4427"/>
    <cellStyle name="Normal 10 2 2 2 2 2 2 2 2 2 2 4" xfId="4428"/>
    <cellStyle name="Normal 10 2 2 2 2 2 2 2 2 2 3" xfId="4429"/>
    <cellStyle name="Normal 10 2 2 2 2 2 2 2 2 3" xfId="4430"/>
    <cellStyle name="Normal 10 2 2 2 2 2 2 2 3" xfId="4431"/>
    <cellStyle name="Normal 10 2 2 2 2 2 2 3" xfId="4432"/>
    <cellStyle name="Normal 10 2 2 2 2 2 3" xfId="4433"/>
    <cellStyle name="Normal 10 2 2 2 2 3" xfId="4434"/>
    <cellStyle name="Normal 10 2 2 2 3" xfId="4435"/>
    <cellStyle name="Normal 10 2 2 2 3 2" xfId="4436"/>
    <cellStyle name="Normal 10 2 2 2 3 2 2" xfId="4437"/>
    <cellStyle name="Normal 10 2 2 2 3 2 2 2" xfId="4438"/>
    <cellStyle name="Normal 10 2 2 2 3 2 2 2 2" xfId="4439"/>
    <cellStyle name="Normal 10 2 2 2 3 2 2 2 2 2" xfId="4440"/>
    <cellStyle name="Normal 10 2 2 2 3 2 2 2 2 2 2" xfId="4441"/>
    <cellStyle name="Normal 10 2 2 2 3 2 2 2 2 2 2 2" xfId="4442"/>
    <cellStyle name="Normal 10 2 2 2 3 2 2 2 2 2 2 2 2" xfId="4443"/>
    <cellStyle name="Normal 10 2 2 2 3 2 2 2 2 2 2 2 2 2" xfId="4444"/>
    <cellStyle name="Normal 10 2 2 2 3 2 2 2 2 2 2 2 2 2 2" xfId="4445"/>
    <cellStyle name="Normal 10 2 2 2 3 2 2 2 2 2 2 2 2 3" xfId="4446"/>
    <cellStyle name="Normal 10 2 2 2 3 2 2 2 2 2 2 2 3" xfId="4447"/>
    <cellStyle name="Normal 10 2 2 2 3 2 2 2 2 2 2 3" xfId="4448"/>
    <cellStyle name="Normal 10 2 2 2 3 2 2 2 2 2 3" xfId="4449"/>
    <cellStyle name="Normal 10 2 2 2 3 2 2 2 2 3" xfId="4450"/>
    <cellStyle name="Normal 10 2 2 2 3 2 2 2 3" xfId="4451"/>
    <cellStyle name="Normal 10 2 2 2 3 2 2 3" xfId="4452"/>
    <cellStyle name="Normal 10 2 2 2 3 2 3" xfId="4453"/>
    <cellStyle name="Normal 10 2 2 2 3 3" xfId="4454"/>
    <cellStyle name="Normal 10 2 2 2 4" xfId="4455"/>
    <cellStyle name="Normal 10 2 2 3" xfId="4456"/>
    <cellStyle name="Normal 10 2 2 3 2" xfId="4457"/>
    <cellStyle name="Normal 10 2 2 3 2 2" xfId="4458"/>
    <cellStyle name="Normal 10 2 2 3 2 2 2" xfId="4459"/>
    <cellStyle name="Normal 10 2 2 3 2 3" xfId="4460"/>
    <cellStyle name="Normal 10 2 2 3 2 3 2" xfId="4461"/>
    <cellStyle name="Normal 10 2 2 3 2 3 2 2" xfId="4462"/>
    <cellStyle name="Normal 10 2 2 3 2 3 2 2 2" xfId="4463"/>
    <cellStyle name="Normal 10 2 2 3 2 3 2 2 2 2" xfId="4464"/>
    <cellStyle name="Normal 10 2 2 3 2 3 2 2 2 2 2" xfId="4465"/>
    <cellStyle name="Normal 10 2 2 3 2 3 2 2 2 2 2 2" xfId="4466"/>
    <cellStyle name="Normal 10 2 2 3 2 3 2 2 2 2 2 2 2" xfId="4467"/>
    <cellStyle name="Normal 10 2 2 3 2 3 2 2 2 2 2 2 2 2" xfId="4468"/>
    <cellStyle name="Normal 10 2 2 3 2 3 2 2 2 2 2 2 2 2 2" xfId="4469"/>
    <cellStyle name="Normal 10 2 2 3 2 3 2 2 2 2 2 2 2 2 2 2" xfId="4470"/>
    <cellStyle name="Normal 10 2 2 3 2 3 2 2 2 2 2 2 2 2 2 2 2" xfId="4471"/>
    <cellStyle name="Normal 10 2 2 3 2 3 2 2 2 2 2 2 2 2 2 2 2 2" xfId="4472"/>
    <cellStyle name="Normal 10 2 2 3 2 3 2 2 2 2 2 2 2 2 2 2 2 2 2" xfId="4473"/>
    <cellStyle name="Normal 10 2 2 3 2 3 2 2 2 2 2 2 2 2 2 2 2 2 2 2" xfId="4474"/>
    <cellStyle name="Normal 10 2 2 3 2 3 2 2 2 2 2 2 2 2 2 2 2 2 2 2 2" xfId="4475"/>
    <cellStyle name="Normal 10 2 2 3 2 3 2 2 2 2 2 2 2 2 2 2 2 2 2 2 2 2" xfId="4476"/>
    <cellStyle name="Normal 10 2 2 3 2 3 2 2 2 2 2 2 2 2 2 2 2 2 2 2 2 2 2" xfId="4477"/>
    <cellStyle name="Normal 10 2 2 3 2 3 2 2 2 2 2 2 2 2 2 2 2 2 2 2 2 2 2 2" xfId="4478"/>
    <cellStyle name="Normal 10 2 2 3 2 3 2 2 2 2 2 2 2 2 2 2 2 2 2 2 2 3" xfId="4479"/>
    <cellStyle name="Normal 10 2 2 3 2 3 2 2 2 2 2 2 2 2 2 2 2 2 2 2 3" xfId="4480"/>
    <cellStyle name="Normal 10 2 2 3 2 3 2 2 2 2 2 2 2 2 2 2 2 2 2 3" xfId="4481"/>
    <cellStyle name="Normal 10 2 2 3 2 3 2 2 2 2 2 2 2 2 2 2 2 2 3" xfId="4482"/>
    <cellStyle name="Normal 10 2 2 3 2 3 2 2 2 2 2 2 2 2 2 2 2 2 4" xfId="4483"/>
    <cellStyle name="Normal 10 2 2 3 2 3 2 2 2 2 2 2 2 2 2 2 2 3" xfId="4484"/>
    <cellStyle name="Normal 10 2 2 3 2 3 2 2 2 2 2 2 2 2 2 2 3" xfId="4485"/>
    <cellStyle name="Normal 10 2 2 3 2 3 2 2 2 2 2 2 2 2 2 3" xfId="4486"/>
    <cellStyle name="Normal 10 2 2 3 2 3 2 2 2 2 2 2 2 2 3" xfId="4487"/>
    <cellStyle name="Normal 10 2 2 3 2 3 2 2 2 2 2 2 2 3" xfId="4488"/>
    <cellStyle name="Normal 10 2 2 3 2 3 2 2 2 2 2 2 3" xfId="4489"/>
    <cellStyle name="Normal 10 2 2 3 2 3 2 2 2 2 2 3" xfId="4490"/>
    <cellStyle name="Normal 10 2 2 3 2 3 2 2 2 2 3" xfId="4491"/>
    <cellStyle name="Normal 10 2 2 3 2 3 2 2 2 3" xfId="4492"/>
    <cellStyle name="Normal 10 2 2 3 2 3 2 2 3" xfId="4493"/>
    <cellStyle name="Normal 10 2 2 3 2 3 2 3" xfId="4494"/>
    <cellStyle name="Normal 10 2 2 3 2 3 3" xfId="4495"/>
    <cellStyle name="Normal 10 2 2 3 2 4" xfId="4496"/>
    <cellStyle name="Normal 10 2 2 3 3" xfId="4497"/>
    <cellStyle name="Normal 10 2 2 4" xfId="4498"/>
    <cellStyle name="Normal 10 2 3" xfId="4499"/>
    <cellStyle name="Normal 10 3" xfId="350"/>
    <cellStyle name="Normal 10 3 2" xfId="4500"/>
    <cellStyle name="Normal 10 3 3" xfId="8457"/>
    <cellStyle name="Normal 10 3 4" xfId="9584"/>
    <cellStyle name="Normal 10 4" xfId="4501"/>
    <cellStyle name="Normal 10 4 2" xfId="4502"/>
    <cellStyle name="Normal 10 5" xfId="4503"/>
    <cellStyle name="Normal 10 5 2" xfId="4504"/>
    <cellStyle name="Normal 10 6" xfId="4505"/>
    <cellStyle name="Normal 10 7" xfId="4506"/>
    <cellStyle name="Normal 100" xfId="511"/>
    <cellStyle name="Normal 100 2" xfId="902"/>
    <cellStyle name="Normal 100 2 2" xfId="1701"/>
    <cellStyle name="Normal 100 2 2 2" xfId="3360"/>
    <cellStyle name="Normal 100 2 2 2 2" xfId="4507"/>
    <cellStyle name="Normal 100 2 2 3" xfId="4508"/>
    <cellStyle name="Normal 100 2 3" xfId="2566"/>
    <cellStyle name="Normal 100 2 3 2" xfId="4509"/>
    <cellStyle name="Normal 100 2 4" xfId="4510"/>
    <cellStyle name="Normal 100 3" xfId="1305"/>
    <cellStyle name="Normal 100 3 2" xfId="2964"/>
    <cellStyle name="Normal 100 3 2 2" xfId="4511"/>
    <cellStyle name="Normal 100 3 3" xfId="4512"/>
    <cellStyle name="Normal 100 4" xfId="2170"/>
    <cellStyle name="Normal 100 4 2" xfId="4513"/>
    <cellStyle name="Normal 100 5" xfId="4514"/>
    <cellStyle name="Normal 101" xfId="516"/>
    <cellStyle name="Normal 101 2" xfId="913"/>
    <cellStyle name="Normal 101 2 2" xfId="1712"/>
    <cellStyle name="Normal 101 2 2 2" xfId="3371"/>
    <cellStyle name="Normal 101 2 2 2 2" xfId="4515"/>
    <cellStyle name="Normal 101 2 2 3" xfId="4516"/>
    <cellStyle name="Normal 101 2 3" xfId="2577"/>
    <cellStyle name="Normal 101 2 3 2" xfId="4517"/>
    <cellStyle name="Normal 101 2 4" xfId="4518"/>
    <cellStyle name="Normal 101 3" xfId="1316"/>
    <cellStyle name="Normal 101 3 2" xfId="2975"/>
    <cellStyle name="Normal 101 3 2 2" xfId="4519"/>
    <cellStyle name="Normal 101 3 3" xfId="4520"/>
    <cellStyle name="Normal 101 4" xfId="2181"/>
    <cellStyle name="Normal 101 4 2" xfId="4521"/>
    <cellStyle name="Normal 101 5" xfId="4522"/>
    <cellStyle name="Normal 102" xfId="512"/>
    <cellStyle name="Normal 102 2" xfId="905"/>
    <cellStyle name="Normal 102 2 2" xfId="1704"/>
    <cellStyle name="Normal 102 2 2 2" xfId="3363"/>
    <cellStyle name="Normal 102 2 2 2 2" xfId="4523"/>
    <cellStyle name="Normal 102 2 2 3" xfId="4524"/>
    <cellStyle name="Normal 102 2 3" xfId="2569"/>
    <cellStyle name="Normal 102 2 3 2" xfId="4525"/>
    <cellStyle name="Normal 102 2 4" xfId="4526"/>
    <cellStyle name="Normal 102 3" xfId="1308"/>
    <cellStyle name="Normal 102 3 2" xfId="2967"/>
    <cellStyle name="Normal 102 3 2 2" xfId="4527"/>
    <cellStyle name="Normal 102 3 3" xfId="4528"/>
    <cellStyle name="Normal 102 4" xfId="2173"/>
    <cellStyle name="Normal 102 4 2" xfId="4529"/>
    <cellStyle name="Normal 102 5" xfId="4530"/>
    <cellStyle name="Normal 103" xfId="517"/>
    <cellStyle name="Normal 103 2" xfId="914"/>
    <cellStyle name="Normal 103 2 2" xfId="1713"/>
    <cellStyle name="Normal 103 2 2 2" xfId="3372"/>
    <cellStyle name="Normal 103 2 2 2 2" xfId="4531"/>
    <cellStyle name="Normal 103 2 2 3" xfId="4532"/>
    <cellStyle name="Normal 103 2 3" xfId="2578"/>
    <cellStyle name="Normal 103 2 3 2" xfId="4533"/>
    <cellStyle name="Normal 103 2 4" xfId="4534"/>
    <cellStyle name="Normal 103 3" xfId="1317"/>
    <cellStyle name="Normal 103 3 2" xfId="2976"/>
    <cellStyle name="Normal 103 3 2 2" xfId="4535"/>
    <cellStyle name="Normal 103 3 3" xfId="4536"/>
    <cellStyle name="Normal 103 4" xfId="2182"/>
    <cellStyle name="Normal 103 4 2" xfId="4537"/>
    <cellStyle name="Normal 103 5" xfId="4538"/>
    <cellStyle name="Normal 104" xfId="515"/>
    <cellStyle name="Normal 104 2" xfId="912"/>
    <cellStyle name="Normal 104 2 2" xfId="1711"/>
    <cellStyle name="Normal 104 2 2 2" xfId="3370"/>
    <cellStyle name="Normal 104 2 2 2 2" xfId="4539"/>
    <cellStyle name="Normal 104 2 2 3" xfId="4540"/>
    <cellStyle name="Normal 104 2 3" xfId="2576"/>
    <cellStyle name="Normal 104 2 3 2" xfId="4541"/>
    <cellStyle name="Normal 104 2 4" xfId="4542"/>
    <cellStyle name="Normal 104 3" xfId="1315"/>
    <cellStyle name="Normal 104 3 2" xfId="2974"/>
    <cellStyle name="Normal 104 3 2 2" xfId="4543"/>
    <cellStyle name="Normal 104 3 3" xfId="4544"/>
    <cellStyle name="Normal 104 4" xfId="2180"/>
    <cellStyle name="Normal 104 4 2" xfId="4545"/>
    <cellStyle name="Normal 104 5" xfId="4546"/>
    <cellStyle name="Normal 105" xfId="519"/>
    <cellStyle name="Normal 105 2" xfId="916"/>
    <cellStyle name="Normal 105 2 2" xfId="1715"/>
    <cellStyle name="Normal 105 2 2 2" xfId="3374"/>
    <cellStyle name="Normal 105 2 2 2 2" xfId="4547"/>
    <cellStyle name="Normal 105 2 2 3" xfId="4548"/>
    <cellStyle name="Normal 105 2 3" xfId="2580"/>
    <cellStyle name="Normal 105 2 3 2" xfId="4549"/>
    <cellStyle name="Normal 105 2 4" xfId="4550"/>
    <cellStyle name="Normal 105 3" xfId="1319"/>
    <cellStyle name="Normal 105 3 2" xfId="2978"/>
    <cellStyle name="Normal 105 3 2 2" xfId="4551"/>
    <cellStyle name="Normal 105 3 3" xfId="4552"/>
    <cellStyle name="Normal 105 4" xfId="2184"/>
    <cellStyle name="Normal 105 4 2" xfId="4553"/>
    <cellStyle name="Normal 105 5" xfId="4554"/>
    <cellStyle name="Normal 106" xfId="527"/>
    <cellStyle name="Normal 106 2" xfId="924"/>
    <cellStyle name="Normal 106 2 2" xfId="1723"/>
    <cellStyle name="Normal 106 2 2 2" xfId="3382"/>
    <cellStyle name="Normal 106 2 2 2 2" xfId="4555"/>
    <cellStyle name="Normal 106 2 2 3" xfId="4556"/>
    <cellStyle name="Normal 106 2 3" xfId="2588"/>
    <cellStyle name="Normal 106 2 3 2" xfId="4557"/>
    <cellStyle name="Normal 106 2 4" xfId="4558"/>
    <cellStyle name="Normal 106 3" xfId="1327"/>
    <cellStyle name="Normal 106 3 2" xfId="2986"/>
    <cellStyle name="Normal 106 3 2 2" xfId="4559"/>
    <cellStyle name="Normal 106 3 3" xfId="4560"/>
    <cellStyle name="Normal 106 4" xfId="2192"/>
    <cellStyle name="Normal 106 4 2" xfId="4561"/>
    <cellStyle name="Normal 106 5" xfId="4562"/>
    <cellStyle name="Normal 107" xfId="525"/>
    <cellStyle name="Normal 107 2" xfId="922"/>
    <cellStyle name="Normal 107 2 2" xfId="1721"/>
    <cellStyle name="Normal 107 2 2 2" xfId="3380"/>
    <cellStyle name="Normal 107 2 2 2 2" xfId="4563"/>
    <cellStyle name="Normal 107 2 2 3" xfId="4564"/>
    <cellStyle name="Normal 107 2 3" xfId="2586"/>
    <cellStyle name="Normal 107 2 3 2" xfId="4565"/>
    <cellStyle name="Normal 107 2 4" xfId="4566"/>
    <cellStyle name="Normal 107 3" xfId="1325"/>
    <cellStyle name="Normal 107 3 2" xfId="2984"/>
    <cellStyle name="Normal 107 3 2 2" xfId="4567"/>
    <cellStyle name="Normal 107 3 3" xfId="4568"/>
    <cellStyle name="Normal 107 4" xfId="2190"/>
    <cellStyle name="Normal 107 4 2" xfId="4569"/>
    <cellStyle name="Normal 107 5" xfId="4570"/>
    <cellStyle name="Normal 108" xfId="526"/>
    <cellStyle name="Normal 108 2" xfId="923"/>
    <cellStyle name="Normal 108 2 2" xfId="1722"/>
    <cellStyle name="Normal 108 2 2 2" xfId="3381"/>
    <cellStyle name="Normal 108 2 2 2 2" xfId="4571"/>
    <cellStyle name="Normal 108 2 2 3" xfId="4572"/>
    <cellStyle name="Normal 108 2 3" xfId="2587"/>
    <cellStyle name="Normal 108 2 3 2" xfId="4573"/>
    <cellStyle name="Normal 108 2 4" xfId="4574"/>
    <cellStyle name="Normal 108 3" xfId="1326"/>
    <cellStyle name="Normal 108 3 2" xfId="2985"/>
    <cellStyle name="Normal 108 3 2 2" xfId="4575"/>
    <cellStyle name="Normal 108 3 3" xfId="4576"/>
    <cellStyle name="Normal 108 4" xfId="2191"/>
    <cellStyle name="Normal 108 4 2" xfId="4577"/>
    <cellStyle name="Normal 108 5" xfId="4578"/>
    <cellStyle name="Normal 109" xfId="543"/>
    <cellStyle name="Normal 109 2" xfId="940"/>
    <cellStyle name="Normal 109 2 2" xfId="1739"/>
    <cellStyle name="Normal 109 2 2 2" xfId="3398"/>
    <cellStyle name="Normal 109 2 2 2 2" xfId="4579"/>
    <cellStyle name="Normal 109 2 2 3" xfId="4580"/>
    <cellStyle name="Normal 109 2 3" xfId="2604"/>
    <cellStyle name="Normal 109 2 3 2" xfId="4581"/>
    <cellStyle name="Normal 109 2 4" xfId="4582"/>
    <cellStyle name="Normal 109 3" xfId="1343"/>
    <cellStyle name="Normal 109 3 2" xfId="3002"/>
    <cellStyle name="Normal 109 3 2 2" xfId="4583"/>
    <cellStyle name="Normal 109 3 3" xfId="4584"/>
    <cellStyle name="Normal 109 4" xfId="2208"/>
    <cellStyle name="Normal 109 4 2" xfId="4585"/>
    <cellStyle name="Normal 109 5" xfId="4586"/>
    <cellStyle name="Normal 11" xfId="129"/>
    <cellStyle name="Normal 11 2" xfId="808"/>
    <cellStyle name="Normal 11 2 2" xfId="1607"/>
    <cellStyle name="Normal 11 2 2 2" xfId="3266"/>
    <cellStyle name="Normal 11 2 2 2 2" xfId="4587"/>
    <cellStyle name="Normal 11 2 2 2 2 2" xfId="4588"/>
    <cellStyle name="Normal 11 2 2 2 2 2 2" xfId="4589"/>
    <cellStyle name="Normal 11 2 2 2 2 2 2 2" xfId="4590"/>
    <cellStyle name="Normal 11 2 2 2 2 2 2 2 2" xfId="4591"/>
    <cellStyle name="Normal 11 2 2 2 2 2 2 2 2 2" xfId="4592"/>
    <cellStyle name="Normal 11 2 2 2 2 2 2 2 2 2 2" xfId="4593"/>
    <cellStyle name="Normal 11 2 2 2 2 2 2 2 2 2 2 2" xfId="4594"/>
    <cellStyle name="Normal 11 2 2 2 2 2 2 2 2 2 2 2 2" xfId="4595"/>
    <cellStyle name="Normal 11 2 2 2 2 2 2 2 2 2 2 2 2 2" xfId="4596"/>
    <cellStyle name="Normal 11 2 2 2 2 2 2 2 2 2 2 2 2 2 2" xfId="4597"/>
    <cellStyle name="Normal 11 2 2 2 2 2 2 2 2 2 2 2 2 2 2 2" xfId="4598"/>
    <cellStyle name="Normal 11 2 2 2 2 2 2 2 2 2 2 2 2 2 2 2 2" xfId="4599"/>
    <cellStyle name="Normal 11 2 2 2 2 2 2 2 2 2 2 2 2 2 2 2 2 2" xfId="4600"/>
    <cellStyle name="Normal 11 2 2 2 2 2 2 2 2 2 2 2 2 2 2 2 2 2 2" xfId="4601"/>
    <cellStyle name="Normal 11 2 2 2 2 2 2 2 2 2 2 2 2 2 2 2 2 2 2 2" xfId="4602"/>
    <cellStyle name="Normal 11 2 2 2 2 2 2 2 2 2 2 2 2 2 2 2 2 2 2 2 2" xfId="4603"/>
    <cellStyle name="Normal 11 2 2 2 2 2 2 2 2 2 2 2 2 2 2 2 2 2 2 2 2 2" xfId="4604"/>
    <cellStyle name="Normal 11 2 2 2 2 2 2 2 2 2 2 2 2 2 2 2 2 2 2 2 2 2 2" xfId="4605"/>
    <cellStyle name="Normal 11 2 2 2 2 2 2 2 2 2 2 2 2 2 2 2 2 2 2 2 3" xfId="4606"/>
    <cellStyle name="Normal 11 2 2 2 2 2 2 2 2 2 2 2 2 2 2 2 2 2 2 3" xfId="4607"/>
    <cellStyle name="Normal 11 2 2 2 2 2 2 2 2 2 2 2 2 2 2 2 2 2 3" xfId="4608"/>
    <cellStyle name="Normal 11 2 2 2 2 2 2 2 2 2 2 2 2 2 2 2 2 3" xfId="4609"/>
    <cellStyle name="Normal 11 2 2 2 2 2 2 2 2 2 2 2 2 2 2 2 2 4" xfId="4610"/>
    <cellStyle name="Normal 11 2 2 2 2 2 2 2 2 2 2 2 2 2 2 2 3" xfId="4611"/>
    <cellStyle name="Normal 11 2 2 2 2 2 2 2 2 2 2 2 2 2 2 3" xfId="4612"/>
    <cellStyle name="Normal 11 2 2 2 2 2 2 2 2 2 2 2 2 2 3" xfId="4613"/>
    <cellStyle name="Normal 11 2 2 2 2 2 2 2 2 2 2 2 2 3" xfId="4614"/>
    <cellStyle name="Normal 11 2 2 2 2 2 2 2 2 2 2 2 3" xfId="4615"/>
    <cellStyle name="Normal 11 2 2 2 2 2 2 2 2 2 2 3" xfId="4616"/>
    <cellStyle name="Normal 11 2 2 2 2 2 2 2 2 2 3" xfId="4617"/>
    <cellStyle name="Normal 11 2 2 2 2 2 2 2 2 3" xfId="4618"/>
    <cellStyle name="Normal 11 2 2 2 2 2 2 2 3" xfId="4619"/>
    <cellStyle name="Normal 11 2 2 2 2 2 2 3" xfId="4620"/>
    <cellStyle name="Normal 11 2 2 2 2 2 3" xfId="4621"/>
    <cellStyle name="Normal 11 2 2 2 2 3" xfId="4622"/>
    <cellStyle name="Normal 11 2 2 2 3" xfId="4623"/>
    <cellStyle name="Normal 11 2 2 2 4" xfId="4624"/>
    <cellStyle name="Normal 11 2 2 3" xfId="4625"/>
    <cellStyle name="Normal 11 2 2 4" xfId="4626"/>
    <cellStyle name="Normal 11 2 2 5" xfId="4627"/>
    <cellStyle name="Normal 11 2 3" xfId="2472"/>
    <cellStyle name="Normal 11 2 3 2" xfId="4628"/>
    <cellStyle name="Normal 11 2 4" xfId="4629"/>
    <cellStyle name="Normal 11 2 5" xfId="4630"/>
    <cellStyle name="Normal 11 3" xfId="1211"/>
    <cellStyle name="Normal 11 3 2" xfId="2870"/>
    <cellStyle name="Normal 11 3 2 2" xfId="4631"/>
    <cellStyle name="Normal 11 3 3" xfId="4632"/>
    <cellStyle name="Normal 11 4" xfId="423"/>
    <cellStyle name="Normal 11 4 2" xfId="2076"/>
    <cellStyle name="Normal 11 5" xfId="351"/>
    <cellStyle name="Normal 11 5 2" xfId="8458"/>
    <cellStyle name="Normal 11 5 3" xfId="9585"/>
    <cellStyle name="Normal 110" xfId="521"/>
    <cellStyle name="Normal 110 2" xfId="918"/>
    <cellStyle name="Normal 110 2 2" xfId="1717"/>
    <cellStyle name="Normal 110 2 2 2" xfId="3376"/>
    <cellStyle name="Normal 110 2 2 2 2" xfId="4633"/>
    <cellStyle name="Normal 110 2 2 3" xfId="4634"/>
    <cellStyle name="Normal 110 2 3" xfId="2582"/>
    <cellStyle name="Normal 110 2 3 2" xfId="4635"/>
    <cellStyle name="Normal 110 2 4" xfId="4636"/>
    <cellStyle name="Normal 110 3" xfId="1321"/>
    <cellStyle name="Normal 110 3 2" xfId="2980"/>
    <cellStyle name="Normal 110 3 2 2" xfId="4637"/>
    <cellStyle name="Normal 110 3 3" xfId="4638"/>
    <cellStyle name="Normal 110 4" xfId="2186"/>
    <cellStyle name="Normal 110 4 2" xfId="4639"/>
    <cellStyle name="Normal 110 5" xfId="4640"/>
    <cellStyle name="Normal 111" xfId="520"/>
    <cellStyle name="Normal 111 2" xfId="917"/>
    <cellStyle name="Normal 111 2 2" xfId="1716"/>
    <cellStyle name="Normal 111 2 2 2" xfId="3375"/>
    <cellStyle name="Normal 111 2 2 2 2" xfId="4641"/>
    <cellStyle name="Normal 111 2 2 3" xfId="4642"/>
    <cellStyle name="Normal 111 2 3" xfId="2581"/>
    <cellStyle name="Normal 111 2 3 2" xfId="4643"/>
    <cellStyle name="Normal 111 2 4" xfId="4644"/>
    <cellStyle name="Normal 111 3" xfId="1320"/>
    <cellStyle name="Normal 111 3 2" xfId="2979"/>
    <cellStyle name="Normal 111 3 2 2" xfId="4645"/>
    <cellStyle name="Normal 111 3 3" xfId="4646"/>
    <cellStyle name="Normal 111 4" xfId="2185"/>
    <cellStyle name="Normal 111 4 2" xfId="4647"/>
    <cellStyle name="Normal 111 5" xfId="4648"/>
    <cellStyle name="Normal 112" xfId="524"/>
    <cellStyle name="Normal 112 2" xfId="921"/>
    <cellStyle name="Normal 112 2 2" xfId="1720"/>
    <cellStyle name="Normal 112 2 2 2" xfId="3379"/>
    <cellStyle name="Normal 112 2 2 2 2" xfId="4649"/>
    <cellStyle name="Normal 112 2 2 3" xfId="4650"/>
    <cellStyle name="Normal 112 2 3" xfId="2585"/>
    <cellStyle name="Normal 112 2 3 2" xfId="4651"/>
    <cellStyle name="Normal 112 2 4" xfId="4652"/>
    <cellStyle name="Normal 112 3" xfId="1324"/>
    <cellStyle name="Normal 112 3 2" xfId="2983"/>
    <cellStyle name="Normal 112 3 2 2" xfId="4653"/>
    <cellStyle name="Normal 112 3 3" xfId="4654"/>
    <cellStyle name="Normal 112 4" xfId="2189"/>
    <cellStyle name="Normal 112 4 2" xfId="4655"/>
    <cellStyle name="Normal 112 5" xfId="4656"/>
    <cellStyle name="Normal 113" xfId="523"/>
    <cellStyle name="Normal 113 2" xfId="920"/>
    <cellStyle name="Normal 113 2 2" xfId="1719"/>
    <cellStyle name="Normal 113 2 2 2" xfId="3378"/>
    <cellStyle name="Normal 113 2 2 2 2" xfId="4657"/>
    <cellStyle name="Normal 113 2 2 3" xfId="4658"/>
    <cellStyle name="Normal 113 2 3" xfId="2584"/>
    <cellStyle name="Normal 113 2 3 2" xfId="4659"/>
    <cellStyle name="Normal 113 2 4" xfId="4660"/>
    <cellStyle name="Normal 113 3" xfId="1323"/>
    <cellStyle name="Normal 113 3 2" xfId="2982"/>
    <cellStyle name="Normal 113 3 2 2" xfId="4661"/>
    <cellStyle name="Normal 113 3 3" xfId="4662"/>
    <cellStyle name="Normal 113 4" xfId="2188"/>
    <cellStyle name="Normal 113 4 2" xfId="4663"/>
    <cellStyle name="Normal 113 5" xfId="4664"/>
    <cellStyle name="Normal 114" xfId="522"/>
    <cellStyle name="Normal 114 2" xfId="919"/>
    <cellStyle name="Normal 114 2 2" xfId="1718"/>
    <cellStyle name="Normal 114 2 2 2" xfId="3377"/>
    <cellStyle name="Normal 114 2 2 2 2" xfId="4665"/>
    <cellStyle name="Normal 114 2 2 3" xfId="4666"/>
    <cellStyle name="Normal 114 2 3" xfId="2583"/>
    <cellStyle name="Normal 114 2 3 2" xfId="4667"/>
    <cellStyle name="Normal 114 2 4" xfId="4668"/>
    <cellStyle name="Normal 114 3" xfId="1322"/>
    <cellStyle name="Normal 114 3 2" xfId="2981"/>
    <cellStyle name="Normal 114 3 2 2" xfId="4669"/>
    <cellStyle name="Normal 114 3 3" xfId="4670"/>
    <cellStyle name="Normal 114 4" xfId="2187"/>
    <cellStyle name="Normal 114 4 2" xfId="4671"/>
    <cellStyle name="Normal 114 5" xfId="4672"/>
    <cellStyle name="Normal 115" xfId="551"/>
    <cellStyle name="Normal 115 2" xfId="948"/>
    <cellStyle name="Normal 115 2 2" xfId="1747"/>
    <cellStyle name="Normal 115 2 2 2" xfId="3406"/>
    <cellStyle name="Normal 115 2 2 2 2" xfId="4673"/>
    <cellStyle name="Normal 115 2 2 3" xfId="4674"/>
    <cellStyle name="Normal 115 2 3" xfId="2612"/>
    <cellStyle name="Normal 115 2 3 2" xfId="4675"/>
    <cellStyle name="Normal 115 2 4" xfId="4676"/>
    <cellStyle name="Normal 115 3" xfId="1351"/>
    <cellStyle name="Normal 115 3 2" xfId="3010"/>
    <cellStyle name="Normal 115 3 2 2" xfId="4677"/>
    <cellStyle name="Normal 115 3 3" xfId="4678"/>
    <cellStyle name="Normal 115 4" xfId="2216"/>
    <cellStyle name="Normal 115 4 2" xfId="4679"/>
    <cellStyle name="Normal 115 5" xfId="4680"/>
    <cellStyle name="Normal 116" xfId="556"/>
    <cellStyle name="Normal 116 2" xfId="953"/>
    <cellStyle name="Normal 116 2 2" xfId="1752"/>
    <cellStyle name="Normal 116 2 2 2" xfId="3411"/>
    <cellStyle name="Normal 116 2 2 2 2" xfId="4681"/>
    <cellStyle name="Normal 116 2 2 3" xfId="4682"/>
    <cellStyle name="Normal 116 2 3" xfId="2617"/>
    <cellStyle name="Normal 116 2 3 2" xfId="4683"/>
    <cellStyle name="Normal 116 2 4" xfId="4684"/>
    <cellStyle name="Normal 116 3" xfId="1356"/>
    <cellStyle name="Normal 116 3 2" xfId="3015"/>
    <cellStyle name="Normal 116 3 2 2" xfId="4685"/>
    <cellStyle name="Normal 116 3 3" xfId="4686"/>
    <cellStyle name="Normal 116 4" xfId="2221"/>
    <cellStyle name="Normal 116 4 2" xfId="4687"/>
    <cellStyle name="Normal 116 5" xfId="4688"/>
    <cellStyle name="Normal 117" xfId="554"/>
    <cellStyle name="Normal 117 2" xfId="951"/>
    <cellStyle name="Normal 117 2 2" xfId="1750"/>
    <cellStyle name="Normal 117 2 2 2" xfId="3409"/>
    <cellStyle name="Normal 117 2 2 2 2" xfId="4689"/>
    <cellStyle name="Normal 117 2 2 3" xfId="4690"/>
    <cellStyle name="Normal 117 2 3" xfId="2615"/>
    <cellStyle name="Normal 117 2 3 2" xfId="4691"/>
    <cellStyle name="Normal 117 2 4" xfId="4692"/>
    <cellStyle name="Normal 117 3" xfId="1354"/>
    <cellStyle name="Normal 117 3 2" xfId="3013"/>
    <cellStyle name="Normal 117 3 2 2" xfId="4693"/>
    <cellStyle name="Normal 117 3 3" xfId="4694"/>
    <cellStyle name="Normal 117 4" xfId="2219"/>
    <cellStyle name="Normal 117 4 2" xfId="4695"/>
    <cellStyle name="Normal 117 5" xfId="4696"/>
    <cellStyle name="Normal 118" xfId="553"/>
    <cellStyle name="Normal 118 2" xfId="950"/>
    <cellStyle name="Normal 118 2 2" xfId="1749"/>
    <cellStyle name="Normal 118 2 2 2" xfId="3408"/>
    <cellStyle name="Normal 118 2 2 2 2" xfId="4697"/>
    <cellStyle name="Normal 118 2 2 3" xfId="4698"/>
    <cellStyle name="Normal 118 2 3" xfId="2614"/>
    <cellStyle name="Normal 118 2 3 2" xfId="4699"/>
    <cellStyle name="Normal 118 2 4" xfId="4700"/>
    <cellStyle name="Normal 118 3" xfId="1353"/>
    <cellStyle name="Normal 118 3 2" xfId="3012"/>
    <cellStyle name="Normal 118 3 2 2" xfId="4701"/>
    <cellStyle name="Normal 118 3 3" xfId="4702"/>
    <cellStyle name="Normal 118 4" xfId="2218"/>
    <cellStyle name="Normal 118 4 2" xfId="4703"/>
    <cellStyle name="Normal 118 5" xfId="4704"/>
    <cellStyle name="Normal 119" xfId="560"/>
    <cellStyle name="Normal 119 2" xfId="957"/>
    <cellStyle name="Normal 119 2 2" xfId="1756"/>
    <cellStyle name="Normal 119 2 2 2" xfId="3415"/>
    <cellStyle name="Normal 119 2 2 2 2" xfId="4705"/>
    <cellStyle name="Normal 119 2 2 3" xfId="4706"/>
    <cellStyle name="Normal 119 2 3" xfId="2621"/>
    <cellStyle name="Normal 119 2 3 2" xfId="4707"/>
    <cellStyle name="Normal 119 2 4" xfId="4708"/>
    <cellStyle name="Normal 119 3" xfId="1360"/>
    <cellStyle name="Normal 119 3 2" xfId="3019"/>
    <cellStyle name="Normal 119 3 2 2" xfId="4709"/>
    <cellStyle name="Normal 119 3 3" xfId="4710"/>
    <cellStyle name="Normal 119 4" xfId="2225"/>
    <cellStyle name="Normal 119 4 2" xfId="4711"/>
    <cellStyle name="Normal 119 5" xfId="4712"/>
    <cellStyle name="Normal 12" xfId="130"/>
    <cellStyle name="Normal 12 2" xfId="131"/>
    <cellStyle name="Normal 12 2 2" xfId="132"/>
    <cellStyle name="Normal 12 2 2 2" xfId="133"/>
    <cellStyle name="Normal 12 2 2 2 2" xfId="134"/>
    <cellStyle name="Normal 12 2 2 2 2 2" xfId="135"/>
    <cellStyle name="Normal 12 2 2 2 2 2 2" xfId="136"/>
    <cellStyle name="Normal 12 2 2 2 2 2 2 2" xfId="4713"/>
    <cellStyle name="Normal 12 2 2 2 2 2 2 2 2" xfId="4714"/>
    <cellStyle name="Normal 12 2 2 2 2 2 2 2 2 2" xfId="4715"/>
    <cellStyle name="Normal 12 2 2 2 2 2 2 2 2 2 2" xfId="4716"/>
    <cellStyle name="Normal 12 2 2 2 2 2 2 2 2 2 2 2" xfId="4717"/>
    <cellStyle name="Normal 12 2 2 2 2 2 2 2 2 2 2 2 2" xfId="4718"/>
    <cellStyle name="Normal 12 2 2 2 2 2 2 2 2 2 2 2 2 2" xfId="4719"/>
    <cellStyle name="Normal 12 2 2 2 2 2 2 2 2 2 2 2 2 2 2" xfId="4720"/>
    <cellStyle name="Normal 12 2 2 2 2 2 2 2 2 2 2 2 2 2 2 2" xfId="4721"/>
    <cellStyle name="Normal 12 2 2 2 2 2 2 2 2 2 2 2 2 2 2 2 2" xfId="4722"/>
    <cellStyle name="Normal 12 2 2 2 2 2 2 2 2 2 2 2 2 2 2 2 2 2" xfId="4723"/>
    <cellStyle name="Normal 12 2 2 2 2 2 2 2 2 2 2 2 2 2 2 2 2 2 2" xfId="4724"/>
    <cellStyle name="Normal 12 2 2 2 2 2 2 2 2 2 2 2 2 2 2 2 2 2 2 2" xfId="4725"/>
    <cellStyle name="Normal 12 2 2 2 2 2 2 2 2 2 2 2 2 2 2 2 2 2 2 2 2" xfId="4726"/>
    <cellStyle name="Normal 12 2 2 2 2 2 2 2 2 2 2 2 2 2 2 2 2 2 2 2 2 2" xfId="4727"/>
    <cellStyle name="Normal 12 2 2 2 2 2 2 2 2 2 2 2 2 2 2 2 2 2 2 2 2 2 2" xfId="4728"/>
    <cellStyle name="Normal 12 2 2 2 2 2 2 2 2 2 2 2 2 2 2 2 2 2 2 2 2 2 2 2" xfId="4729"/>
    <cellStyle name="Normal 12 2 2 2 2 2 2 2 2 2 2 2 2 2 2 2 2 2 2 2 2 2 2 2 2" xfId="4730"/>
    <cellStyle name="Normal 12 2 2 2 2 2 2 2 2 2 2 2 2 2 2 2 2 2 2 2 2 2 2 2 2 2" xfId="4731"/>
    <cellStyle name="Normal 12 2 2 2 2 2 2 2 2 2 2 2 2 2 2 2 2 2 2 2 2 2 2 2 2 2 2" xfId="4732"/>
    <cellStyle name="Normal 12 2 2 2 2 2 2 2 2 2 2 2 2 2 2 2 2 2 2 2 2 2 2 2 2 2 2 2" xfId="4733"/>
    <cellStyle name="Normal 12 2 2 2 2 2 2 2 2 2 2 2 2 2 2 2 2 2 2 2 2 2 2 2 2 2 2 2 2" xfId="4734"/>
    <cellStyle name="Normal 12 2 2 2 2 2 2 2 2 2 2 2 2 2 2 2 2 2 2 2 2 2 2 2 2 2 2 2 2 2" xfId="4735"/>
    <cellStyle name="Normal 12 2 2 2 2 2 2 2 2 2 2 2 2 2 2 2 2 2 2 2 2 2 2 2 2 2 2 2 2 2 2" xfId="4736"/>
    <cellStyle name="Normal 12 2 2 2 2 2 2 2 2 2 2 2 2 2 2 2 2 2 2 2 2 2 2 2 2 2 2 2 2 3" xfId="4737"/>
    <cellStyle name="Normal 12 2 2 2 2 2 2 2 2 2 2 2 2 2 2 2 2 2 2 2 2 2 2 2 2 2 2 2 3" xfId="4738"/>
    <cellStyle name="Normal 12 2 2 2 2 2 2 2 2 2 2 2 2 2 2 2 2 2 2 2 2 2 2 2 2 2 2 3" xfId="4739"/>
    <cellStyle name="Normal 12 2 2 2 2 2 2 2 2 2 2 2 2 2 2 2 2 2 2 2 2 2 2 2 2 2 2 3 2" xfId="4740"/>
    <cellStyle name="Normal 12 2 2 2 2 2 2 2 2 2 2 2 2 2 2 2 2 2 2 2 2 2 2 2 2 2 2 3 2 2" xfId="4741"/>
    <cellStyle name="Normal 12 2 2 2 2 2 2 2 2 2 2 2 2 2 2 2 2 2 2 2 2 2 2 2 2 2 2 3 3" xfId="4742"/>
    <cellStyle name="Normal 12 2 2 2 2 2 2 2 2 2 2 2 2 2 2 2 2 2 2 2 2 2 2 2 2 2 2 3 3 2" xfId="4743"/>
    <cellStyle name="Normal 12 2 2 2 2 2 2 2 2 2 2 2 2 2 2 2 2 2 2 2 2 2 2 2 2 2 2 3 3 2 2" xfId="4744"/>
    <cellStyle name="Normal 12 2 2 2 2 2 2 2 2 2 2 2 2 2 2 2 2 2 2 2 2 2 2 2 2 2 2 3 3 3" xfId="4745"/>
    <cellStyle name="Normal 12 2 2 2 2 2 2 2 2 2 2 2 2 2 2 2 2 2 2 2 2 2 2 2 2 2 2 3 4" xfId="4746"/>
    <cellStyle name="Normal 12 2 2 2 2 2 2 2 2 2 2 2 2 2 2 2 2 2 2 2 2 2 2 2 2 2 2 4" xfId="4747"/>
    <cellStyle name="Normal 12 2 2 2 2 2 2 2 2 2 2 2 2 2 2 2 2 2 2 2 2 2 2 2 2 2 3" xfId="4748"/>
    <cellStyle name="Normal 12 2 2 2 2 2 2 2 2 2 2 2 2 2 2 2 2 2 2 2 2 2 2 2 2 2 3 2" xfId="4749"/>
    <cellStyle name="Normal 12 2 2 2 2 2 2 2 2 2 2 2 2 2 2 2 2 2 2 2 2 2 2 2 2 2 4" xfId="4750"/>
    <cellStyle name="Normal 12 2 2 2 2 2 2 2 2 2 2 2 2 2 2 2 2 2 2 2 2 2 2 2 2 3" xfId="4751"/>
    <cellStyle name="Normal 12 2 2 2 2 2 2 2 2 2 2 2 2 2 2 2 2 2 2 2 2 2 2 2 3" xfId="4752"/>
    <cellStyle name="Normal 12 2 2 2 2 2 2 2 2 2 2 2 2 2 2 2 2 2 2 2 2 2 2 3" xfId="4753"/>
    <cellStyle name="Normal 12 2 2 2 2 2 2 2 2 2 2 2 2 2 2 2 2 2 2 2 2 2 2 3 2" xfId="4754"/>
    <cellStyle name="Normal 12 2 2 2 2 2 2 2 2 2 2 2 2 2 2 2 2 2 2 2 2 2 2 4" xfId="4755"/>
    <cellStyle name="Normal 12 2 2 2 2 2 2 2 2 2 2 2 2 2 2 2 2 2 2 2 2 2 3" xfId="4756"/>
    <cellStyle name="Normal 12 2 2 2 2 2 2 2 2 2 2 2 2 2 2 2 2 2 2 2 2 3" xfId="4757"/>
    <cellStyle name="Normal 12 2 2 2 2 2 2 2 2 2 2 2 2 2 2 2 2 2 2 2 3" xfId="4758"/>
    <cellStyle name="Normal 12 2 2 2 2 2 2 2 2 2 2 2 2 2 2 2 2 2 2 3" xfId="4759"/>
    <cellStyle name="Normal 12 2 2 2 2 2 2 2 2 2 2 2 2 2 2 2 2 2 3" xfId="4760"/>
    <cellStyle name="Normal 12 2 2 2 2 2 2 2 2 2 2 2 2 2 2 2 2 3" xfId="4761"/>
    <cellStyle name="Normal 12 2 2 2 2 2 2 2 2 2 2 2 2 2 2 2 3" xfId="4762"/>
    <cellStyle name="Normal 12 2 2 2 2 2 2 2 2 2 2 2 2 2 2 3" xfId="4763"/>
    <cellStyle name="Normal 12 2 2 2 2 2 2 2 2 2 2 2 2 2 3" xfId="4764"/>
    <cellStyle name="Normal 12 2 2 2 2 2 2 2 2 2 2 2 2 3" xfId="4765"/>
    <cellStyle name="Normal 12 2 2 2 2 2 2 2 2 2 2 2 3" xfId="4766"/>
    <cellStyle name="Normal 12 2 2 2 2 2 2 2 2 2 2 3" xfId="4767"/>
    <cellStyle name="Normal 12 2 2 2 2 2 2 2 2 2 2 3 2" xfId="4768"/>
    <cellStyle name="Normal 12 2 2 2 2 2 2 2 2 2 2 4" xfId="4769"/>
    <cellStyle name="Normal 12 2 2 2 2 2 2 2 2 2 3" xfId="4770"/>
    <cellStyle name="Normal 12 2 2 2 2 2 2 2 2 3" xfId="4771"/>
    <cellStyle name="Normal 12 2 2 2 2 2 2 2 3" xfId="4772"/>
    <cellStyle name="Normal 12 2 2 2 2 2 2 3" xfId="4773"/>
    <cellStyle name="Normal 12 2 2 2 2 2 3" xfId="4774"/>
    <cellStyle name="Normal 12 2 2 2 2 3" xfId="4775"/>
    <cellStyle name="Normal 12 2 2 2 3" xfId="4776"/>
    <cellStyle name="Normal 12 2 2 2 3 2" xfId="4777"/>
    <cellStyle name="Normal 12 2 2 2 3 2 2" xfId="4778"/>
    <cellStyle name="Normal 12 2 2 2 3 2 2 2" xfId="4779"/>
    <cellStyle name="Normal 12 2 2 2 3 2 2 2 2" xfId="4780"/>
    <cellStyle name="Normal 12 2 2 2 3 2 2 2 2 2" xfId="4781"/>
    <cellStyle name="Normal 12 2 2 2 3 2 2 2 2 2 2" xfId="4782"/>
    <cellStyle name="Normal 12 2 2 2 3 2 2 2 2 2 2 2" xfId="4783"/>
    <cellStyle name="Normal 12 2 2 2 3 2 2 2 2 2 2 2 2" xfId="4784"/>
    <cellStyle name="Normal 12 2 2 2 3 2 2 2 2 2 2 2 2 2" xfId="4785"/>
    <cellStyle name="Normal 12 2 2 2 3 2 2 2 2 2 2 2 3" xfId="4786"/>
    <cellStyle name="Normal 12 2 2 2 3 2 2 2 2 2 2 3" xfId="4787"/>
    <cellStyle name="Normal 12 2 2 2 3 2 2 2 2 2 3" xfId="4788"/>
    <cellStyle name="Normal 12 2 2 2 3 2 2 2 2 3" xfId="4789"/>
    <cellStyle name="Normal 12 2 2 2 3 2 2 2 3" xfId="4790"/>
    <cellStyle name="Normal 12 2 2 2 3 2 2 3" xfId="4791"/>
    <cellStyle name="Normal 12 2 2 2 3 2 3" xfId="4792"/>
    <cellStyle name="Normal 12 2 2 2 3 3" xfId="4793"/>
    <cellStyle name="Normal 12 2 2 2 4" xfId="4794"/>
    <cellStyle name="Normal 12 2 2 2 5" xfId="4795"/>
    <cellStyle name="Normal 12 2 2 3" xfId="1616"/>
    <cellStyle name="Normal 12 2 2 3 2" xfId="3275"/>
    <cellStyle name="Normal 12 2 2 3 2 2" xfId="4796"/>
    <cellStyle name="Normal 12 2 2 3 2 2 2" xfId="4797"/>
    <cellStyle name="Normal 12 2 2 3 2 2 2 2" xfId="4798"/>
    <cellStyle name="Normal 12 2 2 3 2 2 2 2 2" xfId="4799"/>
    <cellStyle name="Normal 12 2 2 3 2 2 2 2 2 2" xfId="4800"/>
    <cellStyle name="Normal 12 2 2 3 2 2 2 2 2 2 2" xfId="4801"/>
    <cellStyle name="Normal 12 2 2 3 2 2 2 2 2 2 2 2" xfId="4802"/>
    <cellStyle name="Normal 12 2 2 3 2 2 2 2 2 2 2 2 2" xfId="4803"/>
    <cellStyle name="Normal 12 2 2 3 2 2 2 2 2 2 2 2 2 2" xfId="4804"/>
    <cellStyle name="Normal 12 2 2 3 2 2 2 2 2 2 2 2 2 2 2" xfId="4805"/>
    <cellStyle name="Normal 12 2 2 3 2 2 2 2 2 2 2 2 2 2 2 2" xfId="4806"/>
    <cellStyle name="Normal 12 2 2 3 2 2 2 2 2 2 2 2 2 2 2 2 2" xfId="4807"/>
    <cellStyle name="Normal 12 2 2 3 2 2 2 2 2 2 2 2 2 2 2 2 2 2" xfId="4808"/>
    <cellStyle name="Normal 12 2 2 3 2 2 2 2 2 2 2 2 2 2 2 2 2 2 2" xfId="4809"/>
    <cellStyle name="Normal 12 2 2 3 2 2 2 2 2 2 2 2 2 2 2 2 2 2 2 2" xfId="4810"/>
    <cellStyle name="Normal 12 2 2 3 2 2 2 2 2 2 2 2 2 2 2 2 2 2 2 2 2" xfId="4811"/>
    <cellStyle name="Normal 12 2 2 3 2 2 2 2 2 2 2 2 2 2 2 2 2 2 2 2 2 2" xfId="4812"/>
    <cellStyle name="Normal 12 2 2 3 2 2 2 2 2 2 2 2 2 2 2 2 2 2 2 2 2 2 2" xfId="4813"/>
    <cellStyle name="Normal 12 2 2 3 2 2 2 2 2 2 2 2 2 2 2 2 2 2 2 2 2 2 2 2" xfId="4814"/>
    <cellStyle name="Normal 12 2 2 3 2 2 2 2 2 2 2 2 2 2 2 2 2 2 2 2 2 3" xfId="4815"/>
    <cellStyle name="Normal 12 2 2 3 2 2 2 2 2 2 2 2 2 2 2 2 2 2 2 2 3" xfId="4816"/>
    <cellStyle name="Normal 12 2 2 3 2 2 2 2 2 2 2 2 2 2 2 2 2 2 2 3" xfId="4817"/>
    <cellStyle name="Normal 12 2 2 3 2 2 2 2 2 2 2 2 2 2 2 2 2 2 3" xfId="4818"/>
    <cellStyle name="Normal 12 2 2 3 2 2 2 2 2 2 2 2 2 2 2 2 2 2 4" xfId="4819"/>
    <cellStyle name="Normal 12 2 2 3 2 2 2 2 2 2 2 2 2 2 2 2 2 3" xfId="4820"/>
    <cellStyle name="Normal 12 2 2 3 2 2 2 2 2 2 2 2 2 2 2 2 3" xfId="4821"/>
    <cellStyle name="Normal 12 2 2 3 2 2 2 2 2 2 2 2 2 2 2 3" xfId="4822"/>
    <cellStyle name="Normal 12 2 2 3 2 2 2 2 2 2 2 2 2 2 3" xfId="4823"/>
    <cellStyle name="Normal 12 2 2 3 2 2 2 2 2 2 2 2 2 3" xfId="4824"/>
    <cellStyle name="Normal 12 2 2 3 2 2 2 2 2 2 2 2 3" xfId="4825"/>
    <cellStyle name="Normal 12 2 2 3 2 2 2 2 2 2 2 3" xfId="4826"/>
    <cellStyle name="Normal 12 2 2 3 2 2 2 2 2 2 3" xfId="4827"/>
    <cellStyle name="Normal 12 2 2 3 2 2 2 2 2 3" xfId="4828"/>
    <cellStyle name="Normal 12 2 2 3 2 2 2 2 3" xfId="4829"/>
    <cellStyle name="Normal 12 2 2 3 2 2 2 3" xfId="4830"/>
    <cellStyle name="Normal 12 2 2 3 2 2 3" xfId="4831"/>
    <cellStyle name="Normal 12 2 2 3 2 3" xfId="4832"/>
    <cellStyle name="Normal 12 2 2 3 3" xfId="4833"/>
    <cellStyle name="Normal 12 2 2 4" xfId="4834"/>
    <cellStyle name="Normal 12 2 2 5" xfId="4835"/>
    <cellStyle name="Normal 12 2 2 6" xfId="4836"/>
    <cellStyle name="Normal 12 2 3" xfId="817"/>
    <cellStyle name="Normal 12 2 3 2" xfId="2481"/>
    <cellStyle name="Normal 12 2 4" xfId="4837"/>
    <cellStyle name="Normal 12 2 5" xfId="4838"/>
    <cellStyle name="Normal 12 3" xfId="137"/>
    <cellStyle name="Normal 12 3 2" xfId="1220"/>
    <cellStyle name="Normal 12 3 2 2" xfId="2879"/>
    <cellStyle name="Normal 12 3 3" xfId="4839"/>
    <cellStyle name="Normal 12 3 4" xfId="4840"/>
    <cellStyle name="Normal 12 4" xfId="432"/>
    <cellStyle name="Normal 12 4 2" xfId="2085"/>
    <cellStyle name="Normal 12 4 3" xfId="4841"/>
    <cellStyle name="Normal 12 5" xfId="352"/>
    <cellStyle name="Normal 12 5 2" xfId="8459"/>
    <cellStyle name="Normal 12 5 3" xfId="9586"/>
    <cellStyle name="Normal 12 6" xfId="4842"/>
    <cellStyle name="Normal 12 7" xfId="4843"/>
    <cellStyle name="Normal 120" xfId="537"/>
    <cellStyle name="Normal 120 2" xfId="934"/>
    <cellStyle name="Normal 120 2 2" xfId="1733"/>
    <cellStyle name="Normal 120 2 2 2" xfId="3392"/>
    <cellStyle name="Normal 120 2 2 2 2" xfId="4844"/>
    <cellStyle name="Normal 120 2 2 3" xfId="4845"/>
    <cellStyle name="Normal 120 2 3" xfId="2598"/>
    <cellStyle name="Normal 120 2 3 2" xfId="4846"/>
    <cellStyle name="Normal 120 2 4" xfId="4847"/>
    <cellStyle name="Normal 120 3" xfId="1337"/>
    <cellStyle name="Normal 120 3 2" xfId="2996"/>
    <cellStyle name="Normal 120 3 2 2" xfId="4848"/>
    <cellStyle name="Normal 120 3 3" xfId="4849"/>
    <cellStyle name="Normal 120 4" xfId="2202"/>
    <cellStyle name="Normal 120 4 2" xfId="4850"/>
    <cellStyle name="Normal 120 5" xfId="4851"/>
    <cellStyle name="Normal 121" xfId="542"/>
    <cellStyle name="Normal 121 2" xfId="939"/>
    <cellStyle name="Normal 121 2 2" xfId="1738"/>
    <cellStyle name="Normal 121 2 2 2" xfId="3397"/>
    <cellStyle name="Normal 121 2 2 2 2" xfId="4852"/>
    <cellStyle name="Normal 121 2 2 3" xfId="4853"/>
    <cellStyle name="Normal 121 2 3" xfId="2603"/>
    <cellStyle name="Normal 121 2 3 2" xfId="4854"/>
    <cellStyle name="Normal 121 2 4" xfId="4855"/>
    <cellStyle name="Normal 121 3" xfId="1342"/>
    <cellStyle name="Normal 121 3 2" xfId="3001"/>
    <cellStyle name="Normal 121 3 2 2" xfId="4856"/>
    <cellStyle name="Normal 121 3 3" xfId="4857"/>
    <cellStyle name="Normal 121 4" xfId="2207"/>
    <cellStyle name="Normal 121 4 2" xfId="4858"/>
    <cellStyle name="Normal 121 5" xfId="4859"/>
    <cellStyle name="Normal 122" xfId="548"/>
    <cellStyle name="Normal 122 2" xfId="945"/>
    <cellStyle name="Normal 122 2 2" xfId="1744"/>
    <cellStyle name="Normal 122 2 2 2" xfId="3403"/>
    <cellStyle name="Normal 122 2 2 2 2" xfId="4860"/>
    <cellStyle name="Normal 122 2 2 3" xfId="4861"/>
    <cellStyle name="Normal 122 2 3" xfId="2609"/>
    <cellStyle name="Normal 122 2 3 2" xfId="4862"/>
    <cellStyle name="Normal 122 2 4" xfId="4863"/>
    <cellStyle name="Normal 122 3" xfId="1348"/>
    <cellStyle name="Normal 122 3 2" xfId="3007"/>
    <cellStyle name="Normal 122 3 2 2" xfId="4864"/>
    <cellStyle name="Normal 122 3 3" xfId="4865"/>
    <cellStyle name="Normal 122 4" xfId="2213"/>
    <cellStyle name="Normal 122 4 2" xfId="4866"/>
    <cellStyle name="Normal 122 5" xfId="4867"/>
    <cellStyle name="Normal 123" xfId="546"/>
    <cellStyle name="Normal 123 2" xfId="943"/>
    <cellStyle name="Normal 123 2 2" xfId="1742"/>
    <cellStyle name="Normal 123 2 2 2" xfId="3401"/>
    <cellStyle name="Normal 123 2 2 2 2" xfId="4868"/>
    <cellStyle name="Normal 123 2 2 3" xfId="4869"/>
    <cellStyle name="Normal 123 2 3" xfId="2607"/>
    <cellStyle name="Normal 123 2 3 2" xfId="4870"/>
    <cellStyle name="Normal 123 2 4" xfId="4871"/>
    <cellStyle name="Normal 123 3" xfId="1346"/>
    <cellStyle name="Normal 123 3 2" xfId="3005"/>
    <cellStyle name="Normal 123 3 2 2" xfId="4872"/>
    <cellStyle name="Normal 123 3 3" xfId="4873"/>
    <cellStyle name="Normal 123 4" xfId="2211"/>
    <cellStyle name="Normal 123 4 2" xfId="4874"/>
    <cellStyle name="Normal 123 5" xfId="4875"/>
    <cellStyle name="Normal 124" xfId="550"/>
    <cellStyle name="Normal 124 2" xfId="947"/>
    <cellStyle name="Normal 124 2 2" xfId="1746"/>
    <cellStyle name="Normal 124 2 2 2" xfId="3405"/>
    <cellStyle name="Normal 124 2 2 2 2" xfId="4876"/>
    <cellStyle name="Normal 124 2 2 3" xfId="4877"/>
    <cellStyle name="Normal 124 2 3" xfId="2611"/>
    <cellStyle name="Normal 124 2 3 2" xfId="4878"/>
    <cellStyle name="Normal 124 2 4" xfId="4879"/>
    <cellStyle name="Normal 124 3" xfId="1350"/>
    <cellStyle name="Normal 124 3 2" xfId="3009"/>
    <cellStyle name="Normal 124 3 2 2" xfId="4880"/>
    <cellStyle name="Normal 124 3 3" xfId="4881"/>
    <cellStyle name="Normal 124 4" xfId="2215"/>
    <cellStyle name="Normal 124 4 2" xfId="4882"/>
    <cellStyle name="Normal 124 5" xfId="4883"/>
    <cellStyle name="Normal 125" xfId="547"/>
    <cellStyle name="Normal 125 2" xfId="944"/>
    <cellStyle name="Normal 125 2 2" xfId="1743"/>
    <cellStyle name="Normal 125 2 2 2" xfId="3402"/>
    <cellStyle name="Normal 125 2 2 2 2" xfId="4884"/>
    <cellStyle name="Normal 125 2 2 3" xfId="4885"/>
    <cellStyle name="Normal 125 2 3" xfId="2608"/>
    <cellStyle name="Normal 125 2 3 2" xfId="4886"/>
    <cellStyle name="Normal 125 2 4" xfId="4887"/>
    <cellStyle name="Normal 125 3" xfId="1347"/>
    <cellStyle name="Normal 125 3 2" xfId="3006"/>
    <cellStyle name="Normal 125 3 2 2" xfId="4888"/>
    <cellStyle name="Normal 125 3 3" xfId="4889"/>
    <cellStyle name="Normal 125 4" xfId="2212"/>
    <cellStyle name="Normal 125 4 2" xfId="4890"/>
    <cellStyle name="Normal 125 5" xfId="4891"/>
    <cellStyle name="Normal 126" xfId="549"/>
    <cellStyle name="Normal 126 2" xfId="946"/>
    <cellStyle name="Normal 126 2 2" xfId="1745"/>
    <cellStyle name="Normal 126 2 2 2" xfId="3404"/>
    <cellStyle name="Normal 126 2 2 2 2" xfId="4892"/>
    <cellStyle name="Normal 126 2 2 3" xfId="4893"/>
    <cellStyle name="Normal 126 2 3" xfId="2610"/>
    <cellStyle name="Normal 126 2 3 2" xfId="4894"/>
    <cellStyle name="Normal 126 2 4" xfId="4895"/>
    <cellStyle name="Normal 126 3" xfId="1349"/>
    <cellStyle name="Normal 126 3 2" xfId="3008"/>
    <cellStyle name="Normal 126 3 2 2" xfId="4896"/>
    <cellStyle name="Normal 126 3 3" xfId="4897"/>
    <cellStyle name="Normal 126 4" xfId="2214"/>
    <cellStyle name="Normal 126 4 2" xfId="4898"/>
    <cellStyle name="Normal 126 5" xfId="4899"/>
    <cellStyle name="Normal 127" xfId="574"/>
    <cellStyle name="Normal 127 2" xfId="971"/>
    <cellStyle name="Normal 127 2 2" xfId="1770"/>
    <cellStyle name="Normal 127 2 2 2" xfId="3429"/>
    <cellStyle name="Normal 127 2 2 2 2" xfId="4900"/>
    <cellStyle name="Normal 127 2 2 3" xfId="4901"/>
    <cellStyle name="Normal 127 2 3" xfId="2635"/>
    <cellStyle name="Normal 127 2 3 2" xfId="4902"/>
    <cellStyle name="Normal 127 2 4" xfId="4903"/>
    <cellStyle name="Normal 127 3" xfId="1374"/>
    <cellStyle name="Normal 127 3 2" xfId="3033"/>
    <cellStyle name="Normal 127 3 2 2" xfId="4904"/>
    <cellStyle name="Normal 127 3 3" xfId="4905"/>
    <cellStyle name="Normal 127 4" xfId="2239"/>
    <cellStyle name="Normal 127 4 2" xfId="4906"/>
    <cellStyle name="Normal 127 5" xfId="4907"/>
    <cellStyle name="Normal 128" xfId="563"/>
    <cellStyle name="Normal 128 2" xfId="960"/>
    <cellStyle name="Normal 128 2 2" xfId="1759"/>
    <cellStyle name="Normal 128 2 2 2" xfId="3418"/>
    <cellStyle name="Normal 128 2 2 2 2" xfId="4908"/>
    <cellStyle name="Normal 128 2 2 3" xfId="4909"/>
    <cellStyle name="Normal 128 2 3" xfId="2624"/>
    <cellStyle name="Normal 128 2 3 2" xfId="4910"/>
    <cellStyle name="Normal 128 2 4" xfId="4911"/>
    <cellStyle name="Normal 128 3" xfId="1363"/>
    <cellStyle name="Normal 128 3 2" xfId="3022"/>
    <cellStyle name="Normal 128 3 2 2" xfId="4912"/>
    <cellStyle name="Normal 128 3 3" xfId="4913"/>
    <cellStyle name="Normal 128 4" xfId="2228"/>
    <cellStyle name="Normal 128 4 2" xfId="4914"/>
    <cellStyle name="Normal 128 5" xfId="4915"/>
    <cellStyle name="Normal 129" xfId="561"/>
    <cellStyle name="Normal 129 2" xfId="958"/>
    <cellStyle name="Normal 129 2 2" xfId="1757"/>
    <cellStyle name="Normal 129 2 2 2" xfId="3416"/>
    <cellStyle name="Normal 129 2 2 2 2" xfId="4916"/>
    <cellStyle name="Normal 129 2 2 3" xfId="4917"/>
    <cellStyle name="Normal 129 2 3" xfId="2622"/>
    <cellStyle name="Normal 129 2 3 2" xfId="4918"/>
    <cellStyle name="Normal 129 2 4" xfId="4919"/>
    <cellStyle name="Normal 129 3" xfId="1361"/>
    <cellStyle name="Normal 129 3 2" xfId="3020"/>
    <cellStyle name="Normal 129 3 2 2" xfId="4920"/>
    <cellStyle name="Normal 129 3 3" xfId="4921"/>
    <cellStyle name="Normal 129 4" xfId="2226"/>
    <cellStyle name="Normal 129 4 2" xfId="4922"/>
    <cellStyle name="Normal 129 5" xfId="4923"/>
    <cellStyle name="Normal 13" xfId="138"/>
    <cellStyle name="Normal 13 2" xfId="139"/>
    <cellStyle name="Normal 13 2 2" xfId="140"/>
    <cellStyle name="Normal 13 2 2 2" xfId="141"/>
    <cellStyle name="Normal 13 2 2 2 2" xfId="142"/>
    <cellStyle name="Normal 13 2 2 2 2 2" xfId="143"/>
    <cellStyle name="Normal 13 2 2 2 2 2 2" xfId="144"/>
    <cellStyle name="Normal 13 2 2 2 2 2 2 2" xfId="4924"/>
    <cellStyle name="Normal 13 2 2 2 2 2 2 2 2" xfId="4925"/>
    <cellStyle name="Normal 13 2 2 2 2 2 2 2 2 2" xfId="4926"/>
    <cellStyle name="Normal 13 2 2 2 2 2 2 2 2 2 2" xfId="4927"/>
    <cellStyle name="Normal 13 2 2 2 2 2 2 2 2 2 2 2" xfId="4928"/>
    <cellStyle name="Normal 13 2 2 2 2 2 2 2 2 2 2 2 2" xfId="4929"/>
    <cellStyle name="Normal 13 2 2 2 2 2 2 2 2 2 2 2 2 2" xfId="4930"/>
    <cellStyle name="Normal 13 2 2 2 2 2 2 2 2 2 2 2 2 2 2" xfId="4931"/>
    <cellStyle name="Normal 13 2 2 2 2 2 2 2 2 2 2 2 2 2 2 2" xfId="4932"/>
    <cellStyle name="Normal 13 2 2 2 2 2 2 2 2 2 2 2 2 2 2 2 2" xfId="4933"/>
    <cellStyle name="Normal 13 2 2 2 2 2 2 2 2 2 2 2 2 2 2 2 2 2" xfId="4934"/>
    <cellStyle name="Normal 13 2 2 2 2 2 2 2 2 2 2 2 2 2 2 2 2 2 2" xfId="4935"/>
    <cellStyle name="Normal 13 2 2 2 2 2 2 2 2 2 2 2 2 2 2 2 2 2 2 2" xfId="4936"/>
    <cellStyle name="Normal 13 2 2 2 2 2 2 2 2 2 2 2 2 2 2 2 2 2 2 2 2" xfId="4937"/>
    <cellStyle name="Normal 13 2 2 2 2 2 2 2 2 2 2 2 2 2 2 2 2 2 2 2 2 2" xfId="4938"/>
    <cellStyle name="Normal 13 2 2 2 2 2 2 2 2 2 2 2 2 2 2 2 2 2 2 2 2 2 2" xfId="4939"/>
    <cellStyle name="Normal 13 2 2 2 2 2 2 2 2 2 2 2 2 2 2 2 2 2 2 2 2 2 2 2" xfId="4940"/>
    <cellStyle name="Normal 13 2 2 2 2 2 2 2 2 2 2 2 2 2 2 2 2 2 2 2 2 2 2 2 2" xfId="4941"/>
    <cellStyle name="Normal 13 2 2 2 2 2 2 2 2 2 2 2 2 2 2 2 2 2 2 2 2 2 2 2 2 2" xfId="4942"/>
    <cellStyle name="Normal 13 2 2 2 2 2 2 2 2 2 2 2 2 2 2 2 2 2 2 2 2 2 2 2 2 2 2" xfId="4943"/>
    <cellStyle name="Normal 13 2 2 2 2 2 2 2 2 2 2 2 2 2 2 2 2 2 2 2 2 2 2 2 2 2 2 2" xfId="4944"/>
    <cellStyle name="Normal 13 2 2 2 2 2 2 2 2 2 2 2 2 2 2 2 2 2 2 2 2 2 2 2 2 2 2 2 2" xfId="4945"/>
    <cellStyle name="Normal 13 2 2 2 2 2 2 2 2 2 2 2 2 2 2 2 2 2 2 2 2 2 2 2 2 2 2 2 2 2" xfId="4946"/>
    <cellStyle name="Normal 13 2 2 2 2 2 2 2 2 2 2 2 2 2 2 2 2 2 2 2 2 2 2 2 2 2 2 2 2 2 2" xfId="4947"/>
    <cellStyle name="Normal 13 2 2 2 2 2 2 2 2 2 2 2 2 2 2 2 2 2 2 2 2 2 2 2 2 2 2 2 2 3" xfId="4948"/>
    <cellStyle name="Normal 13 2 2 2 2 2 2 2 2 2 2 2 2 2 2 2 2 2 2 2 2 2 2 2 2 2 2 2 3" xfId="4949"/>
    <cellStyle name="Normal 13 2 2 2 2 2 2 2 2 2 2 2 2 2 2 2 2 2 2 2 2 2 2 2 2 2 2 3" xfId="4950"/>
    <cellStyle name="Normal 13 2 2 2 2 2 2 2 2 2 2 2 2 2 2 2 2 2 2 2 2 2 2 2 2 2 2 3 2" xfId="4951"/>
    <cellStyle name="Normal 13 2 2 2 2 2 2 2 2 2 2 2 2 2 2 2 2 2 2 2 2 2 2 2 2 2 2 3 2 2" xfId="4952"/>
    <cellStyle name="Normal 13 2 2 2 2 2 2 2 2 2 2 2 2 2 2 2 2 2 2 2 2 2 2 2 2 2 2 3 3" xfId="4953"/>
    <cellStyle name="Normal 13 2 2 2 2 2 2 2 2 2 2 2 2 2 2 2 2 2 2 2 2 2 2 2 2 2 2 3 3 2" xfId="4954"/>
    <cellStyle name="Normal 13 2 2 2 2 2 2 2 2 2 2 2 2 2 2 2 2 2 2 2 2 2 2 2 2 2 2 3 3 2 2" xfId="4955"/>
    <cellStyle name="Normal 13 2 2 2 2 2 2 2 2 2 2 2 2 2 2 2 2 2 2 2 2 2 2 2 2 2 2 3 3 3" xfId="4956"/>
    <cellStyle name="Normal 13 2 2 2 2 2 2 2 2 2 2 2 2 2 2 2 2 2 2 2 2 2 2 2 2 2 2 3 4" xfId="4957"/>
    <cellStyle name="Normal 13 2 2 2 2 2 2 2 2 2 2 2 2 2 2 2 2 2 2 2 2 2 2 2 2 2 2 4" xfId="4958"/>
    <cellStyle name="Normal 13 2 2 2 2 2 2 2 2 2 2 2 2 2 2 2 2 2 2 2 2 2 2 2 2 2 3" xfId="4959"/>
    <cellStyle name="Normal 13 2 2 2 2 2 2 2 2 2 2 2 2 2 2 2 2 2 2 2 2 2 2 2 2 3" xfId="4960"/>
    <cellStyle name="Normal 13 2 2 2 2 2 2 2 2 2 2 2 2 2 2 2 2 2 2 2 2 2 2 2 3" xfId="4961"/>
    <cellStyle name="Normal 13 2 2 2 2 2 2 2 2 2 2 2 2 2 2 2 2 2 2 2 2 2 2 3" xfId="4962"/>
    <cellStyle name="Normal 13 2 2 2 2 2 2 2 2 2 2 2 2 2 2 2 2 2 2 2 2 2 2 3 2" xfId="4963"/>
    <cellStyle name="Normal 13 2 2 2 2 2 2 2 2 2 2 2 2 2 2 2 2 2 2 2 2 2 2 4" xfId="4964"/>
    <cellStyle name="Normal 13 2 2 2 2 2 2 2 2 2 2 2 2 2 2 2 2 2 2 2 2 2 3" xfId="4965"/>
    <cellStyle name="Normal 13 2 2 2 2 2 2 2 2 2 2 2 2 2 2 2 2 2 2 2 2 3" xfId="4966"/>
    <cellStyle name="Normal 13 2 2 2 2 2 2 2 2 2 2 2 2 2 2 2 2 2 2 2 3" xfId="4967"/>
    <cellStyle name="Normal 13 2 2 2 2 2 2 2 2 2 2 2 2 2 2 2 2 2 2 3" xfId="4968"/>
    <cellStyle name="Normal 13 2 2 2 2 2 2 2 2 2 2 2 2 2 2 2 2 2 3" xfId="4969"/>
    <cellStyle name="Normal 13 2 2 2 2 2 2 2 2 2 2 2 2 2 2 2 2 3" xfId="4970"/>
    <cellStyle name="Normal 13 2 2 2 2 2 2 2 2 2 2 2 2 2 2 2 3" xfId="4971"/>
    <cellStyle name="Normal 13 2 2 2 2 2 2 2 2 2 2 2 2 2 2 3" xfId="4972"/>
    <cellStyle name="Normal 13 2 2 2 2 2 2 2 2 2 2 2 2 2 3" xfId="4973"/>
    <cellStyle name="Normal 13 2 2 2 2 2 2 2 2 2 2 2 2 3" xfId="4974"/>
    <cellStyle name="Normal 13 2 2 2 2 2 2 2 2 2 2 2 3" xfId="4975"/>
    <cellStyle name="Normal 13 2 2 2 2 2 2 2 2 2 2 3" xfId="4976"/>
    <cellStyle name="Normal 13 2 2 2 2 2 2 2 2 2 2 3 2" xfId="4977"/>
    <cellStyle name="Normal 13 2 2 2 2 2 2 2 2 2 2 4" xfId="4978"/>
    <cellStyle name="Normal 13 2 2 2 2 2 2 2 2 2 3" xfId="4979"/>
    <cellStyle name="Normal 13 2 2 2 2 2 2 2 2 3" xfId="4980"/>
    <cellStyle name="Normal 13 2 2 2 2 2 2 2 3" xfId="4981"/>
    <cellStyle name="Normal 13 2 2 2 2 2 2 3" xfId="4982"/>
    <cellStyle name="Normal 13 2 2 2 2 2 3" xfId="4983"/>
    <cellStyle name="Normal 13 2 2 2 2 3" xfId="4984"/>
    <cellStyle name="Normal 13 2 2 2 3" xfId="4985"/>
    <cellStyle name="Normal 13 2 2 2 3 2" xfId="4986"/>
    <cellStyle name="Normal 13 2 2 2 3 2 2" xfId="4987"/>
    <cellStyle name="Normal 13 2 2 2 3 2 2 2" xfId="4988"/>
    <cellStyle name="Normal 13 2 2 2 3 2 2 2 2" xfId="4989"/>
    <cellStyle name="Normal 13 2 2 2 3 2 2 2 2 2" xfId="4990"/>
    <cellStyle name="Normal 13 2 2 2 3 2 2 2 2 2 2" xfId="4991"/>
    <cellStyle name="Normal 13 2 2 2 3 2 2 2 2 2 2 2" xfId="4992"/>
    <cellStyle name="Normal 13 2 2 2 3 2 2 2 2 2 2 2 2" xfId="4993"/>
    <cellStyle name="Normal 13 2 2 2 3 2 2 2 2 2 2 2 2 2" xfId="4994"/>
    <cellStyle name="Normal 13 2 2 2 3 2 2 2 2 2 2 2 3" xfId="4995"/>
    <cellStyle name="Normal 13 2 2 2 3 2 2 2 2 2 2 3" xfId="4996"/>
    <cellStyle name="Normal 13 2 2 2 3 2 2 2 2 2 3" xfId="4997"/>
    <cellStyle name="Normal 13 2 2 2 3 2 2 2 2 3" xfId="4998"/>
    <cellStyle name="Normal 13 2 2 2 3 2 2 2 3" xfId="4999"/>
    <cellStyle name="Normal 13 2 2 2 3 2 2 3" xfId="5000"/>
    <cellStyle name="Normal 13 2 2 2 3 2 3" xfId="5001"/>
    <cellStyle name="Normal 13 2 2 2 3 3" xfId="5002"/>
    <cellStyle name="Normal 13 2 2 2 4" xfId="5003"/>
    <cellStyle name="Normal 13 2 2 2 5" xfId="5004"/>
    <cellStyle name="Normal 13 2 2 3" xfId="1614"/>
    <cellStyle name="Normal 13 2 2 3 2" xfId="3273"/>
    <cellStyle name="Normal 13 2 2 3 2 2" xfId="5005"/>
    <cellStyle name="Normal 13 2 2 3 2 2 2" xfId="5006"/>
    <cellStyle name="Normal 13 2 2 3 2 2 2 2" xfId="5007"/>
    <cellStyle name="Normal 13 2 2 3 2 2 2 2 2" xfId="5008"/>
    <cellStyle name="Normal 13 2 2 3 2 2 2 2 2 2" xfId="5009"/>
    <cellStyle name="Normal 13 2 2 3 2 2 2 2 2 2 2" xfId="5010"/>
    <cellStyle name="Normal 13 2 2 3 2 2 2 2 2 2 2 2" xfId="5011"/>
    <cellStyle name="Normal 13 2 2 3 2 2 2 2 2 2 2 2 2" xfId="5012"/>
    <cellStyle name="Normal 13 2 2 3 2 2 2 2 2 2 2 2 2 2" xfId="5013"/>
    <cellStyle name="Normal 13 2 2 3 2 2 2 2 2 2 2 2 2 2 2" xfId="5014"/>
    <cellStyle name="Normal 13 2 2 3 2 2 2 2 2 2 2 2 2 2 2 2" xfId="5015"/>
    <cellStyle name="Normal 13 2 2 3 2 2 2 2 2 2 2 2 2 2 2 2 2" xfId="5016"/>
    <cellStyle name="Normal 13 2 2 3 2 2 2 2 2 2 2 2 2 2 2 2 2 2" xfId="5017"/>
    <cellStyle name="Normal 13 2 2 3 2 2 2 2 2 2 2 2 2 2 2 2 2 2 2" xfId="5018"/>
    <cellStyle name="Normal 13 2 2 3 2 2 2 2 2 2 2 2 2 2 2 2 2 2 2 2" xfId="5019"/>
    <cellStyle name="Normal 13 2 2 3 2 2 2 2 2 2 2 2 2 2 2 2 2 2 2 2 2" xfId="5020"/>
    <cellStyle name="Normal 13 2 2 3 2 2 2 2 2 2 2 2 2 2 2 2 2 2 2 2 2 2" xfId="5021"/>
    <cellStyle name="Normal 13 2 2 3 2 2 2 2 2 2 2 2 2 2 2 2 2 2 2 2 2 2 2" xfId="5022"/>
    <cellStyle name="Normal 13 2 2 3 2 2 2 2 2 2 2 2 2 2 2 2 2 2 2 2 2 2 2 2" xfId="5023"/>
    <cellStyle name="Normal 13 2 2 3 2 2 2 2 2 2 2 2 2 2 2 2 2 2 2 2 2 3" xfId="5024"/>
    <cellStyle name="Normal 13 2 2 3 2 2 2 2 2 2 2 2 2 2 2 2 2 2 2 2 3" xfId="5025"/>
    <cellStyle name="Normal 13 2 2 3 2 2 2 2 2 2 2 2 2 2 2 2 2 2 2 3" xfId="5026"/>
    <cellStyle name="Normal 13 2 2 3 2 2 2 2 2 2 2 2 2 2 2 2 2 2 3" xfId="5027"/>
    <cellStyle name="Normal 13 2 2 3 2 2 2 2 2 2 2 2 2 2 2 2 2 2 4" xfId="5028"/>
    <cellStyle name="Normal 13 2 2 3 2 2 2 2 2 2 2 2 2 2 2 2 2 3" xfId="5029"/>
    <cellStyle name="Normal 13 2 2 3 2 2 2 2 2 2 2 2 2 2 2 2 3" xfId="5030"/>
    <cellStyle name="Normal 13 2 2 3 2 2 2 2 2 2 2 2 2 2 2 3" xfId="5031"/>
    <cellStyle name="Normal 13 2 2 3 2 2 2 2 2 2 2 2 2 2 3" xfId="5032"/>
    <cellStyle name="Normal 13 2 2 3 2 2 2 2 2 2 2 2 2 3" xfId="5033"/>
    <cellStyle name="Normal 13 2 2 3 2 2 2 2 2 2 2 2 3" xfId="5034"/>
    <cellStyle name="Normal 13 2 2 3 2 2 2 2 2 2 2 3" xfId="5035"/>
    <cellStyle name="Normal 13 2 2 3 2 2 2 2 2 2 3" xfId="5036"/>
    <cellStyle name="Normal 13 2 2 3 2 2 2 2 2 3" xfId="5037"/>
    <cellStyle name="Normal 13 2 2 3 2 2 2 2 3" xfId="5038"/>
    <cellStyle name="Normal 13 2 2 3 2 2 2 3" xfId="5039"/>
    <cellStyle name="Normal 13 2 2 3 2 2 3" xfId="5040"/>
    <cellStyle name="Normal 13 2 2 3 2 3" xfId="5041"/>
    <cellStyle name="Normal 13 2 2 3 3" xfId="5042"/>
    <cellStyle name="Normal 13 2 2 4" xfId="5043"/>
    <cellStyle name="Normal 13 2 2 5" xfId="5044"/>
    <cellStyle name="Normal 13 2 2 6" xfId="5045"/>
    <cellStyle name="Normal 13 2 3" xfId="815"/>
    <cellStyle name="Normal 13 2 3 2" xfId="2479"/>
    <cellStyle name="Normal 13 2 4" xfId="5046"/>
    <cellStyle name="Normal 13 2 5" xfId="5047"/>
    <cellStyle name="Normal 13 3" xfId="1218"/>
    <cellStyle name="Normal 13 3 2" xfId="2877"/>
    <cellStyle name="Normal 13 3 2 2" xfId="5048"/>
    <cellStyle name="Normal 13 3 3" xfId="5049"/>
    <cellStyle name="Normal 13 3 4" xfId="5050"/>
    <cellStyle name="Normal 13 4" xfId="430"/>
    <cellStyle name="Normal 13 4 2" xfId="2083"/>
    <cellStyle name="Normal 13 4 3" xfId="5051"/>
    <cellStyle name="Normal 13 5" xfId="353"/>
    <cellStyle name="Normal 13 6" xfId="5052"/>
    <cellStyle name="Normal 13 7" xfId="5053"/>
    <cellStyle name="Normal 130" xfId="569"/>
    <cellStyle name="Normal 130 2" xfId="966"/>
    <cellStyle name="Normal 130 2 2" xfId="1765"/>
    <cellStyle name="Normal 130 2 2 2" xfId="3424"/>
    <cellStyle name="Normal 130 2 2 2 2" xfId="5054"/>
    <cellStyle name="Normal 130 2 2 3" xfId="5055"/>
    <cellStyle name="Normal 130 2 3" xfId="2630"/>
    <cellStyle name="Normal 130 2 3 2" xfId="5056"/>
    <cellStyle name="Normal 130 2 4" xfId="5057"/>
    <cellStyle name="Normal 130 3" xfId="1369"/>
    <cellStyle name="Normal 130 3 2" xfId="3028"/>
    <cellStyle name="Normal 130 3 2 2" xfId="5058"/>
    <cellStyle name="Normal 130 3 3" xfId="5059"/>
    <cellStyle name="Normal 130 4" xfId="2234"/>
    <cellStyle name="Normal 130 4 2" xfId="5060"/>
    <cellStyle name="Normal 130 5" xfId="5061"/>
    <cellStyle name="Normal 131" xfId="555"/>
    <cellStyle name="Normal 131 2" xfId="952"/>
    <cellStyle name="Normal 131 2 2" xfId="1751"/>
    <cellStyle name="Normal 131 2 2 2" xfId="3410"/>
    <cellStyle name="Normal 131 2 2 2 2" xfId="5062"/>
    <cellStyle name="Normal 131 2 2 3" xfId="5063"/>
    <cellStyle name="Normal 131 2 3" xfId="2616"/>
    <cellStyle name="Normal 131 2 3 2" xfId="5064"/>
    <cellStyle name="Normal 131 2 4" xfId="5065"/>
    <cellStyle name="Normal 131 3" xfId="1355"/>
    <cellStyle name="Normal 131 3 2" xfId="3014"/>
    <cellStyle name="Normal 131 3 2 2" xfId="5066"/>
    <cellStyle name="Normal 131 3 3" xfId="5067"/>
    <cellStyle name="Normal 131 4" xfId="2220"/>
    <cellStyle name="Normal 131 4 2" xfId="5068"/>
    <cellStyle name="Normal 131 5" xfId="5069"/>
    <cellStyle name="Normal 132" xfId="573"/>
    <cellStyle name="Normal 132 2" xfId="970"/>
    <cellStyle name="Normal 132 2 2" xfId="1769"/>
    <cellStyle name="Normal 132 2 2 2" xfId="3428"/>
    <cellStyle name="Normal 132 2 2 2 2" xfId="5070"/>
    <cellStyle name="Normal 132 2 2 3" xfId="5071"/>
    <cellStyle name="Normal 132 2 3" xfId="2634"/>
    <cellStyle name="Normal 132 2 3 2" xfId="5072"/>
    <cellStyle name="Normal 132 2 4" xfId="5073"/>
    <cellStyle name="Normal 132 3" xfId="1373"/>
    <cellStyle name="Normal 132 3 2" xfId="3032"/>
    <cellStyle name="Normal 132 3 2 2" xfId="5074"/>
    <cellStyle name="Normal 132 3 3" xfId="5075"/>
    <cellStyle name="Normal 132 4" xfId="2238"/>
    <cellStyle name="Normal 132 4 2" xfId="5076"/>
    <cellStyle name="Normal 132 5" xfId="5077"/>
    <cellStyle name="Normal 133" xfId="567"/>
    <cellStyle name="Normal 133 2" xfId="964"/>
    <cellStyle name="Normal 133 2 2" xfId="1763"/>
    <cellStyle name="Normal 133 2 2 2" xfId="3422"/>
    <cellStyle name="Normal 133 2 2 2 2" xfId="5078"/>
    <cellStyle name="Normal 133 2 2 3" xfId="5079"/>
    <cellStyle name="Normal 133 2 3" xfId="2628"/>
    <cellStyle name="Normal 133 2 3 2" xfId="5080"/>
    <cellStyle name="Normal 133 2 4" xfId="5081"/>
    <cellStyle name="Normal 133 3" xfId="1367"/>
    <cellStyle name="Normal 133 3 2" xfId="3026"/>
    <cellStyle name="Normal 133 3 2 2" xfId="5082"/>
    <cellStyle name="Normal 133 3 3" xfId="5083"/>
    <cellStyle name="Normal 133 4" xfId="2232"/>
    <cellStyle name="Normal 133 4 2" xfId="5084"/>
    <cellStyle name="Normal 133 5" xfId="5085"/>
    <cellStyle name="Normal 134" xfId="568"/>
    <cellStyle name="Normal 134 2" xfId="965"/>
    <cellStyle name="Normal 134 2 2" xfId="1764"/>
    <cellStyle name="Normal 134 2 2 2" xfId="3423"/>
    <cellStyle name="Normal 134 2 2 2 2" xfId="5086"/>
    <cellStyle name="Normal 134 2 2 3" xfId="5087"/>
    <cellStyle name="Normal 134 2 3" xfId="2629"/>
    <cellStyle name="Normal 134 2 3 2" xfId="5088"/>
    <cellStyle name="Normal 134 2 4" xfId="5089"/>
    <cellStyle name="Normal 134 3" xfId="1368"/>
    <cellStyle name="Normal 134 3 2" xfId="3027"/>
    <cellStyle name="Normal 134 3 2 2" xfId="5090"/>
    <cellStyle name="Normal 134 3 3" xfId="5091"/>
    <cellStyle name="Normal 134 4" xfId="2233"/>
    <cellStyle name="Normal 134 4 2" xfId="5092"/>
    <cellStyle name="Normal 134 5" xfId="5093"/>
    <cellStyle name="Normal 135" xfId="564"/>
    <cellStyle name="Normal 135 2" xfId="961"/>
    <cellStyle name="Normal 135 2 2" xfId="1760"/>
    <cellStyle name="Normal 135 2 2 2" xfId="3419"/>
    <cellStyle name="Normal 135 2 2 2 2" xfId="5094"/>
    <cellStyle name="Normal 135 2 2 3" xfId="5095"/>
    <cellStyle name="Normal 135 2 3" xfId="2625"/>
    <cellStyle name="Normal 135 2 3 2" xfId="5096"/>
    <cellStyle name="Normal 135 2 4" xfId="5097"/>
    <cellStyle name="Normal 135 3" xfId="1364"/>
    <cellStyle name="Normal 135 3 2" xfId="3023"/>
    <cellStyle name="Normal 135 3 2 2" xfId="5098"/>
    <cellStyle name="Normal 135 3 3" xfId="5099"/>
    <cellStyle name="Normal 135 4" xfId="2229"/>
    <cellStyle name="Normal 135 4 2" xfId="5100"/>
    <cellStyle name="Normal 135 5" xfId="5101"/>
    <cellStyle name="Normal 136" xfId="534"/>
    <cellStyle name="Normal 136 2" xfId="931"/>
    <cellStyle name="Normal 136 2 2" xfId="1730"/>
    <cellStyle name="Normal 136 2 2 2" xfId="3389"/>
    <cellStyle name="Normal 136 2 2 2 2" xfId="5102"/>
    <cellStyle name="Normal 136 2 2 3" xfId="5103"/>
    <cellStyle name="Normal 136 2 3" xfId="2595"/>
    <cellStyle name="Normal 136 2 3 2" xfId="5104"/>
    <cellStyle name="Normal 136 2 4" xfId="5105"/>
    <cellStyle name="Normal 136 3" xfId="1334"/>
    <cellStyle name="Normal 136 3 2" xfId="2993"/>
    <cellStyle name="Normal 136 3 2 2" xfId="5106"/>
    <cellStyle name="Normal 136 3 3" xfId="5107"/>
    <cellStyle name="Normal 136 4" xfId="2199"/>
    <cellStyle name="Normal 136 4 2" xfId="5108"/>
    <cellStyle name="Normal 136 5" xfId="5109"/>
    <cellStyle name="Normal 137" xfId="529"/>
    <cellStyle name="Normal 137 2" xfId="926"/>
    <cellStyle name="Normal 137 2 2" xfId="1725"/>
    <cellStyle name="Normal 137 2 2 2" xfId="3384"/>
    <cellStyle name="Normal 137 2 2 2 2" xfId="5110"/>
    <cellStyle name="Normal 137 2 2 3" xfId="5111"/>
    <cellStyle name="Normal 137 2 3" xfId="2590"/>
    <cellStyle name="Normal 137 2 3 2" xfId="5112"/>
    <cellStyle name="Normal 137 2 4" xfId="5113"/>
    <cellStyle name="Normal 137 3" xfId="1329"/>
    <cellStyle name="Normal 137 3 2" xfId="2988"/>
    <cellStyle name="Normal 137 3 2 2" xfId="5114"/>
    <cellStyle name="Normal 137 3 3" xfId="5115"/>
    <cellStyle name="Normal 137 4" xfId="2194"/>
    <cellStyle name="Normal 137 4 2" xfId="5116"/>
    <cellStyle name="Normal 137 5" xfId="5117"/>
    <cellStyle name="Normal 138" xfId="552"/>
    <cellStyle name="Normal 138 2" xfId="949"/>
    <cellStyle name="Normal 138 2 2" xfId="1748"/>
    <cellStyle name="Normal 138 2 2 2" xfId="3407"/>
    <cellStyle name="Normal 138 2 2 2 2" xfId="5118"/>
    <cellStyle name="Normal 138 2 2 3" xfId="5119"/>
    <cellStyle name="Normal 138 2 3" xfId="2613"/>
    <cellStyle name="Normal 138 2 3 2" xfId="5120"/>
    <cellStyle name="Normal 138 2 4" xfId="5121"/>
    <cellStyle name="Normal 138 3" xfId="1352"/>
    <cellStyle name="Normal 138 3 2" xfId="3011"/>
    <cellStyle name="Normal 138 3 2 2" xfId="5122"/>
    <cellStyle name="Normal 138 3 3" xfId="5123"/>
    <cellStyle name="Normal 138 4" xfId="2217"/>
    <cellStyle name="Normal 138 4 2" xfId="5124"/>
    <cellStyle name="Normal 138 5" xfId="5125"/>
    <cellStyle name="Normal 139" xfId="570"/>
    <cellStyle name="Normal 139 2" xfId="967"/>
    <cellStyle name="Normal 139 2 2" xfId="1766"/>
    <cellStyle name="Normal 139 2 2 2" xfId="3425"/>
    <cellStyle name="Normal 139 2 2 2 2" xfId="5126"/>
    <cellStyle name="Normal 139 2 2 3" xfId="5127"/>
    <cellStyle name="Normal 139 2 3" xfId="2631"/>
    <cellStyle name="Normal 139 2 3 2" xfId="5128"/>
    <cellStyle name="Normal 139 2 4" xfId="5129"/>
    <cellStyle name="Normal 139 3" xfId="1370"/>
    <cellStyle name="Normal 139 3 2" xfId="3029"/>
    <cellStyle name="Normal 139 3 2 2" xfId="5130"/>
    <cellStyle name="Normal 139 3 3" xfId="5131"/>
    <cellStyle name="Normal 139 4" xfId="2235"/>
    <cellStyle name="Normal 139 4 2" xfId="5132"/>
    <cellStyle name="Normal 139 5" xfId="5133"/>
    <cellStyle name="Normal 14" xfId="145"/>
    <cellStyle name="Normal 14 2" xfId="146"/>
    <cellStyle name="Normal 14 2 2" xfId="1615"/>
    <cellStyle name="Normal 14 2 2 2" xfId="3274"/>
    <cellStyle name="Normal 14 2 2 2 2" xfId="5134"/>
    <cellStyle name="Normal 14 2 2 3" xfId="5135"/>
    <cellStyle name="Normal 14 2 3" xfId="816"/>
    <cellStyle name="Normal 14 2 3 2" xfId="2480"/>
    <cellStyle name="Normal 14 2 4" xfId="5136"/>
    <cellStyle name="Normal 14 3" xfId="1219"/>
    <cellStyle name="Normal 14 3 2" xfId="2878"/>
    <cellStyle name="Normal 14 3 2 2" xfId="5137"/>
    <cellStyle name="Normal 14 3 2 2 2" xfId="5138"/>
    <cellStyle name="Normal 14 3 2 2 2 2" xfId="5139"/>
    <cellStyle name="Normal 14 3 2 2 3" xfId="5140"/>
    <cellStyle name="Normal 14 3 2 3" xfId="5141"/>
    <cellStyle name="Normal 14 3 2 3 2" xfId="5142"/>
    <cellStyle name="Normal 14 3 2 3 2 2" xfId="5143"/>
    <cellStyle name="Normal 14 3 2 3 2 2 2" xfId="5144"/>
    <cellStyle name="Normal 14 3 2 3 2 2 2 2" xfId="5145"/>
    <cellStyle name="Normal 14 3 2 3 2 2 3" xfId="5146"/>
    <cellStyle name="Normal 14 3 2 3 2 3" xfId="5147"/>
    <cellStyle name="Normal 14 3 2 3 3" xfId="5148"/>
    <cellStyle name="Normal 14 3 2 4" xfId="5149"/>
    <cellStyle name="Normal 14 3 2 5" xfId="5150"/>
    <cellStyle name="Normal 14 3 3" xfId="5151"/>
    <cellStyle name="Normal 14 3 4" xfId="5152"/>
    <cellStyle name="Normal 14 3 5" xfId="5153"/>
    <cellStyle name="Normal 14 4" xfId="431"/>
    <cellStyle name="Normal 14 4 2" xfId="2084"/>
    <cellStyle name="Normal 14 4 3" xfId="5154"/>
    <cellStyle name="Normal 14 4 4" xfId="9190"/>
    <cellStyle name="Normal 14 5" xfId="2038"/>
    <cellStyle name="Normal 14 5 2" xfId="5155"/>
    <cellStyle name="Normal 14 6" xfId="385"/>
    <cellStyle name="Normal 14 7" xfId="5156"/>
    <cellStyle name="Normal 14 8" xfId="8429"/>
    <cellStyle name="Normal 14 9" xfId="9556"/>
    <cellStyle name="Normal 140" xfId="557"/>
    <cellStyle name="Normal 140 2" xfId="954"/>
    <cellStyle name="Normal 140 2 2" xfId="1753"/>
    <cellStyle name="Normal 140 2 2 2" xfId="3412"/>
    <cellStyle name="Normal 140 2 2 2 2" xfId="5157"/>
    <cellStyle name="Normal 140 2 2 3" xfId="5158"/>
    <cellStyle name="Normal 140 2 3" xfId="2618"/>
    <cellStyle name="Normal 140 2 3 2" xfId="5159"/>
    <cellStyle name="Normal 140 2 4" xfId="5160"/>
    <cellStyle name="Normal 140 3" xfId="1357"/>
    <cellStyle name="Normal 140 3 2" xfId="3016"/>
    <cellStyle name="Normal 140 3 2 2" xfId="5161"/>
    <cellStyle name="Normal 140 3 3" xfId="5162"/>
    <cellStyle name="Normal 140 4" xfId="2222"/>
    <cellStyle name="Normal 140 4 2" xfId="5163"/>
    <cellStyle name="Normal 140 5" xfId="5164"/>
    <cellStyle name="Normal 141" xfId="562"/>
    <cellStyle name="Normal 141 2" xfId="959"/>
    <cellStyle name="Normal 141 2 2" xfId="1758"/>
    <cellStyle name="Normal 141 2 2 2" xfId="3417"/>
    <cellStyle name="Normal 141 2 2 2 2" xfId="5165"/>
    <cellStyle name="Normal 141 2 2 3" xfId="5166"/>
    <cellStyle name="Normal 141 2 3" xfId="2623"/>
    <cellStyle name="Normal 141 2 3 2" xfId="5167"/>
    <cellStyle name="Normal 141 2 4" xfId="5168"/>
    <cellStyle name="Normal 141 3" xfId="1362"/>
    <cellStyle name="Normal 141 3 2" xfId="3021"/>
    <cellStyle name="Normal 141 3 2 2" xfId="5169"/>
    <cellStyle name="Normal 141 3 3" xfId="5170"/>
    <cellStyle name="Normal 141 4" xfId="2227"/>
    <cellStyle name="Normal 141 4 2" xfId="5171"/>
    <cellStyle name="Normal 141 5" xfId="5172"/>
    <cellStyle name="Normal 142" xfId="565"/>
    <cellStyle name="Normal 142 2" xfId="962"/>
    <cellStyle name="Normal 142 2 2" xfId="1761"/>
    <cellStyle name="Normal 142 2 2 2" xfId="3420"/>
    <cellStyle name="Normal 142 2 2 2 2" xfId="5173"/>
    <cellStyle name="Normal 142 2 2 3" xfId="5174"/>
    <cellStyle name="Normal 142 2 3" xfId="2626"/>
    <cellStyle name="Normal 142 2 3 2" xfId="5175"/>
    <cellStyle name="Normal 142 2 4" xfId="5176"/>
    <cellStyle name="Normal 142 3" xfId="1365"/>
    <cellStyle name="Normal 142 3 2" xfId="3024"/>
    <cellStyle name="Normal 142 3 2 2" xfId="5177"/>
    <cellStyle name="Normal 142 3 3" xfId="5178"/>
    <cellStyle name="Normal 142 4" xfId="2230"/>
    <cellStyle name="Normal 142 4 2" xfId="5179"/>
    <cellStyle name="Normal 142 5" xfId="5180"/>
    <cellStyle name="Normal 143" xfId="576"/>
    <cellStyle name="Normal 143 2" xfId="973"/>
    <cellStyle name="Normal 143 2 2" xfId="1772"/>
    <cellStyle name="Normal 143 2 2 2" xfId="3431"/>
    <cellStyle name="Normal 143 2 2 2 2" xfId="5181"/>
    <cellStyle name="Normal 143 2 2 3" xfId="5182"/>
    <cellStyle name="Normal 143 2 3" xfId="2637"/>
    <cellStyle name="Normal 143 2 3 2" xfId="5183"/>
    <cellStyle name="Normal 143 2 4" xfId="5184"/>
    <cellStyle name="Normal 143 3" xfId="1376"/>
    <cellStyle name="Normal 143 3 2" xfId="3035"/>
    <cellStyle name="Normal 143 3 2 2" xfId="5185"/>
    <cellStyle name="Normal 143 3 3" xfId="5186"/>
    <cellStyle name="Normal 143 4" xfId="2241"/>
    <cellStyle name="Normal 143 4 2" xfId="5187"/>
    <cellStyle name="Normal 143 5" xfId="5188"/>
    <cellStyle name="Normal 144" xfId="558"/>
    <cellStyle name="Normal 144 2" xfId="955"/>
    <cellStyle name="Normal 144 2 2" xfId="1754"/>
    <cellStyle name="Normal 144 2 2 2" xfId="3413"/>
    <cellStyle name="Normal 144 2 2 2 2" xfId="5189"/>
    <cellStyle name="Normal 144 2 2 3" xfId="5190"/>
    <cellStyle name="Normal 144 2 3" xfId="2619"/>
    <cellStyle name="Normal 144 2 3 2" xfId="5191"/>
    <cellStyle name="Normal 144 2 4" xfId="5192"/>
    <cellStyle name="Normal 144 3" xfId="1358"/>
    <cellStyle name="Normal 144 3 2" xfId="3017"/>
    <cellStyle name="Normal 144 3 2 2" xfId="5193"/>
    <cellStyle name="Normal 144 3 3" xfId="5194"/>
    <cellStyle name="Normal 144 4" xfId="2223"/>
    <cellStyle name="Normal 144 4 2" xfId="5195"/>
    <cellStyle name="Normal 144 5" xfId="5196"/>
    <cellStyle name="Normal 145" xfId="566"/>
    <cellStyle name="Normal 145 2" xfId="963"/>
    <cellStyle name="Normal 145 2 2" xfId="1762"/>
    <cellStyle name="Normal 145 2 2 2" xfId="3421"/>
    <cellStyle name="Normal 145 2 2 2 2" xfId="5197"/>
    <cellStyle name="Normal 145 2 2 3" xfId="5198"/>
    <cellStyle name="Normal 145 2 3" xfId="2627"/>
    <cellStyle name="Normal 145 2 3 2" xfId="5199"/>
    <cellStyle name="Normal 145 2 4" xfId="5200"/>
    <cellStyle name="Normal 145 3" xfId="1366"/>
    <cellStyle name="Normal 145 3 2" xfId="3025"/>
    <cellStyle name="Normal 145 3 2 2" xfId="5201"/>
    <cellStyle name="Normal 145 3 3" xfId="5202"/>
    <cellStyle name="Normal 145 4" xfId="2231"/>
    <cellStyle name="Normal 145 4 2" xfId="5203"/>
    <cellStyle name="Normal 145 5" xfId="5204"/>
    <cellStyle name="Normal 146" xfId="572"/>
    <cellStyle name="Normal 146 2" xfId="969"/>
    <cellStyle name="Normal 146 2 2" xfId="1768"/>
    <cellStyle name="Normal 146 2 2 2" xfId="3427"/>
    <cellStyle name="Normal 146 2 2 2 2" xfId="5205"/>
    <cellStyle name="Normal 146 2 2 3" xfId="5206"/>
    <cellStyle name="Normal 146 2 3" xfId="2633"/>
    <cellStyle name="Normal 146 2 3 2" xfId="5207"/>
    <cellStyle name="Normal 146 2 4" xfId="5208"/>
    <cellStyle name="Normal 146 3" xfId="1372"/>
    <cellStyle name="Normal 146 3 2" xfId="3031"/>
    <cellStyle name="Normal 146 3 2 2" xfId="5209"/>
    <cellStyle name="Normal 146 3 3" xfId="5210"/>
    <cellStyle name="Normal 146 4" xfId="2237"/>
    <cellStyle name="Normal 146 4 2" xfId="5211"/>
    <cellStyle name="Normal 146 5" xfId="5212"/>
    <cellStyle name="Normal 147" xfId="571"/>
    <cellStyle name="Normal 147 2" xfId="968"/>
    <cellStyle name="Normal 147 2 2" xfId="1767"/>
    <cellStyle name="Normal 147 2 2 2" xfId="3426"/>
    <cellStyle name="Normal 147 2 2 2 2" xfId="5213"/>
    <cellStyle name="Normal 147 2 2 3" xfId="5214"/>
    <cellStyle name="Normal 147 2 3" xfId="2632"/>
    <cellStyle name="Normal 147 2 3 2" xfId="5215"/>
    <cellStyle name="Normal 147 2 4" xfId="5216"/>
    <cellStyle name="Normal 147 3" xfId="1371"/>
    <cellStyle name="Normal 147 3 2" xfId="3030"/>
    <cellStyle name="Normal 147 3 2 2" xfId="5217"/>
    <cellStyle name="Normal 147 3 3" xfId="5218"/>
    <cellStyle name="Normal 147 4" xfId="2236"/>
    <cellStyle name="Normal 147 4 2" xfId="5219"/>
    <cellStyle name="Normal 147 5" xfId="5220"/>
    <cellStyle name="Normal 148" xfId="575"/>
    <cellStyle name="Normal 148 2" xfId="972"/>
    <cellStyle name="Normal 148 2 2" xfId="1771"/>
    <cellStyle name="Normal 148 2 2 2" xfId="3430"/>
    <cellStyle name="Normal 148 2 2 2 2" xfId="5221"/>
    <cellStyle name="Normal 148 2 2 3" xfId="5222"/>
    <cellStyle name="Normal 148 2 3" xfId="2636"/>
    <cellStyle name="Normal 148 2 3 2" xfId="5223"/>
    <cellStyle name="Normal 148 2 4" xfId="5224"/>
    <cellStyle name="Normal 148 3" xfId="1375"/>
    <cellStyle name="Normal 148 3 2" xfId="3034"/>
    <cellStyle name="Normal 148 3 2 2" xfId="5225"/>
    <cellStyle name="Normal 148 3 3" xfId="5226"/>
    <cellStyle name="Normal 148 4" xfId="2240"/>
    <cellStyle name="Normal 148 4 2" xfId="5227"/>
    <cellStyle name="Normal 148 5" xfId="5228"/>
    <cellStyle name="Normal 149" xfId="559"/>
    <cellStyle name="Normal 149 2" xfId="956"/>
    <cellStyle name="Normal 149 2 2" xfId="1755"/>
    <cellStyle name="Normal 149 2 2 2" xfId="3414"/>
    <cellStyle name="Normal 149 2 2 2 2" xfId="5229"/>
    <cellStyle name="Normal 149 2 2 3" xfId="5230"/>
    <cellStyle name="Normal 149 2 3" xfId="2620"/>
    <cellStyle name="Normal 149 2 3 2" xfId="5231"/>
    <cellStyle name="Normal 149 2 4" xfId="5232"/>
    <cellStyle name="Normal 149 3" xfId="1359"/>
    <cellStyle name="Normal 149 3 2" xfId="3018"/>
    <cellStyle name="Normal 149 3 2 2" xfId="5233"/>
    <cellStyle name="Normal 149 3 3" xfId="5234"/>
    <cellStyle name="Normal 149 4" xfId="2224"/>
    <cellStyle name="Normal 149 4 2" xfId="5235"/>
    <cellStyle name="Normal 149 5" xfId="5236"/>
    <cellStyle name="Normal 15" xfId="147"/>
    <cellStyle name="Normal 15 2" xfId="148"/>
    <cellStyle name="Normal 15 2 2" xfId="149"/>
    <cellStyle name="Normal 15 2 2 2" xfId="150"/>
    <cellStyle name="Normal 15 2 2 2 2" xfId="151"/>
    <cellStyle name="Normal 15 2 2 2 2 2" xfId="5237"/>
    <cellStyle name="Normal 15 2 2 2 3" xfId="5238"/>
    <cellStyle name="Normal 15 2 2 2 3 2" xfId="5239"/>
    <cellStyle name="Normal 15 2 2 2 3 2 2" xfId="5240"/>
    <cellStyle name="Normal 15 2 2 2 3 2 2 2" xfId="5241"/>
    <cellStyle name="Normal 15 2 2 2 3 2 2 2 2" xfId="5242"/>
    <cellStyle name="Normal 15 2 2 2 3 2 2 2 2 2" xfId="5243"/>
    <cellStyle name="Normal 15 2 2 2 3 2 2 2 2 2 2" xfId="5244"/>
    <cellStyle name="Normal 15 2 2 2 3 2 2 2 2 2 2 2" xfId="5245"/>
    <cellStyle name="Normal 15 2 2 2 3 2 2 2 2 2 2 2 2" xfId="5246"/>
    <cellStyle name="Normal 15 2 2 2 3 2 2 2 2 2 2 2 2 2" xfId="5247"/>
    <cellStyle name="Normal 15 2 2 2 3 2 2 2 2 2 2 2 3" xfId="5248"/>
    <cellStyle name="Normal 15 2 2 2 3 2 2 2 2 2 2 3" xfId="5249"/>
    <cellStyle name="Normal 15 2 2 2 3 2 2 2 2 2 3" xfId="5250"/>
    <cellStyle name="Normal 15 2 2 2 3 2 2 2 2 3" xfId="5251"/>
    <cellStyle name="Normal 15 2 2 2 3 2 2 2 3" xfId="5252"/>
    <cellStyle name="Normal 15 2 2 2 3 2 2 3" xfId="5253"/>
    <cellStyle name="Normal 15 2 2 2 3 2 3" xfId="5254"/>
    <cellStyle name="Normal 15 2 2 2 3 3" xfId="5255"/>
    <cellStyle name="Normal 15 2 2 2 4" xfId="5256"/>
    <cellStyle name="Normal 15 2 2 2 5" xfId="5257"/>
    <cellStyle name="Normal 15 2 2 3" xfId="1639"/>
    <cellStyle name="Normal 15 2 2 3 2" xfId="3298"/>
    <cellStyle name="Normal 15 2 2 3 2 2" xfId="5258"/>
    <cellStyle name="Normal 15 2 2 3 2 2 2" xfId="5259"/>
    <cellStyle name="Normal 15 2 2 3 2 2 2 2" xfId="5260"/>
    <cellStyle name="Normal 15 2 2 3 2 2 2 2 2" xfId="5261"/>
    <cellStyle name="Normal 15 2 2 3 2 2 2 2 2 2" xfId="5262"/>
    <cellStyle name="Normal 15 2 2 3 2 2 2 2 2 2 2" xfId="5263"/>
    <cellStyle name="Normal 15 2 2 3 2 2 2 2 2 2 2 2" xfId="5264"/>
    <cellStyle name="Normal 15 2 2 3 2 2 2 2 2 2 2 2 2" xfId="5265"/>
    <cellStyle name="Normal 15 2 2 3 2 2 2 2 2 2 2 2 2 2" xfId="5266"/>
    <cellStyle name="Normal 15 2 2 3 2 2 2 2 2 2 2 2 2 2 2" xfId="5267"/>
    <cellStyle name="Normal 15 2 2 3 2 2 2 2 2 2 2 2 2 2 2 2" xfId="5268"/>
    <cellStyle name="Normal 15 2 2 3 2 2 2 2 2 2 2 2 2 2 2 2 2" xfId="5269"/>
    <cellStyle name="Normal 15 2 2 3 2 2 2 2 2 2 2 2 2 2 2 2 2 2" xfId="5270"/>
    <cellStyle name="Normal 15 2 2 3 2 2 2 2 2 2 2 2 2 2 2 2 2 2 2" xfId="5271"/>
    <cellStyle name="Normal 15 2 2 3 2 2 2 2 2 2 2 2 2 2 2 2 2 2 2 2" xfId="5272"/>
    <cellStyle name="Normal 15 2 2 3 2 2 2 2 2 2 2 2 2 2 2 2 2 2 2 2 2" xfId="5273"/>
    <cellStyle name="Normal 15 2 2 3 2 2 2 2 2 2 2 2 2 2 2 2 2 2 2 2 2 2" xfId="5274"/>
    <cellStyle name="Normal 15 2 2 3 2 2 2 2 2 2 2 2 2 2 2 2 2 2 2 2 2 2 2" xfId="5275"/>
    <cellStyle name="Normal 15 2 2 3 2 2 2 2 2 2 2 2 2 2 2 2 2 2 2 2 2 2 2 2" xfId="5276"/>
    <cellStyle name="Normal 15 2 2 3 2 2 2 2 2 2 2 2 2 2 2 2 2 2 2 2 2 3" xfId="5277"/>
    <cellStyle name="Normal 15 2 2 3 2 2 2 2 2 2 2 2 2 2 2 2 2 2 2 2 3" xfId="5278"/>
    <cellStyle name="Normal 15 2 2 3 2 2 2 2 2 2 2 2 2 2 2 2 2 2 2 3" xfId="5279"/>
    <cellStyle name="Normal 15 2 2 3 2 2 2 2 2 2 2 2 2 2 2 2 2 2 3" xfId="5280"/>
    <cellStyle name="Normal 15 2 2 3 2 2 2 2 2 2 2 2 2 2 2 2 2 2 4" xfId="5281"/>
    <cellStyle name="Normal 15 2 2 3 2 2 2 2 2 2 2 2 2 2 2 2 2 3" xfId="5282"/>
    <cellStyle name="Normal 15 2 2 3 2 2 2 2 2 2 2 2 2 2 2 2 3" xfId="5283"/>
    <cellStyle name="Normal 15 2 2 3 2 2 2 2 2 2 2 2 2 2 2 3" xfId="5284"/>
    <cellStyle name="Normal 15 2 2 3 2 2 2 2 2 2 2 2 2 2 3" xfId="5285"/>
    <cellStyle name="Normal 15 2 2 3 2 2 2 2 2 2 2 2 2 3" xfId="5286"/>
    <cellStyle name="Normal 15 2 2 3 2 2 2 2 2 2 2 2 3" xfId="5287"/>
    <cellStyle name="Normal 15 2 2 3 2 2 2 2 2 2 2 3" xfId="5288"/>
    <cellStyle name="Normal 15 2 2 3 2 2 2 2 2 2 3" xfId="5289"/>
    <cellStyle name="Normal 15 2 2 3 2 2 2 2 2 3" xfId="5290"/>
    <cellStyle name="Normal 15 2 2 3 2 2 2 2 3" xfId="5291"/>
    <cellStyle name="Normal 15 2 2 3 2 2 2 3" xfId="5292"/>
    <cellStyle name="Normal 15 2 2 3 2 2 3" xfId="5293"/>
    <cellStyle name="Normal 15 2 2 3 2 3" xfId="5294"/>
    <cellStyle name="Normal 15 2 2 3 3" xfId="5295"/>
    <cellStyle name="Normal 15 2 2 4" xfId="5296"/>
    <cellStyle name="Normal 15 2 2 5" xfId="5297"/>
    <cellStyle name="Normal 15 2 2 6" xfId="5298"/>
    <cellStyle name="Normal 15 2 3" xfId="840"/>
    <cellStyle name="Normal 15 2 3 2" xfId="2504"/>
    <cellStyle name="Normal 15 2 4" xfId="5299"/>
    <cellStyle name="Normal 15 2 5" xfId="5300"/>
    <cellStyle name="Normal 15 3" xfId="1243"/>
    <cellStyle name="Normal 15 3 2" xfId="2902"/>
    <cellStyle name="Normal 15 3 2 2" xfId="5301"/>
    <cellStyle name="Normal 15 3 3" xfId="5302"/>
    <cellStyle name="Normal 15 4" xfId="455"/>
    <cellStyle name="Normal 15 4 2" xfId="2108"/>
    <cellStyle name="Normal 15 5" xfId="2039"/>
    <cellStyle name="Normal 15 6" xfId="386"/>
    <cellStyle name="Normal 150" xfId="577"/>
    <cellStyle name="Normal 150 2" xfId="974"/>
    <cellStyle name="Normal 150 2 2" xfId="1773"/>
    <cellStyle name="Normal 150 2 2 2" xfId="3432"/>
    <cellStyle name="Normal 150 2 2 2 2" xfId="5303"/>
    <cellStyle name="Normal 150 2 2 3" xfId="5304"/>
    <cellStyle name="Normal 150 2 3" xfId="2638"/>
    <cellStyle name="Normal 150 2 3 2" xfId="5305"/>
    <cellStyle name="Normal 150 2 4" xfId="5306"/>
    <cellStyle name="Normal 150 3" xfId="1377"/>
    <cellStyle name="Normal 150 3 2" xfId="3036"/>
    <cellStyle name="Normal 150 3 2 2" xfId="5307"/>
    <cellStyle name="Normal 150 3 3" xfId="5308"/>
    <cellStyle name="Normal 150 4" xfId="2242"/>
    <cellStyle name="Normal 150 4 2" xfId="5309"/>
    <cellStyle name="Normal 150 5" xfId="5310"/>
    <cellStyle name="Normal 151" xfId="578"/>
    <cellStyle name="Normal 151 2" xfId="975"/>
    <cellStyle name="Normal 151 2 2" xfId="1774"/>
    <cellStyle name="Normal 151 2 2 2" xfId="3433"/>
    <cellStyle name="Normal 151 2 2 2 2" xfId="5311"/>
    <cellStyle name="Normal 151 2 2 3" xfId="5312"/>
    <cellStyle name="Normal 151 2 3" xfId="2639"/>
    <cellStyle name="Normal 151 2 3 2" xfId="5313"/>
    <cellStyle name="Normal 151 2 4" xfId="5314"/>
    <cellStyle name="Normal 151 3" xfId="1378"/>
    <cellStyle name="Normal 151 3 2" xfId="3037"/>
    <cellStyle name="Normal 151 3 2 2" xfId="5315"/>
    <cellStyle name="Normal 151 3 3" xfId="5316"/>
    <cellStyle name="Normal 151 4" xfId="2243"/>
    <cellStyle name="Normal 151 4 2" xfId="5317"/>
    <cellStyle name="Normal 151 5" xfId="5318"/>
    <cellStyle name="Normal 152" xfId="579"/>
    <cellStyle name="Normal 152 2" xfId="976"/>
    <cellStyle name="Normal 152 2 2" xfId="1775"/>
    <cellStyle name="Normal 152 2 2 2" xfId="3434"/>
    <cellStyle name="Normal 152 2 2 2 2" xfId="5319"/>
    <cellStyle name="Normal 152 2 2 3" xfId="5320"/>
    <cellStyle name="Normal 152 2 3" xfId="2640"/>
    <cellStyle name="Normal 152 2 3 2" xfId="5321"/>
    <cellStyle name="Normal 152 2 4" xfId="5322"/>
    <cellStyle name="Normal 152 3" xfId="1379"/>
    <cellStyle name="Normal 152 3 2" xfId="3038"/>
    <cellStyle name="Normal 152 3 2 2" xfId="5323"/>
    <cellStyle name="Normal 152 3 3" xfId="5324"/>
    <cellStyle name="Normal 152 4" xfId="2244"/>
    <cellStyle name="Normal 152 4 2" xfId="5325"/>
    <cellStyle name="Normal 152 5" xfId="5326"/>
    <cellStyle name="Normal 153" xfId="580"/>
    <cellStyle name="Normal 153 2" xfId="977"/>
    <cellStyle name="Normal 153 2 2" xfId="1776"/>
    <cellStyle name="Normal 153 2 2 2" xfId="3435"/>
    <cellStyle name="Normal 153 2 2 2 2" xfId="5327"/>
    <cellStyle name="Normal 153 2 2 3" xfId="5328"/>
    <cellStyle name="Normal 153 2 3" xfId="2641"/>
    <cellStyle name="Normal 153 2 3 2" xfId="5329"/>
    <cellStyle name="Normal 153 2 4" xfId="5330"/>
    <cellStyle name="Normal 153 3" xfId="1380"/>
    <cellStyle name="Normal 153 3 2" xfId="3039"/>
    <cellStyle name="Normal 153 3 2 2" xfId="5331"/>
    <cellStyle name="Normal 153 3 3" xfId="5332"/>
    <cellStyle name="Normal 153 4" xfId="2245"/>
    <cellStyle name="Normal 153 4 2" xfId="5333"/>
    <cellStyle name="Normal 153 5" xfId="5334"/>
    <cellStyle name="Normal 154" xfId="581"/>
    <cellStyle name="Normal 154 2" xfId="978"/>
    <cellStyle name="Normal 154 2 2" xfId="1777"/>
    <cellStyle name="Normal 154 2 2 2" xfId="3436"/>
    <cellStyle name="Normal 154 2 2 2 2" xfId="5335"/>
    <cellStyle name="Normal 154 2 2 3" xfId="5336"/>
    <cellStyle name="Normal 154 2 3" xfId="2642"/>
    <cellStyle name="Normal 154 2 3 2" xfId="5337"/>
    <cellStyle name="Normal 154 2 4" xfId="5338"/>
    <cellStyle name="Normal 154 3" xfId="1381"/>
    <cellStyle name="Normal 154 3 2" xfId="3040"/>
    <cellStyle name="Normal 154 3 2 2" xfId="5339"/>
    <cellStyle name="Normal 154 3 3" xfId="5340"/>
    <cellStyle name="Normal 154 4" xfId="2246"/>
    <cellStyle name="Normal 154 4 2" xfId="5341"/>
    <cellStyle name="Normal 154 5" xfId="5342"/>
    <cellStyle name="Normal 155" xfId="582"/>
    <cellStyle name="Normal 155 2" xfId="979"/>
    <cellStyle name="Normal 155 2 2" xfId="1778"/>
    <cellStyle name="Normal 155 2 2 2" xfId="3437"/>
    <cellStyle name="Normal 155 2 2 2 2" xfId="5343"/>
    <cellStyle name="Normal 155 2 2 3" xfId="5344"/>
    <cellStyle name="Normal 155 2 3" xfId="2643"/>
    <cellStyle name="Normal 155 2 3 2" xfId="5345"/>
    <cellStyle name="Normal 155 2 4" xfId="5346"/>
    <cellStyle name="Normal 155 3" xfId="1382"/>
    <cellStyle name="Normal 155 3 2" xfId="3041"/>
    <cellStyle name="Normal 155 3 2 2" xfId="5347"/>
    <cellStyle name="Normal 155 3 3" xfId="5348"/>
    <cellStyle name="Normal 155 4" xfId="2247"/>
    <cellStyle name="Normal 155 4 2" xfId="5349"/>
    <cellStyle name="Normal 155 5" xfId="5350"/>
    <cellStyle name="Normal 156" xfId="599"/>
    <cellStyle name="Normal 156 2" xfId="996"/>
    <cellStyle name="Normal 156 2 2" xfId="1795"/>
    <cellStyle name="Normal 156 2 2 2" xfId="3454"/>
    <cellStyle name="Normal 156 2 2 2 2" xfId="5351"/>
    <cellStyle name="Normal 156 2 2 3" xfId="5352"/>
    <cellStyle name="Normal 156 2 3" xfId="2660"/>
    <cellStyle name="Normal 156 2 3 2" xfId="5353"/>
    <cellStyle name="Normal 156 2 4" xfId="5354"/>
    <cellStyle name="Normal 156 3" xfId="1399"/>
    <cellStyle name="Normal 156 3 2" xfId="3058"/>
    <cellStyle name="Normal 156 3 2 2" xfId="5355"/>
    <cellStyle name="Normal 156 3 3" xfId="5356"/>
    <cellStyle name="Normal 156 4" xfId="2264"/>
    <cellStyle name="Normal 156 4 2" xfId="5357"/>
    <cellStyle name="Normal 156 5" xfId="5358"/>
    <cellStyle name="Normal 157" xfId="596"/>
    <cellStyle name="Normal 157 2" xfId="993"/>
    <cellStyle name="Normal 157 2 2" xfId="1792"/>
    <cellStyle name="Normal 157 2 2 2" xfId="3451"/>
    <cellStyle name="Normal 157 2 2 2 2" xfId="5359"/>
    <cellStyle name="Normal 157 2 2 3" xfId="5360"/>
    <cellStyle name="Normal 157 2 3" xfId="2657"/>
    <cellStyle name="Normal 157 2 3 2" xfId="5361"/>
    <cellStyle name="Normal 157 2 4" xfId="5362"/>
    <cellStyle name="Normal 157 3" xfId="1396"/>
    <cellStyle name="Normal 157 3 2" xfId="3055"/>
    <cellStyle name="Normal 157 3 2 2" xfId="5363"/>
    <cellStyle name="Normal 157 3 3" xfId="5364"/>
    <cellStyle name="Normal 157 4" xfId="2261"/>
    <cellStyle name="Normal 157 4 2" xfId="5365"/>
    <cellStyle name="Normal 157 5" xfId="5366"/>
    <cellStyle name="Normal 158" xfId="589"/>
    <cellStyle name="Normal 158 2" xfId="986"/>
    <cellStyle name="Normal 158 2 2" xfId="1785"/>
    <cellStyle name="Normal 158 2 2 2" xfId="3444"/>
    <cellStyle name="Normal 158 2 2 2 2" xfId="5367"/>
    <cellStyle name="Normal 158 2 2 3" xfId="5368"/>
    <cellStyle name="Normal 158 2 3" xfId="2650"/>
    <cellStyle name="Normal 158 2 3 2" xfId="5369"/>
    <cellStyle name="Normal 158 2 4" xfId="5370"/>
    <cellStyle name="Normal 158 3" xfId="1389"/>
    <cellStyle name="Normal 158 3 2" xfId="3048"/>
    <cellStyle name="Normal 158 3 2 2" xfId="5371"/>
    <cellStyle name="Normal 158 3 3" xfId="5372"/>
    <cellStyle name="Normal 158 4" xfId="2254"/>
    <cellStyle name="Normal 158 4 2" xfId="5373"/>
    <cellStyle name="Normal 158 5" xfId="5374"/>
    <cellStyle name="Normal 159" xfId="603"/>
    <cellStyle name="Normal 159 2" xfId="1000"/>
    <cellStyle name="Normal 159 2 2" xfId="1799"/>
    <cellStyle name="Normal 159 2 2 2" xfId="3458"/>
    <cellStyle name="Normal 159 2 2 2 2" xfId="5375"/>
    <cellStyle name="Normal 159 2 2 3" xfId="5376"/>
    <cellStyle name="Normal 159 2 3" xfId="2664"/>
    <cellStyle name="Normal 159 2 3 2" xfId="5377"/>
    <cellStyle name="Normal 159 2 4" xfId="5378"/>
    <cellStyle name="Normal 159 3" xfId="1403"/>
    <cellStyle name="Normal 159 3 2" xfId="3062"/>
    <cellStyle name="Normal 159 3 2 2" xfId="5379"/>
    <cellStyle name="Normal 159 3 3" xfId="5380"/>
    <cellStyle name="Normal 159 4" xfId="2268"/>
    <cellStyle name="Normal 159 4 2" xfId="5381"/>
    <cellStyle name="Normal 159 5" xfId="5382"/>
    <cellStyle name="Normal 16" xfId="152"/>
    <cellStyle name="Normal 16 2" xfId="153"/>
    <cellStyle name="Normal 16 2 2" xfId="154"/>
    <cellStyle name="Normal 16 2 2 2" xfId="155"/>
    <cellStyle name="Normal 16 2 2 2 2" xfId="156"/>
    <cellStyle name="Normal 16 2 2 2 2 2" xfId="157"/>
    <cellStyle name="Normal 16 2 2 2 2 2 2" xfId="5383"/>
    <cellStyle name="Normal 16 2 2 2 2 3" xfId="5384"/>
    <cellStyle name="Normal 16 2 2 2 2 3 2" xfId="5385"/>
    <cellStyle name="Normal 16 2 2 2 2 3 2 2" xfId="5386"/>
    <cellStyle name="Normal 16 2 2 2 2 3 2 2 2" xfId="5387"/>
    <cellStyle name="Normal 16 2 2 2 2 3 2 2 2 2" xfId="5388"/>
    <cellStyle name="Normal 16 2 2 2 2 3 2 2 2 2 2" xfId="5389"/>
    <cellStyle name="Normal 16 2 2 2 2 3 2 2 2 2 2 2" xfId="5390"/>
    <cellStyle name="Normal 16 2 2 2 2 3 2 2 2 2 2 2 2" xfId="5391"/>
    <cellStyle name="Normal 16 2 2 2 2 3 2 2 2 2 2 2 2 2" xfId="5392"/>
    <cellStyle name="Normal 16 2 2 2 2 3 2 2 2 2 2 2 2 2 2" xfId="5393"/>
    <cellStyle name="Normal 16 2 2 2 2 3 2 2 2 2 2 2 2 2 2 2" xfId="5394"/>
    <cellStyle name="Normal 16 2 2 2 2 3 2 2 2 2 2 2 2 2 2 2 2" xfId="5395"/>
    <cellStyle name="Normal 16 2 2 2 2 3 2 2 2 2 2 2 2 2 2 2 2 2" xfId="5396"/>
    <cellStyle name="Normal 16 2 2 2 2 3 2 2 2 2 2 2 2 2 2 2 2 2 2" xfId="5397"/>
    <cellStyle name="Normal 16 2 2 2 2 3 2 2 2 2 2 2 2 2 2 2 2 2 2 2" xfId="5398"/>
    <cellStyle name="Normal 16 2 2 2 2 3 2 2 2 2 2 2 2 2 2 2 2 2 2 2 2" xfId="5399"/>
    <cellStyle name="Normal 16 2 2 2 2 3 2 2 2 2 2 2 2 2 2 2 2 2 2 2 2 2" xfId="5400"/>
    <cellStyle name="Normal 16 2 2 2 2 3 2 2 2 2 2 2 2 2 2 2 2 2 2 2 2 2 2" xfId="5401"/>
    <cellStyle name="Normal 16 2 2 2 2 3 2 2 2 2 2 2 2 2 2 2 2 2 2 2 2 2 2 2" xfId="5402"/>
    <cellStyle name="Normal 16 2 2 2 2 3 2 2 2 2 2 2 2 2 2 2 2 2 2 2 2 2 2 2 2" xfId="5403"/>
    <cellStyle name="Normal 16 2 2 2 2 3 2 2 2 2 2 2 2 2 2 2 2 2 2 2 2 2 2 2 2 2" xfId="5404"/>
    <cellStyle name="Normal 16 2 2 2 2 3 2 2 2 2 2 2 2 2 2 2 2 2 2 2 2 2 2 2 2 2 2" xfId="5405"/>
    <cellStyle name="Normal 16 2 2 2 2 3 2 2 2 2 2 2 2 2 2 2 2 2 2 2 2 2 2 2 2 2 2 2" xfId="5406"/>
    <cellStyle name="Normal 16 2 2 2 2 3 2 2 2 2 2 2 2 2 2 2 2 2 2 2 2 2 2 2 2 2 2 2 2" xfId="5407"/>
    <cellStyle name="Normal 16 2 2 2 2 3 2 2 2 2 2 2 2 2 2 2 2 2 2 2 2 2 2 2 2 2 2 3" xfId="5408"/>
    <cellStyle name="Normal 16 2 2 2 2 3 2 2 2 2 2 2 2 2 2 2 2 2 2 2 2 2 2 2 2 2 3" xfId="5409"/>
    <cellStyle name="Normal 16 2 2 2 2 3 2 2 2 2 2 2 2 2 2 2 2 2 2 2 2 2 2 2 2 3" xfId="5410"/>
    <cellStyle name="Normal 16 2 2 2 2 3 2 2 2 2 2 2 2 2 2 2 2 2 2 2 2 2 2 2 2 3 2" xfId="5411"/>
    <cellStyle name="Normal 16 2 2 2 2 3 2 2 2 2 2 2 2 2 2 2 2 2 2 2 2 2 2 2 2 3 2 2" xfId="5412"/>
    <cellStyle name="Normal 16 2 2 2 2 3 2 2 2 2 2 2 2 2 2 2 2 2 2 2 2 2 2 2 2 3 3" xfId="5413"/>
    <cellStyle name="Normal 16 2 2 2 2 3 2 2 2 2 2 2 2 2 2 2 2 2 2 2 2 2 2 2 2 3 3 2" xfId="5414"/>
    <cellStyle name="Normal 16 2 2 2 2 3 2 2 2 2 2 2 2 2 2 2 2 2 2 2 2 2 2 2 2 3 3 2 2" xfId="5415"/>
    <cellStyle name="Normal 16 2 2 2 2 3 2 2 2 2 2 2 2 2 2 2 2 2 2 2 2 2 2 2 2 3 3 3" xfId="5416"/>
    <cellStyle name="Normal 16 2 2 2 2 3 2 2 2 2 2 2 2 2 2 2 2 2 2 2 2 2 2 2 2 3 4" xfId="5417"/>
    <cellStyle name="Normal 16 2 2 2 2 3 2 2 2 2 2 2 2 2 2 2 2 2 2 2 2 2 2 2 2 4" xfId="5418"/>
    <cellStyle name="Normal 16 2 2 2 2 3 2 2 2 2 2 2 2 2 2 2 2 2 2 2 2 2 2 2 3" xfId="5419"/>
    <cellStyle name="Normal 16 2 2 2 2 3 2 2 2 2 2 2 2 2 2 2 2 2 2 2 2 2 2 2 3 2" xfId="5420"/>
    <cellStyle name="Normal 16 2 2 2 2 3 2 2 2 2 2 2 2 2 2 2 2 2 2 2 2 2 2 2 4" xfId="5421"/>
    <cellStyle name="Normal 16 2 2 2 2 3 2 2 2 2 2 2 2 2 2 2 2 2 2 2 2 2 2 3" xfId="5422"/>
    <cellStyle name="Normal 16 2 2 2 2 3 2 2 2 2 2 2 2 2 2 2 2 2 2 2 2 2 3" xfId="5423"/>
    <cellStyle name="Normal 16 2 2 2 2 3 2 2 2 2 2 2 2 2 2 2 2 2 2 2 2 3" xfId="5424"/>
    <cellStyle name="Normal 16 2 2 2 2 3 2 2 2 2 2 2 2 2 2 2 2 2 2 2 2 3 2" xfId="5425"/>
    <cellStyle name="Normal 16 2 2 2 2 3 2 2 2 2 2 2 2 2 2 2 2 2 2 2 2 4" xfId="5426"/>
    <cellStyle name="Normal 16 2 2 2 2 3 2 2 2 2 2 2 2 2 2 2 2 2 2 2 3" xfId="5427"/>
    <cellStyle name="Normal 16 2 2 2 2 3 2 2 2 2 2 2 2 2 2 2 2 2 2 3" xfId="5428"/>
    <cellStyle name="Normal 16 2 2 2 2 3 2 2 2 2 2 2 2 2 2 2 2 2 3" xfId="5429"/>
    <cellStyle name="Normal 16 2 2 2 2 3 2 2 2 2 2 2 2 2 2 2 2 3" xfId="5430"/>
    <cellStyle name="Normal 16 2 2 2 2 3 2 2 2 2 2 2 2 2 2 2 3" xfId="5431"/>
    <cellStyle name="Normal 16 2 2 2 2 3 2 2 2 2 2 2 2 2 2 3" xfId="5432"/>
    <cellStyle name="Normal 16 2 2 2 2 3 2 2 2 2 2 2 2 2 3" xfId="5433"/>
    <cellStyle name="Normal 16 2 2 2 2 3 2 2 2 2 2 2 2 3" xfId="5434"/>
    <cellStyle name="Normal 16 2 2 2 2 3 2 2 2 2 2 2 3" xfId="5435"/>
    <cellStyle name="Normal 16 2 2 2 2 3 2 2 2 2 2 3" xfId="5436"/>
    <cellStyle name="Normal 16 2 2 2 2 3 2 2 2 2 3" xfId="5437"/>
    <cellStyle name="Normal 16 2 2 2 2 3 2 2 2 3" xfId="5438"/>
    <cellStyle name="Normal 16 2 2 2 2 3 2 2 2 3 2" xfId="5439"/>
    <cellStyle name="Normal 16 2 2 2 2 3 2 2 2 4" xfId="5440"/>
    <cellStyle name="Normal 16 2 2 2 2 3 2 2 3" xfId="5441"/>
    <cellStyle name="Normal 16 2 2 2 2 3 2 3" xfId="5442"/>
    <cellStyle name="Normal 16 2 2 2 2 3 3" xfId="5443"/>
    <cellStyle name="Normal 16 2 2 2 2 4" xfId="5444"/>
    <cellStyle name="Normal 16 2 2 2 3" xfId="5445"/>
    <cellStyle name="Normal 16 2 2 2 3 2" xfId="5446"/>
    <cellStyle name="Normal 16 2 2 2 3 2 2" xfId="5447"/>
    <cellStyle name="Normal 16 2 2 2 3 2 2 2" xfId="5448"/>
    <cellStyle name="Normal 16 2 2 2 3 2 2 2 2" xfId="5449"/>
    <cellStyle name="Normal 16 2 2 2 3 2 2 2 2 2" xfId="5450"/>
    <cellStyle name="Normal 16 2 2 2 3 2 2 2 2 2 2" xfId="5451"/>
    <cellStyle name="Normal 16 2 2 2 3 2 2 2 2 2 2 2" xfId="5452"/>
    <cellStyle name="Normal 16 2 2 2 3 2 2 2 2 2 2 2 2" xfId="5453"/>
    <cellStyle name="Normal 16 2 2 2 3 2 2 2 2 2 2 2 2 2" xfId="5454"/>
    <cellStyle name="Normal 16 2 2 2 3 2 2 2 2 2 2 2 3" xfId="5455"/>
    <cellStyle name="Normal 16 2 2 2 3 2 2 2 2 2 2 3" xfId="5456"/>
    <cellStyle name="Normal 16 2 2 2 3 2 2 2 2 2 3" xfId="5457"/>
    <cellStyle name="Normal 16 2 2 2 3 2 2 2 2 3" xfId="5458"/>
    <cellStyle name="Normal 16 2 2 2 3 2 2 2 3" xfId="5459"/>
    <cellStyle name="Normal 16 2 2 2 3 2 2 3" xfId="5460"/>
    <cellStyle name="Normal 16 2 2 2 3 2 3" xfId="5461"/>
    <cellStyle name="Normal 16 2 2 2 3 3" xfId="5462"/>
    <cellStyle name="Normal 16 2 2 2 4" xfId="5463"/>
    <cellStyle name="Normal 16 2 2 2 5" xfId="5464"/>
    <cellStyle name="Normal 16 2 2 3" xfId="1610"/>
    <cellStyle name="Normal 16 2 2 3 2" xfId="3269"/>
    <cellStyle name="Normal 16 2 2 3 2 2" xfId="5465"/>
    <cellStyle name="Normal 16 2 2 3 2 2 2" xfId="5466"/>
    <cellStyle name="Normal 16 2 2 3 2 2 2 2" xfId="5467"/>
    <cellStyle name="Normal 16 2 2 3 2 2 2 2 2" xfId="5468"/>
    <cellStyle name="Normal 16 2 2 3 2 2 2 2 2 2" xfId="5469"/>
    <cellStyle name="Normal 16 2 2 3 2 2 2 2 2 2 2" xfId="5470"/>
    <cellStyle name="Normal 16 2 2 3 2 2 2 2 2 2 2 2" xfId="5471"/>
    <cellStyle name="Normal 16 2 2 3 2 2 2 2 2 2 2 2 2" xfId="5472"/>
    <cellStyle name="Normal 16 2 2 3 2 2 2 2 2 2 2 2 2 2" xfId="5473"/>
    <cellStyle name="Normal 16 2 2 3 2 2 2 2 2 2 2 2 2 2 2" xfId="5474"/>
    <cellStyle name="Normal 16 2 2 3 2 2 2 2 2 2 2 2 2 2 2 2" xfId="5475"/>
    <cellStyle name="Normal 16 2 2 3 2 2 2 2 2 2 2 2 2 2 2 2 2" xfId="5476"/>
    <cellStyle name="Normal 16 2 2 3 2 2 2 2 2 2 2 2 2 2 2 2 2 2" xfId="5477"/>
    <cellStyle name="Normal 16 2 2 3 2 2 2 2 2 2 2 2 2 2 2 2 2 2 2" xfId="5478"/>
    <cellStyle name="Normal 16 2 2 3 2 2 2 2 2 2 2 2 2 2 2 2 2 2 2 2" xfId="5479"/>
    <cellStyle name="Normal 16 2 2 3 2 2 2 2 2 2 2 2 2 2 2 2 2 2 2 2 2" xfId="5480"/>
    <cellStyle name="Normal 16 2 2 3 2 2 2 2 2 2 2 2 2 2 2 2 2 2 2 2 2 2" xfId="5481"/>
    <cellStyle name="Normal 16 2 2 3 2 2 2 2 2 2 2 2 2 2 2 2 2 2 2 2 2 2 2" xfId="5482"/>
    <cellStyle name="Normal 16 2 2 3 2 2 2 2 2 2 2 2 2 2 2 2 2 2 2 2 2 2 2 2" xfId="5483"/>
    <cellStyle name="Normal 16 2 2 3 2 2 2 2 2 2 2 2 2 2 2 2 2 2 2 2 2 3" xfId="5484"/>
    <cellStyle name="Normal 16 2 2 3 2 2 2 2 2 2 2 2 2 2 2 2 2 2 2 2 3" xfId="5485"/>
    <cellStyle name="Normal 16 2 2 3 2 2 2 2 2 2 2 2 2 2 2 2 2 2 2 3" xfId="5486"/>
    <cellStyle name="Normal 16 2 2 3 2 2 2 2 2 2 2 2 2 2 2 2 2 2 3" xfId="5487"/>
    <cellStyle name="Normal 16 2 2 3 2 2 2 2 2 2 2 2 2 2 2 2 2 2 4" xfId="5488"/>
    <cellStyle name="Normal 16 2 2 3 2 2 2 2 2 2 2 2 2 2 2 2 2 3" xfId="5489"/>
    <cellStyle name="Normal 16 2 2 3 2 2 2 2 2 2 2 2 2 2 2 2 3" xfId="5490"/>
    <cellStyle name="Normal 16 2 2 3 2 2 2 2 2 2 2 2 2 2 2 3" xfId="5491"/>
    <cellStyle name="Normal 16 2 2 3 2 2 2 2 2 2 2 2 2 2 3" xfId="5492"/>
    <cellStyle name="Normal 16 2 2 3 2 2 2 2 2 2 2 2 2 3" xfId="5493"/>
    <cellStyle name="Normal 16 2 2 3 2 2 2 2 2 2 2 2 3" xfId="5494"/>
    <cellStyle name="Normal 16 2 2 3 2 2 2 2 2 2 2 3" xfId="5495"/>
    <cellStyle name="Normal 16 2 2 3 2 2 2 2 2 2 3" xfId="5496"/>
    <cellStyle name="Normal 16 2 2 3 2 2 2 2 2 3" xfId="5497"/>
    <cellStyle name="Normal 16 2 2 3 2 2 2 2 3" xfId="5498"/>
    <cellStyle name="Normal 16 2 2 3 2 2 2 3" xfId="5499"/>
    <cellStyle name="Normal 16 2 2 3 2 2 3" xfId="5500"/>
    <cellStyle name="Normal 16 2 2 3 2 3" xfId="5501"/>
    <cellStyle name="Normal 16 2 2 3 3" xfId="5502"/>
    <cellStyle name="Normal 16 2 2 4" xfId="5503"/>
    <cellStyle name="Normal 16 2 2 5" xfId="5504"/>
    <cellStyle name="Normal 16 2 2 6" xfId="5505"/>
    <cellStyle name="Normal 16 2 3" xfId="811"/>
    <cellStyle name="Normal 16 2 3 2" xfId="2475"/>
    <cellStyle name="Normal 16 2 4" xfId="5506"/>
    <cellStyle name="Normal 16 2 5" xfId="5507"/>
    <cellStyle name="Normal 16 3" xfId="1214"/>
    <cellStyle name="Normal 16 3 2" xfId="2873"/>
    <cellStyle name="Normal 16 3 2 2" xfId="5508"/>
    <cellStyle name="Normal 16 3 3" xfId="5509"/>
    <cellStyle name="Normal 16 4" xfId="426"/>
    <cellStyle name="Normal 16 4 2" xfId="2079"/>
    <cellStyle name="Normal 16 5" xfId="2040"/>
    <cellStyle name="Normal 16 6" xfId="387"/>
    <cellStyle name="Normal 160" xfId="585"/>
    <cellStyle name="Normal 160 2" xfId="982"/>
    <cellStyle name="Normal 160 2 2" xfId="1781"/>
    <cellStyle name="Normal 160 2 2 2" xfId="3440"/>
    <cellStyle name="Normal 160 2 2 2 2" xfId="5510"/>
    <cellStyle name="Normal 160 2 2 3" xfId="5511"/>
    <cellStyle name="Normal 160 2 3" xfId="2646"/>
    <cellStyle name="Normal 160 2 3 2" xfId="5512"/>
    <cellStyle name="Normal 160 2 4" xfId="5513"/>
    <cellStyle name="Normal 160 3" xfId="1385"/>
    <cellStyle name="Normal 160 3 2" xfId="3044"/>
    <cellStyle name="Normal 160 3 2 2" xfId="5514"/>
    <cellStyle name="Normal 160 3 3" xfId="5515"/>
    <cellStyle name="Normal 160 4" xfId="2250"/>
    <cellStyle name="Normal 160 4 2" xfId="5516"/>
    <cellStyle name="Normal 160 5" xfId="5517"/>
    <cellStyle name="Normal 161" xfId="594"/>
    <cellStyle name="Normal 161 2" xfId="991"/>
    <cellStyle name="Normal 161 2 2" xfId="1790"/>
    <cellStyle name="Normal 161 2 2 2" xfId="3449"/>
    <cellStyle name="Normal 161 2 2 2 2" xfId="5518"/>
    <cellStyle name="Normal 161 2 2 3" xfId="5519"/>
    <cellStyle name="Normal 161 2 3" xfId="2655"/>
    <cellStyle name="Normal 161 2 3 2" xfId="5520"/>
    <cellStyle name="Normal 161 2 4" xfId="5521"/>
    <cellStyle name="Normal 161 3" xfId="1394"/>
    <cellStyle name="Normal 161 3 2" xfId="3053"/>
    <cellStyle name="Normal 161 3 2 2" xfId="5522"/>
    <cellStyle name="Normal 161 3 3" xfId="5523"/>
    <cellStyle name="Normal 161 4" xfId="2259"/>
    <cellStyle name="Normal 161 4 2" xfId="5524"/>
    <cellStyle name="Normal 161 5" xfId="5525"/>
    <cellStyle name="Normal 162" xfId="588"/>
    <cellStyle name="Normal 162 2" xfId="985"/>
    <cellStyle name="Normal 162 2 2" xfId="1784"/>
    <cellStyle name="Normal 162 2 2 2" xfId="3443"/>
    <cellStyle name="Normal 162 2 2 2 2" xfId="5526"/>
    <cellStyle name="Normal 162 2 2 3" xfId="5527"/>
    <cellStyle name="Normal 162 2 3" xfId="2649"/>
    <cellStyle name="Normal 162 2 3 2" xfId="5528"/>
    <cellStyle name="Normal 162 2 4" xfId="5529"/>
    <cellStyle name="Normal 162 3" xfId="1388"/>
    <cellStyle name="Normal 162 3 2" xfId="3047"/>
    <cellStyle name="Normal 162 3 2 2" xfId="5530"/>
    <cellStyle name="Normal 162 3 3" xfId="5531"/>
    <cellStyle name="Normal 162 4" xfId="2253"/>
    <cellStyle name="Normal 162 4 2" xfId="5532"/>
    <cellStyle name="Normal 162 5" xfId="5533"/>
    <cellStyle name="Normal 163" xfId="584"/>
    <cellStyle name="Normal 163 2" xfId="981"/>
    <cellStyle name="Normal 163 2 2" xfId="1780"/>
    <cellStyle name="Normal 163 2 2 2" xfId="3439"/>
    <cellStyle name="Normal 163 2 2 2 2" xfId="5534"/>
    <cellStyle name="Normal 163 2 2 3" xfId="5535"/>
    <cellStyle name="Normal 163 2 3" xfId="2645"/>
    <cellStyle name="Normal 163 2 3 2" xfId="5536"/>
    <cellStyle name="Normal 163 2 4" xfId="5537"/>
    <cellStyle name="Normal 163 3" xfId="1384"/>
    <cellStyle name="Normal 163 3 2" xfId="3043"/>
    <cellStyle name="Normal 163 3 2 2" xfId="5538"/>
    <cellStyle name="Normal 163 3 3" xfId="5539"/>
    <cellStyle name="Normal 163 4" xfId="2249"/>
    <cellStyle name="Normal 163 4 2" xfId="5540"/>
    <cellStyle name="Normal 163 5" xfId="5541"/>
    <cellStyle name="Normal 164" xfId="592"/>
    <cellStyle name="Normal 164 2" xfId="989"/>
    <cellStyle name="Normal 164 2 2" xfId="1788"/>
    <cellStyle name="Normal 164 2 2 2" xfId="3447"/>
    <cellStyle name="Normal 164 2 2 2 2" xfId="5542"/>
    <cellStyle name="Normal 164 2 2 3" xfId="5543"/>
    <cellStyle name="Normal 164 2 3" xfId="2653"/>
    <cellStyle name="Normal 164 2 3 2" xfId="5544"/>
    <cellStyle name="Normal 164 2 4" xfId="5545"/>
    <cellStyle name="Normal 164 3" xfId="1392"/>
    <cellStyle name="Normal 164 3 2" xfId="3051"/>
    <cellStyle name="Normal 164 3 2 2" xfId="5546"/>
    <cellStyle name="Normal 164 3 3" xfId="5547"/>
    <cellStyle name="Normal 164 4" xfId="2257"/>
    <cellStyle name="Normal 164 4 2" xfId="5548"/>
    <cellStyle name="Normal 164 5" xfId="5549"/>
    <cellStyle name="Normal 165" xfId="610"/>
    <cellStyle name="Normal 165 2" xfId="1007"/>
    <cellStyle name="Normal 165 2 2" xfId="1806"/>
    <cellStyle name="Normal 165 2 2 2" xfId="3465"/>
    <cellStyle name="Normal 165 2 2 2 2" xfId="5550"/>
    <cellStyle name="Normal 165 2 2 3" xfId="5551"/>
    <cellStyle name="Normal 165 2 3" xfId="2671"/>
    <cellStyle name="Normal 165 2 3 2" xfId="5552"/>
    <cellStyle name="Normal 165 2 4" xfId="5553"/>
    <cellStyle name="Normal 165 3" xfId="1410"/>
    <cellStyle name="Normal 165 3 2" xfId="3069"/>
    <cellStyle name="Normal 165 3 2 2" xfId="5554"/>
    <cellStyle name="Normal 165 3 3" xfId="5555"/>
    <cellStyle name="Normal 165 4" xfId="2275"/>
    <cellStyle name="Normal 165 4 2" xfId="5556"/>
    <cellStyle name="Normal 165 5" xfId="5557"/>
    <cellStyle name="Normal 166" xfId="606"/>
    <cellStyle name="Normal 166 2" xfId="1003"/>
    <cellStyle name="Normal 166 2 2" xfId="1802"/>
    <cellStyle name="Normal 166 2 2 2" xfId="3461"/>
    <cellStyle name="Normal 166 2 2 2 2" xfId="5558"/>
    <cellStyle name="Normal 166 2 2 3" xfId="5559"/>
    <cellStyle name="Normal 166 2 3" xfId="2667"/>
    <cellStyle name="Normal 166 2 3 2" xfId="5560"/>
    <cellStyle name="Normal 166 2 4" xfId="5561"/>
    <cellStyle name="Normal 166 3" xfId="1406"/>
    <cellStyle name="Normal 166 3 2" xfId="3065"/>
    <cellStyle name="Normal 166 3 2 2" xfId="5562"/>
    <cellStyle name="Normal 166 3 3" xfId="5563"/>
    <cellStyle name="Normal 166 4" xfId="2271"/>
    <cellStyle name="Normal 166 4 2" xfId="5564"/>
    <cellStyle name="Normal 166 5" xfId="5565"/>
    <cellStyle name="Normal 167" xfId="615"/>
    <cellStyle name="Normal 167 2" xfId="1012"/>
    <cellStyle name="Normal 167 2 2" xfId="1811"/>
    <cellStyle name="Normal 167 2 2 2" xfId="3470"/>
    <cellStyle name="Normal 167 2 2 2 2" xfId="5566"/>
    <cellStyle name="Normal 167 2 2 3" xfId="5567"/>
    <cellStyle name="Normal 167 2 3" xfId="2676"/>
    <cellStyle name="Normal 167 2 3 2" xfId="5568"/>
    <cellStyle name="Normal 167 2 4" xfId="5569"/>
    <cellStyle name="Normal 167 3" xfId="1415"/>
    <cellStyle name="Normal 167 3 2" xfId="3074"/>
    <cellStyle name="Normal 167 3 2 2" xfId="5570"/>
    <cellStyle name="Normal 167 3 3" xfId="5571"/>
    <cellStyle name="Normal 167 4" xfId="2280"/>
    <cellStyle name="Normal 167 4 2" xfId="5572"/>
    <cellStyle name="Normal 167 5" xfId="5573"/>
    <cellStyle name="Normal 168" xfId="617"/>
    <cellStyle name="Normal 168 2" xfId="1014"/>
    <cellStyle name="Normal 168 2 2" xfId="1813"/>
    <cellStyle name="Normal 168 2 2 2" xfId="3472"/>
    <cellStyle name="Normal 168 2 2 2 2" xfId="5574"/>
    <cellStyle name="Normal 168 2 2 3" xfId="5575"/>
    <cellStyle name="Normal 168 2 3" xfId="2678"/>
    <cellStyle name="Normal 168 2 3 2" xfId="5576"/>
    <cellStyle name="Normal 168 2 4" xfId="5577"/>
    <cellStyle name="Normal 168 3" xfId="1417"/>
    <cellStyle name="Normal 168 3 2" xfId="3076"/>
    <cellStyle name="Normal 168 3 2 2" xfId="5578"/>
    <cellStyle name="Normal 168 3 3" xfId="5579"/>
    <cellStyle name="Normal 168 4" xfId="2282"/>
    <cellStyle name="Normal 168 4 2" xfId="5580"/>
    <cellStyle name="Normal 168 5" xfId="5581"/>
    <cellStyle name="Normal 169" xfId="611"/>
    <cellStyle name="Normal 169 2" xfId="1008"/>
    <cellStyle name="Normal 169 2 2" xfId="1807"/>
    <cellStyle name="Normal 169 2 2 2" xfId="3466"/>
    <cellStyle name="Normal 169 2 2 2 2" xfId="5582"/>
    <cellStyle name="Normal 169 2 2 3" xfId="5583"/>
    <cellStyle name="Normal 169 2 3" xfId="2672"/>
    <cellStyle name="Normal 169 2 3 2" xfId="5584"/>
    <cellStyle name="Normal 169 2 4" xfId="5585"/>
    <cellStyle name="Normal 169 3" xfId="1411"/>
    <cellStyle name="Normal 169 3 2" xfId="3070"/>
    <cellStyle name="Normal 169 3 2 2" xfId="5586"/>
    <cellStyle name="Normal 169 3 3" xfId="5587"/>
    <cellStyle name="Normal 169 4" xfId="2276"/>
    <cellStyle name="Normal 169 4 2" xfId="5588"/>
    <cellStyle name="Normal 169 5" xfId="5589"/>
    <cellStyle name="Normal 17" xfId="158"/>
    <cellStyle name="Normal 17 2" xfId="810"/>
    <cellStyle name="Normal 17 2 2" xfId="1609"/>
    <cellStyle name="Normal 17 2 2 2" xfId="3268"/>
    <cellStyle name="Normal 17 2 2 2 2" xfId="5590"/>
    <cellStyle name="Normal 17 2 2 3" xfId="5591"/>
    <cellStyle name="Normal 17 2 3" xfId="2474"/>
    <cellStyle name="Normal 17 2 3 2" xfId="5592"/>
    <cellStyle name="Normal 17 2 4" xfId="5593"/>
    <cellStyle name="Normal 17 3" xfId="1213"/>
    <cellStyle name="Normal 17 3 2" xfId="2872"/>
    <cellStyle name="Normal 17 3 2 2" xfId="5594"/>
    <cellStyle name="Normal 17 3 3" xfId="5595"/>
    <cellStyle name="Normal 17 4" xfId="425"/>
    <cellStyle name="Normal 17 4 2" xfId="2078"/>
    <cellStyle name="Normal 17 5" xfId="2042"/>
    <cellStyle name="Normal 17 6" xfId="388"/>
    <cellStyle name="Normal 170" xfId="609"/>
    <cellStyle name="Normal 170 2" xfId="1006"/>
    <cellStyle name="Normal 170 2 2" xfId="1805"/>
    <cellStyle name="Normal 170 2 2 2" xfId="3464"/>
    <cellStyle name="Normal 170 2 2 2 2" xfId="5596"/>
    <cellStyle name="Normal 170 2 2 3" xfId="5597"/>
    <cellStyle name="Normal 170 2 3" xfId="2670"/>
    <cellStyle name="Normal 170 2 3 2" xfId="5598"/>
    <cellStyle name="Normal 170 2 4" xfId="5599"/>
    <cellStyle name="Normal 170 3" xfId="1409"/>
    <cellStyle name="Normal 170 3 2" xfId="3068"/>
    <cellStyle name="Normal 170 3 2 2" xfId="5600"/>
    <cellStyle name="Normal 170 3 3" xfId="5601"/>
    <cellStyle name="Normal 170 4" xfId="2274"/>
    <cellStyle name="Normal 170 4 2" xfId="5602"/>
    <cellStyle name="Normal 170 5" xfId="5603"/>
    <cellStyle name="Normal 171" xfId="591"/>
    <cellStyle name="Normal 171 2" xfId="988"/>
    <cellStyle name="Normal 171 2 2" xfId="1787"/>
    <cellStyle name="Normal 171 2 2 2" xfId="3446"/>
    <cellStyle name="Normal 171 2 2 2 2" xfId="5604"/>
    <cellStyle name="Normal 171 2 2 3" xfId="5605"/>
    <cellStyle name="Normal 171 2 3" xfId="2652"/>
    <cellStyle name="Normal 171 2 3 2" xfId="5606"/>
    <cellStyle name="Normal 171 2 4" xfId="5607"/>
    <cellStyle name="Normal 171 3" xfId="1391"/>
    <cellStyle name="Normal 171 3 2" xfId="3050"/>
    <cellStyle name="Normal 171 3 2 2" xfId="5608"/>
    <cellStyle name="Normal 171 3 3" xfId="5609"/>
    <cellStyle name="Normal 171 4" xfId="2256"/>
    <cellStyle name="Normal 171 4 2" xfId="5610"/>
    <cellStyle name="Normal 171 5" xfId="5611"/>
    <cellStyle name="Normal 172" xfId="587"/>
    <cellStyle name="Normal 172 2" xfId="984"/>
    <cellStyle name="Normal 172 2 2" xfId="1783"/>
    <cellStyle name="Normal 172 2 2 2" xfId="3442"/>
    <cellStyle name="Normal 172 2 2 2 2" xfId="5612"/>
    <cellStyle name="Normal 172 2 2 3" xfId="5613"/>
    <cellStyle name="Normal 172 2 3" xfId="2648"/>
    <cellStyle name="Normal 172 2 3 2" xfId="5614"/>
    <cellStyle name="Normal 172 2 4" xfId="5615"/>
    <cellStyle name="Normal 172 3" xfId="1387"/>
    <cellStyle name="Normal 172 3 2" xfId="3046"/>
    <cellStyle name="Normal 172 3 2 2" xfId="5616"/>
    <cellStyle name="Normal 172 3 3" xfId="5617"/>
    <cellStyle name="Normal 172 4" xfId="2252"/>
    <cellStyle name="Normal 172 4 2" xfId="5618"/>
    <cellStyle name="Normal 172 5" xfId="5619"/>
    <cellStyle name="Normal 173" xfId="616"/>
    <cellStyle name="Normal 173 2" xfId="1013"/>
    <cellStyle name="Normal 173 2 2" xfId="1812"/>
    <cellStyle name="Normal 173 2 2 2" xfId="3471"/>
    <cellStyle name="Normal 173 2 2 2 2" xfId="5620"/>
    <cellStyle name="Normal 173 2 2 3" xfId="5621"/>
    <cellStyle name="Normal 173 2 3" xfId="2677"/>
    <cellStyle name="Normal 173 2 3 2" xfId="5622"/>
    <cellStyle name="Normal 173 2 4" xfId="5623"/>
    <cellStyle name="Normal 173 3" xfId="1416"/>
    <cellStyle name="Normal 173 3 2" xfId="3075"/>
    <cellStyle name="Normal 173 3 2 2" xfId="5624"/>
    <cellStyle name="Normal 173 3 3" xfId="5625"/>
    <cellStyle name="Normal 173 4" xfId="2281"/>
    <cellStyle name="Normal 173 4 2" xfId="5626"/>
    <cellStyle name="Normal 173 5" xfId="5627"/>
    <cellStyle name="Normal 174" xfId="597"/>
    <cellStyle name="Normal 174 2" xfId="994"/>
    <cellStyle name="Normal 174 2 2" xfId="1793"/>
    <cellStyle name="Normal 174 2 2 2" xfId="3452"/>
    <cellStyle name="Normal 174 2 2 2 2" xfId="5628"/>
    <cellStyle name="Normal 174 2 2 3" xfId="5629"/>
    <cellStyle name="Normal 174 2 3" xfId="2658"/>
    <cellStyle name="Normal 174 2 3 2" xfId="5630"/>
    <cellStyle name="Normal 174 2 4" xfId="5631"/>
    <cellStyle name="Normal 174 3" xfId="1397"/>
    <cellStyle name="Normal 174 3 2" xfId="3056"/>
    <cellStyle name="Normal 174 3 2 2" xfId="5632"/>
    <cellStyle name="Normal 174 3 3" xfId="5633"/>
    <cellStyle name="Normal 174 4" xfId="2262"/>
    <cellStyle name="Normal 174 4 2" xfId="5634"/>
    <cellStyle name="Normal 174 5" xfId="5635"/>
    <cellStyle name="Normal 175" xfId="598"/>
    <cellStyle name="Normal 175 2" xfId="995"/>
    <cellStyle name="Normal 175 2 2" xfId="1794"/>
    <cellStyle name="Normal 175 2 2 2" xfId="3453"/>
    <cellStyle name="Normal 175 2 2 2 2" xfId="5636"/>
    <cellStyle name="Normal 175 2 2 3" xfId="5637"/>
    <cellStyle name="Normal 175 2 3" xfId="2659"/>
    <cellStyle name="Normal 175 2 3 2" xfId="5638"/>
    <cellStyle name="Normal 175 2 4" xfId="5639"/>
    <cellStyle name="Normal 175 3" xfId="1398"/>
    <cellStyle name="Normal 175 3 2" xfId="3057"/>
    <cellStyle name="Normal 175 3 2 2" xfId="5640"/>
    <cellStyle name="Normal 175 3 3" xfId="5641"/>
    <cellStyle name="Normal 175 4" xfId="2263"/>
    <cellStyle name="Normal 175 4 2" xfId="5642"/>
    <cellStyle name="Normal 175 5" xfId="5643"/>
    <cellStyle name="Normal 176" xfId="623"/>
    <cellStyle name="Normal 176 2" xfId="1020"/>
    <cellStyle name="Normal 176 2 2" xfId="1819"/>
    <cellStyle name="Normal 176 2 2 2" xfId="3478"/>
    <cellStyle name="Normal 176 2 2 2 2" xfId="5644"/>
    <cellStyle name="Normal 176 2 2 3" xfId="5645"/>
    <cellStyle name="Normal 176 2 3" xfId="2684"/>
    <cellStyle name="Normal 176 2 3 2" xfId="5646"/>
    <cellStyle name="Normal 176 2 4" xfId="5647"/>
    <cellStyle name="Normal 176 3" xfId="1423"/>
    <cellStyle name="Normal 176 3 2" xfId="3082"/>
    <cellStyle name="Normal 176 3 2 2" xfId="5648"/>
    <cellStyle name="Normal 176 3 3" xfId="5649"/>
    <cellStyle name="Normal 176 4" xfId="2288"/>
    <cellStyle name="Normal 176 4 2" xfId="5650"/>
    <cellStyle name="Normal 176 5" xfId="5651"/>
    <cellStyle name="Normal 177" xfId="622"/>
    <cellStyle name="Normal 177 2" xfId="1019"/>
    <cellStyle name="Normal 177 2 2" xfId="1818"/>
    <cellStyle name="Normal 177 2 2 2" xfId="3477"/>
    <cellStyle name="Normal 177 2 2 2 2" xfId="5652"/>
    <cellStyle name="Normal 177 2 2 3" xfId="5653"/>
    <cellStyle name="Normal 177 2 3" xfId="2683"/>
    <cellStyle name="Normal 177 2 3 2" xfId="5654"/>
    <cellStyle name="Normal 177 2 4" xfId="5655"/>
    <cellStyle name="Normal 177 3" xfId="1422"/>
    <cellStyle name="Normal 177 3 2" xfId="3081"/>
    <cellStyle name="Normal 177 3 2 2" xfId="5656"/>
    <cellStyle name="Normal 177 3 3" xfId="5657"/>
    <cellStyle name="Normal 177 4" xfId="2287"/>
    <cellStyle name="Normal 177 4 2" xfId="5658"/>
    <cellStyle name="Normal 177 5" xfId="5659"/>
    <cellStyle name="Normal 178" xfId="621"/>
    <cellStyle name="Normal 178 2" xfId="1018"/>
    <cellStyle name="Normal 178 2 2" xfId="1817"/>
    <cellStyle name="Normal 178 2 2 2" xfId="3476"/>
    <cellStyle name="Normal 178 2 2 2 2" xfId="5660"/>
    <cellStyle name="Normal 178 2 2 3" xfId="5661"/>
    <cellStyle name="Normal 178 2 3" xfId="2682"/>
    <cellStyle name="Normal 178 2 3 2" xfId="5662"/>
    <cellStyle name="Normal 178 2 4" xfId="5663"/>
    <cellStyle name="Normal 178 3" xfId="1421"/>
    <cellStyle name="Normal 178 3 2" xfId="3080"/>
    <cellStyle name="Normal 178 3 2 2" xfId="5664"/>
    <cellStyle name="Normal 178 3 3" xfId="5665"/>
    <cellStyle name="Normal 178 4" xfId="2286"/>
    <cellStyle name="Normal 178 4 2" xfId="5666"/>
    <cellStyle name="Normal 178 5" xfId="5667"/>
    <cellStyle name="Normal 179" xfId="593"/>
    <cellStyle name="Normal 179 2" xfId="990"/>
    <cellStyle name="Normal 179 2 2" xfId="1789"/>
    <cellStyle name="Normal 179 2 2 2" xfId="3448"/>
    <cellStyle name="Normal 179 2 2 2 2" xfId="5668"/>
    <cellStyle name="Normal 179 2 2 3" xfId="5669"/>
    <cellStyle name="Normal 179 2 3" xfId="2654"/>
    <cellStyle name="Normal 179 2 3 2" xfId="5670"/>
    <cellStyle name="Normal 179 2 4" xfId="5671"/>
    <cellStyle name="Normal 179 3" xfId="1393"/>
    <cellStyle name="Normal 179 3 2" xfId="3052"/>
    <cellStyle name="Normal 179 3 2 2" xfId="5672"/>
    <cellStyle name="Normal 179 3 3" xfId="5673"/>
    <cellStyle name="Normal 179 4" xfId="2258"/>
    <cellStyle name="Normal 179 4 2" xfId="5674"/>
    <cellStyle name="Normal 179 5" xfId="5675"/>
    <cellStyle name="Normal 18" xfId="159"/>
    <cellStyle name="Normal 18 2" xfId="814"/>
    <cellStyle name="Normal 18 2 2" xfId="1613"/>
    <cellStyle name="Normal 18 2 2 2" xfId="3272"/>
    <cellStyle name="Normal 18 2 2 2 2" xfId="5676"/>
    <cellStyle name="Normal 18 2 2 3" xfId="5677"/>
    <cellStyle name="Normal 18 2 3" xfId="2478"/>
    <cellStyle name="Normal 18 2 3 2" xfId="5678"/>
    <cellStyle name="Normal 18 2 4" xfId="5679"/>
    <cellStyle name="Normal 18 3" xfId="1217"/>
    <cellStyle name="Normal 18 3 2" xfId="2876"/>
    <cellStyle name="Normal 18 3 2 2" xfId="5680"/>
    <cellStyle name="Normal 18 3 3" xfId="5681"/>
    <cellStyle name="Normal 18 4" xfId="429"/>
    <cellStyle name="Normal 18 4 2" xfId="2082"/>
    <cellStyle name="Normal 18 5" xfId="5682"/>
    <cellStyle name="Normal 180" xfId="626"/>
    <cellStyle name="Normal 180 2" xfId="1023"/>
    <cellStyle name="Normal 180 2 2" xfId="1822"/>
    <cellStyle name="Normal 180 2 2 2" xfId="3481"/>
    <cellStyle name="Normal 180 2 2 2 2" xfId="5683"/>
    <cellStyle name="Normal 180 2 2 3" xfId="5684"/>
    <cellStyle name="Normal 180 2 3" xfId="2687"/>
    <cellStyle name="Normal 180 2 3 2" xfId="5685"/>
    <cellStyle name="Normal 180 2 4" xfId="5686"/>
    <cellStyle name="Normal 180 3" xfId="1426"/>
    <cellStyle name="Normal 180 3 2" xfId="3085"/>
    <cellStyle name="Normal 180 3 2 2" xfId="5687"/>
    <cellStyle name="Normal 180 3 3" xfId="5688"/>
    <cellStyle name="Normal 180 4" xfId="2291"/>
    <cellStyle name="Normal 180 4 2" xfId="5689"/>
    <cellStyle name="Normal 180 5" xfId="5690"/>
    <cellStyle name="Normal 181" xfId="620"/>
    <cellStyle name="Normal 181 2" xfId="1017"/>
    <cellStyle name="Normal 181 2 2" xfId="1816"/>
    <cellStyle name="Normal 181 2 2 2" xfId="3475"/>
    <cellStyle name="Normal 181 2 2 2 2" xfId="5691"/>
    <cellStyle name="Normal 181 2 2 3" xfId="5692"/>
    <cellStyle name="Normal 181 2 3" xfId="2681"/>
    <cellStyle name="Normal 181 2 3 2" xfId="5693"/>
    <cellStyle name="Normal 181 2 4" xfId="5694"/>
    <cellStyle name="Normal 181 3" xfId="1420"/>
    <cellStyle name="Normal 181 3 2" xfId="3079"/>
    <cellStyle name="Normal 181 3 2 2" xfId="5695"/>
    <cellStyle name="Normal 181 3 3" xfId="5696"/>
    <cellStyle name="Normal 181 4" xfId="2285"/>
    <cellStyle name="Normal 181 4 2" xfId="5697"/>
    <cellStyle name="Normal 181 5" xfId="5698"/>
    <cellStyle name="Normal 182" xfId="627"/>
    <cellStyle name="Normal 182 2" xfId="1024"/>
    <cellStyle name="Normal 182 2 2" xfId="1823"/>
    <cellStyle name="Normal 182 2 2 2" xfId="3482"/>
    <cellStyle name="Normal 182 2 2 2 2" xfId="5699"/>
    <cellStyle name="Normal 182 2 2 3" xfId="5700"/>
    <cellStyle name="Normal 182 2 3" xfId="2688"/>
    <cellStyle name="Normal 182 2 3 2" xfId="5701"/>
    <cellStyle name="Normal 182 2 4" xfId="5702"/>
    <cellStyle name="Normal 182 3" xfId="1427"/>
    <cellStyle name="Normal 182 3 2" xfId="3086"/>
    <cellStyle name="Normal 182 3 2 2" xfId="5703"/>
    <cellStyle name="Normal 182 3 3" xfId="5704"/>
    <cellStyle name="Normal 182 4" xfId="2292"/>
    <cellStyle name="Normal 182 4 2" xfId="5705"/>
    <cellStyle name="Normal 182 5" xfId="5706"/>
    <cellStyle name="Normal 183" xfId="600"/>
    <cellStyle name="Normal 183 2" xfId="997"/>
    <cellStyle name="Normal 183 2 2" xfId="1796"/>
    <cellStyle name="Normal 183 2 2 2" xfId="3455"/>
    <cellStyle name="Normal 183 2 2 2 2" xfId="5707"/>
    <cellStyle name="Normal 183 2 2 3" xfId="5708"/>
    <cellStyle name="Normal 183 2 3" xfId="2661"/>
    <cellStyle name="Normal 183 2 3 2" xfId="5709"/>
    <cellStyle name="Normal 183 2 4" xfId="5710"/>
    <cellStyle name="Normal 183 3" xfId="1400"/>
    <cellStyle name="Normal 183 3 2" xfId="3059"/>
    <cellStyle name="Normal 183 3 2 2" xfId="5711"/>
    <cellStyle name="Normal 183 3 3" xfId="5712"/>
    <cellStyle name="Normal 183 4" xfId="2265"/>
    <cellStyle name="Normal 183 4 2" xfId="5713"/>
    <cellStyle name="Normal 183 5" xfId="5714"/>
    <cellStyle name="Normal 184" xfId="602"/>
    <cellStyle name="Normal 184 2" xfId="999"/>
    <cellStyle name="Normal 184 2 2" xfId="1798"/>
    <cellStyle name="Normal 184 2 2 2" xfId="3457"/>
    <cellStyle name="Normal 184 2 2 2 2" xfId="5715"/>
    <cellStyle name="Normal 184 2 2 3" xfId="5716"/>
    <cellStyle name="Normal 184 2 3" xfId="2663"/>
    <cellStyle name="Normal 184 2 3 2" xfId="5717"/>
    <cellStyle name="Normal 184 2 4" xfId="5718"/>
    <cellStyle name="Normal 184 3" xfId="1402"/>
    <cellStyle name="Normal 184 3 2" xfId="3061"/>
    <cellStyle name="Normal 184 3 2 2" xfId="5719"/>
    <cellStyle name="Normal 184 3 3" xfId="5720"/>
    <cellStyle name="Normal 184 4" xfId="2267"/>
    <cellStyle name="Normal 184 4 2" xfId="5721"/>
    <cellStyle name="Normal 184 5" xfId="5722"/>
    <cellStyle name="Normal 185" xfId="624"/>
    <cellStyle name="Normal 185 2" xfId="1021"/>
    <cellStyle name="Normal 185 2 2" xfId="1820"/>
    <cellStyle name="Normal 185 2 2 2" xfId="3479"/>
    <cellStyle name="Normal 185 2 2 2 2" xfId="5723"/>
    <cellStyle name="Normal 185 2 2 3" xfId="5724"/>
    <cellStyle name="Normal 185 2 3" xfId="2685"/>
    <cellStyle name="Normal 185 2 3 2" xfId="5725"/>
    <cellStyle name="Normal 185 2 4" xfId="5726"/>
    <cellStyle name="Normal 185 3" xfId="1424"/>
    <cellStyle name="Normal 185 3 2" xfId="3083"/>
    <cellStyle name="Normal 185 3 2 2" xfId="5727"/>
    <cellStyle name="Normal 185 3 3" xfId="5728"/>
    <cellStyle name="Normal 185 4" xfId="2289"/>
    <cellStyle name="Normal 185 4 2" xfId="5729"/>
    <cellStyle name="Normal 185 5" xfId="5730"/>
    <cellStyle name="Normal 186" xfId="628"/>
    <cellStyle name="Normal 186 2" xfId="1025"/>
    <cellStyle name="Normal 186 2 2" xfId="1824"/>
    <cellStyle name="Normal 186 2 2 2" xfId="3483"/>
    <cellStyle name="Normal 186 2 2 2 2" xfId="5731"/>
    <cellStyle name="Normal 186 2 2 3" xfId="5732"/>
    <cellStyle name="Normal 186 2 3" xfId="2689"/>
    <cellStyle name="Normal 186 2 3 2" xfId="5733"/>
    <cellStyle name="Normal 186 2 4" xfId="5734"/>
    <cellStyle name="Normal 186 3" xfId="1428"/>
    <cellStyle name="Normal 186 3 2" xfId="3087"/>
    <cellStyle name="Normal 186 3 2 2" xfId="5735"/>
    <cellStyle name="Normal 186 3 3" xfId="5736"/>
    <cellStyle name="Normal 186 4" xfId="2293"/>
    <cellStyle name="Normal 186 4 2" xfId="5737"/>
    <cellStyle name="Normal 186 5" xfId="5738"/>
    <cellStyle name="Normal 187" xfId="605"/>
    <cellStyle name="Normal 187 2" xfId="1002"/>
    <cellStyle name="Normal 187 2 2" xfId="1801"/>
    <cellStyle name="Normal 187 2 2 2" xfId="3460"/>
    <cellStyle name="Normal 187 2 2 2 2" xfId="5739"/>
    <cellStyle name="Normal 187 2 2 3" xfId="5740"/>
    <cellStyle name="Normal 187 2 3" xfId="2666"/>
    <cellStyle name="Normal 187 2 3 2" xfId="5741"/>
    <cellStyle name="Normal 187 2 4" xfId="5742"/>
    <cellStyle name="Normal 187 3" xfId="1405"/>
    <cellStyle name="Normal 187 3 2" xfId="3064"/>
    <cellStyle name="Normal 187 3 2 2" xfId="5743"/>
    <cellStyle name="Normal 187 3 3" xfId="5744"/>
    <cellStyle name="Normal 187 4" xfId="2270"/>
    <cellStyle name="Normal 187 4 2" xfId="5745"/>
    <cellStyle name="Normal 187 5" xfId="5746"/>
    <cellStyle name="Normal 188" xfId="619"/>
    <cellStyle name="Normal 188 2" xfId="1016"/>
    <cellStyle name="Normal 188 2 2" xfId="1815"/>
    <cellStyle name="Normal 188 2 2 2" xfId="3474"/>
    <cellStyle name="Normal 188 2 2 2 2" xfId="5747"/>
    <cellStyle name="Normal 188 2 2 3" xfId="5748"/>
    <cellStyle name="Normal 188 2 3" xfId="2680"/>
    <cellStyle name="Normal 188 2 3 2" xfId="5749"/>
    <cellStyle name="Normal 188 2 4" xfId="5750"/>
    <cellStyle name="Normal 188 3" xfId="1419"/>
    <cellStyle name="Normal 188 3 2" xfId="3078"/>
    <cellStyle name="Normal 188 3 2 2" xfId="5751"/>
    <cellStyle name="Normal 188 3 3" xfId="5752"/>
    <cellStyle name="Normal 188 4" xfId="2284"/>
    <cellStyle name="Normal 188 4 2" xfId="5753"/>
    <cellStyle name="Normal 188 5" xfId="5754"/>
    <cellStyle name="Normal 189" xfId="625"/>
    <cellStyle name="Normal 189 2" xfId="1022"/>
    <cellStyle name="Normal 189 2 2" xfId="1821"/>
    <cellStyle name="Normal 189 2 2 2" xfId="3480"/>
    <cellStyle name="Normal 189 2 2 2 2" xfId="5755"/>
    <cellStyle name="Normal 189 2 2 3" xfId="5756"/>
    <cellStyle name="Normal 189 2 3" xfId="2686"/>
    <cellStyle name="Normal 189 2 3 2" xfId="5757"/>
    <cellStyle name="Normal 189 2 4" xfId="5758"/>
    <cellStyle name="Normal 189 3" xfId="1425"/>
    <cellStyle name="Normal 189 3 2" xfId="3084"/>
    <cellStyle name="Normal 189 3 2 2" xfId="5759"/>
    <cellStyle name="Normal 189 3 3" xfId="5760"/>
    <cellStyle name="Normal 189 4" xfId="2290"/>
    <cellStyle name="Normal 189 4 2" xfId="5761"/>
    <cellStyle name="Normal 189 5" xfId="5762"/>
    <cellStyle name="Normal 19" xfId="160"/>
    <cellStyle name="Normal 19 2" xfId="161"/>
    <cellStyle name="Normal 19 2 2" xfId="1612"/>
    <cellStyle name="Normal 19 2 2 2" xfId="3271"/>
    <cellStyle name="Normal 19 2 2 2 2" xfId="5763"/>
    <cellStyle name="Normal 19 2 2 3" xfId="5764"/>
    <cellStyle name="Normal 19 2 3" xfId="813"/>
    <cellStyle name="Normal 19 2 3 2" xfId="2477"/>
    <cellStyle name="Normal 19 2 4" xfId="5765"/>
    <cellStyle name="Normal 19 3" xfId="1216"/>
    <cellStyle name="Normal 19 3 2" xfId="2875"/>
    <cellStyle name="Normal 19 3 2 2" xfId="5766"/>
    <cellStyle name="Normal 19 3 3" xfId="5767"/>
    <cellStyle name="Normal 19 4" xfId="428"/>
    <cellStyle name="Normal 19 4 2" xfId="2081"/>
    <cellStyle name="Normal 19 5" xfId="5768"/>
    <cellStyle name="Normal 190" xfId="613"/>
    <cellStyle name="Normal 190 2" xfId="1010"/>
    <cellStyle name="Normal 190 2 2" xfId="1809"/>
    <cellStyle name="Normal 190 2 2 2" xfId="3468"/>
    <cellStyle name="Normal 190 2 2 2 2" xfId="5769"/>
    <cellStyle name="Normal 190 2 2 3" xfId="5770"/>
    <cellStyle name="Normal 190 2 3" xfId="2674"/>
    <cellStyle name="Normal 190 2 3 2" xfId="5771"/>
    <cellStyle name="Normal 190 2 4" xfId="5772"/>
    <cellStyle name="Normal 190 3" xfId="1413"/>
    <cellStyle name="Normal 190 3 2" xfId="3072"/>
    <cellStyle name="Normal 190 3 2 2" xfId="5773"/>
    <cellStyle name="Normal 190 3 3" xfId="5774"/>
    <cellStyle name="Normal 190 4" xfId="2278"/>
    <cellStyle name="Normal 190 4 2" xfId="5775"/>
    <cellStyle name="Normal 190 5" xfId="5776"/>
    <cellStyle name="Normal 191" xfId="608"/>
    <cellStyle name="Normal 191 2" xfId="1005"/>
    <cellStyle name="Normal 191 2 2" xfId="1804"/>
    <cellStyle name="Normal 191 2 2 2" xfId="3463"/>
    <cellStyle name="Normal 191 2 2 2 2" xfId="5777"/>
    <cellStyle name="Normal 191 2 2 3" xfId="5778"/>
    <cellStyle name="Normal 191 2 3" xfId="2669"/>
    <cellStyle name="Normal 191 2 3 2" xfId="5779"/>
    <cellStyle name="Normal 191 2 4" xfId="5780"/>
    <cellStyle name="Normal 191 3" xfId="1408"/>
    <cellStyle name="Normal 191 3 2" xfId="3067"/>
    <cellStyle name="Normal 191 3 2 2" xfId="5781"/>
    <cellStyle name="Normal 191 3 3" xfId="5782"/>
    <cellStyle name="Normal 191 4" xfId="2273"/>
    <cellStyle name="Normal 191 4 2" xfId="5783"/>
    <cellStyle name="Normal 191 5" xfId="5784"/>
    <cellStyle name="Normal 192" xfId="618"/>
    <cellStyle name="Normal 192 2" xfId="1015"/>
    <cellStyle name="Normal 192 2 2" xfId="1814"/>
    <cellStyle name="Normal 192 2 2 2" xfId="3473"/>
    <cellStyle name="Normal 192 2 2 2 2" xfId="5785"/>
    <cellStyle name="Normal 192 2 2 3" xfId="5786"/>
    <cellStyle name="Normal 192 2 3" xfId="2679"/>
    <cellStyle name="Normal 192 2 3 2" xfId="5787"/>
    <cellStyle name="Normal 192 2 4" xfId="5788"/>
    <cellStyle name="Normal 192 3" xfId="1418"/>
    <cellStyle name="Normal 192 3 2" xfId="3077"/>
    <cellStyle name="Normal 192 3 2 2" xfId="5789"/>
    <cellStyle name="Normal 192 3 3" xfId="5790"/>
    <cellStyle name="Normal 192 4" xfId="2283"/>
    <cellStyle name="Normal 192 4 2" xfId="5791"/>
    <cellStyle name="Normal 192 5" xfId="5792"/>
    <cellStyle name="Normal 193" xfId="630"/>
    <cellStyle name="Normal 193 2" xfId="1027"/>
    <cellStyle name="Normal 193 2 2" xfId="1826"/>
    <cellStyle name="Normal 193 2 2 2" xfId="3485"/>
    <cellStyle name="Normal 193 2 2 2 2" xfId="5793"/>
    <cellStyle name="Normal 193 2 2 3" xfId="5794"/>
    <cellStyle name="Normal 193 2 3" xfId="2691"/>
    <cellStyle name="Normal 193 2 3 2" xfId="5795"/>
    <cellStyle name="Normal 193 2 4" xfId="5796"/>
    <cellStyle name="Normal 193 3" xfId="1430"/>
    <cellStyle name="Normal 193 3 2" xfId="3089"/>
    <cellStyle name="Normal 193 3 2 2" xfId="5797"/>
    <cellStyle name="Normal 193 3 3" xfId="5798"/>
    <cellStyle name="Normal 193 4" xfId="2295"/>
    <cellStyle name="Normal 193 4 2" xfId="5799"/>
    <cellStyle name="Normal 193 5" xfId="5800"/>
    <cellStyle name="Normal 194" xfId="614"/>
    <cellStyle name="Normal 194 2" xfId="1011"/>
    <cellStyle name="Normal 194 2 2" xfId="1810"/>
    <cellStyle name="Normal 194 2 2 2" xfId="3469"/>
    <cellStyle name="Normal 194 2 2 2 2" xfId="5801"/>
    <cellStyle name="Normal 194 2 2 3" xfId="5802"/>
    <cellStyle name="Normal 194 2 3" xfId="2675"/>
    <cellStyle name="Normal 194 2 3 2" xfId="5803"/>
    <cellStyle name="Normal 194 2 4" xfId="5804"/>
    <cellStyle name="Normal 194 3" xfId="1414"/>
    <cellStyle name="Normal 194 3 2" xfId="3073"/>
    <cellStyle name="Normal 194 3 2 2" xfId="5805"/>
    <cellStyle name="Normal 194 3 3" xfId="5806"/>
    <cellStyle name="Normal 194 4" xfId="2279"/>
    <cellStyle name="Normal 194 4 2" xfId="5807"/>
    <cellStyle name="Normal 194 5" xfId="5808"/>
    <cellStyle name="Normal 195" xfId="601"/>
    <cellStyle name="Normal 195 2" xfId="998"/>
    <cellStyle name="Normal 195 2 2" xfId="1797"/>
    <cellStyle name="Normal 195 2 2 2" xfId="3456"/>
    <cellStyle name="Normal 195 2 2 2 2" xfId="5809"/>
    <cellStyle name="Normal 195 2 2 3" xfId="5810"/>
    <cellStyle name="Normal 195 2 3" xfId="2662"/>
    <cellStyle name="Normal 195 2 3 2" xfId="5811"/>
    <cellStyle name="Normal 195 2 4" xfId="5812"/>
    <cellStyle name="Normal 195 3" xfId="1401"/>
    <cellStyle name="Normal 195 3 2" xfId="3060"/>
    <cellStyle name="Normal 195 3 2 2" xfId="5813"/>
    <cellStyle name="Normal 195 3 3" xfId="5814"/>
    <cellStyle name="Normal 195 4" xfId="2266"/>
    <cellStyle name="Normal 195 4 2" xfId="5815"/>
    <cellStyle name="Normal 195 5" xfId="5816"/>
    <cellStyle name="Normal 196" xfId="583"/>
    <cellStyle name="Normal 196 2" xfId="980"/>
    <cellStyle name="Normal 196 2 2" xfId="1779"/>
    <cellStyle name="Normal 196 2 2 2" xfId="3438"/>
    <cellStyle name="Normal 196 2 2 2 2" xfId="5817"/>
    <cellStyle name="Normal 196 2 2 3" xfId="5818"/>
    <cellStyle name="Normal 196 2 3" xfId="2644"/>
    <cellStyle name="Normal 196 2 3 2" xfId="5819"/>
    <cellStyle name="Normal 196 2 4" xfId="5820"/>
    <cellStyle name="Normal 196 3" xfId="1383"/>
    <cellStyle name="Normal 196 3 2" xfId="3042"/>
    <cellStyle name="Normal 196 3 2 2" xfId="5821"/>
    <cellStyle name="Normal 196 3 3" xfId="5822"/>
    <cellStyle name="Normal 196 4" xfId="2248"/>
    <cellStyle name="Normal 196 4 2" xfId="5823"/>
    <cellStyle name="Normal 196 5" xfId="5824"/>
    <cellStyle name="Normal 197" xfId="607"/>
    <cellStyle name="Normal 197 2" xfId="1004"/>
    <cellStyle name="Normal 197 2 2" xfId="1803"/>
    <cellStyle name="Normal 197 2 2 2" xfId="3462"/>
    <cellStyle name="Normal 197 2 2 2 2" xfId="5825"/>
    <cellStyle name="Normal 197 2 2 3" xfId="5826"/>
    <cellStyle name="Normal 197 2 3" xfId="2668"/>
    <cellStyle name="Normal 197 2 3 2" xfId="5827"/>
    <cellStyle name="Normal 197 2 4" xfId="5828"/>
    <cellStyle name="Normal 197 3" xfId="1407"/>
    <cellStyle name="Normal 197 3 2" xfId="3066"/>
    <cellStyle name="Normal 197 3 2 2" xfId="5829"/>
    <cellStyle name="Normal 197 3 3" xfId="5830"/>
    <cellStyle name="Normal 197 4" xfId="2272"/>
    <cellStyle name="Normal 197 4 2" xfId="5831"/>
    <cellStyle name="Normal 197 5" xfId="5832"/>
    <cellStyle name="Normal 198" xfId="629"/>
    <cellStyle name="Normal 198 2" xfId="1026"/>
    <cellStyle name="Normal 198 2 2" xfId="1825"/>
    <cellStyle name="Normal 198 2 2 2" xfId="3484"/>
    <cellStyle name="Normal 198 2 2 2 2" xfId="5833"/>
    <cellStyle name="Normal 198 2 2 3" xfId="5834"/>
    <cellStyle name="Normal 198 2 3" xfId="2690"/>
    <cellStyle name="Normal 198 2 3 2" xfId="5835"/>
    <cellStyle name="Normal 198 2 4" xfId="5836"/>
    <cellStyle name="Normal 198 3" xfId="1429"/>
    <cellStyle name="Normal 198 3 2" xfId="3088"/>
    <cellStyle name="Normal 198 3 2 2" xfId="5837"/>
    <cellStyle name="Normal 198 3 3" xfId="5838"/>
    <cellStyle name="Normal 198 4" xfId="2294"/>
    <cellStyle name="Normal 198 4 2" xfId="5839"/>
    <cellStyle name="Normal 198 5" xfId="5840"/>
    <cellStyle name="Normal 199" xfId="612"/>
    <cellStyle name="Normal 199 2" xfId="1009"/>
    <cellStyle name="Normal 199 2 2" xfId="1808"/>
    <cellStyle name="Normal 199 2 2 2" xfId="3467"/>
    <cellStyle name="Normal 199 2 2 2 2" xfId="5841"/>
    <cellStyle name="Normal 199 2 2 3" xfId="5842"/>
    <cellStyle name="Normal 199 2 3" xfId="2673"/>
    <cellStyle name="Normal 199 2 3 2" xfId="5843"/>
    <cellStyle name="Normal 199 2 4" xfId="5844"/>
    <cellStyle name="Normal 199 3" xfId="1412"/>
    <cellStyle name="Normal 199 3 2" xfId="3071"/>
    <cellStyle name="Normal 199 3 2 2" xfId="5845"/>
    <cellStyle name="Normal 199 3 3" xfId="5846"/>
    <cellStyle name="Normal 199 4" xfId="2277"/>
    <cellStyle name="Normal 199 4 2" xfId="5847"/>
    <cellStyle name="Normal 199 5" xfId="5848"/>
    <cellStyle name="Normal 2" xfId="162"/>
    <cellStyle name="Normal 2 2" xfId="163"/>
    <cellStyle name="Normal 2 2 2" xfId="308"/>
    <cellStyle name="Normal 2 2 2 2" xfId="5849"/>
    <cellStyle name="Normal 2 2 2 3" xfId="8453"/>
    <cellStyle name="Normal 2 2 2 4" xfId="9580"/>
    <cellStyle name="Normal 2 2 3" xfId="354"/>
    <cellStyle name="Normal 2 2 3 2" xfId="5850"/>
    <cellStyle name="Normal 2 2 3 3" xfId="8460"/>
    <cellStyle name="Normal 2 2 3 4" xfId="9587"/>
    <cellStyle name="Normal 2 2 4" xfId="2024"/>
    <cellStyle name="Normal 2 2 5" xfId="302"/>
    <cellStyle name="Normal 2 2 6" xfId="8431"/>
    <cellStyle name="Normal 2 2 7" xfId="9558"/>
    <cellStyle name="Normal 2 3" xfId="310"/>
    <cellStyle name="Normal 2 4" xfId="390"/>
    <cellStyle name="Normal 2 4 2" xfId="2044"/>
    <cellStyle name="Normal 2 5" xfId="5851"/>
    <cellStyle name="Normal 2 5 2" xfId="8706"/>
    <cellStyle name="Normal 2 5 3" xfId="8844"/>
    <cellStyle name="Normal 2 5 3 2" xfId="10413"/>
    <cellStyle name="Normal 2 5 3 3" xfId="9833"/>
    <cellStyle name="Normal 2 5 4" xfId="8776"/>
    <cellStyle name="Normal 2 5 5" xfId="8858"/>
    <cellStyle name="Normal 2 5 6" xfId="8742"/>
    <cellStyle name="Normal 2 6" xfId="5852"/>
    <cellStyle name="Normal 2 7" xfId="355"/>
    <cellStyle name="Normal 2 7 2" xfId="2027"/>
    <cellStyle name="Normal 2 8" xfId="8430"/>
    <cellStyle name="Normal 2 9" xfId="9557"/>
    <cellStyle name="Normal 2_Calculation Coversheet Tempate" xfId="356"/>
    <cellStyle name="Normal 20" xfId="164"/>
    <cellStyle name="Normal 20 2" xfId="165"/>
    <cellStyle name="Normal 20 2 2" xfId="1611"/>
    <cellStyle name="Normal 20 2 2 2" xfId="3270"/>
    <cellStyle name="Normal 20 2 2 2 2" xfId="5853"/>
    <cellStyle name="Normal 20 2 2 3" xfId="5854"/>
    <cellStyle name="Normal 20 2 3" xfId="812"/>
    <cellStyle name="Normal 20 2 3 2" xfId="2476"/>
    <cellStyle name="Normal 20 2 4" xfId="5855"/>
    <cellStyle name="Normal 20 3" xfId="1215"/>
    <cellStyle name="Normal 20 3 2" xfId="2874"/>
    <cellStyle name="Normal 20 3 2 2" xfId="5856"/>
    <cellStyle name="Normal 20 3 3" xfId="5857"/>
    <cellStyle name="Normal 20 4" xfId="427"/>
    <cellStyle name="Normal 20 4 2" xfId="2080"/>
    <cellStyle name="Normal 20 5" xfId="5858"/>
    <cellStyle name="Normal 200" xfId="631"/>
    <cellStyle name="Normal 200 2" xfId="1028"/>
    <cellStyle name="Normal 200 2 2" xfId="1827"/>
    <cellStyle name="Normal 200 2 2 2" xfId="3486"/>
    <cellStyle name="Normal 200 2 2 2 2" xfId="5859"/>
    <cellStyle name="Normal 200 2 2 3" xfId="5860"/>
    <cellStyle name="Normal 200 2 3" xfId="2692"/>
    <cellStyle name="Normal 200 2 3 2" xfId="5861"/>
    <cellStyle name="Normal 200 2 4" xfId="5862"/>
    <cellStyle name="Normal 200 3" xfId="1431"/>
    <cellStyle name="Normal 200 3 2" xfId="3090"/>
    <cellStyle name="Normal 200 3 2 2" xfId="5863"/>
    <cellStyle name="Normal 200 3 3" xfId="5864"/>
    <cellStyle name="Normal 200 4" xfId="2296"/>
    <cellStyle name="Normal 200 4 2" xfId="5865"/>
    <cellStyle name="Normal 200 5" xfId="5866"/>
    <cellStyle name="Normal 201" xfId="632"/>
    <cellStyle name="Normal 201 2" xfId="1029"/>
    <cellStyle name="Normal 201 2 2" xfId="1828"/>
    <cellStyle name="Normal 201 2 2 2" xfId="3487"/>
    <cellStyle name="Normal 201 2 2 2 2" xfId="5867"/>
    <cellStyle name="Normal 201 2 2 3" xfId="5868"/>
    <cellStyle name="Normal 201 2 3" xfId="2693"/>
    <cellStyle name="Normal 201 2 3 2" xfId="5869"/>
    <cellStyle name="Normal 201 2 4" xfId="5870"/>
    <cellStyle name="Normal 201 3" xfId="1432"/>
    <cellStyle name="Normal 201 3 2" xfId="3091"/>
    <cellStyle name="Normal 201 3 2 2" xfId="5871"/>
    <cellStyle name="Normal 201 3 3" xfId="5872"/>
    <cellStyle name="Normal 201 4" xfId="2297"/>
    <cellStyle name="Normal 201 4 2" xfId="5873"/>
    <cellStyle name="Normal 201 5" xfId="5874"/>
    <cellStyle name="Normal 202" xfId="633"/>
    <cellStyle name="Normal 202 2" xfId="1030"/>
    <cellStyle name="Normal 202 2 2" xfId="1829"/>
    <cellStyle name="Normal 202 2 2 2" xfId="3488"/>
    <cellStyle name="Normal 202 2 2 2 2" xfId="5875"/>
    <cellStyle name="Normal 202 2 2 3" xfId="5876"/>
    <cellStyle name="Normal 202 2 3" xfId="2694"/>
    <cellStyle name="Normal 202 2 3 2" xfId="5877"/>
    <cellStyle name="Normal 202 2 4" xfId="5878"/>
    <cellStyle name="Normal 202 3" xfId="1433"/>
    <cellStyle name="Normal 202 3 2" xfId="3092"/>
    <cellStyle name="Normal 202 3 2 2" xfId="5879"/>
    <cellStyle name="Normal 202 3 3" xfId="5880"/>
    <cellStyle name="Normal 202 4" xfId="2298"/>
    <cellStyle name="Normal 202 4 2" xfId="5881"/>
    <cellStyle name="Normal 202 5" xfId="5882"/>
    <cellStyle name="Normal 203" xfId="634"/>
    <cellStyle name="Normal 203 2" xfId="1031"/>
    <cellStyle name="Normal 203 2 2" xfId="1830"/>
    <cellStyle name="Normal 203 2 2 2" xfId="3489"/>
    <cellStyle name="Normal 203 2 2 2 2" xfId="5883"/>
    <cellStyle name="Normal 203 2 2 3" xfId="5884"/>
    <cellStyle name="Normal 203 2 3" xfId="2695"/>
    <cellStyle name="Normal 203 2 3 2" xfId="5885"/>
    <cellStyle name="Normal 203 2 4" xfId="5886"/>
    <cellStyle name="Normal 203 3" xfId="1434"/>
    <cellStyle name="Normal 203 3 2" xfId="3093"/>
    <cellStyle name="Normal 203 3 2 2" xfId="5887"/>
    <cellStyle name="Normal 203 3 3" xfId="5888"/>
    <cellStyle name="Normal 203 4" xfId="2299"/>
    <cellStyle name="Normal 203 4 2" xfId="5889"/>
    <cellStyle name="Normal 203 5" xfId="5890"/>
    <cellStyle name="Normal 204" xfId="635"/>
    <cellStyle name="Normal 204 2" xfId="1032"/>
    <cellStyle name="Normal 204 2 2" xfId="1831"/>
    <cellStyle name="Normal 204 2 2 2" xfId="3490"/>
    <cellStyle name="Normal 204 2 2 2 2" xfId="5891"/>
    <cellStyle name="Normal 204 2 2 3" xfId="5892"/>
    <cellStyle name="Normal 204 2 3" xfId="2696"/>
    <cellStyle name="Normal 204 2 3 2" xfId="5893"/>
    <cellStyle name="Normal 204 2 4" xfId="5894"/>
    <cellStyle name="Normal 204 3" xfId="1435"/>
    <cellStyle name="Normal 204 3 2" xfId="3094"/>
    <cellStyle name="Normal 204 3 2 2" xfId="5895"/>
    <cellStyle name="Normal 204 3 3" xfId="5896"/>
    <cellStyle name="Normal 204 4" xfId="2300"/>
    <cellStyle name="Normal 204 4 2" xfId="5897"/>
    <cellStyle name="Normal 204 5" xfId="5898"/>
    <cellStyle name="Normal 205" xfId="643"/>
    <cellStyle name="Normal 205 2" xfId="1040"/>
    <cellStyle name="Normal 205 2 2" xfId="1839"/>
    <cellStyle name="Normal 205 2 2 2" xfId="3498"/>
    <cellStyle name="Normal 205 2 2 2 2" xfId="5899"/>
    <cellStyle name="Normal 205 2 2 3" xfId="5900"/>
    <cellStyle name="Normal 205 2 3" xfId="2704"/>
    <cellStyle name="Normal 205 2 3 2" xfId="5901"/>
    <cellStyle name="Normal 205 2 4" xfId="5902"/>
    <cellStyle name="Normal 205 3" xfId="1443"/>
    <cellStyle name="Normal 205 3 2" xfId="3102"/>
    <cellStyle name="Normal 205 3 2 2" xfId="5903"/>
    <cellStyle name="Normal 205 3 3" xfId="5904"/>
    <cellStyle name="Normal 205 4" xfId="2308"/>
    <cellStyle name="Normal 205 4 2" xfId="5905"/>
    <cellStyle name="Normal 205 5" xfId="5906"/>
    <cellStyle name="Normal 206" xfId="637"/>
    <cellStyle name="Normal 206 2" xfId="1034"/>
    <cellStyle name="Normal 206 2 2" xfId="1833"/>
    <cellStyle name="Normal 206 2 2 2" xfId="3492"/>
    <cellStyle name="Normal 206 2 2 2 2" xfId="5907"/>
    <cellStyle name="Normal 206 2 2 3" xfId="5908"/>
    <cellStyle name="Normal 206 2 3" xfId="2698"/>
    <cellStyle name="Normal 206 2 3 2" xfId="5909"/>
    <cellStyle name="Normal 206 2 4" xfId="5910"/>
    <cellStyle name="Normal 206 3" xfId="1437"/>
    <cellStyle name="Normal 206 3 2" xfId="3096"/>
    <cellStyle name="Normal 206 3 2 2" xfId="5911"/>
    <cellStyle name="Normal 206 3 3" xfId="5912"/>
    <cellStyle name="Normal 206 4" xfId="2302"/>
    <cellStyle name="Normal 206 4 2" xfId="5913"/>
    <cellStyle name="Normal 206 5" xfId="5914"/>
    <cellStyle name="Normal 207" xfId="641"/>
    <cellStyle name="Normal 207 2" xfId="1038"/>
    <cellStyle name="Normal 207 2 2" xfId="1837"/>
    <cellStyle name="Normal 207 2 2 2" xfId="3496"/>
    <cellStyle name="Normal 207 2 2 2 2" xfId="5915"/>
    <cellStyle name="Normal 207 2 2 3" xfId="5916"/>
    <cellStyle name="Normal 207 2 3" xfId="2702"/>
    <cellStyle name="Normal 207 2 3 2" xfId="5917"/>
    <cellStyle name="Normal 207 2 4" xfId="5918"/>
    <cellStyle name="Normal 207 3" xfId="1441"/>
    <cellStyle name="Normal 207 3 2" xfId="3100"/>
    <cellStyle name="Normal 207 3 2 2" xfId="5919"/>
    <cellStyle name="Normal 207 3 3" xfId="5920"/>
    <cellStyle name="Normal 207 4" xfId="2306"/>
    <cellStyle name="Normal 207 4 2" xfId="5921"/>
    <cellStyle name="Normal 207 5" xfId="5922"/>
    <cellStyle name="Normal 208" xfId="654"/>
    <cellStyle name="Normal 208 2" xfId="1051"/>
    <cellStyle name="Normal 208 2 2" xfId="1850"/>
    <cellStyle name="Normal 208 2 2 2" xfId="3509"/>
    <cellStyle name="Normal 208 2 2 2 2" xfId="5923"/>
    <cellStyle name="Normal 208 2 2 3" xfId="5924"/>
    <cellStyle name="Normal 208 2 3" xfId="2715"/>
    <cellStyle name="Normal 208 2 3 2" xfId="5925"/>
    <cellStyle name="Normal 208 2 4" xfId="5926"/>
    <cellStyle name="Normal 208 3" xfId="1454"/>
    <cellStyle name="Normal 208 3 2" xfId="3113"/>
    <cellStyle name="Normal 208 3 2 2" xfId="5927"/>
    <cellStyle name="Normal 208 3 3" xfId="5928"/>
    <cellStyle name="Normal 208 4" xfId="2319"/>
    <cellStyle name="Normal 208 4 2" xfId="5929"/>
    <cellStyle name="Normal 208 5" xfId="5930"/>
    <cellStyle name="Normal 209" xfId="639"/>
    <cellStyle name="Normal 209 2" xfId="1036"/>
    <cellStyle name="Normal 209 2 2" xfId="1835"/>
    <cellStyle name="Normal 209 2 2 2" xfId="3494"/>
    <cellStyle name="Normal 209 2 2 2 2" xfId="5931"/>
    <cellStyle name="Normal 209 2 2 3" xfId="5932"/>
    <cellStyle name="Normal 209 2 3" xfId="2700"/>
    <cellStyle name="Normal 209 2 3 2" xfId="5933"/>
    <cellStyle name="Normal 209 2 4" xfId="5934"/>
    <cellStyle name="Normal 209 3" xfId="1439"/>
    <cellStyle name="Normal 209 3 2" xfId="3098"/>
    <cellStyle name="Normal 209 3 2 2" xfId="5935"/>
    <cellStyle name="Normal 209 3 3" xfId="5936"/>
    <cellStyle name="Normal 209 4" xfId="2304"/>
    <cellStyle name="Normal 209 4 2" xfId="5937"/>
    <cellStyle name="Normal 209 5" xfId="5938"/>
    <cellStyle name="Normal 21" xfId="166"/>
    <cellStyle name="Normal 21 2" xfId="809"/>
    <cellStyle name="Normal 21 2 2" xfId="1608"/>
    <cellStyle name="Normal 21 2 2 2" xfId="3267"/>
    <cellStyle name="Normal 21 2 2 2 2" xfId="5939"/>
    <cellStyle name="Normal 21 2 2 2 2 2" xfId="5940"/>
    <cellStyle name="Normal 21 2 2 2 2 2 2" xfId="5941"/>
    <cellStyle name="Normal 21 2 2 2 2 2 2 2" xfId="5942"/>
    <cellStyle name="Normal 21 2 2 2 2 2 2 2 2" xfId="5943"/>
    <cellStyle name="Normal 21 2 2 2 2 2 2 2 2 2" xfId="5944"/>
    <cellStyle name="Normal 21 2 2 2 2 2 2 2 2 2 2" xfId="5945"/>
    <cellStyle name="Normal 21 2 2 2 2 2 2 2 2 2 2 2" xfId="5946"/>
    <cellStyle name="Normal 21 2 2 2 2 2 2 2 2 2 2 2 2" xfId="5947"/>
    <cellStyle name="Normal 21 2 2 2 2 2 2 2 2 2 2 2 2 2" xfId="5948"/>
    <cellStyle name="Normal 21 2 2 2 2 2 2 2 2 2 2 2 2 2 2" xfId="5949"/>
    <cellStyle name="Normal 21 2 2 2 2 2 2 2 2 2 2 2 2 2 2 2" xfId="5950"/>
    <cellStyle name="Normal 21 2 2 2 2 2 2 2 2 2 2 2 2 2 2 2 2" xfId="5951"/>
    <cellStyle name="Normal 21 2 2 2 2 2 2 2 2 2 2 2 2 2 2 2 2 2" xfId="5952"/>
    <cellStyle name="Normal 21 2 2 2 2 2 2 2 2 2 2 2 2 2 2 2 2 2 2" xfId="5953"/>
    <cellStyle name="Normal 21 2 2 2 2 2 2 2 2 2 2 2 2 2 2 2 2 2 2 2" xfId="5954"/>
    <cellStyle name="Normal 21 2 2 2 2 2 2 2 2 2 2 2 2 2 2 2 2 2 2 2 2" xfId="5955"/>
    <cellStyle name="Normal 21 2 2 2 2 2 2 2 2 2 2 2 2 2 2 2 2 2 2 2 2 2" xfId="5956"/>
    <cellStyle name="Normal 21 2 2 2 2 2 2 2 2 2 2 2 2 2 2 2 2 2 2 2 2 2 2" xfId="5957"/>
    <cellStyle name="Normal 21 2 2 2 2 2 2 2 2 2 2 2 2 2 2 2 2 2 2 2 2 2 2 2" xfId="5958"/>
    <cellStyle name="Normal 21 2 2 2 2 2 2 2 2 2 2 2 2 2 2 2 2 2 2 2 2 2 2 2 2" xfId="5959"/>
    <cellStyle name="Normal 21 2 2 2 2 2 2 2 2 2 2 2 2 2 2 2 2 2 2 2 2 2 2 3" xfId="5960"/>
    <cellStyle name="Normal 21 2 2 2 2 2 2 2 2 2 2 2 2 2 2 2 2 2 2 2 2 2 3" xfId="5961"/>
    <cellStyle name="Normal 21 2 2 2 2 2 2 2 2 2 2 2 2 2 2 2 2 2 2 2 2 3" xfId="5962"/>
    <cellStyle name="Normal 21 2 2 2 2 2 2 2 2 2 2 2 2 2 2 2 2 2 2 2 2 3 2" xfId="5963"/>
    <cellStyle name="Normal 21 2 2 2 2 2 2 2 2 2 2 2 2 2 2 2 2 2 2 2 2 3 2 2" xfId="5964"/>
    <cellStyle name="Normal 21 2 2 2 2 2 2 2 2 2 2 2 2 2 2 2 2 2 2 2 2 3 3" xfId="5965"/>
    <cellStyle name="Normal 21 2 2 2 2 2 2 2 2 2 2 2 2 2 2 2 2 2 2 2 2 3 3 2" xfId="5966"/>
    <cellStyle name="Normal 21 2 2 2 2 2 2 2 2 2 2 2 2 2 2 2 2 2 2 2 2 3 3 2 2" xfId="5967"/>
    <cellStyle name="Normal 21 2 2 2 2 2 2 2 2 2 2 2 2 2 2 2 2 2 2 2 2 3 3 3" xfId="5968"/>
    <cellStyle name="Normal 21 2 2 2 2 2 2 2 2 2 2 2 2 2 2 2 2 2 2 2 2 3 4" xfId="5969"/>
    <cellStyle name="Normal 21 2 2 2 2 2 2 2 2 2 2 2 2 2 2 2 2 2 2 2 2 4" xfId="5970"/>
    <cellStyle name="Normal 21 2 2 2 2 2 2 2 2 2 2 2 2 2 2 2 2 2 2 2 3" xfId="5971"/>
    <cellStyle name="Normal 21 2 2 2 2 2 2 2 2 2 2 2 2 2 2 2 2 2 2 3" xfId="5972"/>
    <cellStyle name="Normal 21 2 2 2 2 2 2 2 2 2 2 2 2 2 2 2 2 2 3" xfId="5973"/>
    <cellStyle name="Normal 21 2 2 2 2 2 2 2 2 2 2 2 2 2 2 2 2 3" xfId="5974"/>
    <cellStyle name="Normal 21 2 2 2 2 2 2 2 2 2 2 2 2 2 2 2 2 3 2" xfId="5975"/>
    <cellStyle name="Normal 21 2 2 2 2 2 2 2 2 2 2 2 2 2 2 2 2 4" xfId="5976"/>
    <cellStyle name="Normal 21 2 2 2 2 2 2 2 2 2 2 2 2 2 2 2 3" xfId="5977"/>
    <cellStyle name="Normal 21 2 2 2 2 2 2 2 2 2 2 2 2 2 2 3" xfId="5978"/>
    <cellStyle name="Normal 21 2 2 2 2 2 2 2 2 2 2 2 2 2 3" xfId="5979"/>
    <cellStyle name="Normal 21 2 2 2 2 2 2 2 2 2 2 2 2 3" xfId="5980"/>
    <cellStyle name="Normal 21 2 2 2 2 2 2 2 2 2 2 2 3" xfId="5981"/>
    <cellStyle name="Normal 21 2 2 2 2 2 2 2 2 2 2 3" xfId="5982"/>
    <cellStyle name="Normal 21 2 2 2 2 2 2 2 2 2 3" xfId="5983"/>
    <cellStyle name="Normal 21 2 2 2 2 2 2 2 2 3" xfId="5984"/>
    <cellStyle name="Normal 21 2 2 2 2 2 2 2 3" xfId="5985"/>
    <cellStyle name="Normal 21 2 2 2 2 2 2 3" xfId="5986"/>
    <cellStyle name="Normal 21 2 2 2 2 2 3" xfId="5987"/>
    <cellStyle name="Normal 21 2 2 2 2 3" xfId="5988"/>
    <cellStyle name="Normal 21 2 2 2 2 3 2" xfId="5989"/>
    <cellStyle name="Normal 21 2 2 2 2 4" xfId="5990"/>
    <cellStyle name="Normal 21 2 2 2 3" xfId="5991"/>
    <cellStyle name="Normal 21 2 2 2 4" xfId="5992"/>
    <cellStyle name="Normal 21 2 2 3" xfId="5993"/>
    <cellStyle name="Normal 21 2 2 4" xfId="5994"/>
    <cellStyle name="Normal 21 2 2 5" xfId="5995"/>
    <cellStyle name="Normal 21 2 3" xfId="2473"/>
    <cellStyle name="Normal 21 2 3 2" xfId="5996"/>
    <cellStyle name="Normal 21 2 4" xfId="5997"/>
    <cellStyle name="Normal 21 2 5" xfId="5998"/>
    <cellStyle name="Normal 21 3" xfId="1212"/>
    <cellStyle name="Normal 21 3 2" xfId="2871"/>
    <cellStyle name="Normal 21 3 2 2" xfId="5999"/>
    <cellStyle name="Normal 21 3 3" xfId="6000"/>
    <cellStyle name="Normal 21 4" xfId="424"/>
    <cellStyle name="Normal 21 4 2" xfId="2077"/>
    <cellStyle name="Normal 21 5" xfId="6001"/>
    <cellStyle name="Normal 210" xfId="642"/>
    <cellStyle name="Normal 210 2" xfId="1039"/>
    <cellStyle name="Normal 210 2 2" xfId="1838"/>
    <cellStyle name="Normal 210 2 2 2" xfId="3497"/>
    <cellStyle name="Normal 210 2 2 2 2" xfId="6002"/>
    <cellStyle name="Normal 210 2 2 3" xfId="6003"/>
    <cellStyle name="Normal 210 2 3" xfId="2703"/>
    <cellStyle name="Normal 210 2 3 2" xfId="6004"/>
    <cellStyle name="Normal 210 2 4" xfId="6005"/>
    <cellStyle name="Normal 210 3" xfId="1442"/>
    <cellStyle name="Normal 210 3 2" xfId="3101"/>
    <cellStyle name="Normal 210 3 2 2" xfId="6006"/>
    <cellStyle name="Normal 210 3 3" xfId="6007"/>
    <cellStyle name="Normal 210 4" xfId="2307"/>
    <cellStyle name="Normal 210 4 2" xfId="6008"/>
    <cellStyle name="Normal 210 5" xfId="6009"/>
    <cellStyle name="Normal 211" xfId="586"/>
    <cellStyle name="Normal 211 2" xfId="983"/>
    <cellStyle name="Normal 211 2 2" xfId="1782"/>
    <cellStyle name="Normal 211 2 2 2" xfId="3441"/>
    <cellStyle name="Normal 211 2 2 2 2" xfId="6010"/>
    <cellStyle name="Normal 211 2 2 3" xfId="6011"/>
    <cellStyle name="Normal 211 2 3" xfId="2647"/>
    <cellStyle name="Normal 211 2 3 2" xfId="6012"/>
    <cellStyle name="Normal 211 2 4" xfId="6013"/>
    <cellStyle name="Normal 211 3" xfId="1386"/>
    <cellStyle name="Normal 211 3 2" xfId="3045"/>
    <cellStyle name="Normal 211 3 2 2" xfId="6014"/>
    <cellStyle name="Normal 211 3 3" xfId="6015"/>
    <cellStyle name="Normal 211 4" xfId="2251"/>
    <cellStyle name="Normal 211 4 2" xfId="6016"/>
    <cellStyle name="Normal 211 5" xfId="6017"/>
    <cellStyle name="Normal 212" xfId="644"/>
    <cellStyle name="Normal 212 2" xfId="1041"/>
    <cellStyle name="Normal 212 2 2" xfId="1840"/>
    <cellStyle name="Normal 212 2 2 2" xfId="3499"/>
    <cellStyle name="Normal 212 2 2 2 2" xfId="6018"/>
    <cellStyle name="Normal 212 2 2 3" xfId="6019"/>
    <cellStyle name="Normal 212 2 3" xfId="2705"/>
    <cellStyle name="Normal 212 2 3 2" xfId="6020"/>
    <cellStyle name="Normal 212 2 4" xfId="6021"/>
    <cellStyle name="Normal 212 3" xfId="1444"/>
    <cellStyle name="Normal 212 3 2" xfId="3103"/>
    <cellStyle name="Normal 212 3 2 2" xfId="6022"/>
    <cellStyle name="Normal 212 3 3" xfId="6023"/>
    <cellStyle name="Normal 212 4" xfId="2309"/>
    <cellStyle name="Normal 212 4 2" xfId="6024"/>
    <cellStyle name="Normal 212 5" xfId="6025"/>
    <cellStyle name="Normal 213" xfId="636"/>
    <cellStyle name="Normal 213 2" xfId="1033"/>
    <cellStyle name="Normal 213 2 2" xfId="1832"/>
    <cellStyle name="Normal 213 2 2 2" xfId="3491"/>
    <cellStyle name="Normal 213 2 2 2 2" xfId="6026"/>
    <cellStyle name="Normal 213 2 2 3" xfId="6027"/>
    <cellStyle name="Normal 213 2 3" xfId="2697"/>
    <cellStyle name="Normal 213 2 3 2" xfId="6028"/>
    <cellStyle name="Normal 213 2 4" xfId="6029"/>
    <cellStyle name="Normal 213 3" xfId="1436"/>
    <cellStyle name="Normal 213 3 2" xfId="3095"/>
    <cellStyle name="Normal 213 3 2 2" xfId="6030"/>
    <cellStyle name="Normal 213 3 3" xfId="6031"/>
    <cellStyle name="Normal 213 4" xfId="2301"/>
    <cellStyle name="Normal 213 4 2" xfId="6032"/>
    <cellStyle name="Normal 213 5" xfId="6033"/>
    <cellStyle name="Normal 214" xfId="640"/>
    <cellStyle name="Normal 214 2" xfId="1037"/>
    <cellStyle name="Normal 214 2 2" xfId="1836"/>
    <cellStyle name="Normal 214 2 2 2" xfId="3495"/>
    <cellStyle name="Normal 214 2 2 2 2" xfId="6034"/>
    <cellStyle name="Normal 214 2 2 3" xfId="6035"/>
    <cellStyle name="Normal 214 2 3" xfId="2701"/>
    <cellStyle name="Normal 214 2 3 2" xfId="6036"/>
    <cellStyle name="Normal 214 2 4" xfId="6037"/>
    <cellStyle name="Normal 214 3" xfId="1440"/>
    <cellStyle name="Normal 214 3 2" xfId="3099"/>
    <cellStyle name="Normal 214 3 2 2" xfId="6038"/>
    <cellStyle name="Normal 214 3 3" xfId="6039"/>
    <cellStyle name="Normal 214 4" xfId="2305"/>
    <cellStyle name="Normal 214 4 2" xfId="6040"/>
    <cellStyle name="Normal 214 5" xfId="6041"/>
    <cellStyle name="Normal 215" xfId="655"/>
    <cellStyle name="Normal 215 2" xfId="1052"/>
    <cellStyle name="Normal 215 2 2" xfId="1851"/>
    <cellStyle name="Normal 215 2 2 2" xfId="3510"/>
    <cellStyle name="Normal 215 2 2 2 2" xfId="6042"/>
    <cellStyle name="Normal 215 2 2 3" xfId="6043"/>
    <cellStyle name="Normal 215 2 3" xfId="2716"/>
    <cellStyle name="Normal 215 2 3 2" xfId="6044"/>
    <cellStyle name="Normal 215 2 4" xfId="6045"/>
    <cellStyle name="Normal 215 3" xfId="1455"/>
    <cellStyle name="Normal 215 3 2" xfId="3114"/>
    <cellStyle name="Normal 215 3 2 2" xfId="6046"/>
    <cellStyle name="Normal 215 3 3" xfId="6047"/>
    <cellStyle name="Normal 215 4" xfId="2320"/>
    <cellStyle name="Normal 215 4 2" xfId="6048"/>
    <cellStyle name="Normal 215 5" xfId="6049"/>
    <cellStyle name="Normal 216" xfId="658"/>
    <cellStyle name="Normal 216 2" xfId="1055"/>
    <cellStyle name="Normal 216 2 2" xfId="1854"/>
    <cellStyle name="Normal 216 2 2 2" xfId="3513"/>
    <cellStyle name="Normal 216 2 2 2 2" xfId="6050"/>
    <cellStyle name="Normal 216 2 2 3" xfId="6051"/>
    <cellStyle name="Normal 216 2 3" xfId="2719"/>
    <cellStyle name="Normal 216 2 3 2" xfId="6052"/>
    <cellStyle name="Normal 216 2 4" xfId="6053"/>
    <cellStyle name="Normal 216 3" xfId="1458"/>
    <cellStyle name="Normal 216 3 2" xfId="3117"/>
    <cellStyle name="Normal 216 3 2 2" xfId="6054"/>
    <cellStyle name="Normal 216 3 3" xfId="6055"/>
    <cellStyle name="Normal 216 4" xfId="2323"/>
    <cellStyle name="Normal 216 4 2" xfId="6056"/>
    <cellStyle name="Normal 216 5" xfId="6057"/>
    <cellStyle name="Normal 217" xfId="662"/>
    <cellStyle name="Normal 217 2" xfId="1059"/>
    <cellStyle name="Normal 217 2 2" xfId="1858"/>
    <cellStyle name="Normal 217 2 2 2" xfId="3517"/>
    <cellStyle name="Normal 217 2 2 2 2" xfId="6058"/>
    <cellStyle name="Normal 217 2 2 3" xfId="6059"/>
    <cellStyle name="Normal 217 2 3" xfId="2723"/>
    <cellStyle name="Normal 217 2 3 2" xfId="6060"/>
    <cellStyle name="Normal 217 2 4" xfId="6061"/>
    <cellStyle name="Normal 217 3" xfId="1462"/>
    <cellStyle name="Normal 217 3 2" xfId="3121"/>
    <cellStyle name="Normal 217 3 2 2" xfId="6062"/>
    <cellStyle name="Normal 217 3 3" xfId="6063"/>
    <cellStyle name="Normal 217 4" xfId="2327"/>
    <cellStyle name="Normal 217 4 2" xfId="6064"/>
    <cellStyle name="Normal 217 5" xfId="6065"/>
    <cellStyle name="Normal 218" xfId="664"/>
    <cellStyle name="Normal 218 2" xfId="1061"/>
    <cellStyle name="Normal 218 2 2" xfId="1860"/>
    <cellStyle name="Normal 218 2 2 2" xfId="3519"/>
    <cellStyle name="Normal 218 2 2 2 2" xfId="6066"/>
    <cellStyle name="Normal 218 2 2 3" xfId="6067"/>
    <cellStyle name="Normal 218 2 3" xfId="2725"/>
    <cellStyle name="Normal 218 2 3 2" xfId="6068"/>
    <cellStyle name="Normal 218 2 4" xfId="6069"/>
    <cellStyle name="Normal 218 3" xfId="1464"/>
    <cellStyle name="Normal 218 3 2" xfId="3123"/>
    <cellStyle name="Normal 218 3 2 2" xfId="6070"/>
    <cellStyle name="Normal 218 3 3" xfId="6071"/>
    <cellStyle name="Normal 218 4" xfId="2329"/>
    <cellStyle name="Normal 218 4 2" xfId="6072"/>
    <cellStyle name="Normal 218 5" xfId="6073"/>
    <cellStyle name="Normal 219" xfId="661"/>
    <cellStyle name="Normal 219 2" xfId="1058"/>
    <cellStyle name="Normal 219 2 2" xfId="1857"/>
    <cellStyle name="Normal 219 2 2 2" xfId="3516"/>
    <cellStyle name="Normal 219 2 2 2 2" xfId="6074"/>
    <cellStyle name="Normal 219 2 2 3" xfId="6075"/>
    <cellStyle name="Normal 219 2 3" xfId="2722"/>
    <cellStyle name="Normal 219 2 3 2" xfId="6076"/>
    <cellStyle name="Normal 219 2 4" xfId="6077"/>
    <cellStyle name="Normal 219 3" xfId="1461"/>
    <cellStyle name="Normal 219 3 2" xfId="3120"/>
    <cellStyle name="Normal 219 3 2 2" xfId="6078"/>
    <cellStyle name="Normal 219 3 3" xfId="6079"/>
    <cellStyle name="Normal 219 4" xfId="2326"/>
    <cellStyle name="Normal 219 4 2" xfId="6080"/>
    <cellStyle name="Normal 219 5" xfId="6081"/>
    <cellStyle name="Normal 22" xfId="167"/>
    <cellStyle name="Normal 22 2" xfId="819"/>
    <cellStyle name="Normal 22 2 2" xfId="1618"/>
    <cellStyle name="Normal 22 2 2 2" xfId="3277"/>
    <cellStyle name="Normal 22 2 2 2 2" xfId="6082"/>
    <cellStyle name="Normal 22 2 2 2 2 2" xfId="6083"/>
    <cellStyle name="Normal 22 2 2 2 2 2 2" xfId="6084"/>
    <cellStyle name="Normal 22 2 2 2 2 2 2 2" xfId="6085"/>
    <cellStyle name="Normal 22 2 2 2 2 2 2 2 2" xfId="6086"/>
    <cellStyle name="Normal 22 2 2 2 2 2 2 2 2 2" xfId="6087"/>
    <cellStyle name="Normal 22 2 2 2 2 2 2 2 2 2 2" xfId="6088"/>
    <cellStyle name="Normal 22 2 2 2 2 2 2 2 2 2 2 2" xfId="6089"/>
    <cellStyle name="Normal 22 2 2 2 2 2 2 2 2 2 2 2 2" xfId="6090"/>
    <cellStyle name="Normal 22 2 2 2 2 2 2 2 2 2 2 2 2 2" xfId="6091"/>
    <cellStyle name="Normal 22 2 2 2 2 2 2 2 2 2 2 2 2 2 2" xfId="6092"/>
    <cellStyle name="Normal 22 2 2 2 2 2 2 2 2 2 2 2 2 2 2 2" xfId="6093"/>
    <cellStyle name="Normal 22 2 2 2 2 2 2 2 2 2 2 2 2 2 2 2 2" xfId="6094"/>
    <cellStyle name="Normal 22 2 2 2 2 2 2 2 2 2 2 2 2 2 2 2 2 2" xfId="6095"/>
    <cellStyle name="Normal 22 2 2 2 2 2 2 2 2 2 2 2 2 2 2 2 2 2 2" xfId="6096"/>
    <cellStyle name="Normal 22 2 2 2 2 2 2 2 2 2 2 2 2 2 2 2 2 2 2 2" xfId="6097"/>
    <cellStyle name="Normal 22 2 2 2 2 2 2 2 2 2 2 2 2 2 2 2 2 2 2 2 2" xfId="6098"/>
    <cellStyle name="Normal 22 2 2 2 2 2 2 2 2 2 2 2 2 2 2 2 2 2 2 2 2 2" xfId="6099"/>
    <cellStyle name="Normal 22 2 2 2 2 2 2 2 2 2 2 2 2 2 2 2 2 2 2 2 2 2 2" xfId="6100"/>
    <cellStyle name="Normal 22 2 2 2 2 2 2 2 2 2 2 2 2 2 2 2 2 2 2 2 2 2 2 2" xfId="6101"/>
    <cellStyle name="Normal 22 2 2 2 2 2 2 2 2 2 2 2 2 2 2 2 2 2 2 2 2 2 3" xfId="6102"/>
    <cellStyle name="Normal 22 2 2 2 2 2 2 2 2 2 2 2 2 2 2 2 2 2 2 2 2 3" xfId="6103"/>
    <cellStyle name="Normal 22 2 2 2 2 2 2 2 2 2 2 2 2 2 2 2 2 2 2 2 3" xfId="6104"/>
    <cellStyle name="Normal 22 2 2 2 2 2 2 2 2 2 2 2 2 2 2 2 2 2 2 2 3 2" xfId="6105"/>
    <cellStyle name="Normal 22 2 2 2 2 2 2 2 2 2 2 2 2 2 2 2 2 2 2 2 3 2 2" xfId="6106"/>
    <cellStyle name="Normal 22 2 2 2 2 2 2 2 2 2 2 2 2 2 2 2 2 2 2 2 3 3" xfId="6107"/>
    <cellStyle name="Normal 22 2 2 2 2 2 2 2 2 2 2 2 2 2 2 2 2 2 2 2 3 3 2" xfId="6108"/>
    <cellStyle name="Normal 22 2 2 2 2 2 2 2 2 2 2 2 2 2 2 2 2 2 2 2 3 3 2 2" xfId="6109"/>
    <cellStyle name="Normal 22 2 2 2 2 2 2 2 2 2 2 2 2 2 2 2 2 2 2 2 3 3 3" xfId="6110"/>
    <cellStyle name="Normal 22 2 2 2 2 2 2 2 2 2 2 2 2 2 2 2 2 2 2 2 3 4" xfId="6111"/>
    <cellStyle name="Normal 22 2 2 2 2 2 2 2 2 2 2 2 2 2 2 2 2 2 2 2 4" xfId="6112"/>
    <cellStyle name="Normal 22 2 2 2 2 2 2 2 2 2 2 2 2 2 2 2 2 2 2 3" xfId="6113"/>
    <cellStyle name="Normal 22 2 2 2 2 2 2 2 2 2 2 2 2 2 2 2 2 2 3" xfId="6114"/>
    <cellStyle name="Normal 22 2 2 2 2 2 2 2 2 2 2 2 2 2 2 2 2 3" xfId="6115"/>
    <cellStyle name="Normal 22 2 2 2 2 2 2 2 2 2 2 2 2 2 2 2 3" xfId="6116"/>
    <cellStyle name="Normal 22 2 2 2 2 2 2 2 2 2 2 2 2 2 2 2 3 2" xfId="6117"/>
    <cellStyle name="Normal 22 2 2 2 2 2 2 2 2 2 2 2 2 2 2 2 4" xfId="6118"/>
    <cellStyle name="Normal 22 2 2 2 2 2 2 2 2 2 2 2 2 2 2 3" xfId="6119"/>
    <cellStyle name="Normal 22 2 2 2 2 2 2 2 2 2 2 2 2 2 3" xfId="6120"/>
    <cellStyle name="Normal 22 2 2 2 2 2 2 2 2 2 2 2 2 3" xfId="6121"/>
    <cellStyle name="Normal 22 2 2 2 2 2 2 2 2 2 2 2 3" xfId="6122"/>
    <cellStyle name="Normal 22 2 2 2 2 2 2 2 2 2 2 3" xfId="6123"/>
    <cellStyle name="Normal 22 2 2 2 2 2 2 2 2 2 3" xfId="6124"/>
    <cellStyle name="Normal 22 2 2 2 2 2 2 2 2 3" xfId="6125"/>
    <cellStyle name="Normal 22 2 2 2 2 2 2 2 3" xfId="6126"/>
    <cellStyle name="Normal 22 2 2 2 2 2 2 3" xfId="6127"/>
    <cellStyle name="Normal 22 2 2 2 2 2 3" xfId="6128"/>
    <cellStyle name="Normal 22 2 2 2 2 3" xfId="6129"/>
    <cellStyle name="Normal 22 2 2 2 3" xfId="6130"/>
    <cellStyle name="Normal 22 2 2 2 3 2" xfId="6131"/>
    <cellStyle name="Normal 22 2 2 2 4" xfId="6132"/>
    <cellStyle name="Normal 22 2 2 2 5" xfId="6133"/>
    <cellStyle name="Normal 22 2 2 3" xfId="6134"/>
    <cellStyle name="Normal 22 2 2 4" xfId="6135"/>
    <cellStyle name="Normal 22 2 2 5" xfId="6136"/>
    <cellStyle name="Normal 22 2 3" xfId="2483"/>
    <cellStyle name="Normal 22 2 3 2" xfId="6137"/>
    <cellStyle name="Normal 22 2 4" xfId="6138"/>
    <cellStyle name="Normal 22 2 5" xfId="6139"/>
    <cellStyle name="Normal 22 3" xfId="1222"/>
    <cellStyle name="Normal 22 3 2" xfId="2881"/>
    <cellStyle name="Normal 22 3 2 2" xfId="6140"/>
    <cellStyle name="Normal 22 3 3" xfId="6141"/>
    <cellStyle name="Normal 22 4" xfId="434"/>
    <cellStyle name="Normal 22 4 2" xfId="2087"/>
    <cellStyle name="Normal 22 5" xfId="2045"/>
    <cellStyle name="Normal 220" xfId="647"/>
    <cellStyle name="Normal 220 2" xfId="1044"/>
    <cellStyle name="Normal 220 2 2" xfId="1843"/>
    <cellStyle name="Normal 220 2 2 2" xfId="3502"/>
    <cellStyle name="Normal 220 2 2 2 2" xfId="6142"/>
    <cellStyle name="Normal 220 2 2 3" xfId="6143"/>
    <cellStyle name="Normal 220 2 3" xfId="2708"/>
    <cellStyle name="Normal 220 2 3 2" xfId="6144"/>
    <cellStyle name="Normal 220 2 4" xfId="6145"/>
    <cellStyle name="Normal 220 3" xfId="1447"/>
    <cellStyle name="Normal 220 3 2" xfId="3106"/>
    <cellStyle name="Normal 220 3 2 2" xfId="6146"/>
    <cellStyle name="Normal 220 3 3" xfId="6147"/>
    <cellStyle name="Normal 220 4" xfId="2312"/>
    <cellStyle name="Normal 220 4 2" xfId="6148"/>
    <cellStyle name="Normal 220 5" xfId="6149"/>
    <cellStyle name="Normal 221" xfId="595"/>
    <cellStyle name="Normal 221 2" xfId="992"/>
    <cellStyle name="Normal 221 2 2" xfId="1791"/>
    <cellStyle name="Normal 221 2 2 2" xfId="3450"/>
    <cellStyle name="Normal 221 2 2 2 2" xfId="6150"/>
    <cellStyle name="Normal 221 2 2 3" xfId="6151"/>
    <cellStyle name="Normal 221 2 3" xfId="2656"/>
    <cellStyle name="Normal 221 2 3 2" xfId="6152"/>
    <cellStyle name="Normal 221 2 4" xfId="6153"/>
    <cellStyle name="Normal 221 3" xfId="1395"/>
    <cellStyle name="Normal 221 3 2" xfId="3054"/>
    <cellStyle name="Normal 221 3 2 2" xfId="6154"/>
    <cellStyle name="Normal 221 3 3" xfId="6155"/>
    <cellStyle name="Normal 221 4" xfId="2260"/>
    <cellStyle name="Normal 221 4 2" xfId="6156"/>
    <cellStyle name="Normal 221 5" xfId="6157"/>
    <cellStyle name="Normal 222" xfId="663"/>
    <cellStyle name="Normal 222 2" xfId="1060"/>
    <cellStyle name="Normal 222 2 2" xfId="1859"/>
    <cellStyle name="Normal 222 2 2 2" xfId="3518"/>
    <cellStyle name="Normal 222 2 2 2 2" xfId="6158"/>
    <cellStyle name="Normal 222 2 2 3" xfId="6159"/>
    <cellStyle name="Normal 222 2 3" xfId="2724"/>
    <cellStyle name="Normal 222 2 3 2" xfId="6160"/>
    <cellStyle name="Normal 222 2 4" xfId="6161"/>
    <cellStyle name="Normal 222 3" xfId="1463"/>
    <cellStyle name="Normal 222 3 2" xfId="3122"/>
    <cellStyle name="Normal 222 3 2 2" xfId="6162"/>
    <cellStyle name="Normal 222 3 3" xfId="6163"/>
    <cellStyle name="Normal 222 4" xfId="2328"/>
    <cellStyle name="Normal 222 4 2" xfId="6164"/>
    <cellStyle name="Normal 222 5" xfId="6165"/>
    <cellStyle name="Normal 223" xfId="659"/>
    <cellStyle name="Normal 223 2" xfId="1056"/>
    <cellStyle name="Normal 223 2 2" xfId="1855"/>
    <cellStyle name="Normal 223 2 2 2" xfId="3514"/>
    <cellStyle name="Normal 223 2 2 2 2" xfId="6166"/>
    <cellStyle name="Normal 223 2 2 3" xfId="6167"/>
    <cellStyle name="Normal 223 2 3" xfId="2720"/>
    <cellStyle name="Normal 223 2 3 2" xfId="6168"/>
    <cellStyle name="Normal 223 2 4" xfId="6169"/>
    <cellStyle name="Normal 223 3" xfId="1459"/>
    <cellStyle name="Normal 223 3 2" xfId="3118"/>
    <cellStyle name="Normal 223 3 2 2" xfId="6170"/>
    <cellStyle name="Normal 223 3 3" xfId="6171"/>
    <cellStyle name="Normal 223 4" xfId="2324"/>
    <cellStyle name="Normal 223 4 2" xfId="6172"/>
    <cellStyle name="Normal 223 5" xfId="6173"/>
    <cellStyle name="Normal 224" xfId="657"/>
    <cellStyle name="Normal 224 2" xfId="1054"/>
    <cellStyle name="Normal 224 2 2" xfId="1853"/>
    <cellStyle name="Normal 224 2 2 2" xfId="3512"/>
    <cellStyle name="Normal 224 2 2 2 2" xfId="6174"/>
    <cellStyle name="Normal 224 2 2 3" xfId="6175"/>
    <cellStyle name="Normal 224 2 3" xfId="2718"/>
    <cellStyle name="Normal 224 2 3 2" xfId="6176"/>
    <cellStyle name="Normal 224 2 4" xfId="6177"/>
    <cellStyle name="Normal 224 3" xfId="1457"/>
    <cellStyle name="Normal 224 3 2" xfId="3116"/>
    <cellStyle name="Normal 224 3 2 2" xfId="6178"/>
    <cellStyle name="Normal 224 3 3" xfId="6179"/>
    <cellStyle name="Normal 224 4" xfId="2322"/>
    <cellStyle name="Normal 224 4 2" xfId="6180"/>
    <cellStyle name="Normal 224 5" xfId="6181"/>
    <cellStyle name="Normal 225" xfId="604"/>
    <cellStyle name="Normal 225 2" xfId="1001"/>
    <cellStyle name="Normal 225 2 2" xfId="1800"/>
    <cellStyle name="Normal 225 2 2 2" xfId="3459"/>
    <cellStyle name="Normal 225 2 2 2 2" xfId="6182"/>
    <cellStyle name="Normal 225 2 2 3" xfId="6183"/>
    <cellStyle name="Normal 225 2 3" xfId="2665"/>
    <cellStyle name="Normal 225 2 3 2" xfId="6184"/>
    <cellStyle name="Normal 225 2 4" xfId="6185"/>
    <cellStyle name="Normal 225 3" xfId="1404"/>
    <cellStyle name="Normal 225 3 2" xfId="3063"/>
    <cellStyle name="Normal 225 3 2 2" xfId="6186"/>
    <cellStyle name="Normal 225 3 3" xfId="6187"/>
    <cellStyle name="Normal 225 4" xfId="2269"/>
    <cellStyle name="Normal 225 4 2" xfId="6188"/>
    <cellStyle name="Normal 225 5" xfId="6189"/>
    <cellStyle name="Normal 226" xfId="670"/>
    <cellStyle name="Normal 226 2" xfId="1067"/>
    <cellStyle name="Normal 226 2 2" xfId="1866"/>
    <cellStyle name="Normal 226 2 2 2" xfId="3525"/>
    <cellStyle name="Normal 226 2 2 2 2" xfId="6190"/>
    <cellStyle name="Normal 226 2 2 3" xfId="6191"/>
    <cellStyle name="Normal 226 2 3" xfId="2731"/>
    <cellStyle name="Normal 226 2 3 2" xfId="6192"/>
    <cellStyle name="Normal 226 2 4" xfId="6193"/>
    <cellStyle name="Normal 226 3" xfId="1470"/>
    <cellStyle name="Normal 226 3 2" xfId="3129"/>
    <cellStyle name="Normal 226 3 2 2" xfId="6194"/>
    <cellStyle name="Normal 226 3 3" xfId="6195"/>
    <cellStyle name="Normal 226 4" xfId="2335"/>
    <cellStyle name="Normal 226 4 2" xfId="6196"/>
    <cellStyle name="Normal 226 5" xfId="6197"/>
    <cellStyle name="Normal 227" xfId="669"/>
    <cellStyle name="Normal 227 2" xfId="1066"/>
    <cellStyle name="Normal 227 2 2" xfId="1865"/>
    <cellStyle name="Normal 227 2 2 2" xfId="3524"/>
    <cellStyle name="Normal 227 2 2 2 2" xfId="6198"/>
    <cellStyle name="Normal 227 2 2 3" xfId="6199"/>
    <cellStyle name="Normal 227 2 3" xfId="2730"/>
    <cellStyle name="Normal 227 2 3 2" xfId="6200"/>
    <cellStyle name="Normal 227 2 4" xfId="6201"/>
    <cellStyle name="Normal 227 3" xfId="1469"/>
    <cellStyle name="Normal 227 3 2" xfId="3128"/>
    <cellStyle name="Normal 227 3 2 2" xfId="6202"/>
    <cellStyle name="Normal 227 3 3" xfId="6203"/>
    <cellStyle name="Normal 227 4" xfId="2334"/>
    <cellStyle name="Normal 227 4 2" xfId="6204"/>
    <cellStyle name="Normal 227 5" xfId="6205"/>
    <cellStyle name="Normal 228" xfId="668"/>
    <cellStyle name="Normal 228 2" xfId="1065"/>
    <cellStyle name="Normal 228 2 2" xfId="1864"/>
    <cellStyle name="Normal 228 2 2 2" xfId="3523"/>
    <cellStyle name="Normal 228 2 2 2 2" xfId="6206"/>
    <cellStyle name="Normal 228 2 2 3" xfId="6207"/>
    <cellStyle name="Normal 228 2 3" xfId="2729"/>
    <cellStyle name="Normal 228 2 3 2" xfId="6208"/>
    <cellStyle name="Normal 228 2 4" xfId="6209"/>
    <cellStyle name="Normal 228 3" xfId="1468"/>
    <cellStyle name="Normal 228 3 2" xfId="3127"/>
    <cellStyle name="Normal 228 3 2 2" xfId="6210"/>
    <cellStyle name="Normal 228 3 3" xfId="6211"/>
    <cellStyle name="Normal 228 4" xfId="2333"/>
    <cellStyle name="Normal 228 4 2" xfId="6212"/>
    <cellStyle name="Normal 228 5" xfId="6213"/>
    <cellStyle name="Normal 229" xfId="656"/>
    <cellStyle name="Normal 229 2" xfId="1053"/>
    <cellStyle name="Normal 229 2 2" xfId="1852"/>
    <cellStyle name="Normal 229 2 2 2" xfId="3511"/>
    <cellStyle name="Normal 229 2 2 2 2" xfId="6214"/>
    <cellStyle name="Normal 229 2 2 3" xfId="6215"/>
    <cellStyle name="Normal 229 2 3" xfId="2717"/>
    <cellStyle name="Normal 229 2 3 2" xfId="6216"/>
    <cellStyle name="Normal 229 2 4" xfId="6217"/>
    <cellStyle name="Normal 229 3" xfId="1456"/>
    <cellStyle name="Normal 229 3 2" xfId="3115"/>
    <cellStyle name="Normal 229 3 2 2" xfId="6218"/>
    <cellStyle name="Normal 229 3 3" xfId="6219"/>
    <cellStyle name="Normal 229 4" xfId="2321"/>
    <cellStyle name="Normal 229 4 2" xfId="6220"/>
    <cellStyle name="Normal 229 5" xfId="6221"/>
    <cellStyle name="Normal 23" xfId="168"/>
    <cellStyle name="Normal 23 2" xfId="836"/>
    <cellStyle name="Normal 23 2 2" xfId="1635"/>
    <cellStyle name="Normal 23 2 2 2" xfId="3294"/>
    <cellStyle name="Normal 23 2 2 2 2" xfId="6222"/>
    <cellStyle name="Normal 23 2 2 3" xfId="6223"/>
    <cellStyle name="Normal 23 2 3" xfId="2500"/>
    <cellStyle name="Normal 23 2 3 2" xfId="6224"/>
    <cellStyle name="Normal 23 2 4" xfId="6225"/>
    <cellStyle name="Normal 23 3" xfId="1239"/>
    <cellStyle name="Normal 23 3 2" xfId="2898"/>
    <cellStyle name="Normal 23 3 2 2" xfId="6226"/>
    <cellStyle name="Normal 23 3 3" xfId="6227"/>
    <cellStyle name="Normal 23 4" xfId="451"/>
    <cellStyle name="Normal 23 4 2" xfId="2104"/>
    <cellStyle name="Normal 23 5" xfId="6228"/>
    <cellStyle name="Normal 230" xfId="671"/>
    <cellStyle name="Normal 230 2" xfId="1068"/>
    <cellStyle name="Normal 230 2 2" xfId="1867"/>
    <cellStyle name="Normal 230 2 2 2" xfId="3526"/>
    <cellStyle name="Normal 230 2 2 2 2" xfId="6229"/>
    <cellStyle name="Normal 230 2 2 3" xfId="6230"/>
    <cellStyle name="Normal 230 2 3" xfId="2732"/>
    <cellStyle name="Normal 230 2 3 2" xfId="6231"/>
    <cellStyle name="Normal 230 2 4" xfId="6232"/>
    <cellStyle name="Normal 230 3" xfId="1471"/>
    <cellStyle name="Normal 230 3 2" xfId="3130"/>
    <cellStyle name="Normal 230 3 2 2" xfId="6233"/>
    <cellStyle name="Normal 230 3 3" xfId="6234"/>
    <cellStyle name="Normal 230 4" xfId="2336"/>
    <cellStyle name="Normal 230 4 2" xfId="6235"/>
    <cellStyle name="Normal 230 5" xfId="6236"/>
    <cellStyle name="Normal 231" xfId="667"/>
    <cellStyle name="Normal 231 2" xfId="1064"/>
    <cellStyle name="Normal 231 2 2" xfId="1863"/>
    <cellStyle name="Normal 231 2 2 2" xfId="3522"/>
    <cellStyle name="Normal 231 2 2 2 2" xfId="6237"/>
    <cellStyle name="Normal 231 2 2 3" xfId="6238"/>
    <cellStyle name="Normal 231 2 3" xfId="2728"/>
    <cellStyle name="Normal 231 2 3 2" xfId="6239"/>
    <cellStyle name="Normal 231 2 4" xfId="6240"/>
    <cellStyle name="Normal 231 3" xfId="1467"/>
    <cellStyle name="Normal 231 3 2" xfId="3126"/>
    <cellStyle name="Normal 231 3 2 2" xfId="6241"/>
    <cellStyle name="Normal 231 3 3" xfId="6242"/>
    <cellStyle name="Normal 231 4" xfId="2332"/>
    <cellStyle name="Normal 231 4 2" xfId="6243"/>
    <cellStyle name="Normal 231 5" xfId="6244"/>
    <cellStyle name="Normal 232" xfId="672"/>
    <cellStyle name="Normal 232 2" xfId="1069"/>
    <cellStyle name="Normal 232 2 2" xfId="1868"/>
    <cellStyle name="Normal 232 2 2 2" xfId="3527"/>
    <cellStyle name="Normal 232 2 2 2 2" xfId="6245"/>
    <cellStyle name="Normal 232 2 2 3" xfId="6246"/>
    <cellStyle name="Normal 232 2 3" xfId="2733"/>
    <cellStyle name="Normal 232 2 3 2" xfId="6247"/>
    <cellStyle name="Normal 232 2 4" xfId="6248"/>
    <cellStyle name="Normal 232 3" xfId="1472"/>
    <cellStyle name="Normal 232 3 2" xfId="3131"/>
    <cellStyle name="Normal 232 3 2 2" xfId="6249"/>
    <cellStyle name="Normal 232 3 3" xfId="6250"/>
    <cellStyle name="Normal 232 4" xfId="2337"/>
    <cellStyle name="Normal 232 4 2" xfId="6251"/>
    <cellStyle name="Normal 232 5" xfId="6252"/>
    <cellStyle name="Normal 233" xfId="653"/>
    <cellStyle name="Normal 233 2" xfId="1050"/>
    <cellStyle name="Normal 233 2 2" xfId="1849"/>
    <cellStyle name="Normal 233 2 2 2" xfId="3508"/>
    <cellStyle name="Normal 233 2 2 2 2" xfId="6253"/>
    <cellStyle name="Normal 233 2 2 3" xfId="6254"/>
    <cellStyle name="Normal 233 2 3" xfId="2714"/>
    <cellStyle name="Normal 233 2 3 2" xfId="6255"/>
    <cellStyle name="Normal 233 2 4" xfId="6256"/>
    <cellStyle name="Normal 233 3" xfId="1453"/>
    <cellStyle name="Normal 233 3 2" xfId="3112"/>
    <cellStyle name="Normal 233 3 2 2" xfId="6257"/>
    <cellStyle name="Normal 233 3 3" xfId="6258"/>
    <cellStyle name="Normal 233 4" xfId="2318"/>
    <cellStyle name="Normal 233 4 2" xfId="6259"/>
    <cellStyle name="Normal 233 5" xfId="6260"/>
    <cellStyle name="Normal 234" xfId="646"/>
    <cellStyle name="Normal 234 2" xfId="1043"/>
    <cellStyle name="Normal 234 2 2" xfId="1842"/>
    <cellStyle name="Normal 234 2 2 2" xfId="3501"/>
    <cellStyle name="Normal 234 2 2 2 2" xfId="6261"/>
    <cellStyle name="Normal 234 2 2 3" xfId="6262"/>
    <cellStyle name="Normal 234 2 3" xfId="2707"/>
    <cellStyle name="Normal 234 2 3 2" xfId="6263"/>
    <cellStyle name="Normal 234 2 4" xfId="6264"/>
    <cellStyle name="Normal 234 3" xfId="1446"/>
    <cellStyle name="Normal 234 3 2" xfId="3105"/>
    <cellStyle name="Normal 234 3 2 2" xfId="6265"/>
    <cellStyle name="Normal 234 3 3" xfId="6266"/>
    <cellStyle name="Normal 234 4" xfId="2311"/>
    <cellStyle name="Normal 234 4 2" xfId="6267"/>
    <cellStyle name="Normal 234 5" xfId="6268"/>
    <cellStyle name="Normal 235" xfId="645"/>
    <cellStyle name="Normal 235 2" xfId="1042"/>
    <cellStyle name="Normal 235 2 2" xfId="1841"/>
    <cellStyle name="Normal 235 2 2 2" xfId="3500"/>
    <cellStyle name="Normal 235 2 2 2 2" xfId="6269"/>
    <cellStyle name="Normal 235 2 2 3" xfId="6270"/>
    <cellStyle name="Normal 235 2 3" xfId="2706"/>
    <cellStyle name="Normal 235 2 3 2" xfId="6271"/>
    <cellStyle name="Normal 235 2 4" xfId="6272"/>
    <cellStyle name="Normal 235 3" xfId="1445"/>
    <cellStyle name="Normal 235 3 2" xfId="3104"/>
    <cellStyle name="Normal 235 3 2 2" xfId="6273"/>
    <cellStyle name="Normal 235 3 3" xfId="6274"/>
    <cellStyle name="Normal 235 4" xfId="2310"/>
    <cellStyle name="Normal 235 4 2" xfId="6275"/>
    <cellStyle name="Normal 235 5" xfId="6276"/>
    <cellStyle name="Normal 236" xfId="666"/>
    <cellStyle name="Normal 236 2" xfId="1063"/>
    <cellStyle name="Normal 236 2 2" xfId="1862"/>
    <cellStyle name="Normal 236 2 2 2" xfId="3521"/>
    <cellStyle name="Normal 236 2 2 2 2" xfId="6277"/>
    <cellStyle name="Normal 236 2 2 3" xfId="6278"/>
    <cellStyle name="Normal 236 2 3" xfId="2727"/>
    <cellStyle name="Normal 236 2 3 2" xfId="6279"/>
    <cellStyle name="Normal 236 2 4" xfId="6280"/>
    <cellStyle name="Normal 236 3" xfId="1466"/>
    <cellStyle name="Normal 236 3 2" xfId="3125"/>
    <cellStyle name="Normal 236 3 2 2" xfId="6281"/>
    <cellStyle name="Normal 236 3 3" xfId="6282"/>
    <cellStyle name="Normal 236 4" xfId="2331"/>
    <cellStyle name="Normal 236 4 2" xfId="6283"/>
    <cellStyle name="Normal 236 5" xfId="6284"/>
    <cellStyle name="Normal 237" xfId="665"/>
    <cellStyle name="Normal 237 2" xfId="1062"/>
    <cellStyle name="Normal 237 2 2" xfId="1861"/>
    <cellStyle name="Normal 237 2 2 2" xfId="3520"/>
    <cellStyle name="Normal 237 2 2 2 2" xfId="6285"/>
    <cellStyle name="Normal 237 2 2 3" xfId="6286"/>
    <cellStyle name="Normal 237 2 3" xfId="2726"/>
    <cellStyle name="Normal 237 2 3 2" xfId="6287"/>
    <cellStyle name="Normal 237 2 4" xfId="6288"/>
    <cellStyle name="Normal 237 3" xfId="1465"/>
    <cellStyle name="Normal 237 3 2" xfId="3124"/>
    <cellStyle name="Normal 237 3 2 2" xfId="6289"/>
    <cellStyle name="Normal 237 3 3" xfId="6290"/>
    <cellStyle name="Normal 237 4" xfId="2330"/>
    <cellStyle name="Normal 237 4 2" xfId="6291"/>
    <cellStyle name="Normal 237 5" xfId="6292"/>
    <cellStyle name="Normal 238" xfId="683"/>
    <cellStyle name="Normal 238 2" xfId="1080"/>
    <cellStyle name="Normal 238 2 2" xfId="1879"/>
    <cellStyle name="Normal 238 2 2 2" xfId="3538"/>
    <cellStyle name="Normal 238 2 2 2 2" xfId="6293"/>
    <cellStyle name="Normal 238 2 2 3" xfId="6294"/>
    <cellStyle name="Normal 238 2 3" xfId="2744"/>
    <cellStyle name="Normal 238 2 3 2" xfId="6295"/>
    <cellStyle name="Normal 238 2 4" xfId="6296"/>
    <cellStyle name="Normal 238 3" xfId="1483"/>
    <cellStyle name="Normal 238 3 2" xfId="3142"/>
    <cellStyle name="Normal 238 3 2 2" xfId="6297"/>
    <cellStyle name="Normal 238 3 3" xfId="6298"/>
    <cellStyle name="Normal 238 4" xfId="2348"/>
    <cellStyle name="Normal 238 4 2" xfId="6299"/>
    <cellStyle name="Normal 238 5" xfId="6300"/>
    <cellStyle name="Normal 239" xfId="649"/>
    <cellStyle name="Normal 239 2" xfId="1046"/>
    <cellStyle name="Normal 239 2 2" xfId="1845"/>
    <cellStyle name="Normal 239 2 2 2" xfId="3504"/>
    <cellStyle name="Normal 239 2 2 2 2" xfId="6301"/>
    <cellStyle name="Normal 239 2 2 3" xfId="6302"/>
    <cellStyle name="Normal 239 2 3" xfId="2710"/>
    <cellStyle name="Normal 239 2 3 2" xfId="6303"/>
    <cellStyle name="Normal 239 2 4" xfId="6304"/>
    <cellStyle name="Normal 239 3" xfId="1449"/>
    <cellStyle name="Normal 239 3 2" xfId="3108"/>
    <cellStyle name="Normal 239 3 2 2" xfId="6305"/>
    <cellStyle name="Normal 239 3 3" xfId="6306"/>
    <cellStyle name="Normal 239 4" xfId="2314"/>
    <cellStyle name="Normal 239 4 2" xfId="6307"/>
    <cellStyle name="Normal 239 5" xfId="6308"/>
    <cellStyle name="Normal 24" xfId="169"/>
    <cellStyle name="Normal 24 10" xfId="8925"/>
    <cellStyle name="Normal 24 2" xfId="825"/>
    <cellStyle name="Normal 24 2 2" xfId="1624"/>
    <cellStyle name="Normal 24 2 2 2" xfId="3283"/>
    <cellStyle name="Normal 24 2 2 2 2" xfId="6309"/>
    <cellStyle name="Normal 24 2 2 3" xfId="6310"/>
    <cellStyle name="Normal 24 2 3" xfId="2489"/>
    <cellStyle name="Normal 24 2 3 2" xfId="6311"/>
    <cellStyle name="Normal 24 2 4" xfId="6312"/>
    <cellStyle name="Normal 24 2 5" xfId="8852"/>
    <cellStyle name="Normal 24 2 6" xfId="8760"/>
    <cellStyle name="Normal 24 2 7" xfId="8878"/>
    <cellStyle name="Normal 24 2 8" xfId="8927"/>
    <cellStyle name="Normal 24 3" xfId="1228"/>
    <cellStyle name="Normal 24 3 2" xfId="2887"/>
    <cellStyle name="Normal 24 3 2 2" xfId="6313"/>
    <cellStyle name="Normal 24 3 3" xfId="6314"/>
    <cellStyle name="Normal 24 4" xfId="440"/>
    <cellStyle name="Normal 24 4 2" xfId="2093"/>
    <cellStyle name="Normal 24 5" xfId="2023"/>
    <cellStyle name="Normal 24 5 2" xfId="3678"/>
    <cellStyle name="Normal 24 6" xfId="2059"/>
    <cellStyle name="Normal 24 7" xfId="8851"/>
    <cellStyle name="Normal 24 8" xfId="8762"/>
    <cellStyle name="Normal 24 9" xfId="8876"/>
    <cellStyle name="Normal 240" xfId="674"/>
    <cellStyle name="Normal 240 2" xfId="1071"/>
    <cellStyle name="Normal 240 2 2" xfId="1870"/>
    <cellStyle name="Normal 240 2 2 2" xfId="3529"/>
    <cellStyle name="Normal 240 2 2 2 2" xfId="6315"/>
    <cellStyle name="Normal 240 2 2 3" xfId="6316"/>
    <cellStyle name="Normal 240 2 3" xfId="2735"/>
    <cellStyle name="Normal 240 2 3 2" xfId="6317"/>
    <cellStyle name="Normal 240 2 4" xfId="6318"/>
    <cellStyle name="Normal 240 3" xfId="1474"/>
    <cellStyle name="Normal 240 3 2" xfId="3133"/>
    <cellStyle name="Normal 240 3 2 2" xfId="6319"/>
    <cellStyle name="Normal 240 3 3" xfId="6320"/>
    <cellStyle name="Normal 240 4" xfId="2339"/>
    <cellStyle name="Normal 240 4 2" xfId="6321"/>
    <cellStyle name="Normal 240 5" xfId="6322"/>
    <cellStyle name="Normal 241" xfId="590"/>
    <cellStyle name="Normal 241 2" xfId="987"/>
    <cellStyle name="Normal 241 2 2" xfId="1786"/>
    <cellStyle name="Normal 241 2 2 2" xfId="3445"/>
    <cellStyle name="Normal 241 2 2 2 2" xfId="6323"/>
    <cellStyle name="Normal 241 2 2 3" xfId="6324"/>
    <cellStyle name="Normal 241 2 3" xfId="2651"/>
    <cellStyle name="Normal 241 2 3 2" xfId="6325"/>
    <cellStyle name="Normal 241 2 4" xfId="6326"/>
    <cellStyle name="Normal 241 3" xfId="1390"/>
    <cellStyle name="Normal 241 3 2" xfId="3049"/>
    <cellStyle name="Normal 241 3 2 2" xfId="6327"/>
    <cellStyle name="Normal 241 3 3" xfId="6328"/>
    <cellStyle name="Normal 241 4" xfId="2255"/>
    <cellStyle name="Normal 241 4 2" xfId="6329"/>
    <cellStyle name="Normal 241 5" xfId="6330"/>
    <cellStyle name="Normal 242" xfId="648"/>
    <cellStyle name="Normal 242 2" xfId="1045"/>
    <cellStyle name="Normal 242 2 2" xfId="1844"/>
    <cellStyle name="Normal 242 2 2 2" xfId="3503"/>
    <cellStyle name="Normal 242 2 2 2 2" xfId="6331"/>
    <cellStyle name="Normal 242 2 2 3" xfId="6332"/>
    <cellStyle name="Normal 242 2 3" xfId="2709"/>
    <cellStyle name="Normal 242 2 3 2" xfId="6333"/>
    <cellStyle name="Normal 242 2 4" xfId="6334"/>
    <cellStyle name="Normal 242 3" xfId="1448"/>
    <cellStyle name="Normal 242 3 2" xfId="3107"/>
    <cellStyle name="Normal 242 3 2 2" xfId="6335"/>
    <cellStyle name="Normal 242 3 3" xfId="6336"/>
    <cellStyle name="Normal 242 4" xfId="2313"/>
    <cellStyle name="Normal 242 4 2" xfId="6337"/>
    <cellStyle name="Normal 242 5" xfId="6338"/>
    <cellStyle name="Normal 243" xfId="652"/>
    <cellStyle name="Normal 243 2" xfId="1049"/>
    <cellStyle name="Normal 243 2 2" xfId="1848"/>
    <cellStyle name="Normal 243 2 2 2" xfId="3507"/>
    <cellStyle name="Normal 243 2 2 2 2" xfId="6339"/>
    <cellStyle name="Normal 243 2 2 3" xfId="6340"/>
    <cellStyle name="Normal 243 2 3" xfId="2713"/>
    <cellStyle name="Normal 243 2 3 2" xfId="6341"/>
    <cellStyle name="Normal 243 2 4" xfId="6342"/>
    <cellStyle name="Normal 243 3" xfId="1452"/>
    <cellStyle name="Normal 243 3 2" xfId="3111"/>
    <cellStyle name="Normal 243 3 2 2" xfId="6343"/>
    <cellStyle name="Normal 243 3 3" xfId="6344"/>
    <cellStyle name="Normal 243 4" xfId="2317"/>
    <cellStyle name="Normal 243 4 2" xfId="6345"/>
    <cellStyle name="Normal 243 5" xfId="6346"/>
    <cellStyle name="Normal 244" xfId="651"/>
    <cellStyle name="Normal 244 2" xfId="1048"/>
    <cellStyle name="Normal 244 2 2" xfId="1847"/>
    <cellStyle name="Normal 244 2 2 2" xfId="3506"/>
    <cellStyle name="Normal 244 2 2 2 2" xfId="6347"/>
    <cellStyle name="Normal 244 2 2 3" xfId="6348"/>
    <cellStyle name="Normal 244 2 3" xfId="2712"/>
    <cellStyle name="Normal 244 2 3 2" xfId="6349"/>
    <cellStyle name="Normal 244 2 4" xfId="6350"/>
    <cellStyle name="Normal 244 3" xfId="1451"/>
    <cellStyle name="Normal 244 3 2" xfId="3110"/>
    <cellStyle name="Normal 244 3 2 2" xfId="6351"/>
    <cellStyle name="Normal 244 3 3" xfId="6352"/>
    <cellStyle name="Normal 244 4" xfId="2316"/>
    <cellStyle name="Normal 244 4 2" xfId="6353"/>
    <cellStyle name="Normal 244 5" xfId="6354"/>
    <cellStyle name="Normal 245" xfId="638"/>
    <cellStyle name="Normal 245 2" xfId="1035"/>
    <cellStyle name="Normal 245 2 2" xfId="1834"/>
    <cellStyle name="Normal 245 2 2 2" xfId="3493"/>
    <cellStyle name="Normal 245 2 2 2 2" xfId="6355"/>
    <cellStyle name="Normal 245 2 2 3" xfId="6356"/>
    <cellStyle name="Normal 245 2 3" xfId="2699"/>
    <cellStyle name="Normal 245 2 3 2" xfId="6357"/>
    <cellStyle name="Normal 245 2 4" xfId="6358"/>
    <cellStyle name="Normal 245 3" xfId="1438"/>
    <cellStyle name="Normal 245 3 2" xfId="3097"/>
    <cellStyle name="Normal 245 3 2 2" xfId="6359"/>
    <cellStyle name="Normal 245 3 3" xfId="6360"/>
    <cellStyle name="Normal 245 4" xfId="2303"/>
    <cellStyle name="Normal 245 4 2" xfId="6361"/>
    <cellStyle name="Normal 245 5" xfId="6362"/>
    <cellStyle name="Normal 246" xfId="689"/>
    <cellStyle name="Normal 246 2" xfId="1086"/>
    <cellStyle name="Normal 246 2 2" xfId="1885"/>
    <cellStyle name="Normal 246 2 2 2" xfId="3544"/>
    <cellStyle name="Normal 246 2 2 2 2" xfId="6363"/>
    <cellStyle name="Normal 246 2 2 3" xfId="6364"/>
    <cellStyle name="Normal 246 2 3" xfId="2750"/>
    <cellStyle name="Normal 246 2 3 2" xfId="6365"/>
    <cellStyle name="Normal 246 2 4" xfId="6366"/>
    <cellStyle name="Normal 246 3" xfId="1489"/>
    <cellStyle name="Normal 246 3 2" xfId="3148"/>
    <cellStyle name="Normal 246 3 2 2" xfId="6367"/>
    <cellStyle name="Normal 246 3 3" xfId="6368"/>
    <cellStyle name="Normal 246 4" xfId="2354"/>
    <cellStyle name="Normal 246 4 2" xfId="6369"/>
    <cellStyle name="Normal 246 5" xfId="6370"/>
    <cellStyle name="Normal 247" xfId="688"/>
    <cellStyle name="Normal 247 2" xfId="1085"/>
    <cellStyle name="Normal 247 2 2" xfId="1884"/>
    <cellStyle name="Normal 247 2 2 2" xfId="3543"/>
    <cellStyle name="Normal 247 2 2 2 2" xfId="6371"/>
    <cellStyle name="Normal 247 2 2 3" xfId="6372"/>
    <cellStyle name="Normal 247 2 3" xfId="2749"/>
    <cellStyle name="Normal 247 2 3 2" xfId="6373"/>
    <cellStyle name="Normal 247 2 4" xfId="6374"/>
    <cellStyle name="Normal 247 3" xfId="1488"/>
    <cellStyle name="Normal 247 3 2" xfId="3147"/>
    <cellStyle name="Normal 247 3 2 2" xfId="6375"/>
    <cellStyle name="Normal 247 3 3" xfId="6376"/>
    <cellStyle name="Normal 247 4" xfId="2353"/>
    <cellStyle name="Normal 247 4 2" xfId="6377"/>
    <cellStyle name="Normal 247 5" xfId="6378"/>
    <cellStyle name="Normal 248" xfId="687"/>
    <cellStyle name="Normal 248 2" xfId="1084"/>
    <cellStyle name="Normal 248 2 2" xfId="1883"/>
    <cellStyle name="Normal 248 2 2 2" xfId="3542"/>
    <cellStyle name="Normal 248 2 2 2 2" xfId="6379"/>
    <cellStyle name="Normal 248 2 2 3" xfId="6380"/>
    <cellStyle name="Normal 248 2 3" xfId="2748"/>
    <cellStyle name="Normal 248 2 3 2" xfId="6381"/>
    <cellStyle name="Normal 248 2 4" xfId="6382"/>
    <cellStyle name="Normal 248 3" xfId="1487"/>
    <cellStyle name="Normal 248 3 2" xfId="3146"/>
    <cellStyle name="Normal 248 3 2 2" xfId="6383"/>
    <cellStyle name="Normal 248 3 3" xfId="6384"/>
    <cellStyle name="Normal 248 4" xfId="2352"/>
    <cellStyle name="Normal 248 4 2" xfId="6385"/>
    <cellStyle name="Normal 248 5" xfId="6386"/>
    <cellStyle name="Normal 249" xfId="673"/>
    <cellStyle name="Normal 249 2" xfId="1070"/>
    <cellStyle name="Normal 249 2 2" xfId="1869"/>
    <cellStyle name="Normal 249 2 2 2" xfId="3528"/>
    <cellStyle name="Normal 249 2 2 2 2" xfId="6387"/>
    <cellStyle name="Normal 249 2 2 3" xfId="6388"/>
    <cellStyle name="Normal 249 2 3" xfId="2734"/>
    <cellStyle name="Normal 249 2 3 2" xfId="6389"/>
    <cellStyle name="Normal 249 2 4" xfId="6390"/>
    <cellStyle name="Normal 249 3" xfId="1473"/>
    <cellStyle name="Normal 249 3 2" xfId="3132"/>
    <cellStyle name="Normal 249 3 2 2" xfId="6391"/>
    <cellStyle name="Normal 249 3 3" xfId="6392"/>
    <cellStyle name="Normal 249 4" xfId="2338"/>
    <cellStyle name="Normal 249 4 2" xfId="6393"/>
    <cellStyle name="Normal 249 5" xfId="6394"/>
    <cellStyle name="Normal 25" xfId="170"/>
    <cellStyle name="Normal 25 2" xfId="823"/>
    <cellStyle name="Normal 25 2 2" xfId="1622"/>
    <cellStyle name="Normal 25 2 2 2" xfId="3281"/>
    <cellStyle name="Normal 25 2 2 2 2" xfId="6395"/>
    <cellStyle name="Normal 25 2 2 3" xfId="6396"/>
    <cellStyle name="Normal 25 2 3" xfId="2487"/>
    <cellStyle name="Normal 25 2 3 2" xfId="6397"/>
    <cellStyle name="Normal 25 2 4" xfId="6398"/>
    <cellStyle name="Normal 25 3" xfId="1226"/>
    <cellStyle name="Normal 25 3 2" xfId="2885"/>
    <cellStyle name="Normal 25 3 2 2" xfId="6399"/>
    <cellStyle name="Normal 25 3 3" xfId="6400"/>
    <cellStyle name="Normal 25 4" xfId="438"/>
    <cellStyle name="Normal 25 4 2" xfId="2091"/>
    <cellStyle name="Normal 25 5" xfId="2061"/>
    <cellStyle name="Normal 25 6" xfId="8853"/>
    <cellStyle name="Normal 25 7" xfId="8758"/>
    <cellStyle name="Normal 25 8" xfId="8880"/>
    <cellStyle name="Normal 25 9" xfId="8929"/>
    <cellStyle name="Normal 250" xfId="692"/>
    <cellStyle name="Normal 250 2" xfId="1089"/>
    <cellStyle name="Normal 250 2 2" xfId="1888"/>
    <cellStyle name="Normal 250 2 2 2" xfId="3547"/>
    <cellStyle name="Normal 250 2 2 2 2" xfId="6401"/>
    <cellStyle name="Normal 250 2 2 3" xfId="6402"/>
    <cellStyle name="Normal 250 2 3" xfId="2753"/>
    <cellStyle name="Normal 250 2 3 2" xfId="6403"/>
    <cellStyle name="Normal 250 2 4" xfId="6404"/>
    <cellStyle name="Normal 250 3" xfId="1492"/>
    <cellStyle name="Normal 250 3 2" xfId="3151"/>
    <cellStyle name="Normal 250 3 2 2" xfId="6405"/>
    <cellStyle name="Normal 250 3 3" xfId="6406"/>
    <cellStyle name="Normal 250 4" xfId="2357"/>
    <cellStyle name="Normal 250 4 2" xfId="6407"/>
    <cellStyle name="Normal 250 5" xfId="6408"/>
    <cellStyle name="Normal 251" xfId="686"/>
    <cellStyle name="Normal 251 2" xfId="1083"/>
    <cellStyle name="Normal 251 2 2" xfId="1882"/>
    <cellStyle name="Normal 251 2 2 2" xfId="3541"/>
    <cellStyle name="Normal 251 2 2 2 2" xfId="6409"/>
    <cellStyle name="Normal 251 2 2 3" xfId="6410"/>
    <cellStyle name="Normal 251 2 3" xfId="2747"/>
    <cellStyle name="Normal 251 2 3 2" xfId="6411"/>
    <cellStyle name="Normal 251 2 4" xfId="6412"/>
    <cellStyle name="Normal 251 3" xfId="1486"/>
    <cellStyle name="Normal 251 3 2" xfId="3145"/>
    <cellStyle name="Normal 251 3 2 2" xfId="6413"/>
    <cellStyle name="Normal 251 3 3" xfId="6414"/>
    <cellStyle name="Normal 251 4" xfId="2351"/>
    <cellStyle name="Normal 251 4 2" xfId="6415"/>
    <cellStyle name="Normal 251 5" xfId="6416"/>
    <cellStyle name="Normal 252" xfId="693"/>
    <cellStyle name="Normal 252 2" xfId="1090"/>
    <cellStyle name="Normal 252 2 2" xfId="1889"/>
    <cellStyle name="Normal 252 2 2 2" xfId="3548"/>
    <cellStyle name="Normal 252 2 2 2 2" xfId="6417"/>
    <cellStyle name="Normal 252 2 2 3" xfId="6418"/>
    <cellStyle name="Normal 252 2 3" xfId="2754"/>
    <cellStyle name="Normal 252 2 3 2" xfId="6419"/>
    <cellStyle name="Normal 252 2 4" xfId="6420"/>
    <cellStyle name="Normal 252 3" xfId="1493"/>
    <cellStyle name="Normal 252 3 2" xfId="3152"/>
    <cellStyle name="Normal 252 3 2 2" xfId="6421"/>
    <cellStyle name="Normal 252 3 3" xfId="6422"/>
    <cellStyle name="Normal 252 4" xfId="2358"/>
    <cellStyle name="Normal 252 4 2" xfId="6423"/>
    <cellStyle name="Normal 252 5" xfId="6424"/>
    <cellStyle name="Normal 253" xfId="675"/>
    <cellStyle name="Normal 253 2" xfId="1072"/>
    <cellStyle name="Normal 253 2 2" xfId="1871"/>
    <cellStyle name="Normal 253 2 2 2" xfId="3530"/>
    <cellStyle name="Normal 253 2 2 2 2" xfId="6425"/>
    <cellStyle name="Normal 253 2 2 3" xfId="6426"/>
    <cellStyle name="Normal 253 2 3" xfId="2736"/>
    <cellStyle name="Normal 253 2 3 2" xfId="6427"/>
    <cellStyle name="Normal 253 2 4" xfId="6428"/>
    <cellStyle name="Normal 253 3" xfId="1475"/>
    <cellStyle name="Normal 253 3 2" xfId="3134"/>
    <cellStyle name="Normal 253 3 2 2" xfId="6429"/>
    <cellStyle name="Normal 253 3 3" xfId="6430"/>
    <cellStyle name="Normal 253 4" xfId="2340"/>
    <cellStyle name="Normal 253 4 2" xfId="6431"/>
    <cellStyle name="Normal 253 5" xfId="6432"/>
    <cellStyle name="Normal 254" xfId="684"/>
    <cellStyle name="Normal 254 2" xfId="1081"/>
    <cellStyle name="Normal 254 2 2" xfId="1880"/>
    <cellStyle name="Normal 254 2 2 2" xfId="3539"/>
    <cellStyle name="Normal 254 2 2 2 2" xfId="6433"/>
    <cellStyle name="Normal 254 2 2 3" xfId="6434"/>
    <cellStyle name="Normal 254 2 3" xfId="2745"/>
    <cellStyle name="Normal 254 2 3 2" xfId="6435"/>
    <cellStyle name="Normal 254 2 4" xfId="6436"/>
    <cellStyle name="Normal 254 3" xfId="1484"/>
    <cellStyle name="Normal 254 3 2" xfId="3143"/>
    <cellStyle name="Normal 254 3 2 2" xfId="6437"/>
    <cellStyle name="Normal 254 3 3" xfId="6438"/>
    <cellStyle name="Normal 254 4" xfId="2349"/>
    <cellStyle name="Normal 254 4 2" xfId="6439"/>
    <cellStyle name="Normal 254 5" xfId="6440"/>
    <cellStyle name="Normal 255" xfId="690"/>
    <cellStyle name="Normal 255 2" xfId="1087"/>
    <cellStyle name="Normal 255 2 2" xfId="1886"/>
    <cellStyle name="Normal 255 2 2 2" xfId="3545"/>
    <cellStyle name="Normal 255 2 2 2 2" xfId="6441"/>
    <cellStyle name="Normal 255 2 2 3" xfId="6442"/>
    <cellStyle name="Normal 255 2 3" xfId="2751"/>
    <cellStyle name="Normal 255 2 3 2" xfId="6443"/>
    <cellStyle name="Normal 255 2 4" xfId="6444"/>
    <cellStyle name="Normal 255 3" xfId="1490"/>
    <cellStyle name="Normal 255 3 2" xfId="3149"/>
    <cellStyle name="Normal 255 3 2 2" xfId="6445"/>
    <cellStyle name="Normal 255 3 3" xfId="6446"/>
    <cellStyle name="Normal 255 4" xfId="2355"/>
    <cellStyle name="Normal 255 4 2" xfId="6447"/>
    <cellStyle name="Normal 255 5" xfId="6448"/>
    <cellStyle name="Normal 256" xfId="694"/>
    <cellStyle name="Normal 256 2" xfId="1091"/>
    <cellStyle name="Normal 256 2 2" xfId="1890"/>
    <cellStyle name="Normal 256 2 2 2" xfId="3549"/>
    <cellStyle name="Normal 256 2 2 2 2" xfId="6449"/>
    <cellStyle name="Normal 256 2 2 3" xfId="6450"/>
    <cellStyle name="Normal 256 2 3" xfId="2755"/>
    <cellStyle name="Normal 256 2 3 2" xfId="6451"/>
    <cellStyle name="Normal 256 2 4" xfId="6452"/>
    <cellStyle name="Normal 256 3" xfId="1494"/>
    <cellStyle name="Normal 256 3 2" xfId="3153"/>
    <cellStyle name="Normal 256 3 2 2" xfId="6453"/>
    <cellStyle name="Normal 256 3 3" xfId="6454"/>
    <cellStyle name="Normal 256 4" xfId="2359"/>
    <cellStyle name="Normal 256 4 2" xfId="6455"/>
    <cellStyle name="Normal 256 5" xfId="6456"/>
    <cellStyle name="Normal 257" xfId="676"/>
    <cellStyle name="Normal 257 2" xfId="1073"/>
    <cellStyle name="Normal 257 2 2" xfId="1872"/>
    <cellStyle name="Normal 257 2 2 2" xfId="3531"/>
    <cellStyle name="Normal 257 2 2 2 2" xfId="6457"/>
    <cellStyle name="Normal 257 2 2 3" xfId="6458"/>
    <cellStyle name="Normal 257 2 3" xfId="2737"/>
    <cellStyle name="Normal 257 2 3 2" xfId="6459"/>
    <cellStyle name="Normal 257 2 4" xfId="6460"/>
    <cellStyle name="Normal 257 3" xfId="1476"/>
    <cellStyle name="Normal 257 3 2" xfId="3135"/>
    <cellStyle name="Normal 257 3 2 2" xfId="6461"/>
    <cellStyle name="Normal 257 3 3" xfId="6462"/>
    <cellStyle name="Normal 257 4" xfId="2341"/>
    <cellStyle name="Normal 257 4 2" xfId="6463"/>
    <cellStyle name="Normal 257 5" xfId="6464"/>
    <cellStyle name="Normal 258" xfId="685"/>
    <cellStyle name="Normal 258 2" xfId="1082"/>
    <cellStyle name="Normal 258 2 2" xfId="1881"/>
    <cellStyle name="Normal 258 2 2 2" xfId="3540"/>
    <cellStyle name="Normal 258 2 2 2 2" xfId="6465"/>
    <cellStyle name="Normal 258 2 2 3" xfId="6466"/>
    <cellStyle name="Normal 258 2 3" xfId="2746"/>
    <cellStyle name="Normal 258 2 3 2" xfId="6467"/>
    <cellStyle name="Normal 258 2 4" xfId="6468"/>
    <cellStyle name="Normal 258 3" xfId="1485"/>
    <cellStyle name="Normal 258 3 2" xfId="3144"/>
    <cellStyle name="Normal 258 3 2 2" xfId="6469"/>
    <cellStyle name="Normal 258 3 3" xfId="6470"/>
    <cellStyle name="Normal 258 4" xfId="2350"/>
    <cellStyle name="Normal 258 4 2" xfId="6471"/>
    <cellStyle name="Normal 258 5" xfId="6472"/>
    <cellStyle name="Normal 259" xfId="691"/>
    <cellStyle name="Normal 259 2" xfId="1088"/>
    <cellStyle name="Normal 259 2 2" xfId="1887"/>
    <cellStyle name="Normal 259 2 2 2" xfId="3546"/>
    <cellStyle name="Normal 259 2 2 2 2" xfId="6473"/>
    <cellStyle name="Normal 259 2 2 3" xfId="6474"/>
    <cellStyle name="Normal 259 2 3" xfId="2752"/>
    <cellStyle name="Normal 259 2 3 2" xfId="6475"/>
    <cellStyle name="Normal 259 2 4" xfId="6476"/>
    <cellStyle name="Normal 259 3" xfId="1491"/>
    <cellStyle name="Normal 259 3 2" xfId="3150"/>
    <cellStyle name="Normal 259 3 2 2" xfId="6477"/>
    <cellStyle name="Normal 259 3 3" xfId="6478"/>
    <cellStyle name="Normal 259 4" xfId="2356"/>
    <cellStyle name="Normal 259 4 2" xfId="6479"/>
    <cellStyle name="Normal 259 5" xfId="6480"/>
    <cellStyle name="Normal 26" xfId="3"/>
    <cellStyle name="Normal 26 2" xfId="831"/>
    <cellStyle name="Normal 26 2 2" xfId="1630"/>
    <cellStyle name="Normal 26 2 2 2" xfId="3289"/>
    <cellStyle name="Normal 26 2 2 2 2" xfId="6481"/>
    <cellStyle name="Normal 26 2 2 3" xfId="6482"/>
    <cellStyle name="Normal 26 2 3" xfId="2495"/>
    <cellStyle name="Normal 26 2 3 2" xfId="6483"/>
    <cellStyle name="Normal 26 2 4" xfId="6484"/>
    <cellStyle name="Normal 26 3" xfId="1234"/>
    <cellStyle name="Normal 26 3 2" xfId="2893"/>
    <cellStyle name="Normal 26 3 2 2" xfId="6485"/>
    <cellStyle name="Normal 26 3 3" xfId="6486"/>
    <cellStyle name="Normal 26 4" xfId="2099"/>
    <cellStyle name="Normal 26 4 2" xfId="6487"/>
    <cellStyle name="Normal 26 5" xfId="446"/>
    <cellStyle name="Normal 26 6" xfId="8854"/>
    <cellStyle name="Normal 26 7" xfId="8755"/>
    <cellStyle name="Normal 26 8" xfId="8883"/>
    <cellStyle name="Normal 26 9" xfId="8932"/>
    <cellStyle name="Normal 260" xfId="682"/>
    <cellStyle name="Normal 260 2" xfId="1079"/>
    <cellStyle name="Normal 260 2 2" xfId="1878"/>
    <cellStyle name="Normal 260 2 2 2" xfId="3537"/>
    <cellStyle name="Normal 260 2 2 2 2" xfId="6488"/>
    <cellStyle name="Normal 260 2 2 3" xfId="6489"/>
    <cellStyle name="Normal 260 2 3" xfId="2743"/>
    <cellStyle name="Normal 260 2 3 2" xfId="6490"/>
    <cellStyle name="Normal 260 2 4" xfId="6491"/>
    <cellStyle name="Normal 260 3" xfId="1482"/>
    <cellStyle name="Normal 260 3 2" xfId="3141"/>
    <cellStyle name="Normal 260 3 2 2" xfId="6492"/>
    <cellStyle name="Normal 260 3 3" xfId="6493"/>
    <cellStyle name="Normal 260 4" xfId="2347"/>
    <cellStyle name="Normal 260 4 2" xfId="6494"/>
    <cellStyle name="Normal 260 5" xfId="6495"/>
    <cellStyle name="Normal 261" xfId="680"/>
    <cellStyle name="Normal 261 2" xfId="1077"/>
    <cellStyle name="Normal 261 2 2" xfId="1876"/>
    <cellStyle name="Normal 261 2 2 2" xfId="3535"/>
    <cellStyle name="Normal 261 2 2 2 2" xfId="6496"/>
    <cellStyle name="Normal 261 2 2 3" xfId="6497"/>
    <cellStyle name="Normal 261 2 3" xfId="2741"/>
    <cellStyle name="Normal 261 2 3 2" xfId="6498"/>
    <cellStyle name="Normal 261 2 4" xfId="6499"/>
    <cellStyle name="Normal 261 3" xfId="1480"/>
    <cellStyle name="Normal 261 3 2" xfId="3139"/>
    <cellStyle name="Normal 261 3 2 2" xfId="6500"/>
    <cellStyle name="Normal 261 3 3" xfId="6501"/>
    <cellStyle name="Normal 261 4" xfId="2345"/>
    <cellStyle name="Normal 261 4 2" xfId="6502"/>
    <cellStyle name="Normal 261 5" xfId="6503"/>
    <cellStyle name="Normal 262" xfId="678"/>
    <cellStyle name="Normal 262 2" xfId="1075"/>
    <cellStyle name="Normal 262 2 2" xfId="1874"/>
    <cellStyle name="Normal 262 2 2 2" xfId="3533"/>
    <cellStyle name="Normal 262 2 2 2 2" xfId="6504"/>
    <cellStyle name="Normal 262 2 2 3" xfId="6505"/>
    <cellStyle name="Normal 262 2 3" xfId="2739"/>
    <cellStyle name="Normal 262 2 3 2" xfId="6506"/>
    <cellStyle name="Normal 262 2 4" xfId="6507"/>
    <cellStyle name="Normal 262 3" xfId="1478"/>
    <cellStyle name="Normal 262 3 2" xfId="3137"/>
    <cellStyle name="Normal 262 3 2 2" xfId="6508"/>
    <cellStyle name="Normal 262 3 3" xfId="6509"/>
    <cellStyle name="Normal 262 4" xfId="2343"/>
    <cellStyle name="Normal 262 4 2" xfId="6510"/>
    <cellStyle name="Normal 262 5" xfId="6511"/>
    <cellStyle name="Normal 263" xfId="696"/>
    <cellStyle name="Normal 263 2" xfId="1093"/>
    <cellStyle name="Normal 263 2 2" xfId="1892"/>
    <cellStyle name="Normal 263 2 2 2" xfId="3551"/>
    <cellStyle name="Normal 263 2 2 2 2" xfId="6512"/>
    <cellStyle name="Normal 263 2 2 3" xfId="6513"/>
    <cellStyle name="Normal 263 2 3" xfId="2757"/>
    <cellStyle name="Normal 263 2 3 2" xfId="6514"/>
    <cellStyle name="Normal 263 2 4" xfId="6515"/>
    <cellStyle name="Normal 263 3" xfId="1496"/>
    <cellStyle name="Normal 263 3 2" xfId="3155"/>
    <cellStyle name="Normal 263 3 2 2" xfId="6516"/>
    <cellStyle name="Normal 263 3 3" xfId="6517"/>
    <cellStyle name="Normal 263 4" xfId="2361"/>
    <cellStyle name="Normal 263 4 2" xfId="6518"/>
    <cellStyle name="Normal 263 5" xfId="6519"/>
    <cellStyle name="Normal 264" xfId="681"/>
    <cellStyle name="Normal 264 2" xfId="1078"/>
    <cellStyle name="Normal 264 2 2" xfId="1877"/>
    <cellStyle name="Normal 264 2 2 2" xfId="3536"/>
    <cellStyle name="Normal 264 2 2 2 2" xfId="6520"/>
    <cellStyle name="Normal 264 2 2 3" xfId="6521"/>
    <cellStyle name="Normal 264 2 3" xfId="2742"/>
    <cellStyle name="Normal 264 2 3 2" xfId="6522"/>
    <cellStyle name="Normal 264 2 4" xfId="6523"/>
    <cellStyle name="Normal 264 3" xfId="1481"/>
    <cellStyle name="Normal 264 3 2" xfId="3140"/>
    <cellStyle name="Normal 264 3 2 2" xfId="6524"/>
    <cellStyle name="Normal 264 3 3" xfId="6525"/>
    <cellStyle name="Normal 264 4" xfId="2346"/>
    <cellStyle name="Normal 264 4 2" xfId="6526"/>
    <cellStyle name="Normal 264 5" xfId="6527"/>
    <cellStyle name="Normal 265" xfId="679"/>
    <cellStyle name="Normal 265 2" xfId="1076"/>
    <cellStyle name="Normal 265 2 2" xfId="1875"/>
    <cellStyle name="Normal 265 2 2 2" xfId="3534"/>
    <cellStyle name="Normal 265 2 2 2 2" xfId="6528"/>
    <cellStyle name="Normal 265 2 2 3" xfId="6529"/>
    <cellStyle name="Normal 265 2 3" xfId="2740"/>
    <cellStyle name="Normal 265 2 3 2" xfId="6530"/>
    <cellStyle name="Normal 265 2 4" xfId="6531"/>
    <cellStyle name="Normal 265 3" xfId="1479"/>
    <cellStyle name="Normal 265 3 2" xfId="3138"/>
    <cellStyle name="Normal 265 3 2 2" xfId="6532"/>
    <cellStyle name="Normal 265 3 3" xfId="6533"/>
    <cellStyle name="Normal 265 4" xfId="2344"/>
    <cellStyle name="Normal 265 4 2" xfId="6534"/>
    <cellStyle name="Normal 265 5" xfId="6535"/>
    <cellStyle name="Normal 266" xfId="650"/>
    <cellStyle name="Normal 266 2" xfId="1047"/>
    <cellStyle name="Normal 266 2 2" xfId="1846"/>
    <cellStyle name="Normal 266 2 2 2" xfId="3505"/>
    <cellStyle name="Normal 266 2 2 2 2" xfId="6536"/>
    <cellStyle name="Normal 266 2 2 3" xfId="6537"/>
    <cellStyle name="Normal 266 2 3" xfId="2711"/>
    <cellStyle name="Normal 266 2 3 2" xfId="6538"/>
    <cellStyle name="Normal 266 2 4" xfId="6539"/>
    <cellStyle name="Normal 266 3" xfId="1450"/>
    <cellStyle name="Normal 266 3 2" xfId="3109"/>
    <cellStyle name="Normal 266 3 2 2" xfId="6540"/>
    <cellStyle name="Normal 266 3 3" xfId="6541"/>
    <cellStyle name="Normal 266 4" xfId="2315"/>
    <cellStyle name="Normal 266 4 2" xfId="6542"/>
    <cellStyle name="Normal 266 5" xfId="6543"/>
    <cellStyle name="Normal 267" xfId="677"/>
    <cellStyle name="Normal 267 2" xfId="1074"/>
    <cellStyle name="Normal 267 2 2" xfId="1873"/>
    <cellStyle name="Normal 267 2 2 2" xfId="3532"/>
    <cellStyle name="Normal 267 2 2 2 2" xfId="6544"/>
    <cellStyle name="Normal 267 2 2 3" xfId="6545"/>
    <cellStyle name="Normal 267 2 3" xfId="2738"/>
    <cellStyle name="Normal 267 2 3 2" xfId="6546"/>
    <cellStyle name="Normal 267 2 4" xfId="6547"/>
    <cellStyle name="Normal 267 3" xfId="1477"/>
    <cellStyle name="Normal 267 3 2" xfId="3136"/>
    <cellStyle name="Normal 267 3 2 2" xfId="6548"/>
    <cellStyle name="Normal 267 3 3" xfId="6549"/>
    <cellStyle name="Normal 267 4" xfId="2342"/>
    <cellStyle name="Normal 267 4 2" xfId="6550"/>
    <cellStyle name="Normal 267 5" xfId="6551"/>
    <cellStyle name="Normal 268" xfId="695"/>
    <cellStyle name="Normal 268 2" xfId="1092"/>
    <cellStyle name="Normal 268 2 2" xfId="1891"/>
    <cellStyle name="Normal 268 2 2 2" xfId="3550"/>
    <cellStyle name="Normal 268 2 2 2 2" xfId="6552"/>
    <cellStyle name="Normal 268 2 2 3" xfId="6553"/>
    <cellStyle name="Normal 268 2 3" xfId="2756"/>
    <cellStyle name="Normal 268 2 3 2" xfId="6554"/>
    <cellStyle name="Normal 268 2 4" xfId="6555"/>
    <cellStyle name="Normal 268 3" xfId="1495"/>
    <cellStyle name="Normal 268 3 2" xfId="3154"/>
    <cellStyle name="Normal 268 3 2 2" xfId="6556"/>
    <cellStyle name="Normal 268 3 3" xfId="6557"/>
    <cellStyle name="Normal 268 4" xfId="2360"/>
    <cellStyle name="Normal 268 4 2" xfId="6558"/>
    <cellStyle name="Normal 268 5" xfId="6559"/>
    <cellStyle name="Normal 269" xfId="660"/>
    <cellStyle name="Normal 269 2" xfId="1057"/>
    <cellStyle name="Normal 269 2 2" xfId="1856"/>
    <cellStyle name="Normal 269 2 2 2" xfId="3515"/>
    <cellStyle name="Normal 269 2 2 2 2" xfId="6560"/>
    <cellStyle name="Normal 269 2 2 3" xfId="6561"/>
    <cellStyle name="Normal 269 2 3" xfId="2721"/>
    <cellStyle name="Normal 269 2 3 2" xfId="6562"/>
    <cellStyle name="Normal 269 2 4" xfId="6563"/>
    <cellStyle name="Normal 269 3" xfId="1460"/>
    <cellStyle name="Normal 269 3 2" xfId="3119"/>
    <cellStyle name="Normal 269 3 2 2" xfId="6564"/>
    <cellStyle name="Normal 269 3 3" xfId="6565"/>
    <cellStyle name="Normal 269 4" xfId="2325"/>
    <cellStyle name="Normal 269 4 2" xfId="6566"/>
    <cellStyle name="Normal 269 5" xfId="6567"/>
    <cellStyle name="Normal 27" xfId="245"/>
    <cellStyle name="Normal 27 2" xfId="822"/>
    <cellStyle name="Normal 27 2 2" xfId="1621"/>
    <cellStyle name="Normal 27 2 2 2" xfId="3280"/>
    <cellStyle name="Normal 27 2 2 2 2" xfId="6568"/>
    <cellStyle name="Normal 27 2 2 3" xfId="6569"/>
    <cellStyle name="Normal 27 2 2 4" xfId="6570"/>
    <cellStyle name="Normal 27 2 3" xfId="2486"/>
    <cellStyle name="Normal 27 2 3 2" xfId="6571"/>
    <cellStyle name="Normal 27 2 4" xfId="6572"/>
    <cellStyle name="Normal 27 2 5" xfId="6573"/>
    <cellStyle name="Normal 27 3" xfId="1225"/>
    <cellStyle name="Normal 27 3 2" xfId="2884"/>
    <cellStyle name="Normal 27 3 2 2" xfId="6574"/>
    <cellStyle name="Normal 27 3 3" xfId="6575"/>
    <cellStyle name="Normal 27 4" xfId="2090"/>
    <cellStyle name="Normal 27 4 2" xfId="6576"/>
    <cellStyle name="Normal 27 5" xfId="437"/>
    <cellStyle name="Normal 270" xfId="697"/>
    <cellStyle name="Normal 270 2" xfId="1094"/>
    <cellStyle name="Normal 270 2 2" xfId="1893"/>
    <cellStyle name="Normal 270 2 2 2" xfId="3552"/>
    <cellStyle name="Normal 270 2 2 2 2" xfId="6577"/>
    <cellStyle name="Normal 270 2 2 3" xfId="6578"/>
    <cellStyle name="Normal 270 2 3" xfId="2758"/>
    <cellStyle name="Normal 270 2 3 2" xfId="6579"/>
    <cellStyle name="Normal 270 2 4" xfId="6580"/>
    <cellStyle name="Normal 270 3" xfId="1497"/>
    <cellStyle name="Normal 270 3 2" xfId="3156"/>
    <cellStyle name="Normal 270 3 2 2" xfId="6581"/>
    <cellStyle name="Normal 270 3 3" xfId="6582"/>
    <cellStyle name="Normal 270 4" xfId="2362"/>
    <cellStyle name="Normal 270 4 2" xfId="6583"/>
    <cellStyle name="Normal 270 5" xfId="6584"/>
    <cellStyle name="Normal 271" xfId="698"/>
    <cellStyle name="Normal 271 2" xfId="1095"/>
    <cellStyle name="Normal 271 2 2" xfId="1894"/>
    <cellStyle name="Normal 271 2 2 2" xfId="3553"/>
    <cellStyle name="Normal 271 2 2 2 2" xfId="6585"/>
    <cellStyle name="Normal 271 2 2 3" xfId="6586"/>
    <cellStyle name="Normal 271 2 3" xfId="2759"/>
    <cellStyle name="Normal 271 2 3 2" xfId="6587"/>
    <cellStyle name="Normal 271 2 4" xfId="6588"/>
    <cellStyle name="Normal 271 3" xfId="1498"/>
    <cellStyle name="Normal 271 3 2" xfId="3157"/>
    <cellStyle name="Normal 271 3 2 2" xfId="6589"/>
    <cellStyle name="Normal 271 3 3" xfId="6590"/>
    <cellStyle name="Normal 271 4" xfId="2363"/>
    <cellStyle name="Normal 271 4 2" xfId="6591"/>
    <cellStyle name="Normal 271 5" xfId="6592"/>
    <cellStyle name="Normal 272" xfId="699"/>
    <cellStyle name="Normal 272 2" xfId="1096"/>
    <cellStyle name="Normal 272 2 2" xfId="1895"/>
    <cellStyle name="Normal 272 2 2 2" xfId="3554"/>
    <cellStyle name="Normal 272 2 2 2 2" xfId="6593"/>
    <cellStyle name="Normal 272 2 2 3" xfId="6594"/>
    <cellStyle name="Normal 272 2 3" xfId="2760"/>
    <cellStyle name="Normal 272 2 3 2" xfId="6595"/>
    <cellStyle name="Normal 272 2 4" xfId="6596"/>
    <cellStyle name="Normal 272 3" xfId="1499"/>
    <cellStyle name="Normal 272 3 2" xfId="3158"/>
    <cellStyle name="Normal 272 3 2 2" xfId="6597"/>
    <cellStyle name="Normal 272 3 3" xfId="6598"/>
    <cellStyle name="Normal 272 4" xfId="2364"/>
    <cellStyle name="Normal 272 4 2" xfId="6599"/>
    <cellStyle name="Normal 272 5" xfId="6600"/>
    <cellStyle name="Normal 273" xfId="700"/>
    <cellStyle name="Normal 273 2" xfId="1097"/>
    <cellStyle name="Normal 273 2 2" xfId="1896"/>
    <cellStyle name="Normal 273 2 2 2" xfId="3555"/>
    <cellStyle name="Normal 273 2 2 2 2" xfId="6601"/>
    <cellStyle name="Normal 273 2 2 3" xfId="6602"/>
    <cellStyle name="Normal 273 2 3" xfId="2761"/>
    <cellStyle name="Normal 273 2 3 2" xfId="6603"/>
    <cellStyle name="Normal 273 2 4" xfId="6604"/>
    <cellStyle name="Normal 273 3" xfId="1500"/>
    <cellStyle name="Normal 273 3 2" xfId="3159"/>
    <cellStyle name="Normal 273 3 2 2" xfId="6605"/>
    <cellStyle name="Normal 273 3 3" xfId="6606"/>
    <cellStyle name="Normal 273 4" xfId="2365"/>
    <cellStyle name="Normal 273 4 2" xfId="6607"/>
    <cellStyle name="Normal 273 5" xfId="6608"/>
    <cellStyle name="Normal 274" xfId="701"/>
    <cellStyle name="Normal 274 2" xfId="1098"/>
    <cellStyle name="Normal 274 2 2" xfId="1897"/>
    <cellStyle name="Normal 274 2 2 2" xfId="3556"/>
    <cellStyle name="Normal 274 2 2 2 2" xfId="6609"/>
    <cellStyle name="Normal 274 2 2 3" xfId="6610"/>
    <cellStyle name="Normal 274 2 3" xfId="2762"/>
    <cellStyle name="Normal 274 2 3 2" xfId="6611"/>
    <cellStyle name="Normal 274 2 4" xfId="6612"/>
    <cellStyle name="Normal 274 3" xfId="1501"/>
    <cellStyle name="Normal 274 3 2" xfId="3160"/>
    <cellStyle name="Normal 274 3 2 2" xfId="6613"/>
    <cellStyle name="Normal 274 3 3" xfId="6614"/>
    <cellStyle name="Normal 274 4" xfId="2366"/>
    <cellStyle name="Normal 274 4 2" xfId="6615"/>
    <cellStyle name="Normal 274 5" xfId="6616"/>
    <cellStyle name="Normal 275" xfId="702"/>
    <cellStyle name="Normal 275 2" xfId="1099"/>
    <cellStyle name="Normal 275 2 2" xfId="1898"/>
    <cellStyle name="Normal 275 2 2 2" xfId="3557"/>
    <cellStyle name="Normal 275 2 2 2 2" xfId="6617"/>
    <cellStyle name="Normal 275 2 2 3" xfId="6618"/>
    <cellStyle name="Normal 275 2 3" xfId="2763"/>
    <cellStyle name="Normal 275 2 3 2" xfId="6619"/>
    <cellStyle name="Normal 275 2 4" xfId="6620"/>
    <cellStyle name="Normal 275 3" xfId="1502"/>
    <cellStyle name="Normal 275 3 2" xfId="3161"/>
    <cellStyle name="Normal 275 3 2 2" xfId="6621"/>
    <cellStyle name="Normal 275 3 3" xfId="6622"/>
    <cellStyle name="Normal 275 4" xfId="2367"/>
    <cellStyle name="Normal 275 4 2" xfId="6623"/>
    <cellStyle name="Normal 275 5" xfId="6624"/>
    <cellStyle name="Normal 276" xfId="703"/>
    <cellStyle name="Normal 276 2" xfId="1100"/>
    <cellStyle name="Normal 276 2 2" xfId="1899"/>
    <cellStyle name="Normal 276 2 2 2" xfId="3558"/>
    <cellStyle name="Normal 276 2 2 2 2" xfId="6625"/>
    <cellStyle name="Normal 276 2 2 3" xfId="6626"/>
    <cellStyle name="Normal 276 2 3" xfId="2764"/>
    <cellStyle name="Normal 276 2 3 2" xfId="6627"/>
    <cellStyle name="Normal 276 2 4" xfId="6628"/>
    <cellStyle name="Normal 276 3" xfId="1503"/>
    <cellStyle name="Normal 276 3 2" xfId="3162"/>
    <cellStyle name="Normal 276 3 2 2" xfId="6629"/>
    <cellStyle name="Normal 276 3 3" xfId="6630"/>
    <cellStyle name="Normal 276 4" xfId="2368"/>
    <cellStyle name="Normal 276 4 2" xfId="6631"/>
    <cellStyle name="Normal 276 5" xfId="6632"/>
    <cellStyle name="Normal 277" xfId="704"/>
    <cellStyle name="Normal 277 2" xfId="1101"/>
    <cellStyle name="Normal 277 2 2" xfId="1900"/>
    <cellStyle name="Normal 277 2 2 2" xfId="3559"/>
    <cellStyle name="Normal 277 2 2 2 2" xfId="6633"/>
    <cellStyle name="Normal 277 2 2 3" xfId="6634"/>
    <cellStyle name="Normal 277 2 3" xfId="2765"/>
    <cellStyle name="Normal 277 2 3 2" xfId="6635"/>
    <cellStyle name="Normal 277 2 4" xfId="6636"/>
    <cellStyle name="Normal 277 3" xfId="1504"/>
    <cellStyle name="Normal 277 3 2" xfId="3163"/>
    <cellStyle name="Normal 277 3 2 2" xfId="6637"/>
    <cellStyle name="Normal 277 3 3" xfId="6638"/>
    <cellStyle name="Normal 277 4" xfId="2369"/>
    <cellStyle name="Normal 277 4 2" xfId="6639"/>
    <cellStyle name="Normal 277 5" xfId="6640"/>
    <cellStyle name="Normal 278" xfId="705"/>
    <cellStyle name="Normal 278 2" xfId="1102"/>
    <cellStyle name="Normal 278 2 2" xfId="1901"/>
    <cellStyle name="Normal 278 2 2 2" xfId="3560"/>
    <cellStyle name="Normal 278 2 2 2 2" xfId="6641"/>
    <cellStyle name="Normal 278 2 2 3" xfId="6642"/>
    <cellStyle name="Normal 278 2 3" xfId="2766"/>
    <cellStyle name="Normal 278 2 3 2" xfId="6643"/>
    <cellStyle name="Normal 278 2 4" xfId="6644"/>
    <cellStyle name="Normal 278 3" xfId="1505"/>
    <cellStyle name="Normal 278 3 2" xfId="3164"/>
    <cellStyle name="Normal 278 3 2 2" xfId="6645"/>
    <cellStyle name="Normal 278 3 3" xfId="6646"/>
    <cellStyle name="Normal 278 4" xfId="2370"/>
    <cellStyle name="Normal 278 4 2" xfId="6647"/>
    <cellStyle name="Normal 278 5" xfId="6648"/>
    <cellStyle name="Normal 279" xfId="706"/>
    <cellStyle name="Normal 279 2" xfId="1103"/>
    <cellStyle name="Normal 279 2 2" xfId="1902"/>
    <cellStyle name="Normal 279 2 2 2" xfId="3561"/>
    <cellStyle name="Normal 279 2 2 2 2" xfId="6649"/>
    <cellStyle name="Normal 279 2 2 3" xfId="6650"/>
    <cellStyle name="Normal 279 2 3" xfId="2767"/>
    <cellStyle name="Normal 279 2 3 2" xfId="6651"/>
    <cellStyle name="Normal 279 2 4" xfId="6652"/>
    <cellStyle name="Normal 279 3" xfId="1506"/>
    <cellStyle name="Normal 279 3 2" xfId="3165"/>
    <cellStyle name="Normal 279 3 2 2" xfId="6653"/>
    <cellStyle name="Normal 279 3 3" xfId="6654"/>
    <cellStyle name="Normal 279 4" xfId="2371"/>
    <cellStyle name="Normal 279 4 2" xfId="6655"/>
    <cellStyle name="Normal 279 5" xfId="6656"/>
    <cellStyle name="Normal 28" xfId="256"/>
    <cellStyle name="Normal 28 2" xfId="835"/>
    <cellStyle name="Normal 28 2 2" xfId="1634"/>
    <cellStyle name="Normal 28 2 2 2" xfId="3293"/>
    <cellStyle name="Normal 28 2 2 2 2" xfId="6657"/>
    <cellStyle name="Normal 28 2 2 3" xfId="6658"/>
    <cellStyle name="Normal 28 2 3" xfId="2499"/>
    <cellStyle name="Normal 28 2 3 2" xfId="6659"/>
    <cellStyle name="Normal 28 2 4" xfId="6660"/>
    <cellStyle name="Normal 28 3" xfId="1238"/>
    <cellStyle name="Normal 28 3 2" xfId="2897"/>
    <cellStyle name="Normal 28 3 2 2" xfId="6661"/>
    <cellStyle name="Normal 28 3 3" xfId="6662"/>
    <cellStyle name="Normal 28 4" xfId="2103"/>
    <cellStyle name="Normal 28 4 2" xfId="6663"/>
    <cellStyle name="Normal 28 5" xfId="450"/>
    <cellStyle name="Normal 28 6" xfId="8448"/>
    <cellStyle name="Normal 28 7" xfId="9575"/>
    <cellStyle name="Normal 280" xfId="707"/>
    <cellStyle name="Normal 280 2" xfId="1104"/>
    <cellStyle name="Normal 280 2 2" xfId="1903"/>
    <cellStyle name="Normal 280 2 2 2" xfId="3562"/>
    <cellStyle name="Normal 280 2 2 2 2" xfId="6664"/>
    <cellStyle name="Normal 280 2 2 3" xfId="6665"/>
    <cellStyle name="Normal 280 2 3" xfId="2768"/>
    <cellStyle name="Normal 280 2 3 2" xfId="6666"/>
    <cellStyle name="Normal 280 2 4" xfId="6667"/>
    <cellStyle name="Normal 280 3" xfId="1507"/>
    <cellStyle name="Normal 280 3 2" xfId="3166"/>
    <cellStyle name="Normal 280 3 2 2" xfId="6668"/>
    <cellStyle name="Normal 280 3 3" xfId="6669"/>
    <cellStyle name="Normal 280 4" xfId="2372"/>
    <cellStyle name="Normal 280 4 2" xfId="6670"/>
    <cellStyle name="Normal 280 5" xfId="6671"/>
    <cellStyle name="Normal 281" xfId="708"/>
    <cellStyle name="Normal 281 2" xfId="1105"/>
    <cellStyle name="Normal 281 2 2" xfId="1904"/>
    <cellStyle name="Normal 281 2 2 2" xfId="3563"/>
    <cellStyle name="Normal 281 2 2 2 2" xfId="6672"/>
    <cellStyle name="Normal 281 2 2 3" xfId="6673"/>
    <cellStyle name="Normal 281 2 3" xfId="2769"/>
    <cellStyle name="Normal 281 2 3 2" xfId="6674"/>
    <cellStyle name="Normal 281 2 4" xfId="6675"/>
    <cellStyle name="Normal 281 3" xfId="1508"/>
    <cellStyle name="Normal 281 3 2" xfId="3167"/>
    <cellStyle name="Normal 281 3 2 2" xfId="6676"/>
    <cellStyle name="Normal 281 3 3" xfId="6677"/>
    <cellStyle name="Normal 281 4" xfId="2373"/>
    <cellStyle name="Normal 281 4 2" xfId="6678"/>
    <cellStyle name="Normal 281 5" xfId="6679"/>
    <cellStyle name="Normal 282" xfId="709"/>
    <cellStyle name="Normal 282 2" xfId="1106"/>
    <cellStyle name="Normal 282 2 2" xfId="1905"/>
    <cellStyle name="Normal 282 2 2 2" xfId="3564"/>
    <cellStyle name="Normal 282 2 2 2 2" xfId="6680"/>
    <cellStyle name="Normal 282 2 2 3" xfId="6681"/>
    <cellStyle name="Normal 282 2 3" xfId="2770"/>
    <cellStyle name="Normal 282 2 3 2" xfId="6682"/>
    <cellStyle name="Normal 282 2 4" xfId="6683"/>
    <cellStyle name="Normal 282 3" xfId="1509"/>
    <cellStyle name="Normal 282 3 2" xfId="3168"/>
    <cellStyle name="Normal 282 3 2 2" xfId="6684"/>
    <cellStyle name="Normal 282 3 3" xfId="6685"/>
    <cellStyle name="Normal 282 4" xfId="2374"/>
    <cellStyle name="Normal 282 4 2" xfId="6686"/>
    <cellStyle name="Normal 282 5" xfId="6687"/>
    <cellStyle name="Normal 283" xfId="710"/>
    <cellStyle name="Normal 283 2" xfId="1107"/>
    <cellStyle name="Normal 283 2 2" xfId="1906"/>
    <cellStyle name="Normal 283 2 2 2" xfId="3565"/>
    <cellStyle name="Normal 283 2 2 2 2" xfId="6688"/>
    <cellStyle name="Normal 283 2 2 3" xfId="6689"/>
    <cellStyle name="Normal 283 2 3" xfId="2771"/>
    <cellStyle name="Normal 283 2 3 2" xfId="6690"/>
    <cellStyle name="Normal 283 2 4" xfId="6691"/>
    <cellStyle name="Normal 283 3" xfId="1510"/>
    <cellStyle name="Normal 283 3 2" xfId="3169"/>
    <cellStyle name="Normal 283 3 2 2" xfId="6692"/>
    <cellStyle name="Normal 283 3 3" xfId="6693"/>
    <cellStyle name="Normal 283 4" xfId="2375"/>
    <cellStyle name="Normal 283 4 2" xfId="6694"/>
    <cellStyle name="Normal 283 5" xfId="6695"/>
    <cellStyle name="Normal 284" xfId="711"/>
    <cellStyle name="Normal 284 2" xfId="1108"/>
    <cellStyle name="Normal 284 2 2" xfId="1907"/>
    <cellStyle name="Normal 284 2 2 2" xfId="3566"/>
    <cellStyle name="Normal 284 2 2 2 2" xfId="6696"/>
    <cellStyle name="Normal 284 2 2 3" xfId="6697"/>
    <cellStyle name="Normal 284 2 3" xfId="2772"/>
    <cellStyle name="Normal 284 2 3 2" xfId="6698"/>
    <cellStyle name="Normal 284 2 4" xfId="6699"/>
    <cellStyle name="Normal 284 3" xfId="1511"/>
    <cellStyle name="Normal 284 3 2" xfId="3170"/>
    <cellStyle name="Normal 284 3 2 2" xfId="6700"/>
    <cellStyle name="Normal 284 3 3" xfId="6701"/>
    <cellStyle name="Normal 284 4" xfId="2376"/>
    <cellStyle name="Normal 284 4 2" xfId="6702"/>
    <cellStyle name="Normal 284 5" xfId="6703"/>
    <cellStyle name="Normal 285" xfId="712"/>
    <cellStyle name="Normal 285 2" xfId="1109"/>
    <cellStyle name="Normal 285 2 2" xfId="1908"/>
    <cellStyle name="Normal 285 2 2 2" xfId="3567"/>
    <cellStyle name="Normal 285 2 2 2 2" xfId="6704"/>
    <cellStyle name="Normal 285 2 2 3" xfId="6705"/>
    <cellStyle name="Normal 285 2 3" xfId="2773"/>
    <cellStyle name="Normal 285 2 3 2" xfId="6706"/>
    <cellStyle name="Normal 285 2 4" xfId="6707"/>
    <cellStyle name="Normal 285 3" xfId="1512"/>
    <cellStyle name="Normal 285 3 2" xfId="3171"/>
    <cellStyle name="Normal 285 3 2 2" xfId="6708"/>
    <cellStyle name="Normal 285 3 3" xfId="6709"/>
    <cellStyle name="Normal 285 4" xfId="2377"/>
    <cellStyle name="Normal 285 4 2" xfId="6710"/>
    <cellStyle name="Normal 285 5" xfId="6711"/>
    <cellStyle name="Normal 286" xfId="713"/>
    <cellStyle name="Normal 286 2" xfId="1110"/>
    <cellStyle name="Normal 286 2 2" xfId="1909"/>
    <cellStyle name="Normal 286 2 2 2" xfId="3568"/>
    <cellStyle name="Normal 286 2 2 2 2" xfId="6712"/>
    <cellStyle name="Normal 286 2 2 3" xfId="6713"/>
    <cellStyle name="Normal 286 2 3" xfId="2774"/>
    <cellStyle name="Normal 286 2 3 2" xfId="6714"/>
    <cellStyle name="Normal 286 2 4" xfId="6715"/>
    <cellStyle name="Normal 286 3" xfId="1513"/>
    <cellStyle name="Normal 286 3 2" xfId="3172"/>
    <cellStyle name="Normal 286 3 2 2" xfId="6716"/>
    <cellStyle name="Normal 286 3 3" xfId="6717"/>
    <cellStyle name="Normal 286 4" xfId="2378"/>
    <cellStyle name="Normal 286 4 2" xfId="6718"/>
    <cellStyle name="Normal 286 5" xfId="6719"/>
    <cellStyle name="Normal 287" xfId="714"/>
    <cellStyle name="Normal 287 2" xfId="1111"/>
    <cellStyle name="Normal 287 2 2" xfId="1910"/>
    <cellStyle name="Normal 287 2 2 2" xfId="3569"/>
    <cellStyle name="Normal 287 2 2 2 2" xfId="6720"/>
    <cellStyle name="Normal 287 2 2 3" xfId="6721"/>
    <cellStyle name="Normal 287 2 3" xfId="2775"/>
    <cellStyle name="Normal 287 2 3 2" xfId="6722"/>
    <cellStyle name="Normal 287 2 4" xfId="6723"/>
    <cellStyle name="Normal 287 3" xfId="1514"/>
    <cellStyle name="Normal 287 3 2" xfId="3173"/>
    <cellStyle name="Normal 287 3 2 2" xfId="6724"/>
    <cellStyle name="Normal 287 3 3" xfId="6725"/>
    <cellStyle name="Normal 287 4" xfId="2379"/>
    <cellStyle name="Normal 287 4 2" xfId="6726"/>
    <cellStyle name="Normal 287 5" xfId="6727"/>
    <cellStyle name="Normal 288" xfId="715"/>
    <cellStyle name="Normal 288 2" xfId="1112"/>
    <cellStyle name="Normal 288 2 2" xfId="1911"/>
    <cellStyle name="Normal 288 2 2 2" xfId="3570"/>
    <cellStyle name="Normal 288 2 2 2 2" xfId="6728"/>
    <cellStyle name="Normal 288 2 2 3" xfId="6729"/>
    <cellStyle name="Normal 288 2 3" xfId="2776"/>
    <cellStyle name="Normal 288 2 3 2" xfId="6730"/>
    <cellStyle name="Normal 288 2 4" xfId="6731"/>
    <cellStyle name="Normal 288 3" xfId="1515"/>
    <cellStyle name="Normal 288 3 2" xfId="3174"/>
    <cellStyle name="Normal 288 3 2 2" xfId="6732"/>
    <cellStyle name="Normal 288 3 3" xfId="6733"/>
    <cellStyle name="Normal 288 4" xfId="2380"/>
    <cellStyle name="Normal 288 4 2" xfId="6734"/>
    <cellStyle name="Normal 288 5" xfId="6735"/>
    <cellStyle name="Normal 289" xfId="716"/>
    <cellStyle name="Normal 289 2" xfId="1113"/>
    <cellStyle name="Normal 289 2 2" xfId="1912"/>
    <cellStyle name="Normal 289 2 2 2" xfId="3571"/>
    <cellStyle name="Normal 289 2 2 2 2" xfId="6736"/>
    <cellStyle name="Normal 289 2 2 3" xfId="6737"/>
    <cellStyle name="Normal 289 2 3" xfId="2777"/>
    <cellStyle name="Normal 289 2 3 2" xfId="6738"/>
    <cellStyle name="Normal 289 2 4" xfId="6739"/>
    <cellStyle name="Normal 289 3" xfId="1516"/>
    <cellStyle name="Normal 289 3 2" xfId="3175"/>
    <cellStyle name="Normal 289 3 2 2" xfId="6740"/>
    <cellStyle name="Normal 289 3 3" xfId="6741"/>
    <cellStyle name="Normal 289 4" xfId="2381"/>
    <cellStyle name="Normal 289 4 2" xfId="6742"/>
    <cellStyle name="Normal 289 5" xfId="6743"/>
    <cellStyle name="Normal 29" xfId="259"/>
    <cellStyle name="Normal 29 2" xfId="829"/>
    <cellStyle name="Normal 29 2 2" xfId="1628"/>
    <cellStyle name="Normal 29 2 2 2" xfId="3287"/>
    <cellStyle name="Normal 29 2 2 2 2" xfId="6744"/>
    <cellStyle name="Normal 29 2 2 3" xfId="6745"/>
    <cellStyle name="Normal 29 2 3" xfId="2493"/>
    <cellStyle name="Normal 29 2 3 2" xfId="6746"/>
    <cellStyle name="Normal 29 2 4" xfId="6747"/>
    <cellStyle name="Normal 29 3" xfId="1232"/>
    <cellStyle name="Normal 29 3 2" xfId="2891"/>
    <cellStyle name="Normal 29 3 2 2" xfId="6748"/>
    <cellStyle name="Normal 29 3 3" xfId="6749"/>
    <cellStyle name="Normal 29 4" xfId="2097"/>
    <cellStyle name="Normal 29 4 2" xfId="6750"/>
    <cellStyle name="Normal 29 5" xfId="444"/>
    <cellStyle name="Normal 29 6" xfId="8450"/>
    <cellStyle name="Normal 29 7" xfId="9577"/>
    <cellStyle name="Normal 290" xfId="717"/>
    <cellStyle name="Normal 290 2" xfId="1114"/>
    <cellStyle name="Normal 290 2 2" xfId="1913"/>
    <cellStyle name="Normal 290 2 2 2" xfId="3572"/>
    <cellStyle name="Normal 290 2 2 2 2" xfId="6751"/>
    <cellStyle name="Normal 290 2 2 3" xfId="6752"/>
    <cellStyle name="Normal 290 2 3" xfId="2778"/>
    <cellStyle name="Normal 290 2 3 2" xfId="6753"/>
    <cellStyle name="Normal 290 2 4" xfId="6754"/>
    <cellStyle name="Normal 290 3" xfId="1517"/>
    <cellStyle name="Normal 290 3 2" xfId="3176"/>
    <cellStyle name="Normal 290 3 2 2" xfId="6755"/>
    <cellStyle name="Normal 290 3 3" xfId="6756"/>
    <cellStyle name="Normal 290 4" xfId="2382"/>
    <cellStyle name="Normal 290 4 2" xfId="6757"/>
    <cellStyle name="Normal 290 5" xfId="6758"/>
    <cellStyle name="Normal 291" xfId="718"/>
    <cellStyle name="Normal 291 2" xfId="1115"/>
    <cellStyle name="Normal 291 2 2" xfId="1914"/>
    <cellStyle name="Normal 291 2 2 2" xfId="3573"/>
    <cellStyle name="Normal 291 2 2 2 2" xfId="6759"/>
    <cellStyle name="Normal 291 2 2 3" xfId="6760"/>
    <cellStyle name="Normal 291 2 3" xfId="2779"/>
    <cellStyle name="Normal 291 2 3 2" xfId="6761"/>
    <cellStyle name="Normal 291 2 4" xfId="6762"/>
    <cellStyle name="Normal 291 3" xfId="1518"/>
    <cellStyle name="Normal 291 3 2" xfId="3177"/>
    <cellStyle name="Normal 291 3 2 2" xfId="6763"/>
    <cellStyle name="Normal 291 3 3" xfId="6764"/>
    <cellStyle name="Normal 291 4" xfId="2383"/>
    <cellStyle name="Normal 291 4 2" xfId="6765"/>
    <cellStyle name="Normal 291 5" xfId="6766"/>
    <cellStyle name="Normal 292" xfId="719"/>
    <cellStyle name="Normal 292 2" xfId="1116"/>
    <cellStyle name="Normal 292 2 2" xfId="1915"/>
    <cellStyle name="Normal 292 2 2 2" xfId="3574"/>
    <cellStyle name="Normal 292 2 2 2 2" xfId="6767"/>
    <cellStyle name="Normal 292 2 2 3" xfId="6768"/>
    <cellStyle name="Normal 292 2 3" xfId="2780"/>
    <cellStyle name="Normal 292 2 3 2" xfId="6769"/>
    <cellStyle name="Normal 292 2 4" xfId="6770"/>
    <cellStyle name="Normal 292 3" xfId="1519"/>
    <cellStyle name="Normal 292 3 2" xfId="3178"/>
    <cellStyle name="Normal 292 3 2 2" xfId="6771"/>
    <cellStyle name="Normal 292 3 3" xfId="6772"/>
    <cellStyle name="Normal 292 4" xfId="2384"/>
    <cellStyle name="Normal 292 4 2" xfId="6773"/>
    <cellStyle name="Normal 292 5" xfId="6774"/>
    <cellStyle name="Normal 293" xfId="720"/>
    <cellStyle name="Normal 293 2" xfId="1117"/>
    <cellStyle name="Normal 293 2 2" xfId="1916"/>
    <cellStyle name="Normal 293 2 2 2" xfId="3575"/>
    <cellStyle name="Normal 293 2 2 2 2" xfId="6775"/>
    <cellStyle name="Normal 293 2 2 3" xfId="6776"/>
    <cellStyle name="Normal 293 2 3" xfId="2781"/>
    <cellStyle name="Normal 293 2 3 2" xfId="6777"/>
    <cellStyle name="Normal 293 2 4" xfId="6778"/>
    <cellStyle name="Normal 293 3" xfId="1520"/>
    <cellStyle name="Normal 293 3 2" xfId="3179"/>
    <cellStyle name="Normal 293 3 2 2" xfId="6779"/>
    <cellStyle name="Normal 293 3 3" xfId="6780"/>
    <cellStyle name="Normal 293 4" xfId="2385"/>
    <cellStyle name="Normal 293 4 2" xfId="6781"/>
    <cellStyle name="Normal 293 5" xfId="6782"/>
    <cellStyle name="Normal 294" xfId="721"/>
    <cellStyle name="Normal 294 2" xfId="1118"/>
    <cellStyle name="Normal 294 2 2" xfId="1917"/>
    <cellStyle name="Normal 294 2 2 2" xfId="3576"/>
    <cellStyle name="Normal 294 2 2 2 2" xfId="6783"/>
    <cellStyle name="Normal 294 2 2 3" xfId="6784"/>
    <cellStyle name="Normal 294 2 3" xfId="2782"/>
    <cellStyle name="Normal 294 2 3 2" xfId="6785"/>
    <cellStyle name="Normal 294 2 4" xfId="6786"/>
    <cellStyle name="Normal 294 3" xfId="1521"/>
    <cellStyle name="Normal 294 3 2" xfId="3180"/>
    <cellStyle name="Normal 294 3 2 2" xfId="6787"/>
    <cellStyle name="Normal 294 3 3" xfId="6788"/>
    <cellStyle name="Normal 294 4" xfId="2386"/>
    <cellStyle name="Normal 294 4 2" xfId="6789"/>
    <cellStyle name="Normal 294 5" xfId="6790"/>
    <cellStyle name="Normal 295" xfId="722"/>
    <cellStyle name="Normal 295 2" xfId="1119"/>
    <cellStyle name="Normal 295 2 2" xfId="1918"/>
    <cellStyle name="Normal 295 2 2 2" xfId="3577"/>
    <cellStyle name="Normal 295 2 2 2 2" xfId="6791"/>
    <cellStyle name="Normal 295 2 2 3" xfId="6792"/>
    <cellStyle name="Normal 295 2 3" xfId="2783"/>
    <cellStyle name="Normal 295 2 3 2" xfId="6793"/>
    <cellStyle name="Normal 295 2 4" xfId="6794"/>
    <cellStyle name="Normal 295 3" xfId="1522"/>
    <cellStyle name="Normal 295 3 2" xfId="3181"/>
    <cellStyle name="Normal 295 3 2 2" xfId="6795"/>
    <cellStyle name="Normal 295 3 3" xfId="6796"/>
    <cellStyle name="Normal 295 4" xfId="2387"/>
    <cellStyle name="Normal 295 4 2" xfId="6797"/>
    <cellStyle name="Normal 295 5" xfId="6798"/>
    <cellStyle name="Normal 296" xfId="723"/>
    <cellStyle name="Normal 296 2" xfId="1120"/>
    <cellStyle name="Normal 296 2 2" xfId="1919"/>
    <cellStyle name="Normal 296 2 2 2" xfId="3578"/>
    <cellStyle name="Normal 296 2 2 2 2" xfId="6799"/>
    <cellStyle name="Normal 296 2 2 3" xfId="6800"/>
    <cellStyle name="Normal 296 2 3" xfId="2784"/>
    <cellStyle name="Normal 296 2 3 2" xfId="6801"/>
    <cellStyle name="Normal 296 2 4" xfId="6802"/>
    <cellStyle name="Normal 296 3" xfId="1523"/>
    <cellStyle name="Normal 296 3 2" xfId="3182"/>
    <cellStyle name="Normal 296 3 2 2" xfId="6803"/>
    <cellStyle name="Normal 296 3 3" xfId="6804"/>
    <cellStyle name="Normal 296 4" xfId="2388"/>
    <cellStyle name="Normal 296 4 2" xfId="6805"/>
    <cellStyle name="Normal 296 5" xfId="6806"/>
    <cellStyle name="Normal 297" xfId="724"/>
    <cellStyle name="Normal 297 2" xfId="1121"/>
    <cellStyle name="Normal 297 2 2" xfId="1920"/>
    <cellStyle name="Normal 297 2 2 2" xfId="3579"/>
    <cellStyle name="Normal 297 2 2 2 2" xfId="6807"/>
    <cellStyle name="Normal 297 2 2 3" xfId="6808"/>
    <cellStyle name="Normal 297 2 3" xfId="2785"/>
    <cellStyle name="Normal 297 2 3 2" xfId="6809"/>
    <cellStyle name="Normal 297 2 4" xfId="6810"/>
    <cellStyle name="Normal 297 3" xfId="1524"/>
    <cellStyle name="Normal 297 3 2" xfId="3183"/>
    <cellStyle name="Normal 297 3 2 2" xfId="6811"/>
    <cellStyle name="Normal 297 3 3" xfId="6812"/>
    <cellStyle name="Normal 297 4" xfId="2389"/>
    <cellStyle name="Normal 297 4 2" xfId="6813"/>
    <cellStyle name="Normal 297 5" xfId="6814"/>
    <cellStyle name="Normal 298" xfId="725"/>
    <cellStyle name="Normal 298 2" xfId="1122"/>
    <cellStyle name="Normal 298 2 2" xfId="1921"/>
    <cellStyle name="Normal 298 2 2 2" xfId="3580"/>
    <cellStyle name="Normal 298 2 2 2 2" xfId="6815"/>
    <cellStyle name="Normal 298 2 2 3" xfId="6816"/>
    <cellStyle name="Normal 298 2 3" xfId="2786"/>
    <cellStyle name="Normal 298 2 3 2" xfId="6817"/>
    <cellStyle name="Normal 298 2 4" xfId="6818"/>
    <cellStyle name="Normal 298 3" xfId="1525"/>
    <cellStyle name="Normal 298 3 2" xfId="3184"/>
    <cellStyle name="Normal 298 3 2 2" xfId="6819"/>
    <cellStyle name="Normal 298 3 3" xfId="6820"/>
    <cellStyle name="Normal 298 4" xfId="2390"/>
    <cellStyle name="Normal 298 4 2" xfId="6821"/>
    <cellStyle name="Normal 298 5" xfId="6822"/>
    <cellStyle name="Normal 299" xfId="726"/>
    <cellStyle name="Normal 299 2" xfId="1123"/>
    <cellStyle name="Normal 299 2 2" xfId="1922"/>
    <cellStyle name="Normal 299 2 2 2" xfId="3581"/>
    <cellStyle name="Normal 299 2 2 2 2" xfId="6823"/>
    <cellStyle name="Normal 299 2 2 3" xfId="6824"/>
    <cellStyle name="Normal 299 2 3" xfId="2787"/>
    <cellStyle name="Normal 299 2 3 2" xfId="6825"/>
    <cellStyle name="Normal 299 2 4" xfId="6826"/>
    <cellStyle name="Normal 299 3" xfId="1526"/>
    <cellStyle name="Normal 299 3 2" xfId="3185"/>
    <cellStyle name="Normal 299 3 2 2" xfId="6827"/>
    <cellStyle name="Normal 299 3 3" xfId="6828"/>
    <cellStyle name="Normal 299 4" xfId="2391"/>
    <cellStyle name="Normal 299 4 2" xfId="6829"/>
    <cellStyle name="Normal 299 5" xfId="6830"/>
    <cellStyle name="Normal 3" xfId="171"/>
    <cellStyle name="Normal 3 2" xfId="172"/>
    <cellStyle name="Normal 3 2 2" xfId="371"/>
    <cellStyle name="Normal 3 2 3" xfId="321"/>
    <cellStyle name="Normal 3 2 3 2" xfId="8456"/>
    <cellStyle name="Normal 3 2 3 3" xfId="9583"/>
    <cellStyle name="Normal 3 3" xfId="173"/>
    <cellStyle name="Normal 3 3 2" xfId="309"/>
    <cellStyle name="Normal 3 3 3" xfId="8432"/>
    <cellStyle name="Normal 3 3 4" xfId="9559"/>
    <cellStyle name="Normal 3 4" xfId="391"/>
    <cellStyle name="Normal 3 4 2" xfId="2046"/>
    <cellStyle name="Normal 3 5" xfId="2025"/>
    <cellStyle name="Normal 3 5 2" xfId="8855"/>
    <cellStyle name="Normal 3 5 3" xfId="8747"/>
    <cellStyle name="Normal 3 5 4" xfId="8891"/>
    <cellStyle name="Normal 3 5 5" xfId="8940"/>
    <cellStyle name="Normal 3 6" xfId="303"/>
    <cellStyle name="Normal 30" xfId="254"/>
    <cellStyle name="Normal 30 2" xfId="830"/>
    <cellStyle name="Normal 30 2 2" xfId="1629"/>
    <cellStyle name="Normal 30 2 2 2" xfId="3288"/>
    <cellStyle name="Normal 30 2 2 2 2" xfId="6831"/>
    <cellStyle name="Normal 30 2 2 3" xfId="6832"/>
    <cellStyle name="Normal 30 2 3" xfId="2494"/>
    <cellStyle name="Normal 30 2 3 2" xfId="6833"/>
    <cellStyle name="Normal 30 2 4" xfId="6834"/>
    <cellStyle name="Normal 30 3" xfId="1233"/>
    <cellStyle name="Normal 30 3 2" xfId="2892"/>
    <cellStyle name="Normal 30 3 2 2" xfId="6835"/>
    <cellStyle name="Normal 30 3 2 3" xfId="6836"/>
    <cellStyle name="Normal 30 3 3" xfId="6837"/>
    <cellStyle name="Normal 30 3 4" xfId="6838"/>
    <cellStyle name="Normal 30 3 5" xfId="6839"/>
    <cellStyle name="Normal 30 4" xfId="2098"/>
    <cellStyle name="Normal 30 4 2" xfId="6840"/>
    <cellStyle name="Normal 30 4 3" xfId="6841"/>
    <cellStyle name="Normal 30 5" xfId="445"/>
    <cellStyle name="Normal 30 6" xfId="6842"/>
    <cellStyle name="Normal 30 7" xfId="6843"/>
    <cellStyle name="Normal 30 8" xfId="8446"/>
    <cellStyle name="Normal 30 9" xfId="9573"/>
    <cellStyle name="Normal 300" xfId="727"/>
    <cellStyle name="Normal 300 2" xfId="1124"/>
    <cellStyle name="Normal 300 2 2" xfId="1923"/>
    <cellStyle name="Normal 300 2 2 2" xfId="3582"/>
    <cellStyle name="Normal 300 2 2 2 2" xfId="6844"/>
    <cellStyle name="Normal 300 2 2 3" xfId="6845"/>
    <cellStyle name="Normal 300 2 3" xfId="2788"/>
    <cellStyle name="Normal 300 2 3 2" xfId="6846"/>
    <cellStyle name="Normal 300 2 4" xfId="6847"/>
    <cellStyle name="Normal 300 3" xfId="1527"/>
    <cellStyle name="Normal 300 3 2" xfId="3186"/>
    <cellStyle name="Normal 300 3 2 2" xfId="6848"/>
    <cellStyle name="Normal 300 3 3" xfId="6849"/>
    <cellStyle name="Normal 300 4" xfId="2392"/>
    <cellStyle name="Normal 300 4 2" xfId="6850"/>
    <cellStyle name="Normal 300 5" xfId="6851"/>
    <cellStyle name="Normal 301" xfId="728"/>
    <cellStyle name="Normal 301 2" xfId="1125"/>
    <cellStyle name="Normal 301 2 2" xfId="1924"/>
    <cellStyle name="Normal 301 2 2 2" xfId="3583"/>
    <cellStyle name="Normal 301 2 2 2 2" xfId="6852"/>
    <cellStyle name="Normal 301 2 2 3" xfId="6853"/>
    <cellStyle name="Normal 301 2 3" xfId="2789"/>
    <cellStyle name="Normal 301 2 3 2" xfId="6854"/>
    <cellStyle name="Normal 301 2 4" xfId="6855"/>
    <cellStyle name="Normal 301 3" xfId="1528"/>
    <cellStyle name="Normal 301 3 2" xfId="3187"/>
    <cellStyle name="Normal 301 3 2 2" xfId="6856"/>
    <cellStyle name="Normal 301 3 3" xfId="6857"/>
    <cellStyle name="Normal 301 4" xfId="2393"/>
    <cellStyle name="Normal 301 4 2" xfId="6858"/>
    <cellStyle name="Normal 301 5" xfId="6859"/>
    <cellStyle name="Normal 302" xfId="729"/>
    <cellStyle name="Normal 302 2" xfId="1126"/>
    <cellStyle name="Normal 302 2 2" xfId="1925"/>
    <cellStyle name="Normal 302 2 2 2" xfId="3584"/>
    <cellStyle name="Normal 302 2 2 2 2" xfId="6860"/>
    <cellStyle name="Normal 302 2 2 3" xfId="6861"/>
    <cellStyle name="Normal 302 2 3" xfId="2790"/>
    <cellStyle name="Normal 302 2 3 2" xfId="6862"/>
    <cellStyle name="Normal 302 2 4" xfId="6863"/>
    <cellStyle name="Normal 302 3" xfId="1529"/>
    <cellStyle name="Normal 302 3 2" xfId="3188"/>
    <cellStyle name="Normal 302 3 2 2" xfId="6864"/>
    <cellStyle name="Normal 302 3 3" xfId="6865"/>
    <cellStyle name="Normal 302 4" xfId="2394"/>
    <cellStyle name="Normal 302 4 2" xfId="6866"/>
    <cellStyle name="Normal 302 5" xfId="6867"/>
    <cellStyle name="Normal 303" xfId="730"/>
    <cellStyle name="Normal 303 2" xfId="1127"/>
    <cellStyle name="Normal 303 2 2" xfId="1926"/>
    <cellStyle name="Normal 303 2 2 2" xfId="3585"/>
    <cellStyle name="Normal 303 2 2 2 2" xfId="6868"/>
    <cellStyle name="Normal 303 2 2 3" xfId="6869"/>
    <cellStyle name="Normal 303 2 3" xfId="2791"/>
    <cellStyle name="Normal 303 2 3 2" xfId="6870"/>
    <cellStyle name="Normal 303 2 4" xfId="6871"/>
    <cellStyle name="Normal 303 3" xfId="1530"/>
    <cellStyle name="Normal 303 3 2" xfId="3189"/>
    <cellStyle name="Normal 303 3 2 2" xfId="6872"/>
    <cellStyle name="Normal 303 3 3" xfId="6873"/>
    <cellStyle name="Normal 303 4" xfId="2395"/>
    <cellStyle name="Normal 303 4 2" xfId="6874"/>
    <cellStyle name="Normal 303 5" xfId="6875"/>
    <cellStyle name="Normal 304" xfId="731"/>
    <cellStyle name="Normal 304 2" xfId="1128"/>
    <cellStyle name="Normal 304 2 2" xfId="1927"/>
    <cellStyle name="Normal 304 2 2 2" xfId="3586"/>
    <cellStyle name="Normal 304 2 2 2 2" xfId="6876"/>
    <cellStyle name="Normal 304 2 2 3" xfId="6877"/>
    <cellStyle name="Normal 304 2 3" xfId="2792"/>
    <cellStyle name="Normal 304 2 3 2" xfId="6878"/>
    <cellStyle name="Normal 304 2 4" xfId="6879"/>
    <cellStyle name="Normal 304 3" xfId="1531"/>
    <cellStyle name="Normal 304 3 2" xfId="3190"/>
    <cellStyle name="Normal 304 3 2 2" xfId="6880"/>
    <cellStyle name="Normal 304 3 3" xfId="6881"/>
    <cellStyle name="Normal 304 4" xfId="2396"/>
    <cellStyle name="Normal 304 4 2" xfId="6882"/>
    <cellStyle name="Normal 304 5" xfId="6883"/>
    <cellStyle name="Normal 305" xfId="732"/>
    <cellStyle name="Normal 305 2" xfId="1129"/>
    <cellStyle name="Normal 305 2 2" xfId="1928"/>
    <cellStyle name="Normal 305 2 2 2" xfId="3587"/>
    <cellStyle name="Normal 305 2 2 2 2" xfId="6884"/>
    <cellStyle name="Normal 305 2 2 3" xfId="6885"/>
    <cellStyle name="Normal 305 2 3" xfId="2793"/>
    <cellStyle name="Normal 305 2 3 2" xfId="6886"/>
    <cellStyle name="Normal 305 2 4" xfId="6887"/>
    <cellStyle name="Normal 305 3" xfId="1532"/>
    <cellStyle name="Normal 305 3 2" xfId="3191"/>
    <cellStyle name="Normal 305 3 2 2" xfId="6888"/>
    <cellStyle name="Normal 305 3 3" xfId="6889"/>
    <cellStyle name="Normal 305 4" xfId="2397"/>
    <cellStyle name="Normal 305 4 2" xfId="6890"/>
    <cellStyle name="Normal 305 5" xfId="6891"/>
    <cellStyle name="Normal 306" xfId="743"/>
    <cellStyle name="Normal 306 2" xfId="1140"/>
    <cellStyle name="Normal 306 2 2" xfId="1939"/>
    <cellStyle name="Normal 306 2 2 2" xfId="3598"/>
    <cellStyle name="Normal 306 2 2 2 2" xfId="6892"/>
    <cellStyle name="Normal 306 2 2 3" xfId="6893"/>
    <cellStyle name="Normal 306 2 3" xfId="2804"/>
    <cellStyle name="Normal 306 2 3 2" xfId="6894"/>
    <cellStyle name="Normal 306 2 4" xfId="6895"/>
    <cellStyle name="Normal 306 3" xfId="1543"/>
    <cellStyle name="Normal 306 3 2" xfId="3202"/>
    <cellStyle name="Normal 306 3 2 2" xfId="6896"/>
    <cellStyle name="Normal 306 3 3" xfId="6897"/>
    <cellStyle name="Normal 306 4" xfId="2408"/>
    <cellStyle name="Normal 306 4 2" xfId="6898"/>
    <cellStyle name="Normal 306 5" xfId="6899"/>
    <cellStyle name="Normal 307" xfId="740"/>
    <cellStyle name="Normal 307 2" xfId="1137"/>
    <cellStyle name="Normal 307 2 2" xfId="1936"/>
    <cellStyle name="Normal 307 2 2 2" xfId="3595"/>
    <cellStyle name="Normal 307 2 2 2 2" xfId="6900"/>
    <cellStyle name="Normal 307 2 2 3" xfId="6901"/>
    <cellStyle name="Normal 307 2 3" xfId="2801"/>
    <cellStyle name="Normal 307 2 3 2" xfId="6902"/>
    <cellStyle name="Normal 307 2 4" xfId="6903"/>
    <cellStyle name="Normal 307 3" xfId="1540"/>
    <cellStyle name="Normal 307 3 2" xfId="3199"/>
    <cellStyle name="Normal 307 3 2 2" xfId="6904"/>
    <cellStyle name="Normal 307 3 3" xfId="6905"/>
    <cellStyle name="Normal 307 4" xfId="2405"/>
    <cellStyle name="Normal 307 4 2" xfId="6906"/>
    <cellStyle name="Normal 307 5" xfId="6907"/>
    <cellStyle name="Normal 308" xfId="742"/>
    <cellStyle name="Normal 308 2" xfId="1139"/>
    <cellStyle name="Normal 308 2 2" xfId="1938"/>
    <cellStyle name="Normal 308 2 2 2" xfId="3597"/>
    <cellStyle name="Normal 308 2 2 2 2" xfId="6908"/>
    <cellStyle name="Normal 308 2 2 3" xfId="6909"/>
    <cellStyle name="Normal 308 2 3" xfId="2803"/>
    <cellStyle name="Normal 308 2 3 2" xfId="6910"/>
    <cellStyle name="Normal 308 2 4" xfId="6911"/>
    <cellStyle name="Normal 308 3" xfId="1542"/>
    <cellStyle name="Normal 308 3 2" xfId="3201"/>
    <cellStyle name="Normal 308 3 2 2" xfId="6912"/>
    <cellStyle name="Normal 308 3 3" xfId="6913"/>
    <cellStyle name="Normal 308 4" xfId="2407"/>
    <cellStyle name="Normal 308 4 2" xfId="6914"/>
    <cellStyle name="Normal 308 5" xfId="6915"/>
    <cellStyle name="Normal 309" xfId="764"/>
    <cellStyle name="Normal 309 2" xfId="1161"/>
    <cellStyle name="Normal 309 2 2" xfId="1960"/>
    <cellStyle name="Normal 309 2 2 2" xfId="3619"/>
    <cellStyle name="Normal 309 2 2 2 2" xfId="6916"/>
    <cellStyle name="Normal 309 2 2 3" xfId="6917"/>
    <cellStyle name="Normal 309 2 3" xfId="2825"/>
    <cellStyle name="Normal 309 2 3 2" xfId="6918"/>
    <cellStyle name="Normal 309 2 4" xfId="6919"/>
    <cellStyle name="Normal 309 3" xfId="1564"/>
    <cellStyle name="Normal 309 3 2" xfId="3223"/>
    <cellStyle name="Normal 309 3 2 2" xfId="6920"/>
    <cellStyle name="Normal 309 3 3" xfId="6921"/>
    <cellStyle name="Normal 309 4" xfId="2429"/>
    <cellStyle name="Normal 309 4 2" xfId="6922"/>
    <cellStyle name="Normal 309 5" xfId="6923"/>
    <cellStyle name="Normal 31" xfId="441"/>
    <cellStyle name="Normal 31 2" xfId="826"/>
    <cellStyle name="Normal 31 2 2" xfId="1625"/>
    <cellStyle name="Normal 31 2 2 2" xfId="3284"/>
    <cellStyle name="Normal 31 2 2 2 2" xfId="6924"/>
    <cellStyle name="Normal 31 2 2 2 2 2" xfId="6925"/>
    <cellStyle name="Normal 31 2 2 2 2 2 2" xfId="6926"/>
    <cellStyle name="Normal 31 2 2 2 2 2 2 2" xfId="6927"/>
    <cellStyle name="Normal 31 2 2 2 2 2 2 2 2" xfId="6928"/>
    <cellStyle name="Normal 31 2 2 2 2 2 2 2 2 2" xfId="6929"/>
    <cellStyle name="Normal 31 2 2 2 2 2 2 2 2 2 2" xfId="6930"/>
    <cellStyle name="Normal 31 2 2 2 2 2 2 2 2 2 2 2" xfId="6931"/>
    <cellStyle name="Normal 31 2 2 2 2 2 2 2 2 2 2 2 2" xfId="6932"/>
    <cellStyle name="Normal 31 2 2 2 2 2 2 2 2 2 2 2 2 2" xfId="6933"/>
    <cellStyle name="Normal 31 2 2 2 2 2 2 2 2 2 2 2 2 2 2" xfId="6934"/>
    <cellStyle name="Normal 31 2 2 2 2 2 2 2 2 2 2 2 2 2 2 2" xfId="6935"/>
    <cellStyle name="Normal 31 2 2 2 2 2 2 2 2 2 2 2 2 2 2 2 2" xfId="6936"/>
    <cellStyle name="Normal 31 2 2 2 2 2 2 2 2 2 2 2 2 2 2 2 2 2" xfId="6937"/>
    <cellStyle name="Normal 31 2 2 2 2 2 2 2 2 2 2 2 2 2 2 2 2 2 2" xfId="6938"/>
    <cellStyle name="Normal 31 2 2 2 2 2 2 2 2 2 2 2 2 2 2 2 2 2 2 2" xfId="6939"/>
    <cellStyle name="Normal 31 2 2 2 2 2 2 2 2 2 2 2 2 2 2 2 2 2 2 2 2" xfId="6940"/>
    <cellStyle name="Normal 31 2 2 2 2 2 2 2 2 2 2 2 2 2 2 2 2 2 2 2 2 2" xfId="6941"/>
    <cellStyle name="Normal 31 2 2 2 2 2 2 2 2 2 2 2 2 2 2 2 2 2 2 2 2 2 2" xfId="6942"/>
    <cellStyle name="Normal 31 2 2 2 2 2 2 2 2 2 2 2 2 2 2 2 2 2 2 2 2 2 2 2" xfId="6943"/>
    <cellStyle name="Normal 31 2 2 2 2 2 2 2 2 2 2 2 2 2 2 2 2 2 2 2 2 2 2 2 2" xfId="6944"/>
    <cellStyle name="Normal 31 2 2 2 2 2 2 2 2 2 2 2 2 2 2 2 2 2 2 2 2 2 2 2 2 2" xfId="6945"/>
    <cellStyle name="Normal 31 2 2 2 2 2 2 2 2 2 2 2 2 2 2 2 2 2 2 2 2 2 2 2 2 2 2" xfId="6946"/>
    <cellStyle name="Normal 31 2 2 2 2 2 2 2 2 2 2 2 2 2 2 2 2 2 2 2 2 2 2 2 3" xfId="6947"/>
    <cellStyle name="Normal 31 2 2 2 2 2 2 2 2 2 2 2 2 2 2 2 2 2 2 2 2 2 2 3" xfId="6948"/>
    <cellStyle name="Normal 31 2 2 2 2 2 2 2 2 2 2 2 2 2 2 2 2 2 2 2 2 2 3" xfId="6949"/>
    <cellStyle name="Normal 31 2 2 2 2 2 2 2 2 2 2 2 2 2 2 2 2 2 2 2 2 3" xfId="6950"/>
    <cellStyle name="Normal 31 2 2 2 2 2 2 2 2 2 2 2 2 2 2 2 2 2 2 2 2 4" xfId="6951"/>
    <cellStyle name="Normal 31 2 2 2 2 2 2 2 2 2 2 2 2 2 2 2 2 2 2 2 3" xfId="6952"/>
    <cellStyle name="Normal 31 2 2 2 2 2 2 2 2 2 2 2 2 2 2 2 2 2 2 3" xfId="6953"/>
    <cellStyle name="Normal 31 2 2 2 2 2 2 2 2 2 2 2 2 2 2 2 2 2 3" xfId="6954"/>
    <cellStyle name="Normal 31 2 2 2 2 2 2 2 2 2 2 2 2 2 2 2 2 3" xfId="6955"/>
    <cellStyle name="Normal 31 2 2 2 2 2 2 2 2 2 2 2 2 2 2 2 2 3 2" xfId="6956"/>
    <cellStyle name="Normal 31 2 2 2 2 2 2 2 2 2 2 2 2 2 2 2 2 4" xfId="6957"/>
    <cellStyle name="Normal 31 2 2 2 2 2 2 2 2 2 2 2 2 2 2 2 2 4 2" xfId="6958"/>
    <cellStyle name="Normal 31 2 2 2 2 2 2 2 2 2 2 2 2 2 2 2 2 4 2 2" xfId="6959"/>
    <cellStyle name="Normal 31 2 2 2 2 2 2 2 2 2 2 2 2 2 2 2 2 4 3" xfId="6960"/>
    <cellStyle name="Normal 31 2 2 2 2 2 2 2 2 2 2 2 2 2 2 2 2 5" xfId="6961"/>
    <cellStyle name="Normal 31 2 2 2 2 2 2 2 2 2 2 2 2 2 2 2 3" xfId="6962"/>
    <cellStyle name="Normal 31 2 2 2 2 2 2 2 2 2 2 2 2 2 2 3" xfId="6963"/>
    <cellStyle name="Normal 31 2 2 2 2 2 2 2 2 2 2 2 2 2 3" xfId="6964"/>
    <cellStyle name="Normal 31 2 2 2 2 2 2 2 2 2 2 2 2 3" xfId="6965"/>
    <cellStyle name="Normal 31 2 2 2 2 2 2 2 2 2 2 2 3" xfId="6966"/>
    <cellStyle name="Normal 31 2 2 2 2 2 2 2 2 2 2 3" xfId="6967"/>
    <cellStyle name="Normal 31 2 2 2 2 2 2 2 2 2 3" xfId="6968"/>
    <cellStyle name="Normal 31 2 2 2 2 2 2 2 2 3" xfId="6969"/>
    <cellStyle name="Normal 31 2 2 2 2 2 2 2 3" xfId="6970"/>
    <cellStyle name="Normal 31 2 2 2 2 2 2 3" xfId="6971"/>
    <cellStyle name="Normal 31 2 2 2 2 2 2 3 2" xfId="6972"/>
    <cellStyle name="Normal 31 2 2 2 2 2 2 4" xfId="6973"/>
    <cellStyle name="Normal 31 2 2 2 2 2 3" xfId="6974"/>
    <cellStyle name="Normal 31 2 2 2 2 3" xfId="6975"/>
    <cellStyle name="Normal 31 2 2 2 3" xfId="6976"/>
    <cellStyle name="Normal 31 2 2 2 4" xfId="6977"/>
    <cellStyle name="Normal 31 2 2 3" xfId="6978"/>
    <cellStyle name="Normal 31 2 2 4" xfId="6979"/>
    <cellStyle name="Normal 31 2 2 5" xfId="6980"/>
    <cellStyle name="Normal 31 2 3" xfId="2490"/>
    <cellStyle name="Normal 31 2 3 2" xfId="6981"/>
    <cellStyle name="Normal 31 2 4" xfId="6982"/>
    <cellStyle name="Normal 31 2 5" xfId="6983"/>
    <cellStyle name="Normal 31 3" xfId="1229"/>
    <cellStyle name="Normal 31 3 2" xfId="2888"/>
    <cellStyle name="Normal 31 3 2 2" xfId="6984"/>
    <cellStyle name="Normal 31 3 3" xfId="6985"/>
    <cellStyle name="Normal 31 4" xfId="2094"/>
    <cellStyle name="Normal 31 4 2" xfId="6986"/>
    <cellStyle name="Normal 31 5" xfId="6987"/>
    <cellStyle name="Normal 310" xfId="735"/>
    <cellStyle name="Normal 310 2" xfId="1132"/>
    <cellStyle name="Normal 310 2 2" xfId="1931"/>
    <cellStyle name="Normal 310 2 2 2" xfId="3590"/>
    <cellStyle name="Normal 310 2 2 2 2" xfId="6988"/>
    <cellStyle name="Normal 310 2 2 3" xfId="6989"/>
    <cellStyle name="Normal 310 2 3" xfId="2796"/>
    <cellStyle name="Normal 310 2 3 2" xfId="6990"/>
    <cellStyle name="Normal 310 2 4" xfId="6991"/>
    <cellStyle name="Normal 310 3" xfId="1535"/>
    <cellStyle name="Normal 310 3 2" xfId="3194"/>
    <cellStyle name="Normal 310 3 2 2" xfId="6992"/>
    <cellStyle name="Normal 310 3 3" xfId="6993"/>
    <cellStyle name="Normal 310 4" xfId="2400"/>
    <cellStyle name="Normal 310 4 2" xfId="6994"/>
    <cellStyle name="Normal 310 5" xfId="6995"/>
    <cellStyle name="Normal 311" xfId="733"/>
    <cellStyle name="Normal 311 2" xfId="1130"/>
    <cellStyle name="Normal 311 2 2" xfId="1929"/>
    <cellStyle name="Normal 311 2 2 2" xfId="3588"/>
    <cellStyle name="Normal 311 2 2 2 2" xfId="6996"/>
    <cellStyle name="Normal 311 2 2 3" xfId="6997"/>
    <cellStyle name="Normal 311 2 3" xfId="2794"/>
    <cellStyle name="Normal 311 2 3 2" xfId="6998"/>
    <cellStyle name="Normal 311 2 4" xfId="6999"/>
    <cellStyle name="Normal 311 3" xfId="1533"/>
    <cellStyle name="Normal 311 3 2" xfId="3192"/>
    <cellStyle name="Normal 311 3 2 2" xfId="7000"/>
    <cellStyle name="Normal 311 3 3" xfId="7001"/>
    <cellStyle name="Normal 311 4" xfId="2398"/>
    <cellStyle name="Normal 311 4 2" xfId="7002"/>
    <cellStyle name="Normal 311 5" xfId="7003"/>
    <cellStyle name="Normal 312" xfId="738"/>
    <cellStyle name="Normal 312 2" xfId="1135"/>
    <cellStyle name="Normal 312 2 2" xfId="1934"/>
    <cellStyle name="Normal 312 2 2 2" xfId="3593"/>
    <cellStyle name="Normal 312 2 2 2 2" xfId="7004"/>
    <cellStyle name="Normal 312 2 2 3" xfId="7005"/>
    <cellStyle name="Normal 312 2 3" xfId="2799"/>
    <cellStyle name="Normal 312 2 3 2" xfId="7006"/>
    <cellStyle name="Normal 312 2 4" xfId="7007"/>
    <cellStyle name="Normal 312 3" xfId="1538"/>
    <cellStyle name="Normal 312 3 2" xfId="3197"/>
    <cellStyle name="Normal 312 3 2 2" xfId="7008"/>
    <cellStyle name="Normal 312 3 3" xfId="7009"/>
    <cellStyle name="Normal 312 4" xfId="2403"/>
    <cellStyle name="Normal 312 4 2" xfId="7010"/>
    <cellStyle name="Normal 312 5" xfId="7011"/>
    <cellStyle name="Normal 313" xfId="737"/>
    <cellStyle name="Normal 313 2" xfId="1134"/>
    <cellStyle name="Normal 313 2 2" xfId="1933"/>
    <cellStyle name="Normal 313 2 2 2" xfId="3592"/>
    <cellStyle name="Normal 313 2 2 2 2" xfId="7012"/>
    <cellStyle name="Normal 313 2 2 3" xfId="7013"/>
    <cellStyle name="Normal 313 2 3" xfId="2798"/>
    <cellStyle name="Normal 313 2 3 2" xfId="7014"/>
    <cellStyle name="Normal 313 2 4" xfId="7015"/>
    <cellStyle name="Normal 313 3" xfId="1537"/>
    <cellStyle name="Normal 313 3 2" xfId="3196"/>
    <cellStyle name="Normal 313 3 2 2" xfId="7016"/>
    <cellStyle name="Normal 313 3 3" xfId="7017"/>
    <cellStyle name="Normal 313 4" xfId="2402"/>
    <cellStyle name="Normal 313 4 2" xfId="7018"/>
    <cellStyle name="Normal 313 5" xfId="7019"/>
    <cellStyle name="Normal 314" xfId="736"/>
    <cellStyle name="Normal 314 2" xfId="1133"/>
    <cellStyle name="Normal 314 2 2" xfId="1932"/>
    <cellStyle name="Normal 314 2 2 2" xfId="3591"/>
    <cellStyle name="Normal 314 2 2 2 2" xfId="7020"/>
    <cellStyle name="Normal 314 2 2 3" xfId="7021"/>
    <cellStyle name="Normal 314 2 3" xfId="2797"/>
    <cellStyle name="Normal 314 2 3 2" xfId="7022"/>
    <cellStyle name="Normal 314 2 4" xfId="7023"/>
    <cellStyle name="Normal 314 3" xfId="1536"/>
    <cellStyle name="Normal 314 3 2" xfId="3195"/>
    <cellStyle name="Normal 314 3 2 2" xfId="7024"/>
    <cellStyle name="Normal 314 3 3" xfId="7025"/>
    <cellStyle name="Normal 314 4" xfId="2401"/>
    <cellStyle name="Normal 314 4 2" xfId="7026"/>
    <cellStyle name="Normal 314 5" xfId="7027"/>
    <cellStyle name="Normal 315" xfId="734"/>
    <cellStyle name="Normal 315 2" xfId="1131"/>
    <cellStyle name="Normal 315 2 2" xfId="1930"/>
    <cellStyle name="Normal 315 2 2 2" xfId="3589"/>
    <cellStyle name="Normal 315 2 2 2 2" xfId="7028"/>
    <cellStyle name="Normal 315 2 2 3" xfId="7029"/>
    <cellStyle name="Normal 315 2 3" xfId="2795"/>
    <cellStyle name="Normal 315 2 3 2" xfId="7030"/>
    <cellStyle name="Normal 315 2 4" xfId="7031"/>
    <cellStyle name="Normal 315 3" xfId="1534"/>
    <cellStyle name="Normal 315 3 2" xfId="3193"/>
    <cellStyle name="Normal 315 3 2 2" xfId="7032"/>
    <cellStyle name="Normal 315 3 3" xfId="7033"/>
    <cellStyle name="Normal 315 4" xfId="2399"/>
    <cellStyle name="Normal 315 4 2" xfId="7034"/>
    <cellStyle name="Normal 315 5" xfId="7035"/>
    <cellStyle name="Normal 316" xfId="777"/>
    <cellStyle name="Normal 316 2" xfId="1174"/>
    <cellStyle name="Normal 316 2 2" xfId="1973"/>
    <cellStyle name="Normal 316 2 2 2" xfId="3632"/>
    <cellStyle name="Normal 316 2 2 2 2" xfId="7036"/>
    <cellStyle name="Normal 316 2 2 3" xfId="7037"/>
    <cellStyle name="Normal 316 2 3" xfId="2838"/>
    <cellStyle name="Normal 316 2 3 2" xfId="7038"/>
    <cellStyle name="Normal 316 2 4" xfId="7039"/>
    <cellStyle name="Normal 316 3" xfId="1577"/>
    <cellStyle name="Normal 316 3 2" xfId="3236"/>
    <cellStyle name="Normal 316 3 2 2" xfId="7040"/>
    <cellStyle name="Normal 316 3 3" xfId="7041"/>
    <cellStyle name="Normal 316 4" xfId="2442"/>
    <cellStyle name="Normal 316 4 2" xfId="7042"/>
    <cellStyle name="Normal 316 5" xfId="7043"/>
    <cellStyle name="Normal 317" xfId="770"/>
    <cellStyle name="Normal 317 2" xfId="1167"/>
    <cellStyle name="Normal 317 2 2" xfId="1966"/>
    <cellStyle name="Normal 317 2 2 2" xfId="3625"/>
    <cellStyle name="Normal 317 2 2 2 2" xfId="7044"/>
    <cellStyle name="Normal 317 2 2 3" xfId="7045"/>
    <cellStyle name="Normal 317 2 3" xfId="2831"/>
    <cellStyle name="Normal 317 2 3 2" xfId="7046"/>
    <cellStyle name="Normal 317 2 4" xfId="7047"/>
    <cellStyle name="Normal 317 3" xfId="1570"/>
    <cellStyle name="Normal 317 3 2" xfId="3229"/>
    <cellStyle name="Normal 317 3 2 2" xfId="7048"/>
    <cellStyle name="Normal 317 3 3" xfId="7049"/>
    <cellStyle name="Normal 317 4" xfId="2435"/>
    <cellStyle name="Normal 317 4 2" xfId="7050"/>
    <cellStyle name="Normal 317 5" xfId="7051"/>
    <cellStyle name="Normal 318" xfId="769"/>
    <cellStyle name="Normal 318 2" xfId="1166"/>
    <cellStyle name="Normal 318 2 2" xfId="1965"/>
    <cellStyle name="Normal 318 2 2 2" xfId="3624"/>
    <cellStyle name="Normal 318 2 2 2 2" xfId="7052"/>
    <cellStyle name="Normal 318 2 2 3" xfId="7053"/>
    <cellStyle name="Normal 318 2 3" xfId="2830"/>
    <cellStyle name="Normal 318 2 3 2" xfId="7054"/>
    <cellStyle name="Normal 318 2 4" xfId="7055"/>
    <cellStyle name="Normal 318 3" xfId="1569"/>
    <cellStyle name="Normal 318 3 2" xfId="3228"/>
    <cellStyle name="Normal 318 3 2 2" xfId="7056"/>
    <cellStyle name="Normal 318 3 3" xfId="7057"/>
    <cellStyle name="Normal 318 4" xfId="2434"/>
    <cellStyle name="Normal 318 4 2" xfId="7058"/>
    <cellStyle name="Normal 318 5" xfId="7059"/>
    <cellStyle name="Normal 319" xfId="739"/>
    <cellStyle name="Normal 319 2" xfId="1136"/>
    <cellStyle name="Normal 319 2 2" xfId="1935"/>
    <cellStyle name="Normal 319 2 2 2" xfId="3594"/>
    <cellStyle name="Normal 319 2 2 2 2" xfId="7060"/>
    <cellStyle name="Normal 319 2 2 3" xfId="7061"/>
    <cellStyle name="Normal 319 2 3" xfId="2800"/>
    <cellStyle name="Normal 319 2 3 2" xfId="7062"/>
    <cellStyle name="Normal 319 2 4" xfId="7063"/>
    <cellStyle name="Normal 319 3" xfId="1539"/>
    <cellStyle name="Normal 319 3 2" xfId="3198"/>
    <cellStyle name="Normal 319 3 2 2" xfId="7064"/>
    <cellStyle name="Normal 319 3 3" xfId="7065"/>
    <cellStyle name="Normal 319 4" xfId="2404"/>
    <cellStyle name="Normal 319 4 2" xfId="7066"/>
    <cellStyle name="Normal 319 5" xfId="7067"/>
    <cellStyle name="Normal 32" xfId="457"/>
    <cellStyle name="Normal 32 2" xfId="842"/>
    <cellStyle name="Normal 32 2 2" xfId="1641"/>
    <cellStyle name="Normal 32 2 2 2" xfId="3300"/>
    <cellStyle name="Normal 32 2 2 2 2" xfId="7068"/>
    <cellStyle name="Normal 32 2 2 2 2 2" xfId="7069"/>
    <cellStyle name="Normal 32 2 2 2 2 2 2" xfId="7070"/>
    <cellStyle name="Normal 32 2 2 2 2 2 2 2" xfId="7071"/>
    <cellStyle name="Normal 32 2 2 2 2 2 3" xfId="7072"/>
    <cellStyle name="Normal 32 2 2 2 2 3" xfId="7073"/>
    <cellStyle name="Normal 32 2 2 2 3" xfId="7074"/>
    <cellStyle name="Normal 32 2 2 2 4" xfId="7075"/>
    <cellStyle name="Normal 32 2 2 3" xfId="7076"/>
    <cellStyle name="Normal 32 2 2 3 2" xfId="7077"/>
    <cellStyle name="Normal 32 2 2 3 2 2" xfId="7078"/>
    <cellStyle name="Normal 32 2 2 3 2 2 2" xfId="7079"/>
    <cellStyle name="Normal 32 2 2 3 2 2 2 2" xfId="7080"/>
    <cellStyle name="Normal 32 2 2 3 2 2 2 2 2" xfId="7081"/>
    <cellStyle name="Normal 32 2 2 3 2 2 2 2 2 2" xfId="7082"/>
    <cellStyle name="Normal 32 2 2 3 2 2 2 2 3" xfId="7083"/>
    <cellStyle name="Normal 32 2 2 3 2 2 2 3" xfId="7084"/>
    <cellStyle name="Normal 32 2 2 3 2 2 3" xfId="7085"/>
    <cellStyle name="Normal 32 2 2 3 2 3" xfId="7086"/>
    <cellStyle name="Normal 32 2 2 3 3" xfId="7087"/>
    <cellStyle name="Normal 32 2 2 4" xfId="7088"/>
    <cellStyle name="Normal 32 2 2 5" xfId="7089"/>
    <cellStyle name="Normal 32 2 2 6" xfId="7090"/>
    <cellStyle name="Normal 32 2 3" xfId="2506"/>
    <cellStyle name="Normal 32 2 3 2" xfId="7091"/>
    <cellStyle name="Normal 32 2 4" xfId="7092"/>
    <cellStyle name="Normal 32 2 5" xfId="7093"/>
    <cellStyle name="Normal 32 3" xfId="1245"/>
    <cellStyle name="Normal 32 3 2" xfId="2904"/>
    <cellStyle name="Normal 32 3 2 2" xfId="7094"/>
    <cellStyle name="Normal 32 3 3" xfId="7095"/>
    <cellStyle name="Normal 32 4" xfId="2110"/>
    <cellStyle name="Normal 32 4 2" xfId="7096"/>
    <cellStyle name="Normal 32 5" xfId="7097"/>
    <cellStyle name="Normal 320" xfId="746"/>
    <cellStyle name="Normal 320 2" xfId="1143"/>
    <cellStyle name="Normal 320 2 2" xfId="1942"/>
    <cellStyle name="Normal 320 2 2 2" xfId="3601"/>
    <cellStyle name="Normal 320 2 2 2 2" xfId="7098"/>
    <cellStyle name="Normal 320 2 2 3" xfId="7099"/>
    <cellStyle name="Normal 320 2 3" xfId="2807"/>
    <cellStyle name="Normal 320 2 3 2" xfId="7100"/>
    <cellStyle name="Normal 320 2 4" xfId="7101"/>
    <cellStyle name="Normal 320 3" xfId="1546"/>
    <cellStyle name="Normal 320 3 2" xfId="3205"/>
    <cellStyle name="Normal 320 3 2 2" xfId="7102"/>
    <cellStyle name="Normal 320 3 3" xfId="7103"/>
    <cellStyle name="Normal 320 4" xfId="2411"/>
    <cellStyle name="Normal 320 4 2" xfId="7104"/>
    <cellStyle name="Normal 320 5" xfId="7105"/>
    <cellStyle name="Normal 321" xfId="757"/>
    <cellStyle name="Normal 321 2" xfId="1154"/>
    <cellStyle name="Normal 321 2 2" xfId="1953"/>
    <cellStyle name="Normal 321 2 2 2" xfId="3612"/>
    <cellStyle name="Normal 321 2 2 2 2" xfId="7106"/>
    <cellStyle name="Normal 321 2 2 3" xfId="7107"/>
    <cellStyle name="Normal 321 2 3" xfId="2818"/>
    <cellStyle name="Normal 321 2 3 2" xfId="7108"/>
    <cellStyle name="Normal 321 2 4" xfId="7109"/>
    <cellStyle name="Normal 321 3" xfId="1557"/>
    <cellStyle name="Normal 321 3 2" xfId="3216"/>
    <cellStyle name="Normal 321 3 2 2" xfId="7110"/>
    <cellStyle name="Normal 321 3 3" xfId="7111"/>
    <cellStyle name="Normal 321 4" xfId="2422"/>
    <cellStyle name="Normal 321 4 2" xfId="7112"/>
    <cellStyle name="Normal 321 5" xfId="7113"/>
    <cellStyle name="Normal 322" xfId="763"/>
    <cellStyle name="Normal 322 2" xfId="1160"/>
    <cellStyle name="Normal 322 2 2" xfId="1959"/>
    <cellStyle name="Normal 322 2 2 2" xfId="3618"/>
    <cellStyle name="Normal 322 2 2 2 2" xfId="7114"/>
    <cellStyle name="Normal 322 2 2 3" xfId="7115"/>
    <cellStyle name="Normal 322 2 3" xfId="2824"/>
    <cellStyle name="Normal 322 2 3 2" xfId="7116"/>
    <cellStyle name="Normal 322 2 4" xfId="7117"/>
    <cellStyle name="Normal 322 3" xfId="1563"/>
    <cellStyle name="Normal 322 3 2" xfId="3222"/>
    <cellStyle name="Normal 322 3 2 2" xfId="7118"/>
    <cellStyle name="Normal 322 3 3" xfId="7119"/>
    <cellStyle name="Normal 322 4" xfId="2428"/>
    <cellStyle name="Normal 322 4 2" xfId="7120"/>
    <cellStyle name="Normal 322 5" xfId="7121"/>
    <cellStyle name="Normal 323" xfId="773"/>
    <cellStyle name="Normal 323 2" xfId="1170"/>
    <cellStyle name="Normal 323 2 2" xfId="1969"/>
    <cellStyle name="Normal 323 2 2 2" xfId="3628"/>
    <cellStyle name="Normal 323 2 2 2 2" xfId="7122"/>
    <cellStyle name="Normal 323 2 2 3" xfId="7123"/>
    <cellStyle name="Normal 323 2 3" xfId="2834"/>
    <cellStyle name="Normal 323 2 3 2" xfId="7124"/>
    <cellStyle name="Normal 323 2 4" xfId="7125"/>
    <cellStyle name="Normal 323 3" xfId="1573"/>
    <cellStyle name="Normal 323 3 2" xfId="3232"/>
    <cellStyle name="Normal 323 3 2 2" xfId="7126"/>
    <cellStyle name="Normal 323 3 3" xfId="7127"/>
    <cellStyle name="Normal 323 4" xfId="2438"/>
    <cellStyle name="Normal 323 4 2" xfId="7128"/>
    <cellStyle name="Normal 323 5" xfId="7129"/>
    <cellStyle name="Normal 324" xfId="750"/>
    <cellStyle name="Normal 324 2" xfId="1147"/>
    <cellStyle name="Normal 324 2 2" xfId="1946"/>
    <cellStyle name="Normal 324 2 2 2" xfId="3605"/>
    <cellStyle name="Normal 324 2 2 2 2" xfId="7130"/>
    <cellStyle name="Normal 324 2 2 3" xfId="7131"/>
    <cellStyle name="Normal 324 2 3" xfId="2811"/>
    <cellStyle name="Normal 324 2 3 2" xfId="7132"/>
    <cellStyle name="Normal 324 2 4" xfId="7133"/>
    <cellStyle name="Normal 324 3" xfId="1550"/>
    <cellStyle name="Normal 324 3 2" xfId="3209"/>
    <cellStyle name="Normal 324 3 2 2" xfId="7134"/>
    <cellStyle name="Normal 324 3 3" xfId="7135"/>
    <cellStyle name="Normal 324 4" xfId="2415"/>
    <cellStyle name="Normal 324 4 2" xfId="7136"/>
    <cellStyle name="Normal 324 5" xfId="7137"/>
    <cellStyle name="Normal 325" xfId="745"/>
    <cellStyle name="Normal 325 2" xfId="1142"/>
    <cellStyle name="Normal 325 2 2" xfId="1941"/>
    <cellStyle name="Normal 325 2 2 2" xfId="3600"/>
    <cellStyle name="Normal 325 2 2 2 2" xfId="7138"/>
    <cellStyle name="Normal 325 2 2 3" xfId="7139"/>
    <cellStyle name="Normal 325 2 3" xfId="2806"/>
    <cellStyle name="Normal 325 2 3 2" xfId="7140"/>
    <cellStyle name="Normal 325 2 4" xfId="7141"/>
    <cellStyle name="Normal 325 3" xfId="1545"/>
    <cellStyle name="Normal 325 3 2" xfId="3204"/>
    <cellStyle name="Normal 325 3 2 2" xfId="7142"/>
    <cellStyle name="Normal 325 3 3" xfId="7143"/>
    <cellStyle name="Normal 325 4" xfId="2410"/>
    <cellStyle name="Normal 325 4 2" xfId="7144"/>
    <cellStyle name="Normal 325 5" xfId="7145"/>
    <cellStyle name="Normal 326" xfId="771"/>
    <cellStyle name="Normal 326 2" xfId="1168"/>
    <cellStyle name="Normal 326 2 2" xfId="1967"/>
    <cellStyle name="Normal 326 2 2 2" xfId="3626"/>
    <cellStyle name="Normal 326 2 2 2 2" xfId="7146"/>
    <cellStyle name="Normal 326 2 2 3" xfId="7147"/>
    <cellStyle name="Normal 326 2 3" xfId="2832"/>
    <cellStyle name="Normal 326 2 3 2" xfId="7148"/>
    <cellStyle name="Normal 326 2 4" xfId="7149"/>
    <cellStyle name="Normal 326 3" xfId="1571"/>
    <cellStyle name="Normal 326 3 2" xfId="3230"/>
    <cellStyle name="Normal 326 3 2 2" xfId="7150"/>
    <cellStyle name="Normal 326 3 3" xfId="7151"/>
    <cellStyle name="Normal 326 4" xfId="2436"/>
    <cellStyle name="Normal 326 4 2" xfId="7152"/>
    <cellStyle name="Normal 326 5" xfId="7153"/>
    <cellStyle name="Normal 327" xfId="783"/>
    <cellStyle name="Normal 327 2" xfId="1180"/>
    <cellStyle name="Normal 327 2 2" xfId="1979"/>
    <cellStyle name="Normal 327 2 2 2" xfId="3638"/>
    <cellStyle name="Normal 327 2 2 2 2" xfId="7154"/>
    <cellStyle name="Normal 327 2 2 3" xfId="7155"/>
    <cellStyle name="Normal 327 2 3" xfId="2844"/>
    <cellStyle name="Normal 327 2 3 2" xfId="7156"/>
    <cellStyle name="Normal 327 2 4" xfId="7157"/>
    <cellStyle name="Normal 327 3" xfId="1583"/>
    <cellStyle name="Normal 327 3 2" xfId="3242"/>
    <cellStyle name="Normal 327 3 2 2" xfId="7158"/>
    <cellStyle name="Normal 327 3 3" xfId="7159"/>
    <cellStyle name="Normal 327 4" xfId="2448"/>
    <cellStyle name="Normal 327 4 2" xfId="7160"/>
    <cellStyle name="Normal 327 5" xfId="7161"/>
    <cellStyle name="Normal 328" xfId="775"/>
    <cellStyle name="Normal 328 2" xfId="1172"/>
    <cellStyle name="Normal 328 2 2" xfId="1971"/>
    <cellStyle name="Normal 328 2 2 2" xfId="3630"/>
    <cellStyle name="Normal 328 2 2 2 2" xfId="7162"/>
    <cellStyle name="Normal 328 2 2 3" xfId="7163"/>
    <cellStyle name="Normal 328 2 3" xfId="2836"/>
    <cellStyle name="Normal 328 2 3 2" xfId="7164"/>
    <cellStyle name="Normal 328 2 4" xfId="7165"/>
    <cellStyle name="Normal 328 3" xfId="1575"/>
    <cellStyle name="Normal 328 3 2" xfId="3234"/>
    <cellStyle name="Normal 328 3 2 2" xfId="7166"/>
    <cellStyle name="Normal 328 3 3" xfId="7167"/>
    <cellStyle name="Normal 328 4" xfId="2440"/>
    <cellStyle name="Normal 328 4 2" xfId="7168"/>
    <cellStyle name="Normal 328 5" xfId="7169"/>
    <cellStyle name="Normal 329" xfId="778"/>
    <cellStyle name="Normal 329 2" xfId="1175"/>
    <cellStyle name="Normal 329 2 2" xfId="1974"/>
    <cellStyle name="Normal 329 2 2 2" xfId="3633"/>
    <cellStyle name="Normal 329 2 2 2 2" xfId="7170"/>
    <cellStyle name="Normal 329 2 2 3" xfId="7171"/>
    <cellStyle name="Normal 329 2 3" xfId="2839"/>
    <cellStyle name="Normal 329 2 3 2" xfId="7172"/>
    <cellStyle name="Normal 329 2 4" xfId="7173"/>
    <cellStyle name="Normal 329 3" xfId="1578"/>
    <cellStyle name="Normal 329 3 2" xfId="3237"/>
    <cellStyle name="Normal 329 3 2 2" xfId="7174"/>
    <cellStyle name="Normal 329 3 3" xfId="7175"/>
    <cellStyle name="Normal 329 4" xfId="2443"/>
    <cellStyle name="Normal 329 4 2" xfId="7176"/>
    <cellStyle name="Normal 329 5" xfId="7177"/>
    <cellStyle name="Normal 33" xfId="435"/>
    <cellStyle name="Normal 33 2" xfId="820"/>
    <cellStyle name="Normal 33 2 2" xfId="1619"/>
    <cellStyle name="Normal 33 2 2 2" xfId="3278"/>
    <cellStyle name="Normal 33 2 2 2 2" xfId="7178"/>
    <cellStyle name="Normal 33 2 2 3" xfId="7179"/>
    <cellStyle name="Normal 33 2 3" xfId="2484"/>
    <cellStyle name="Normal 33 2 3 2" xfId="7180"/>
    <cellStyle name="Normal 33 2 4" xfId="7181"/>
    <cellStyle name="Normal 33 3" xfId="1223"/>
    <cellStyle name="Normal 33 3 2" xfId="2882"/>
    <cellStyle name="Normal 33 3 2 2" xfId="7182"/>
    <cellStyle name="Normal 33 3 3" xfId="7183"/>
    <cellStyle name="Normal 33 4" xfId="2088"/>
    <cellStyle name="Normal 33 4 2" xfId="7184"/>
    <cellStyle name="Normal 33 5" xfId="7185"/>
    <cellStyle name="Normal 330" xfId="747"/>
    <cellStyle name="Normal 330 2" xfId="1144"/>
    <cellStyle name="Normal 330 2 2" xfId="1943"/>
    <cellStyle name="Normal 330 2 2 2" xfId="3602"/>
    <cellStyle name="Normal 330 2 2 2 2" xfId="7186"/>
    <cellStyle name="Normal 330 2 2 3" xfId="7187"/>
    <cellStyle name="Normal 330 2 3" xfId="2808"/>
    <cellStyle name="Normal 330 2 3 2" xfId="7188"/>
    <cellStyle name="Normal 330 2 4" xfId="7189"/>
    <cellStyle name="Normal 330 3" xfId="1547"/>
    <cellStyle name="Normal 330 3 2" xfId="3206"/>
    <cellStyle name="Normal 330 3 2 2" xfId="7190"/>
    <cellStyle name="Normal 330 3 3" xfId="7191"/>
    <cellStyle name="Normal 330 4" xfId="2412"/>
    <cellStyle name="Normal 330 4 2" xfId="7192"/>
    <cellStyle name="Normal 330 5" xfId="7193"/>
    <cellStyle name="Normal 331" xfId="776"/>
    <cellStyle name="Normal 331 2" xfId="1173"/>
    <cellStyle name="Normal 331 2 2" xfId="1972"/>
    <cellStyle name="Normal 331 2 2 2" xfId="3631"/>
    <cellStyle name="Normal 331 2 2 2 2" xfId="7194"/>
    <cellStyle name="Normal 331 2 2 3" xfId="7195"/>
    <cellStyle name="Normal 331 2 3" xfId="2837"/>
    <cellStyle name="Normal 331 2 3 2" xfId="7196"/>
    <cellStyle name="Normal 331 2 4" xfId="7197"/>
    <cellStyle name="Normal 331 3" xfId="1576"/>
    <cellStyle name="Normal 331 3 2" xfId="3235"/>
    <cellStyle name="Normal 331 3 2 2" xfId="7198"/>
    <cellStyle name="Normal 331 3 3" xfId="7199"/>
    <cellStyle name="Normal 331 4" xfId="2441"/>
    <cellStyle name="Normal 331 4 2" xfId="7200"/>
    <cellStyle name="Normal 331 5" xfId="7201"/>
    <cellStyle name="Normal 332" xfId="782"/>
    <cellStyle name="Normal 332 2" xfId="1179"/>
    <cellStyle name="Normal 332 2 2" xfId="1978"/>
    <cellStyle name="Normal 332 2 2 2" xfId="3637"/>
    <cellStyle name="Normal 332 2 2 2 2" xfId="7202"/>
    <cellStyle name="Normal 332 2 2 3" xfId="7203"/>
    <cellStyle name="Normal 332 2 3" xfId="2843"/>
    <cellStyle name="Normal 332 2 3 2" xfId="7204"/>
    <cellStyle name="Normal 332 2 4" xfId="7205"/>
    <cellStyle name="Normal 332 3" xfId="1582"/>
    <cellStyle name="Normal 332 3 2" xfId="3241"/>
    <cellStyle name="Normal 332 3 2 2" xfId="7206"/>
    <cellStyle name="Normal 332 3 3" xfId="7207"/>
    <cellStyle name="Normal 332 4" xfId="2447"/>
    <cellStyle name="Normal 332 4 2" xfId="7208"/>
    <cellStyle name="Normal 332 5" xfId="7209"/>
    <cellStyle name="Normal 333" xfId="779"/>
    <cellStyle name="Normal 333 2" xfId="1176"/>
    <cellStyle name="Normal 333 2 2" xfId="1975"/>
    <cellStyle name="Normal 333 2 2 2" xfId="3634"/>
    <cellStyle name="Normal 333 2 2 2 2" xfId="7210"/>
    <cellStyle name="Normal 333 2 2 3" xfId="7211"/>
    <cellStyle name="Normal 333 2 3" xfId="2840"/>
    <cellStyle name="Normal 333 2 3 2" xfId="7212"/>
    <cellStyle name="Normal 333 2 4" xfId="7213"/>
    <cellStyle name="Normal 333 3" xfId="1579"/>
    <cellStyle name="Normal 333 3 2" xfId="3238"/>
    <cellStyle name="Normal 333 3 2 2" xfId="7214"/>
    <cellStyle name="Normal 333 3 3" xfId="7215"/>
    <cellStyle name="Normal 333 4" xfId="2444"/>
    <cellStyle name="Normal 333 4 2" xfId="7216"/>
    <cellStyle name="Normal 333 5" xfId="7217"/>
    <cellStyle name="Normal 334" xfId="754"/>
    <cellStyle name="Normal 334 2" xfId="1151"/>
    <cellStyle name="Normal 334 2 2" xfId="1950"/>
    <cellStyle name="Normal 334 2 2 2" xfId="3609"/>
    <cellStyle name="Normal 334 2 2 2 2" xfId="7218"/>
    <cellStyle name="Normal 334 2 2 3" xfId="7219"/>
    <cellStyle name="Normal 334 2 3" xfId="2815"/>
    <cellStyle name="Normal 334 2 3 2" xfId="7220"/>
    <cellStyle name="Normal 334 2 4" xfId="7221"/>
    <cellStyle name="Normal 334 3" xfId="1554"/>
    <cellStyle name="Normal 334 3 2" xfId="3213"/>
    <cellStyle name="Normal 334 3 2 2" xfId="7222"/>
    <cellStyle name="Normal 334 3 3" xfId="7223"/>
    <cellStyle name="Normal 334 4" xfId="2419"/>
    <cellStyle name="Normal 334 4 2" xfId="7224"/>
    <cellStyle name="Normal 334 5" xfId="7225"/>
    <cellStyle name="Normal 335" xfId="751"/>
    <cellStyle name="Normal 335 2" xfId="1148"/>
    <cellStyle name="Normal 335 2 2" xfId="1947"/>
    <cellStyle name="Normal 335 2 2 2" xfId="3606"/>
    <cellStyle name="Normal 335 2 2 2 2" xfId="7226"/>
    <cellStyle name="Normal 335 2 2 3" xfId="7227"/>
    <cellStyle name="Normal 335 2 3" xfId="2812"/>
    <cellStyle name="Normal 335 2 3 2" xfId="7228"/>
    <cellStyle name="Normal 335 2 4" xfId="7229"/>
    <cellStyle name="Normal 335 3" xfId="1551"/>
    <cellStyle name="Normal 335 3 2" xfId="3210"/>
    <cellStyle name="Normal 335 3 2 2" xfId="7230"/>
    <cellStyle name="Normal 335 3 3" xfId="7231"/>
    <cellStyle name="Normal 335 4" xfId="2416"/>
    <cellStyle name="Normal 335 4 2" xfId="7232"/>
    <cellStyle name="Normal 335 5" xfId="7233"/>
    <cellStyle name="Normal 336" xfId="780"/>
    <cellStyle name="Normal 336 2" xfId="1177"/>
    <cellStyle name="Normal 336 2 2" xfId="1976"/>
    <cellStyle name="Normal 336 2 2 2" xfId="3635"/>
    <cellStyle name="Normal 336 2 2 2 2" xfId="7234"/>
    <cellStyle name="Normal 336 2 2 3" xfId="7235"/>
    <cellStyle name="Normal 336 2 3" xfId="2841"/>
    <cellStyle name="Normal 336 2 3 2" xfId="7236"/>
    <cellStyle name="Normal 336 2 4" xfId="7237"/>
    <cellStyle name="Normal 336 3" xfId="1580"/>
    <cellStyle name="Normal 336 3 2" xfId="3239"/>
    <cellStyle name="Normal 336 3 2 2" xfId="7238"/>
    <cellStyle name="Normal 336 3 3" xfId="7239"/>
    <cellStyle name="Normal 336 4" xfId="2445"/>
    <cellStyle name="Normal 336 4 2" xfId="7240"/>
    <cellStyle name="Normal 336 5" xfId="7241"/>
    <cellStyle name="Normal 337" xfId="774"/>
    <cellStyle name="Normal 337 2" xfId="1171"/>
    <cellStyle name="Normal 337 2 2" xfId="1970"/>
    <cellStyle name="Normal 337 2 2 2" xfId="3629"/>
    <cellStyle name="Normal 337 2 2 2 2" xfId="7242"/>
    <cellStyle name="Normal 337 2 2 3" xfId="7243"/>
    <cellStyle name="Normal 337 2 3" xfId="2835"/>
    <cellStyle name="Normal 337 2 3 2" xfId="7244"/>
    <cellStyle name="Normal 337 2 4" xfId="7245"/>
    <cellStyle name="Normal 337 3" xfId="1574"/>
    <cellStyle name="Normal 337 3 2" xfId="3233"/>
    <cellStyle name="Normal 337 3 2 2" xfId="7246"/>
    <cellStyle name="Normal 337 3 3" xfId="7247"/>
    <cellStyle name="Normal 337 4" xfId="2439"/>
    <cellStyle name="Normal 337 4 2" xfId="7248"/>
    <cellStyle name="Normal 337 5" xfId="7249"/>
    <cellStyle name="Normal 338" xfId="787"/>
    <cellStyle name="Normal 338 2" xfId="1184"/>
    <cellStyle name="Normal 338 2 2" xfId="1983"/>
    <cellStyle name="Normal 338 2 2 2" xfId="3642"/>
    <cellStyle name="Normal 338 2 2 2 2" xfId="7250"/>
    <cellStyle name="Normal 338 2 2 3" xfId="7251"/>
    <cellStyle name="Normal 338 2 3" xfId="2848"/>
    <cellStyle name="Normal 338 2 3 2" xfId="7252"/>
    <cellStyle name="Normal 338 2 4" xfId="7253"/>
    <cellStyle name="Normal 338 3" xfId="1587"/>
    <cellStyle name="Normal 338 3 2" xfId="3246"/>
    <cellStyle name="Normal 338 3 2 2" xfId="7254"/>
    <cellStyle name="Normal 338 3 3" xfId="7255"/>
    <cellStyle name="Normal 338 4" xfId="2452"/>
    <cellStyle name="Normal 338 4 2" xfId="7256"/>
    <cellStyle name="Normal 338 5" xfId="7257"/>
    <cellStyle name="Normal 339" xfId="758"/>
    <cellStyle name="Normal 339 2" xfId="1155"/>
    <cellStyle name="Normal 339 2 2" xfId="1954"/>
    <cellStyle name="Normal 339 2 2 2" xfId="3613"/>
    <cellStyle name="Normal 339 2 2 2 2" xfId="7258"/>
    <cellStyle name="Normal 339 2 2 3" xfId="7259"/>
    <cellStyle name="Normal 339 2 3" xfId="2819"/>
    <cellStyle name="Normal 339 2 3 2" xfId="7260"/>
    <cellStyle name="Normal 339 2 4" xfId="7261"/>
    <cellStyle name="Normal 339 3" xfId="1558"/>
    <cellStyle name="Normal 339 3 2" xfId="3217"/>
    <cellStyle name="Normal 339 3 2 2" xfId="7262"/>
    <cellStyle name="Normal 339 3 3" xfId="7263"/>
    <cellStyle name="Normal 339 4" xfId="2423"/>
    <cellStyle name="Normal 339 4 2" xfId="7264"/>
    <cellStyle name="Normal 339 5" xfId="7265"/>
    <cellStyle name="Normal 34" xfId="458"/>
    <cellStyle name="Normal 34 2" xfId="843"/>
    <cellStyle name="Normal 34 2 2" xfId="1642"/>
    <cellStyle name="Normal 34 2 2 2" xfId="3301"/>
    <cellStyle name="Normal 34 2 2 2 2" xfId="7266"/>
    <cellStyle name="Normal 34 2 2 2 2 2" xfId="7267"/>
    <cellStyle name="Normal 34 2 2 2 2 2 2" xfId="7268"/>
    <cellStyle name="Normal 34 2 2 2 2 2 2 2" xfId="7269"/>
    <cellStyle name="Normal 34 2 2 2 2 2 2 2 2" xfId="7270"/>
    <cellStyle name="Normal 34 2 2 2 2 2 2 3" xfId="7271"/>
    <cellStyle name="Normal 34 2 2 2 2 2 3" xfId="7272"/>
    <cellStyle name="Normal 34 2 2 2 2 3" xfId="7273"/>
    <cellStyle name="Normal 34 2 2 2 3" xfId="7274"/>
    <cellStyle name="Normal 34 2 2 2 4" xfId="7275"/>
    <cellStyle name="Normal 34 2 2 3" xfId="7276"/>
    <cellStyle name="Normal 34 2 2 4" xfId="7277"/>
    <cellStyle name="Normal 34 2 2 5" xfId="7278"/>
    <cellStyle name="Normal 34 2 3" xfId="2507"/>
    <cellStyle name="Normal 34 2 3 2" xfId="7279"/>
    <cellStyle name="Normal 34 2 4" xfId="7280"/>
    <cellStyle name="Normal 34 2 5" xfId="7281"/>
    <cellStyle name="Normal 34 3" xfId="1246"/>
    <cellStyle name="Normal 34 3 2" xfId="2905"/>
    <cellStyle name="Normal 34 3 2 2" xfId="7282"/>
    <cellStyle name="Normal 34 3 3" xfId="7283"/>
    <cellStyle name="Normal 34 4" xfId="2111"/>
    <cellStyle name="Normal 34 4 2" xfId="7284"/>
    <cellStyle name="Normal 34 5" xfId="7285"/>
    <cellStyle name="Normal 340" xfId="785"/>
    <cellStyle name="Normal 340 2" xfId="1182"/>
    <cellStyle name="Normal 340 2 2" xfId="1981"/>
    <cellStyle name="Normal 340 2 2 2" xfId="3640"/>
    <cellStyle name="Normal 340 2 2 2 2" xfId="7286"/>
    <cellStyle name="Normal 340 2 2 3" xfId="7287"/>
    <cellStyle name="Normal 340 2 3" xfId="2846"/>
    <cellStyle name="Normal 340 2 3 2" xfId="7288"/>
    <cellStyle name="Normal 340 2 4" xfId="7289"/>
    <cellStyle name="Normal 340 3" xfId="1585"/>
    <cellStyle name="Normal 340 3 2" xfId="3244"/>
    <cellStyle name="Normal 340 3 2 2" xfId="7290"/>
    <cellStyle name="Normal 340 3 3" xfId="7291"/>
    <cellStyle name="Normal 340 4" xfId="2450"/>
    <cellStyle name="Normal 340 4 2" xfId="7292"/>
    <cellStyle name="Normal 340 5" xfId="7293"/>
    <cellStyle name="Normal 341" xfId="772"/>
    <cellStyle name="Normal 341 2" xfId="1169"/>
    <cellStyle name="Normal 341 2 2" xfId="1968"/>
    <cellStyle name="Normal 341 2 2 2" xfId="3627"/>
    <cellStyle name="Normal 341 2 2 2 2" xfId="7294"/>
    <cellStyle name="Normal 341 2 2 3" xfId="7295"/>
    <cellStyle name="Normal 341 2 3" xfId="2833"/>
    <cellStyle name="Normal 341 2 3 2" xfId="7296"/>
    <cellStyle name="Normal 341 2 4" xfId="7297"/>
    <cellStyle name="Normal 341 3" xfId="1572"/>
    <cellStyle name="Normal 341 3 2" xfId="3231"/>
    <cellStyle name="Normal 341 3 2 2" xfId="7298"/>
    <cellStyle name="Normal 341 3 3" xfId="7299"/>
    <cellStyle name="Normal 341 4" xfId="2437"/>
    <cellStyle name="Normal 341 4 2" xfId="7300"/>
    <cellStyle name="Normal 341 5" xfId="7301"/>
    <cellStyle name="Normal 342" xfId="781"/>
    <cellStyle name="Normal 342 2" xfId="1178"/>
    <cellStyle name="Normal 342 2 2" xfId="1977"/>
    <cellStyle name="Normal 342 2 2 2" xfId="3636"/>
    <cellStyle name="Normal 342 2 2 2 2" xfId="7302"/>
    <cellStyle name="Normal 342 2 2 3" xfId="7303"/>
    <cellStyle name="Normal 342 2 3" xfId="2842"/>
    <cellStyle name="Normal 342 2 3 2" xfId="7304"/>
    <cellStyle name="Normal 342 2 4" xfId="7305"/>
    <cellStyle name="Normal 342 3" xfId="1581"/>
    <cellStyle name="Normal 342 3 2" xfId="3240"/>
    <cellStyle name="Normal 342 3 2 2" xfId="7306"/>
    <cellStyle name="Normal 342 3 3" xfId="7307"/>
    <cellStyle name="Normal 342 4" xfId="2446"/>
    <cellStyle name="Normal 342 4 2" xfId="7308"/>
    <cellStyle name="Normal 342 5" xfId="7309"/>
    <cellStyle name="Normal 343" xfId="767"/>
    <cellStyle name="Normal 343 2" xfId="1164"/>
    <cellStyle name="Normal 343 2 2" xfId="1963"/>
    <cellStyle name="Normal 343 2 2 2" xfId="3622"/>
    <cellStyle name="Normal 343 2 2 2 2" xfId="7310"/>
    <cellStyle name="Normal 343 2 2 3" xfId="7311"/>
    <cellStyle name="Normal 343 2 3" xfId="2828"/>
    <cellStyle name="Normal 343 2 3 2" xfId="7312"/>
    <cellStyle name="Normal 343 2 4" xfId="7313"/>
    <cellStyle name="Normal 343 3" xfId="1567"/>
    <cellStyle name="Normal 343 3 2" xfId="3226"/>
    <cellStyle name="Normal 343 3 2 2" xfId="7314"/>
    <cellStyle name="Normal 343 3 3" xfId="7315"/>
    <cellStyle name="Normal 343 4" xfId="2432"/>
    <cellStyle name="Normal 343 4 2" xfId="7316"/>
    <cellStyle name="Normal 343 5" xfId="7317"/>
    <cellStyle name="Normal 344" xfId="768"/>
    <cellStyle name="Normal 344 2" xfId="1165"/>
    <cellStyle name="Normal 344 2 2" xfId="1964"/>
    <cellStyle name="Normal 344 2 2 2" xfId="3623"/>
    <cellStyle name="Normal 344 2 2 2 2" xfId="7318"/>
    <cellStyle name="Normal 344 2 2 3" xfId="7319"/>
    <cellStyle name="Normal 344 2 3" xfId="2829"/>
    <cellStyle name="Normal 344 2 3 2" xfId="7320"/>
    <cellStyle name="Normal 344 2 4" xfId="7321"/>
    <cellStyle name="Normal 344 3" xfId="1568"/>
    <cellStyle name="Normal 344 3 2" xfId="3227"/>
    <cellStyle name="Normal 344 3 2 2" xfId="7322"/>
    <cellStyle name="Normal 344 3 3" xfId="7323"/>
    <cellStyle name="Normal 344 4" xfId="2433"/>
    <cellStyle name="Normal 344 4 2" xfId="7324"/>
    <cellStyle name="Normal 344 5" xfId="7325"/>
    <cellStyle name="Normal 345" xfId="741"/>
    <cellStyle name="Normal 345 2" xfId="1138"/>
    <cellStyle name="Normal 345 2 2" xfId="1937"/>
    <cellStyle name="Normal 345 2 2 2" xfId="3596"/>
    <cellStyle name="Normal 345 2 2 2 2" xfId="7326"/>
    <cellStyle name="Normal 345 2 2 3" xfId="7327"/>
    <cellStyle name="Normal 345 2 3" xfId="2802"/>
    <cellStyle name="Normal 345 2 3 2" xfId="7328"/>
    <cellStyle name="Normal 345 2 4" xfId="7329"/>
    <cellStyle name="Normal 345 3" xfId="1541"/>
    <cellStyle name="Normal 345 3 2" xfId="3200"/>
    <cellStyle name="Normal 345 3 2 2" xfId="7330"/>
    <cellStyle name="Normal 345 3 3" xfId="7331"/>
    <cellStyle name="Normal 345 4" xfId="2406"/>
    <cellStyle name="Normal 345 4 2" xfId="7332"/>
    <cellStyle name="Normal 345 5" xfId="7333"/>
    <cellStyle name="Normal 346" xfId="792"/>
    <cellStyle name="Normal 346 2" xfId="1189"/>
    <cellStyle name="Normal 346 2 2" xfId="1988"/>
    <cellStyle name="Normal 346 2 2 2" xfId="3647"/>
    <cellStyle name="Normal 346 2 2 2 2" xfId="7334"/>
    <cellStyle name="Normal 346 2 2 3" xfId="7335"/>
    <cellStyle name="Normal 346 2 3" xfId="2853"/>
    <cellStyle name="Normal 346 2 3 2" xfId="7336"/>
    <cellStyle name="Normal 346 2 4" xfId="7337"/>
    <cellStyle name="Normal 346 3" xfId="1592"/>
    <cellStyle name="Normal 346 3 2" xfId="3251"/>
    <cellStyle name="Normal 346 3 2 2" xfId="7338"/>
    <cellStyle name="Normal 346 3 3" xfId="7339"/>
    <cellStyle name="Normal 346 4" xfId="2457"/>
    <cellStyle name="Normal 346 4 2" xfId="7340"/>
    <cellStyle name="Normal 346 5" xfId="7341"/>
    <cellStyle name="Normal 347" xfId="791"/>
    <cellStyle name="Normal 347 2" xfId="1188"/>
    <cellStyle name="Normal 347 2 2" xfId="1987"/>
    <cellStyle name="Normal 347 2 2 2" xfId="3646"/>
    <cellStyle name="Normal 347 2 2 2 2" xfId="7342"/>
    <cellStyle name="Normal 347 2 2 3" xfId="7343"/>
    <cellStyle name="Normal 347 2 3" xfId="2852"/>
    <cellStyle name="Normal 347 2 3 2" xfId="7344"/>
    <cellStyle name="Normal 347 2 4" xfId="7345"/>
    <cellStyle name="Normal 347 3" xfId="1591"/>
    <cellStyle name="Normal 347 3 2" xfId="3250"/>
    <cellStyle name="Normal 347 3 2 2" xfId="7346"/>
    <cellStyle name="Normal 347 3 3" xfId="7347"/>
    <cellStyle name="Normal 347 4" xfId="2456"/>
    <cellStyle name="Normal 347 4 2" xfId="7348"/>
    <cellStyle name="Normal 347 5" xfId="7349"/>
    <cellStyle name="Normal 348" xfId="790"/>
    <cellStyle name="Normal 348 2" xfId="1187"/>
    <cellStyle name="Normal 348 2 2" xfId="1986"/>
    <cellStyle name="Normal 348 2 2 2" xfId="3645"/>
    <cellStyle name="Normal 348 2 2 2 2" xfId="7350"/>
    <cellStyle name="Normal 348 2 2 3" xfId="7351"/>
    <cellStyle name="Normal 348 2 3" xfId="2851"/>
    <cellStyle name="Normal 348 2 3 2" xfId="7352"/>
    <cellStyle name="Normal 348 2 4" xfId="7353"/>
    <cellStyle name="Normal 348 3" xfId="1590"/>
    <cellStyle name="Normal 348 3 2" xfId="3249"/>
    <cellStyle name="Normal 348 3 2 2" xfId="7354"/>
    <cellStyle name="Normal 348 3 3" xfId="7355"/>
    <cellStyle name="Normal 348 4" xfId="2455"/>
    <cellStyle name="Normal 348 4 2" xfId="7356"/>
    <cellStyle name="Normal 348 5" xfId="7357"/>
    <cellStyle name="Normal 349" xfId="784"/>
    <cellStyle name="Normal 349 2" xfId="1181"/>
    <cellStyle name="Normal 349 2 2" xfId="1980"/>
    <cellStyle name="Normal 349 2 2 2" xfId="3639"/>
    <cellStyle name="Normal 349 2 2 2 2" xfId="7358"/>
    <cellStyle name="Normal 349 2 2 3" xfId="7359"/>
    <cellStyle name="Normal 349 2 3" xfId="2845"/>
    <cellStyle name="Normal 349 2 3 2" xfId="7360"/>
    <cellStyle name="Normal 349 2 4" xfId="7361"/>
    <cellStyle name="Normal 349 3" xfId="1584"/>
    <cellStyle name="Normal 349 3 2" xfId="3243"/>
    <cellStyle name="Normal 349 3 2 2" xfId="7362"/>
    <cellStyle name="Normal 349 3 3" xfId="7363"/>
    <cellStyle name="Normal 349 4" xfId="2449"/>
    <cellStyle name="Normal 349 4 2" xfId="7364"/>
    <cellStyle name="Normal 349 5" xfId="7365"/>
    <cellStyle name="Normal 35" xfId="447"/>
    <cellStyle name="Normal 35 2" xfId="832"/>
    <cellStyle name="Normal 35 2 2" xfId="1631"/>
    <cellStyle name="Normal 35 2 2 2" xfId="3290"/>
    <cellStyle name="Normal 35 2 2 2 2" xfId="7366"/>
    <cellStyle name="Normal 35 2 2 2 3" xfId="7367"/>
    <cellStyle name="Normal 35 2 2 3" xfId="7368"/>
    <cellStyle name="Normal 35 2 2 4" xfId="7369"/>
    <cellStyle name="Normal 35 2 2 5" xfId="7370"/>
    <cellStyle name="Normal 35 2 3" xfId="2496"/>
    <cellStyle name="Normal 35 2 3 2" xfId="7371"/>
    <cellStyle name="Normal 35 2 4" xfId="7372"/>
    <cellStyle name="Normal 35 2 5" xfId="7373"/>
    <cellStyle name="Normal 35 3" xfId="1235"/>
    <cellStyle name="Normal 35 3 2" xfId="2894"/>
    <cellStyle name="Normal 35 3 2 2" xfId="7374"/>
    <cellStyle name="Normal 35 3 3" xfId="7375"/>
    <cellStyle name="Normal 35 4" xfId="2100"/>
    <cellStyle name="Normal 35 4 2" xfId="7376"/>
    <cellStyle name="Normal 35 5" xfId="7377"/>
    <cellStyle name="Normal 350" xfId="793"/>
    <cellStyle name="Normal 350 2" xfId="1190"/>
    <cellStyle name="Normal 350 2 2" xfId="1989"/>
    <cellStyle name="Normal 350 2 2 2" xfId="3648"/>
    <cellStyle name="Normal 350 2 2 2 2" xfId="7378"/>
    <cellStyle name="Normal 350 2 2 3" xfId="7379"/>
    <cellStyle name="Normal 350 2 3" xfId="2854"/>
    <cellStyle name="Normal 350 2 3 2" xfId="7380"/>
    <cellStyle name="Normal 350 2 4" xfId="7381"/>
    <cellStyle name="Normal 350 3" xfId="1593"/>
    <cellStyle name="Normal 350 3 2" xfId="3252"/>
    <cellStyle name="Normal 350 3 2 2" xfId="7382"/>
    <cellStyle name="Normal 350 3 3" xfId="7383"/>
    <cellStyle name="Normal 350 4" xfId="2458"/>
    <cellStyle name="Normal 350 4 2" xfId="7384"/>
    <cellStyle name="Normal 350 5" xfId="7385"/>
    <cellStyle name="Normal 351" xfId="789"/>
    <cellStyle name="Normal 351 2" xfId="1186"/>
    <cellStyle name="Normal 351 2 2" xfId="1985"/>
    <cellStyle name="Normal 351 2 2 2" xfId="3644"/>
    <cellStyle name="Normal 351 2 2 2 2" xfId="7386"/>
    <cellStyle name="Normal 351 2 2 3" xfId="7387"/>
    <cellStyle name="Normal 351 2 3" xfId="2850"/>
    <cellStyle name="Normal 351 2 3 2" xfId="7388"/>
    <cellStyle name="Normal 351 2 4" xfId="7389"/>
    <cellStyle name="Normal 351 3" xfId="1589"/>
    <cellStyle name="Normal 351 3 2" xfId="3248"/>
    <cellStyle name="Normal 351 3 2 2" xfId="7390"/>
    <cellStyle name="Normal 351 3 3" xfId="7391"/>
    <cellStyle name="Normal 351 4" xfId="2454"/>
    <cellStyle name="Normal 351 4 2" xfId="7392"/>
    <cellStyle name="Normal 351 5" xfId="7393"/>
    <cellStyle name="Normal 352" xfId="794"/>
    <cellStyle name="Normal 352 2" xfId="1191"/>
    <cellStyle name="Normal 352 2 2" xfId="1990"/>
    <cellStyle name="Normal 352 2 2 2" xfId="3649"/>
    <cellStyle name="Normal 352 2 2 2 2" xfId="7394"/>
    <cellStyle name="Normal 352 2 2 3" xfId="7395"/>
    <cellStyle name="Normal 352 2 3" xfId="2855"/>
    <cellStyle name="Normal 352 2 3 2" xfId="7396"/>
    <cellStyle name="Normal 352 2 4" xfId="7397"/>
    <cellStyle name="Normal 352 3" xfId="1594"/>
    <cellStyle name="Normal 352 3 2" xfId="3253"/>
    <cellStyle name="Normal 352 3 2 2" xfId="7398"/>
    <cellStyle name="Normal 352 3 3" xfId="7399"/>
    <cellStyle name="Normal 352 4" xfId="2459"/>
    <cellStyle name="Normal 352 4 2" xfId="7400"/>
    <cellStyle name="Normal 352 5" xfId="7401"/>
    <cellStyle name="Normal 353" xfId="786"/>
    <cellStyle name="Normal 353 2" xfId="1183"/>
    <cellStyle name="Normal 353 2 2" xfId="1982"/>
    <cellStyle name="Normal 353 2 2 2" xfId="3641"/>
    <cellStyle name="Normal 353 2 2 2 2" xfId="7402"/>
    <cellStyle name="Normal 353 2 2 3" xfId="7403"/>
    <cellStyle name="Normal 353 2 3" xfId="2847"/>
    <cellStyle name="Normal 353 2 3 2" xfId="7404"/>
    <cellStyle name="Normal 353 2 4" xfId="7405"/>
    <cellStyle name="Normal 353 3" xfId="1586"/>
    <cellStyle name="Normal 353 3 2" xfId="3245"/>
    <cellStyle name="Normal 353 3 2 2" xfId="7406"/>
    <cellStyle name="Normal 353 3 3" xfId="7407"/>
    <cellStyle name="Normal 353 4" xfId="2451"/>
    <cellStyle name="Normal 353 4 2" xfId="7408"/>
    <cellStyle name="Normal 353 5" xfId="7409"/>
    <cellStyle name="Normal 354" xfId="788"/>
    <cellStyle name="Normal 354 2" xfId="1185"/>
    <cellStyle name="Normal 354 2 2" xfId="1984"/>
    <cellStyle name="Normal 354 2 2 2" xfId="3643"/>
    <cellStyle name="Normal 354 2 2 2 2" xfId="7410"/>
    <cellStyle name="Normal 354 2 2 3" xfId="7411"/>
    <cellStyle name="Normal 354 2 3" xfId="2849"/>
    <cellStyle name="Normal 354 2 3 2" xfId="7412"/>
    <cellStyle name="Normal 354 2 4" xfId="7413"/>
    <cellStyle name="Normal 354 3" xfId="1588"/>
    <cellStyle name="Normal 354 3 2" xfId="3247"/>
    <cellStyle name="Normal 354 3 2 2" xfId="7414"/>
    <cellStyle name="Normal 354 3 3" xfId="7415"/>
    <cellStyle name="Normal 354 4" xfId="2453"/>
    <cellStyle name="Normal 354 4 2" xfId="7416"/>
    <cellStyle name="Normal 354 5" xfId="7417"/>
    <cellStyle name="Normal 355" xfId="795"/>
    <cellStyle name="Normal 355 2" xfId="8484"/>
    <cellStyle name="Normal 355 3" xfId="9611"/>
    <cellStyle name="Normal 356" xfId="1192"/>
    <cellStyle name="Normal 356 2" xfId="1991"/>
    <cellStyle name="Normal 356 2 2" xfId="3650"/>
    <cellStyle name="Normal 356 2 2 2" xfId="7418"/>
    <cellStyle name="Normal 356 2 3" xfId="7419"/>
    <cellStyle name="Normal 356 3" xfId="2856"/>
    <cellStyle name="Normal 356 3 2" xfId="7420"/>
    <cellStyle name="Normal 356 4" xfId="7421"/>
    <cellStyle name="Normal 357" xfId="413"/>
    <cellStyle name="Normal 357 2" xfId="8478"/>
    <cellStyle name="Normal 357 3" xfId="9605"/>
    <cellStyle name="Normal 358" xfId="422"/>
    <cellStyle name="Normal 358 2" xfId="8483"/>
    <cellStyle name="Normal 358 3" xfId="9610"/>
    <cellStyle name="Normal 359" xfId="1196"/>
    <cellStyle name="Normal 359 2" xfId="8488"/>
    <cellStyle name="Normal 359 3" xfId="9615"/>
    <cellStyle name="Normal 36" xfId="456"/>
    <cellStyle name="Normal 36 2" xfId="841"/>
    <cellStyle name="Normal 36 2 2" xfId="1640"/>
    <cellStyle name="Normal 36 2 2 2" xfId="3299"/>
    <cellStyle name="Normal 36 2 2 2 2" xfId="7422"/>
    <cellStyle name="Normal 36 2 2 3" xfId="7423"/>
    <cellStyle name="Normal 36 2 2 4" xfId="7424"/>
    <cellStyle name="Normal 36 2 3" xfId="2505"/>
    <cellStyle name="Normal 36 2 3 2" xfId="7425"/>
    <cellStyle name="Normal 36 2 3 3" xfId="7426"/>
    <cellStyle name="Normal 36 2 4" xfId="7427"/>
    <cellStyle name="Normal 36 2 5" xfId="7428"/>
    <cellStyle name="Normal 36 2 6" xfId="7429"/>
    <cellStyle name="Normal 36 3" xfId="1244"/>
    <cellStyle name="Normal 36 3 2" xfId="2903"/>
    <cellStyle name="Normal 36 3 2 2" xfId="7430"/>
    <cellStyle name="Normal 36 3 3" xfId="7431"/>
    <cellStyle name="Normal 36 3 4" xfId="7432"/>
    <cellStyle name="Normal 36 4" xfId="2109"/>
    <cellStyle name="Normal 36 4 2" xfId="7433"/>
    <cellStyle name="Normal 36 5" xfId="7434"/>
    <cellStyle name="Normal 36 6" xfId="7435"/>
    <cellStyle name="Normal 360" xfId="1193"/>
    <cellStyle name="Normal 360 2" xfId="8485"/>
    <cellStyle name="Normal 360 3" xfId="9612"/>
    <cellStyle name="Normal 361" xfId="1197"/>
    <cellStyle name="Normal 361 2" xfId="8489"/>
    <cellStyle name="Normal 361 3" xfId="9616"/>
    <cellStyle name="Normal 362" xfId="1198"/>
    <cellStyle name="Normal 362 2" xfId="8490"/>
    <cellStyle name="Normal 362 3" xfId="9617"/>
    <cellStyle name="Normal 363" xfId="1195"/>
    <cellStyle name="Normal 363 2" xfId="8487"/>
    <cellStyle name="Normal 363 3" xfId="9614"/>
    <cellStyle name="Normal 364" xfId="1194"/>
    <cellStyle name="Normal 364 2" xfId="8486"/>
    <cellStyle name="Normal 364 3" xfId="9613"/>
    <cellStyle name="Normal 365" xfId="1997"/>
    <cellStyle name="Normal 365 2" xfId="3652"/>
    <cellStyle name="Normal 365 3" xfId="9034"/>
    <cellStyle name="Normal 366" xfId="1998"/>
    <cellStyle name="Normal 366 2" xfId="3653"/>
    <cellStyle name="Normal 367" xfId="2010"/>
    <cellStyle name="Normal 367 2" xfId="3665"/>
    <cellStyle name="Normal 368" xfId="2016"/>
    <cellStyle name="Normal 368 2" xfId="3671"/>
    <cellStyle name="Normal 369" xfId="1999"/>
    <cellStyle name="Normal 369 2" xfId="3654"/>
    <cellStyle name="Normal 37" xfId="439"/>
    <cellStyle name="Normal 37 2" xfId="824"/>
    <cellStyle name="Normal 37 2 2" xfId="1623"/>
    <cellStyle name="Normal 37 2 2 2" xfId="3282"/>
    <cellStyle name="Normal 37 2 2 2 2" xfId="7436"/>
    <cellStyle name="Normal 37 2 2 2 2 2" xfId="7437"/>
    <cellStyle name="Normal 37 2 2 2 2 2 2" xfId="7438"/>
    <cellStyle name="Normal 37 2 2 2 2 2 2 2" xfId="7439"/>
    <cellStyle name="Normal 37 2 2 2 2 2 2 2 2" xfId="7440"/>
    <cellStyle name="Normal 37 2 2 2 2 2 2 2 2 2" xfId="7441"/>
    <cellStyle name="Normal 37 2 2 2 2 2 2 2 2 2 2" xfId="7442"/>
    <cellStyle name="Normal 37 2 2 2 2 2 2 2 2 2 2 2" xfId="7443"/>
    <cellStyle name="Normal 37 2 2 2 2 2 2 2 2 2 2 2 2" xfId="7444"/>
    <cellStyle name="Normal 37 2 2 2 2 2 2 2 2 2 2 2 2 2" xfId="7445"/>
    <cellStyle name="Normal 37 2 2 2 2 2 2 2 2 2 2 2 2 2 2" xfId="7446"/>
    <cellStyle name="Normal 37 2 2 2 2 2 2 2 2 2 2 2 2 2 2 2" xfId="7447"/>
    <cellStyle name="Normal 37 2 2 2 2 2 2 2 2 2 2 2 2 2 2 2 2" xfId="7448"/>
    <cellStyle name="Normal 37 2 2 2 2 2 2 2 2 2 2 2 2 2 3" xfId="7449"/>
    <cellStyle name="Normal 37 2 2 2 2 2 2 2 2 2 2 2 2 3" xfId="7450"/>
    <cellStyle name="Normal 37 2 2 2 2 2 2 2 2 2 2 2 3" xfId="7451"/>
    <cellStyle name="Normal 37 2 2 2 2 2 2 2 2 2 2 3" xfId="7452"/>
    <cellStyle name="Normal 37 2 2 2 2 2 2 2 2 2 2 4" xfId="7453"/>
    <cellStyle name="Normal 37 2 2 2 2 2 2 2 2 2 3" xfId="7454"/>
    <cellStyle name="Normal 37 2 2 2 2 2 2 2 2 3" xfId="7455"/>
    <cellStyle name="Normal 37 2 2 2 2 2 2 2 3" xfId="7456"/>
    <cellStyle name="Normal 37 2 2 2 2 2 2 3" xfId="7457"/>
    <cellStyle name="Normal 37 2 2 2 2 2 3" xfId="7458"/>
    <cellStyle name="Normal 37 2 2 2 2 3" xfId="7459"/>
    <cellStyle name="Normal 37 2 2 2 3" xfId="7460"/>
    <cellStyle name="Normal 37 2 2 2 4" xfId="7461"/>
    <cellStyle name="Normal 37 2 2 3" xfId="7462"/>
    <cellStyle name="Normal 37 2 2 4" xfId="7463"/>
    <cellStyle name="Normal 37 2 2 5" xfId="7464"/>
    <cellStyle name="Normal 37 2 3" xfId="2488"/>
    <cellStyle name="Normal 37 2 3 2" xfId="7465"/>
    <cellStyle name="Normal 37 2 4" xfId="7466"/>
    <cellStyle name="Normal 37 2 5" xfId="7467"/>
    <cellStyle name="Normal 37 3" xfId="1227"/>
    <cellStyle name="Normal 37 3 2" xfId="2886"/>
    <cellStyle name="Normal 37 3 2 2" xfId="7468"/>
    <cellStyle name="Normal 37 3 2 2 2" xfId="7469"/>
    <cellStyle name="Normal 37 3 2 2 2 2" xfId="7470"/>
    <cellStyle name="Normal 37 3 2 2 2 2 2" xfId="7471"/>
    <cellStyle name="Normal 37 3 2 2 2 2 2 2" xfId="7472"/>
    <cellStyle name="Normal 37 3 2 2 2 2 2 2 2" xfId="7473"/>
    <cellStyle name="Normal 37 3 2 2 2 2 2 2 2 2" xfId="7474"/>
    <cellStyle name="Normal 37 3 2 2 2 2 2 2 3" xfId="7475"/>
    <cellStyle name="Normal 37 3 2 2 2 2 2 3" xfId="7476"/>
    <cellStyle name="Normal 37 3 2 2 2 2 3" xfId="7477"/>
    <cellStyle name="Normal 37 3 2 2 2 3" xfId="7478"/>
    <cellStyle name="Normal 37 3 2 2 2 3 2" xfId="7479"/>
    <cellStyle name="Normal 37 3 2 2 2 3 2 2" xfId="7480"/>
    <cellStyle name="Normal 37 3 2 2 2 3 3" xfId="7481"/>
    <cellStyle name="Normal 37 3 2 2 2 3 3 2" xfId="7482"/>
    <cellStyle name="Normal 37 3 2 2 2 3 3 2 2" xfId="7483"/>
    <cellStyle name="Normal 37 3 2 2 2 3 3 3" xfId="7484"/>
    <cellStyle name="Normal 37 3 2 2 2 3 4" xfId="7485"/>
    <cellStyle name="Normal 37 3 2 2 2 4" xfId="7486"/>
    <cellStyle name="Normal 37 3 2 2 3" xfId="7487"/>
    <cellStyle name="Normal 37 3 2 3" xfId="7488"/>
    <cellStyle name="Normal 37 3 2 4" xfId="7489"/>
    <cellStyle name="Normal 37 3 3" xfId="7490"/>
    <cellStyle name="Normal 37 3 4" xfId="7491"/>
    <cellStyle name="Normal 37 3 5" xfId="7492"/>
    <cellStyle name="Normal 37 4" xfId="2092"/>
    <cellStyle name="Normal 37 4 2" xfId="7493"/>
    <cellStyle name="Normal 37 4 3" xfId="7494"/>
    <cellStyle name="Normal 37 5" xfId="7495"/>
    <cellStyle name="Normal 37 6" xfId="7496"/>
    <cellStyle name="Normal 37 7" xfId="7497"/>
    <cellStyle name="Normal 370" xfId="2005"/>
    <cellStyle name="Normal 370 2" xfId="3660"/>
    <cellStyle name="Normal 371" xfId="2022"/>
    <cellStyle name="Normal 371 2" xfId="3677"/>
    <cellStyle name="Normal 372" xfId="394"/>
    <cellStyle name="Normal 372 2" xfId="2062"/>
    <cellStyle name="Normal 372 2 2" xfId="8498"/>
    <cellStyle name="Normal 372 2 3" xfId="9625"/>
    <cellStyle name="Normal 372 3" xfId="3920"/>
    <cellStyle name="Normal 372 4" xfId="8472"/>
    <cellStyle name="Normal 372 5" xfId="9599"/>
    <cellStyle name="Normal 373" xfId="395"/>
    <cellStyle name="Normal 373 2" xfId="2063"/>
    <cellStyle name="Normal 373 2 2" xfId="8499"/>
    <cellStyle name="Normal 373 2 3" xfId="9626"/>
    <cellStyle name="Normal 373 3" xfId="3929"/>
    <cellStyle name="Normal 373 4" xfId="8473"/>
    <cellStyle name="Normal 373 5" xfId="9600"/>
    <cellStyle name="Normal 374" xfId="1996"/>
    <cellStyle name="Normal 374 2" xfId="3651"/>
    <cellStyle name="Normal 374 2 2" xfId="8501"/>
    <cellStyle name="Normal 374 2 3" xfId="9628"/>
    <cellStyle name="Normal 374 3" xfId="3904"/>
    <cellStyle name="Normal 374 4" xfId="8494"/>
    <cellStyle name="Normal 374 5" xfId="9621"/>
    <cellStyle name="Normal 375" xfId="301"/>
    <cellStyle name="Normal 375 2" xfId="3912"/>
    <cellStyle name="Normal 376" xfId="393"/>
    <cellStyle name="Normal 376 2" xfId="3921"/>
    <cellStyle name="Normal 377" xfId="383"/>
    <cellStyle name="Normal 377 2" xfId="3930"/>
    <cellStyle name="Normal 378" xfId="3700"/>
    <cellStyle name="Normal 378 2" xfId="3905"/>
    <cellStyle name="Normal 379" xfId="3724"/>
    <cellStyle name="Normal 379 2" xfId="3913"/>
    <cellStyle name="Normal 38" xfId="442"/>
    <cellStyle name="Normal 38 2" xfId="827"/>
    <cellStyle name="Normal 38 2 2" xfId="1626"/>
    <cellStyle name="Normal 38 2 2 2" xfId="3285"/>
    <cellStyle name="Normal 38 2 2 2 2" xfId="7498"/>
    <cellStyle name="Normal 38 2 2 3" xfId="7499"/>
    <cellStyle name="Normal 38 2 2 4" xfId="7500"/>
    <cellStyle name="Normal 38 2 3" xfId="2491"/>
    <cellStyle name="Normal 38 2 3 2" xfId="7501"/>
    <cellStyle name="Normal 38 2 4" xfId="7502"/>
    <cellStyle name="Normal 38 2 5" xfId="7503"/>
    <cellStyle name="Normal 38 3" xfId="1230"/>
    <cellStyle name="Normal 38 3 2" xfId="2889"/>
    <cellStyle name="Normal 38 3 2 2" xfId="7504"/>
    <cellStyle name="Normal 38 3 3" xfId="7505"/>
    <cellStyle name="Normal 38 4" xfId="2095"/>
    <cellStyle name="Normal 38 4 2" xfId="7506"/>
    <cellStyle name="Normal 38 5" xfId="7507"/>
    <cellStyle name="Normal 380" xfId="3691"/>
    <cellStyle name="Normal 380 2" xfId="3922"/>
    <cellStyle name="Normal 381" xfId="3679"/>
    <cellStyle name="Normal 381 2" xfId="3931"/>
    <cellStyle name="Normal 382" xfId="3686"/>
    <cellStyle name="Normal 382 2" xfId="3906"/>
    <cellStyle name="Normal 383" xfId="3727"/>
    <cellStyle name="Normal 383 2" xfId="3914"/>
    <cellStyle name="Normal 384" xfId="3721"/>
    <cellStyle name="Normal 384 2" xfId="3923"/>
    <cellStyle name="Normal 385" xfId="3725"/>
    <cellStyle name="Normal 385 2" xfId="3932"/>
    <cellStyle name="Normal 386" xfId="3681"/>
    <cellStyle name="Normal 386 2" xfId="3907"/>
    <cellStyle name="Normal 387" xfId="3746"/>
    <cellStyle name="Normal 387 2" xfId="3915"/>
    <cellStyle name="Normal 387 3" xfId="8560"/>
    <cellStyle name="Normal 387 4" xfId="9687"/>
    <cellStyle name="Normal 388" xfId="3783"/>
    <cellStyle name="Normal 388 2" xfId="3924"/>
    <cellStyle name="Normal 388 3" xfId="8597"/>
    <cellStyle name="Normal 388 4" xfId="9724"/>
    <cellStyle name="Normal 389" xfId="3747"/>
    <cellStyle name="Normal 389 2" xfId="3933"/>
    <cellStyle name="Normal 389 3" xfId="8561"/>
    <cellStyle name="Normal 389 4" xfId="9688"/>
    <cellStyle name="Normal 39" xfId="453"/>
    <cellStyle name="Normal 39 2" xfId="838"/>
    <cellStyle name="Normal 39 2 2" xfId="1637"/>
    <cellStyle name="Normal 39 2 2 2" xfId="3296"/>
    <cellStyle name="Normal 39 2 2 2 2" xfId="7508"/>
    <cellStyle name="Normal 39 2 2 3" xfId="7509"/>
    <cellStyle name="Normal 39 2 2 4" xfId="7510"/>
    <cellStyle name="Normal 39 2 3" xfId="2502"/>
    <cellStyle name="Normal 39 2 3 2" xfId="7511"/>
    <cellStyle name="Normal 39 2 4" xfId="7512"/>
    <cellStyle name="Normal 39 2 5" xfId="7513"/>
    <cellStyle name="Normal 39 2 6" xfId="7514"/>
    <cellStyle name="Normal 39 3" xfId="1241"/>
    <cellStyle name="Normal 39 3 2" xfId="2900"/>
    <cellStyle name="Normal 39 3 2 2" xfId="7515"/>
    <cellStyle name="Normal 39 3 3" xfId="7516"/>
    <cellStyle name="Normal 39 4" xfId="2106"/>
    <cellStyle name="Normal 39 4 2" xfId="7517"/>
    <cellStyle name="Normal 39 5" xfId="7518"/>
    <cellStyle name="Normal 390" xfId="3790"/>
    <cellStyle name="Normal 390 2" xfId="3908"/>
    <cellStyle name="Normal 390 3" xfId="8604"/>
    <cellStyle name="Normal 390 4" xfId="9731"/>
    <cellStyle name="Normal 391" xfId="3791"/>
    <cellStyle name="Normal 391 2" xfId="3916"/>
    <cellStyle name="Normal 391 3" xfId="8605"/>
    <cellStyle name="Normal 391 4" xfId="9732"/>
    <cellStyle name="Normal 392" xfId="3792"/>
    <cellStyle name="Normal 392 2" xfId="3925"/>
    <cellStyle name="Normal 392 3" xfId="8606"/>
    <cellStyle name="Normal 392 4" xfId="9733"/>
    <cellStyle name="Normal 393" xfId="3749"/>
    <cellStyle name="Normal 393 2" xfId="3934"/>
    <cellStyle name="Normal 393 3" xfId="8563"/>
    <cellStyle name="Normal 393 4" xfId="9690"/>
    <cellStyle name="Normal 394" xfId="3794"/>
    <cellStyle name="Normal 394 2" xfId="3909"/>
    <cellStyle name="Normal 394 3" xfId="8608"/>
    <cellStyle name="Normal 394 4" xfId="9735"/>
    <cellStyle name="Normal 395" xfId="3795"/>
    <cellStyle name="Normal 395 2" xfId="3917"/>
    <cellStyle name="Normal 395 3" xfId="8609"/>
    <cellStyle name="Normal 395 4" xfId="9736"/>
    <cellStyle name="Normal 396" xfId="3796"/>
    <cellStyle name="Normal 396 2" xfId="3926"/>
    <cellStyle name="Normal 396 3" xfId="8610"/>
    <cellStyle name="Normal 396 4" xfId="9737"/>
    <cellStyle name="Normal 397" xfId="3750"/>
    <cellStyle name="Normal 397 2" xfId="3935"/>
    <cellStyle name="Normal 397 3" xfId="8564"/>
    <cellStyle name="Normal 397 4" xfId="9691"/>
    <cellStyle name="Normal 398" xfId="3797"/>
    <cellStyle name="Normal 398 2" xfId="3910"/>
    <cellStyle name="Normal 398 3" xfId="8611"/>
    <cellStyle name="Normal 398 4" xfId="9738"/>
    <cellStyle name="Normal 399" xfId="3798"/>
    <cellStyle name="Normal 399 2" xfId="3918"/>
    <cellStyle name="Normal 399 3" xfId="8612"/>
    <cellStyle name="Normal 399 4" xfId="9739"/>
    <cellStyle name="Normal 4" xfId="174"/>
    <cellStyle name="Normal 4 2" xfId="373"/>
    <cellStyle name="Normal 4 2 2" xfId="2028"/>
    <cellStyle name="Normal 4 3" xfId="419"/>
    <cellStyle name="Normal 4 3 2" xfId="8480"/>
    <cellStyle name="Normal 4 3 3" xfId="9607"/>
    <cellStyle name="Normal 4 4" xfId="304"/>
    <cellStyle name="Normal 40" xfId="459"/>
    <cellStyle name="Normal 40 2" xfId="844"/>
    <cellStyle name="Normal 40 2 2" xfId="1643"/>
    <cellStyle name="Normal 40 2 2 2" xfId="3302"/>
    <cellStyle name="Normal 40 2 2 2 2" xfId="7519"/>
    <cellStyle name="Normal 40 2 2 2 2 2" xfId="7520"/>
    <cellStyle name="Normal 40 2 2 2 2 2 2" xfId="7521"/>
    <cellStyle name="Normal 40 2 2 2 2 3" xfId="7522"/>
    <cellStyle name="Normal 40 2 2 2 3" xfId="7523"/>
    <cellStyle name="Normal 40 2 2 2 4" xfId="7524"/>
    <cellStyle name="Normal 40 2 2 3" xfId="7525"/>
    <cellStyle name="Normal 40 2 2 4" xfId="7526"/>
    <cellStyle name="Normal 40 2 2 5" xfId="7527"/>
    <cellStyle name="Normal 40 2 3" xfId="2508"/>
    <cellStyle name="Normal 40 2 3 2" xfId="7528"/>
    <cellStyle name="Normal 40 2 3 2 2" xfId="7529"/>
    <cellStyle name="Normal 40 2 3 2 2 2" xfId="7530"/>
    <cellStyle name="Normal 40 2 3 2 2 2 2" xfId="7531"/>
    <cellStyle name="Normal 40 2 3 2 2 2 2 2" xfId="7532"/>
    <cellStyle name="Normal 40 2 3 2 2 2 2 2 2" xfId="7533"/>
    <cellStyle name="Normal 40 2 3 2 2 2 2 2 2 2" xfId="7534"/>
    <cellStyle name="Normal 40 2 3 2 2 2 2 2 2 2 2" xfId="7535"/>
    <cellStyle name="Normal 40 2 3 2 2 2 2 2 2 2 2 2" xfId="7536"/>
    <cellStyle name="Normal 40 2 3 2 2 2 2 2 2 2 2 2 2" xfId="7537"/>
    <cellStyle name="Normal 40 2 3 2 2 2 2 2 2 2 2 2 2 2" xfId="7538"/>
    <cellStyle name="Normal 40 2 3 2 2 2 2 2 2 2 2 2 2 2 2" xfId="7539"/>
    <cellStyle name="Normal 40 2 3 2 2 2 2 2 2 2 2 2 3" xfId="7540"/>
    <cellStyle name="Normal 40 2 3 2 2 2 2 2 2 2 2 3" xfId="7541"/>
    <cellStyle name="Normal 40 2 3 2 2 2 2 2 2 2 3" xfId="7542"/>
    <cellStyle name="Normal 40 2 3 2 2 2 2 2 2 3" xfId="7543"/>
    <cellStyle name="Normal 40 2 3 2 2 2 2 2 2 4" xfId="7544"/>
    <cellStyle name="Normal 40 2 3 2 2 2 2 2 3" xfId="7545"/>
    <cellStyle name="Normal 40 2 3 2 2 2 2 3" xfId="7546"/>
    <cellStyle name="Normal 40 2 3 2 2 2 3" xfId="7547"/>
    <cellStyle name="Normal 40 2 3 2 2 3" xfId="7548"/>
    <cellStyle name="Normal 40 2 3 2 3" xfId="7549"/>
    <cellStyle name="Normal 40 2 3 3" xfId="7550"/>
    <cellStyle name="Normal 40 2 3 4" xfId="7551"/>
    <cellStyle name="Normal 40 2 4" xfId="7552"/>
    <cellStyle name="Normal 40 2 5" xfId="7553"/>
    <cellStyle name="Normal 40 2 6" xfId="7554"/>
    <cellStyle name="Normal 40 3" xfId="1247"/>
    <cellStyle name="Normal 40 3 2" xfId="2906"/>
    <cellStyle name="Normal 40 3 2 2" xfId="7555"/>
    <cellStyle name="Normal 40 3 3" xfId="7556"/>
    <cellStyle name="Normal 40 4" xfId="2112"/>
    <cellStyle name="Normal 40 4 2" xfId="7557"/>
    <cellStyle name="Normal 40 5" xfId="7558"/>
    <cellStyle name="Normal 400" xfId="3806"/>
    <cellStyle name="Normal 400 2" xfId="3927"/>
    <cellStyle name="Normal 401" xfId="3813"/>
    <cellStyle name="Normal 401 2" xfId="3936"/>
    <cellStyle name="Normal 402" xfId="3823"/>
    <cellStyle name="Normal 402 2" xfId="3911"/>
    <cellStyle name="Normal 403" xfId="3882"/>
    <cellStyle name="Normal 403 2" xfId="3919"/>
    <cellStyle name="Normal 404" xfId="3820"/>
    <cellStyle name="Normal 404 2" xfId="3928"/>
    <cellStyle name="Normal 405" xfId="3832"/>
    <cellStyle name="Normal 405 2" xfId="3937"/>
    <cellStyle name="Normal 406" xfId="3881"/>
    <cellStyle name="Normal 407" xfId="3818"/>
    <cellStyle name="Normal 408" xfId="3812"/>
    <cellStyle name="Normal 409" xfId="3821"/>
    <cellStyle name="Normal 41" xfId="443"/>
    <cellStyle name="Normal 41 2" xfId="828"/>
    <cellStyle name="Normal 41 2 2" xfId="1627"/>
    <cellStyle name="Normal 41 2 2 2" xfId="3286"/>
    <cellStyle name="Normal 41 2 2 2 2" xfId="7559"/>
    <cellStyle name="Normal 41 2 2 3" xfId="7560"/>
    <cellStyle name="Normal 41 2 3" xfId="2492"/>
    <cellStyle name="Normal 41 2 3 2" xfId="7561"/>
    <cellStyle name="Normal 41 2 4" xfId="7562"/>
    <cellStyle name="Normal 41 3" xfId="1231"/>
    <cellStyle name="Normal 41 3 2" xfId="2890"/>
    <cellStyle name="Normal 41 3 2 2" xfId="7563"/>
    <cellStyle name="Normal 41 3 3" xfId="7564"/>
    <cellStyle name="Normal 41 4" xfId="2096"/>
    <cellStyle name="Normal 41 4 2" xfId="7565"/>
    <cellStyle name="Normal 41 5" xfId="7566"/>
    <cellStyle name="Normal 410" xfId="3836"/>
    <cellStyle name="Normal 411" xfId="3866"/>
    <cellStyle name="Normal 412" xfId="3883"/>
    <cellStyle name="Normal 412 2" xfId="8685"/>
    <cellStyle name="Normal 412 3" xfId="9812"/>
    <cellStyle name="Normal 413" xfId="3894"/>
    <cellStyle name="Normal 413 2" xfId="8696"/>
    <cellStyle name="Normal 413 3" xfId="9823"/>
    <cellStyle name="Normal 414" xfId="3897"/>
    <cellStyle name="Normal 414 2" xfId="8699"/>
    <cellStyle name="Normal 414 3" xfId="9826"/>
    <cellStyle name="Normal 415" xfId="8730"/>
    <cellStyle name="Normal 415 2" xfId="10377"/>
    <cellStyle name="Normal 416" xfId="8920"/>
    <cellStyle name="Normal 416 2" xfId="10431"/>
    <cellStyle name="Normal 417" xfId="8965"/>
    <cellStyle name="Normal 417 2" xfId="10445"/>
    <cellStyle name="Normal 418" xfId="9000"/>
    <cellStyle name="Normal 418 2" xfId="10457"/>
    <cellStyle name="Normal 419" xfId="9024"/>
    <cellStyle name="Normal 42" xfId="449"/>
    <cellStyle name="Normal 42 2" xfId="834"/>
    <cellStyle name="Normal 42 2 2" xfId="1633"/>
    <cellStyle name="Normal 42 2 2 2" xfId="3292"/>
    <cellStyle name="Normal 42 2 2 2 2" xfId="7567"/>
    <cellStyle name="Normal 42 2 2 3" xfId="7568"/>
    <cellStyle name="Normal 42 2 2 4" xfId="7569"/>
    <cellStyle name="Normal 42 2 3" xfId="2498"/>
    <cellStyle name="Normal 42 2 3 2" xfId="7570"/>
    <cellStyle name="Normal 42 2 4" xfId="7571"/>
    <cellStyle name="Normal 42 2 5" xfId="7572"/>
    <cellStyle name="Normal 42 3" xfId="1237"/>
    <cellStyle name="Normal 42 3 2" xfId="2896"/>
    <cellStyle name="Normal 42 3 2 2" xfId="7573"/>
    <cellStyle name="Normal 42 3 3" xfId="7574"/>
    <cellStyle name="Normal 42 4" xfId="2102"/>
    <cellStyle name="Normal 42 4 2" xfId="7575"/>
    <cellStyle name="Normal 42 5" xfId="7576"/>
    <cellStyle name="Normal 43" xfId="448"/>
    <cellStyle name="Normal 43 2" xfId="833"/>
    <cellStyle name="Normal 43 2 2" xfId="1632"/>
    <cellStyle name="Normal 43 2 2 2" xfId="3291"/>
    <cellStyle name="Normal 43 2 2 2 2" xfId="7577"/>
    <cellStyle name="Normal 43 2 2 3" xfId="7578"/>
    <cellStyle name="Normal 43 2 3" xfId="2497"/>
    <cellStyle name="Normal 43 2 3 2" xfId="7579"/>
    <cellStyle name="Normal 43 2 4" xfId="7580"/>
    <cellStyle name="Normal 43 3" xfId="1236"/>
    <cellStyle name="Normal 43 3 2" xfId="2895"/>
    <cellStyle name="Normal 43 3 2 2" xfId="7581"/>
    <cellStyle name="Normal 43 3 3" xfId="7582"/>
    <cellStyle name="Normal 43 4" xfId="2101"/>
    <cellStyle name="Normal 43 4 2" xfId="7583"/>
    <cellStyle name="Normal 43 5" xfId="7584"/>
    <cellStyle name="Normal 44" xfId="452"/>
    <cellStyle name="Normal 44 2" xfId="837"/>
    <cellStyle name="Normal 44 2 2" xfId="1636"/>
    <cellStyle name="Normal 44 2 2 2" xfId="3295"/>
    <cellStyle name="Normal 44 2 2 2 2" xfId="7585"/>
    <cellStyle name="Normal 44 2 2 3" xfId="7586"/>
    <cellStyle name="Normal 44 2 3" xfId="2501"/>
    <cellStyle name="Normal 44 2 3 2" xfId="7587"/>
    <cellStyle name="Normal 44 2 4" xfId="7588"/>
    <cellStyle name="Normal 44 3" xfId="1240"/>
    <cellStyle name="Normal 44 3 2" xfId="2899"/>
    <cellStyle name="Normal 44 3 2 2" xfId="7589"/>
    <cellStyle name="Normal 44 3 3" xfId="7590"/>
    <cellStyle name="Normal 44 4" xfId="2105"/>
    <cellStyle name="Normal 44 4 2" xfId="7591"/>
    <cellStyle name="Normal 44 5" xfId="7592"/>
    <cellStyle name="Normal 45" xfId="436"/>
    <cellStyle name="Normal 45 2" xfId="821"/>
    <cellStyle name="Normal 45 2 2" xfId="1620"/>
    <cellStyle name="Normal 45 2 2 2" xfId="3279"/>
    <cellStyle name="Normal 45 2 2 2 2" xfId="7593"/>
    <cellStyle name="Normal 45 2 2 3" xfId="7594"/>
    <cellStyle name="Normal 45 2 3" xfId="2485"/>
    <cellStyle name="Normal 45 2 3 2" xfId="7595"/>
    <cellStyle name="Normal 45 2 4" xfId="7596"/>
    <cellStyle name="Normal 45 3" xfId="1224"/>
    <cellStyle name="Normal 45 3 2" xfId="2883"/>
    <cellStyle name="Normal 45 3 2 2" xfId="7597"/>
    <cellStyle name="Normal 45 3 3" xfId="7598"/>
    <cellStyle name="Normal 45 4" xfId="2089"/>
    <cellStyle name="Normal 45 4 2" xfId="7599"/>
    <cellStyle name="Normal 45 5" xfId="7600"/>
    <cellStyle name="Normal 46" xfId="454"/>
    <cellStyle name="Normal 46 2" xfId="839"/>
    <cellStyle name="Normal 46 2 2" xfId="1638"/>
    <cellStyle name="Normal 46 2 2 2" xfId="3297"/>
    <cellStyle name="Normal 46 2 2 2 2" xfId="7601"/>
    <cellStyle name="Normal 46 2 2 2 2 2" xfId="7602"/>
    <cellStyle name="Normal 46 2 2 2 2 2 2" xfId="7603"/>
    <cellStyle name="Normal 46 2 2 2 2 2 2 2" xfId="7604"/>
    <cellStyle name="Normal 46 2 2 2 2 2 2 2 2" xfId="7605"/>
    <cellStyle name="Normal 46 2 2 2 2 2 2 2 2 2" xfId="7606"/>
    <cellStyle name="Normal 46 2 2 2 2 2 2 2 2 2 2" xfId="7607"/>
    <cellStyle name="Normal 46 2 2 2 2 2 2 2 2 2 2 2" xfId="7608"/>
    <cellStyle name="Normal 46 2 2 2 2 2 2 2 2 2 2 2 2" xfId="7609"/>
    <cellStyle name="Normal 46 2 2 2 2 2 2 2 2 2 3" xfId="7610"/>
    <cellStyle name="Normal 46 2 2 2 2 2 2 2 2 3" xfId="7611"/>
    <cellStyle name="Normal 46 2 2 2 2 2 2 2 3" xfId="7612"/>
    <cellStyle name="Normal 46 2 2 2 2 2 2 3" xfId="7613"/>
    <cellStyle name="Normal 46 2 2 2 2 2 2 4" xfId="7614"/>
    <cellStyle name="Normal 46 2 2 2 2 2 3" xfId="7615"/>
    <cellStyle name="Normal 46 2 2 2 2 3" xfId="7616"/>
    <cellStyle name="Normal 46 2 2 2 3" xfId="7617"/>
    <cellStyle name="Normal 46 2 2 2 4" xfId="7618"/>
    <cellStyle name="Normal 46 2 2 3" xfId="7619"/>
    <cellStyle name="Normal 46 2 2 4" xfId="7620"/>
    <cellStyle name="Normal 46 2 2 5" xfId="7621"/>
    <cellStyle name="Normal 46 2 3" xfId="2503"/>
    <cellStyle name="Normal 46 2 3 2" xfId="7622"/>
    <cellStyle name="Normal 46 2 4" xfId="7623"/>
    <cellStyle name="Normal 46 2 5" xfId="7624"/>
    <cellStyle name="Normal 46 3" xfId="1242"/>
    <cellStyle name="Normal 46 3 2" xfId="2901"/>
    <cellStyle name="Normal 46 3 2 2" xfId="7625"/>
    <cellStyle name="Normal 46 3 3" xfId="7626"/>
    <cellStyle name="Normal 46 4" xfId="2107"/>
    <cellStyle name="Normal 46 4 2" xfId="7627"/>
    <cellStyle name="Normal 46 5" xfId="7628"/>
    <cellStyle name="Normal 47" xfId="460"/>
    <cellStyle name="Normal 47 2" xfId="845"/>
    <cellStyle name="Normal 47 2 2" xfId="1644"/>
    <cellStyle name="Normal 47 2 2 2" xfId="3303"/>
    <cellStyle name="Normal 47 2 2 2 2" xfId="7629"/>
    <cellStyle name="Normal 47 2 2 3" xfId="7630"/>
    <cellStyle name="Normal 47 2 3" xfId="2509"/>
    <cellStyle name="Normal 47 2 3 2" xfId="7631"/>
    <cellStyle name="Normal 47 2 4" xfId="7632"/>
    <cellStyle name="Normal 47 3" xfId="1248"/>
    <cellStyle name="Normal 47 3 2" xfId="2907"/>
    <cellStyle name="Normal 47 3 2 2" xfId="7633"/>
    <cellStyle name="Normal 47 3 3" xfId="7634"/>
    <cellStyle name="Normal 47 4" xfId="2113"/>
    <cellStyle name="Normal 47 4 2" xfId="7635"/>
    <cellStyle name="Normal 47 5" xfId="7636"/>
    <cellStyle name="Normal 48" xfId="461"/>
    <cellStyle name="Normal 48 2" xfId="846"/>
    <cellStyle name="Normal 48 2 2" xfId="1645"/>
    <cellStyle name="Normal 48 2 2 2" xfId="3304"/>
    <cellStyle name="Normal 48 2 2 2 2" xfId="7637"/>
    <cellStyle name="Normal 48 2 2 3" xfId="7638"/>
    <cellStyle name="Normal 48 2 3" xfId="2510"/>
    <cellStyle name="Normal 48 2 3 2" xfId="7639"/>
    <cellStyle name="Normal 48 2 4" xfId="7640"/>
    <cellStyle name="Normal 48 3" xfId="1249"/>
    <cellStyle name="Normal 48 3 2" xfId="2908"/>
    <cellStyle name="Normal 48 3 2 2" xfId="7641"/>
    <cellStyle name="Normal 48 3 3" xfId="7642"/>
    <cellStyle name="Normal 48 4" xfId="2114"/>
    <cellStyle name="Normal 48 4 2" xfId="7643"/>
    <cellStyle name="Normal 48 5" xfId="7644"/>
    <cellStyle name="Normal 49" xfId="462"/>
    <cellStyle name="Normal 49 2" xfId="847"/>
    <cellStyle name="Normal 49 2 2" xfId="1646"/>
    <cellStyle name="Normal 49 2 2 2" xfId="3305"/>
    <cellStyle name="Normal 49 2 2 2 2" xfId="7645"/>
    <cellStyle name="Normal 49 2 2 2 2 2" xfId="7646"/>
    <cellStyle name="Normal 49 2 2 2 3" xfId="7647"/>
    <cellStyle name="Normal 49 2 2 3" xfId="7648"/>
    <cellStyle name="Normal 49 2 2 4" xfId="7649"/>
    <cellStyle name="Normal 49 2 3" xfId="2511"/>
    <cellStyle name="Normal 49 2 3 2" xfId="7650"/>
    <cellStyle name="Normal 49 2 4" xfId="7651"/>
    <cellStyle name="Normal 49 3" xfId="1250"/>
    <cellStyle name="Normal 49 3 2" xfId="2909"/>
    <cellStyle name="Normal 49 3 2 2" xfId="7652"/>
    <cellStyle name="Normal 49 3 3" xfId="7653"/>
    <cellStyle name="Normal 49 4" xfId="2115"/>
    <cellStyle name="Normal 49 4 2" xfId="7654"/>
    <cellStyle name="Normal 49 5" xfId="7655"/>
    <cellStyle name="Normal 5" xfId="175"/>
    <cellStyle name="Normal 5 2" xfId="176"/>
    <cellStyle name="Normal 5 2 2" xfId="357"/>
    <cellStyle name="Normal 5 3" xfId="374"/>
    <cellStyle name="Normal 5 4" xfId="305"/>
    <cellStyle name="Normal 5 4 2" xfId="8452"/>
    <cellStyle name="Normal 5 4 3" xfId="9579"/>
    <cellStyle name="Normal 50" xfId="463"/>
    <cellStyle name="Normal 50 2" xfId="848"/>
    <cellStyle name="Normal 50 2 2" xfId="1647"/>
    <cellStyle name="Normal 50 2 2 2" xfId="3306"/>
    <cellStyle name="Normal 50 2 2 2 2" xfId="7656"/>
    <cellStyle name="Normal 50 2 2 2 2 2" xfId="7657"/>
    <cellStyle name="Normal 50 2 2 2 2 2 2" xfId="7658"/>
    <cellStyle name="Normal 50 2 2 2 2 2 2 2" xfId="7659"/>
    <cellStyle name="Normal 50 2 2 2 2 2 2 2 2" xfId="7660"/>
    <cellStyle name="Normal 50 2 2 2 2 2 2 2 2 2" xfId="7661"/>
    <cellStyle name="Normal 50 2 2 2 2 2 2 3" xfId="7662"/>
    <cellStyle name="Normal 50 2 2 2 2 2 3" xfId="7663"/>
    <cellStyle name="Normal 50 2 2 2 2 3" xfId="7664"/>
    <cellStyle name="Normal 50 2 2 2 3" xfId="7665"/>
    <cellStyle name="Normal 50 2 2 2 4" xfId="7666"/>
    <cellStyle name="Normal 50 2 2 2 5" xfId="7667"/>
    <cellStyle name="Normal 50 2 2 3" xfId="7668"/>
    <cellStyle name="Normal 50 2 2 4" xfId="7669"/>
    <cellStyle name="Normal 50 2 2 5" xfId="7670"/>
    <cellStyle name="Normal 50 2 3" xfId="2512"/>
    <cellStyle name="Normal 50 2 3 2" xfId="7671"/>
    <cellStyle name="Normal 50 2 4" xfId="7672"/>
    <cellStyle name="Normal 50 2 5" xfId="7673"/>
    <cellStyle name="Normal 50 3" xfId="1251"/>
    <cellStyle name="Normal 50 3 2" xfId="2910"/>
    <cellStyle name="Normal 50 3 2 2" xfId="7674"/>
    <cellStyle name="Normal 50 3 3" xfId="7675"/>
    <cellStyle name="Normal 50 4" xfId="2116"/>
    <cellStyle name="Normal 50 4 2" xfId="7676"/>
    <cellStyle name="Normal 50 5" xfId="7677"/>
    <cellStyle name="Normal 51" xfId="464"/>
    <cellStyle name="Normal 51 2" xfId="849"/>
    <cellStyle name="Normal 51 2 2" xfId="1648"/>
    <cellStyle name="Normal 51 2 2 2" xfId="3307"/>
    <cellStyle name="Normal 51 2 2 2 2" xfId="7678"/>
    <cellStyle name="Normal 51 2 2 2 2 2" xfId="7679"/>
    <cellStyle name="Normal 51 2 2 2 2 2 2" xfId="7680"/>
    <cellStyle name="Normal 51 2 2 2 2 2 2 2" xfId="7681"/>
    <cellStyle name="Normal 51 2 2 2 2 2 2 2 2" xfId="7682"/>
    <cellStyle name="Normal 51 2 2 2 2 2 3" xfId="7683"/>
    <cellStyle name="Normal 51 2 2 2 2 2 4" xfId="7684"/>
    <cellStyle name="Normal 51 2 2 2 2 3" xfId="7685"/>
    <cellStyle name="Normal 51 2 2 2 3" xfId="7686"/>
    <cellStyle name="Normal 51 2 2 2 4" xfId="7687"/>
    <cellStyle name="Normal 51 2 2 3" xfId="7688"/>
    <cellStyle name="Normal 51 2 2 4" xfId="7689"/>
    <cellStyle name="Normal 51 2 2 5" xfId="7690"/>
    <cellStyle name="Normal 51 2 3" xfId="2513"/>
    <cellStyle name="Normal 51 2 3 2" xfId="7691"/>
    <cellStyle name="Normal 51 2 4" xfId="7692"/>
    <cellStyle name="Normal 51 2 5" xfId="7693"/>
    <cellStyle name="Normal 51 3" xfId="1252"/>
    <cellStyle name="Normal 51 3 2" xfId="2911"/>
    <cellStyle name="Normal 51 3 2 2" xfId="7694"/>
    <cellStyle name="Normal 51 3 3" xfId="7695"/>
    <cellStyle name="Normal 51 4" xfId="2117"/>
    <cellStyle name="Normal 51 4 2" xfId="7696"/>
    <cellStyle name="Normal 51 5" xfId="7697"/>
    <cellStyle name="Normal 52" xfId="465"/>
    <cellStyle name="Normal 52 2" xfId="850"/>
    <cellStyle name="Normal 52 2 2" xfId="1649"/>
    <cellStyle name="Normal 52 2 2 2" xfId="3308"/>
    <cellStyle name="Normal 52 2 2 2 2" xfId="7698"/>
    <cellStyle name="Normal 52 2 2 3" xfId="7699"/>
    <cellStyle name="Normal 52 2 3" xfId="2514"/>
    <cellStyle name="Normal 52 2 3 2" xfId="7700"/>
    <cellStyle name="Normal 52 2 4" xfId="7701"/>
    <cellStyle name="Normal 52 3" xfId="1253"/>
    <cellStyle name="Normal 52 3 2" xfId="2912"/>
    <cellStyle name="Normal 52 3 2 2" xfId="7702"/>
    <cellStyle name="Normal 52 3 3" xfId="7703"/>
    <cellStyle name="Normal 52 4" xfId="2118"/>
    <cellStyle name="Normal 52 4 2" xfId="7704"/>
    <cellStyle name="Normal 52 5" xfId="7705"/>
    <cellStyle name="Normal 53" xfId="466"/>
    <cellStyle name="Normal 53 2" xfId="851"/>
    <cellStyle name="Normal 53 2 2" xfId="1650"/>
    <cellStyle name="Normal 53 2 2 2" xfId="3309"/>
    <cellStyle name="Normal 53 2 2 2 2" xfId="7706"/>
    <cellStyle name="Normal 53 2 2 3" xfId="7707"/>
    <cellStyle name="Normal 53 2 3" xfId="2515"/>
    <cellStyle name="Normal 53 2 3 2" xfId="7708"/>
    <cellStyle name="Normal 53 2 4" xfId="7709"/>
    <cellStyle name="Normal 53 3" xfId="1254"/>
    <cellStyle name="Normal 53 3 2" xfId="2913"/>
    <cellStyle name="Normal 53 3 2 2" xfId="7710"/>
    <cellStyle name="Normal 53 3 3" xfId="7711"/>
    <cellStyle name="Normal 53 4" xfId="2119"/>
    <cellStyle name="Normal 53 4 2" xfId="7712"/>
    <cellStyle name="Normal 53 5" xfId="7713"/>
    <cellStyle name="Normal 54" xfId="467"/>
    <cellStyle name="Normal 54 2" xfId="852"/>
    <cellStyle name="Normal 54 2 2" xfId="1651"/>
    <cellStyle name="Normal 54 2 2 2" xfId="3310"/>
    <cellStyle name="Normal 54 2 2 2 2" xfId="7714"/>
    <cellStyle name="Normal 54 2 2 3" xfId="7715"/>
    <cellStyle name="Normal 54 2 3" xfId="2516"/>
    <cellStyle name="Normal 54 2 3 2" xfId="7716"/>
    <cellStyle name="Normal 54 2 4" xfId="7717"/>
    <cellStyle name="Normal 54 3" xfId="1255"/>
    <cellStyle name="Normal 54 3 2" xfId="2914"/>
    <cellStyle name="Normal 54 3 2 2" xfId="7718"/>
    <cellStyle name="Normal 54 3 3" xfId="7719"/>
    <cellStyle name="Normal 54 4" xfId="2120"/>
    <cellStyle name="Normal 54 4 2" xfId="7720"/>
    <cellStyle name="Normal 54 5" xfId="7721"/>
    <cellStyle name="Normal 55" xfId="468"/>
    <cellStyle name="Normal 55 2" xfId="853"/>
    <cellStyle name="Normal 55 2 2" xfId="1652"/>
    <cellStyle name="Normal 55 2 2 2" xfId="3311"/>
    <cellStyle name="Normal 55 2 2 2 2" xfId="7722"/>
    <cellStyle name="Normal 55 2 2 3" xfId="7723"/>
    <cellStyle name="Normal 55 2 3" xfId="2517"/>
    <cellStyle name="Normal 55 2 3 2" xfId="7724"/>
    <cellStyle name="Normal 55 2 4" xfId="7725"/>
    <cellStyle name="Normal 55 3" xfId="1256"/>
    <cellStyle name="Normal 55 3 2" xfId="2915"/>
    <cellStyle name="Normal 55 3 2 2" xfId="7726"/>
    <cellStyle name="Normal 55 3 3" xfId="7727"/>
    <cellStyle name="Normal 55 4" xfId="2121"/>
    <cellStyle name="Normal 55 4 2" xfId="7728"/>
    <cellStyle name="Normal 55 5" xfId="7729"/>
    <cellStyle name="Normal 56" xfId="469"/>
    <cellStyle name="Normal 56 2" xfId="854"/>
    <cellStyle name="Normal 56 2 2" xfId="1653"/>
    <cellStyle name="Normal 56 2 2 2" xfId="3312"/>
    <cellStyle name="Normal 56 2 2 2 2" xfId="7730"/>
    <cellStyle name="Normal 56 2 2 3" xfId="7731"/>
    <cellStyle name="Normal 56 2 2 4" xfId="7732"/>
    <cellStyle name="Normal 56 2 3" xfId="2518"/>
    <cellStyle name="Normal 56 2 3 2" xfId="7733"/>
    <cellStyle name="Normal 56 2 4" xfId="7734"/>
    <cellStyle name="Normal 56 2 5" xfId="7735"/>
    <cellStyle name="Normal 56 2 6" xfId="7736"/>
    <cellStyle name="Normal 56 3" xfId="1257"/>
    <cellStyle name="Normal 56 3 2" xfId="2916"/>
    <cellStyle name="Normal 56 3 2 2" xfId="7737"/>
    <cellStyle name="Normal 56 3 3" xfId="7738"/>
    <cellStyle name="Normal 56 4" xfId="2122"/>
    <cellStyle name="Normal 56 4 2" xfId="7739"/>
    <cellStyle name="Normal 56 5" xfId="7740"/>
    <cellStyle name="Normal 57" xfId="470"/>
    <cellStyle name="Normal 57 2" xfId="855"/>
    <cellStyle name="Normal 57 2 2" xfId="1654"/>
    <cellStyle name="Normal 57 2 2 2" xfId="3313"/>
    <cellStyle name="Normal 57 2 2 2 2" xfId="7741"/>
    <cellStyle name="Normal 57 2 2 3" xfId="7742"/>
    <cellStyle name="Normal 57 2 3" xfId="2519"/>
    <cellStyle name="Normal 57 2 3 2" xfId="7743"/>
    <cellStyle name="Normal 57 2 4" xfId="7744"/>
    <cellStyle name="Normal 57 3" xfId="1258"/>
    <cellStyle name="Normal 57 3 2" xfId="2917"/>
    <cellStyle name="Normal 57 3 2 2" xfId="7745"/>
    <cellStyle name="Normal 57 3 3" xfId="7746"/>
    <cellStyle name="Normal 57 4" xfId="2123"/>
    <cellStyle name="Normal 57 4 2" xfId="7747"/>
    <cellStyle name="Normal 57 5" xfId="7748"/>
    <cellStyle name="Normal 58" xfId="471"/>
    <cellStyle name="Normal 58 2" xfId="856"/>
    <cellStyle name="Normal 58 2 2" xfId="1655"/>
    <cellStyle name="Normal 58 2 2 2" xfId="3314"/>
    <cellStyle name="Normal 58 2 2 2 2" xfId="7749"/>
    <cellStyle name="Normal 58 2 2 3" xfId="7750"/>
    <cellStyle name="Normal 58 2 3" xfId="2520"/>
    <cellStyle name="Normal 58 2 3 2" xfId="7751"/>
    <cellStyle name="Normal 58 2 4" xfId="7752"/>
    <cellStyle name="Normal 58 3" xfId="1259"/>
    <cellStyle name="Normal 58 3 2" xfId="2918"/>
    <cellStyle name="Normal 58 3 2 2" xfId="7753"/>
    <cellStyle name="Normal 58 3 3" xfId="7754"/>
    <cellStyle name="Normal 58 4" xfId="2124"/>
    <cellStyle name="Normal 58 4 2" xfId="7755"/>
    <cellStyle name="Normal 58 5" xfId="7756"/>
    <cellStyle name="Normal 59" xfId="472"/>
    <cellStyle name="Normal 59 2" xfId="857"/>
    <cellStyle name="Normal 59 2 2" xfId="1656"/>
    <cellStyle name="Normal 59 2 2 2" xfId="3315"/>
    <cellStyle name="Normal 59 2 2 2 2" xfId="7757"/>
    <cellStyle name="Normal 59 2 2 3" xfId="7758"/>
    <cellStyle name="Normal 59 2 3" xfId="2521"/>
    <cellStyle name="Normal 59 2 3 2" xfId="7759"/>
    <cellStyle name="Normal 59 2 4" xfId="7760"/>
    <cellStyle name="Normal 59 3" xfId="1260"/>
    <cellStyle name="Normal 59 3 2" xfId="2919"/>
    <cellStyle name="Normal 59 3 2 2" xfId="7761"/>
    <cellStyle name="Normal 59 3 3" xfId="7762"/>
    <cellStyle name="Normal 59 4" xfId="2125"/>
    <cellStyle name="Normal 59 4 2" xfId="7763"/>
    <cellStyle name="Normal 59 5" xfId="7764"/>
    <cellStyle name="Normal 6" xfId="177"/>
    <cellStyle name="Normal 6 2" xfId="418"/>
    <cellStyle name="Normal 6 2 2" xfId="8479"/>
    <cellStyle name="Normal 6 2 3" xfId="9606"/>
    <cellStyle name="Normal 6 3" xfId="307"/>
    <cellStyle name="Normal 60" xfId="473"/>
    <cellStyle name="Normal 60 2" xfId="858"/>
    <cellStyle name="Normal 60 2 2" xfId="1657"/>
    <cellStyle name="Normal 60 2 2 2" xfId="3316"/>
    <cellStyle name="Normal 60 2 2 2 2" xfId="7765"/>
    <cellStyle name="Normal 60 2 2 3" xfId="7766"/>
    <cellStyle name="Normal 60 2 3" xfId="2522"/>
    <cellStyle name="Normal 60 2 3 2" xfId="7767"/>
    <cellStyle name="Normal 60 2 4" xfId="7768"/>
    <cellStyle name="Normal 60 3" xfId="1261"/>
    <cellStyle name="Normal 60 3 2" xfId="2920"/>
    <cellStyle name="Normal 60 3 2 2" xfId="7769"/>
    <cellStyle name="Normal 60 3 3" xfId="7770"/>
    <cellStyle name="Normal 60 4" xfId="2126"/>
    <cellStyle name="Normal 60 4 2" xfId="7771"/>
    <cellStyle name="Normal 60 5" xfId="7772"/>
    <cellStyle name="Normal 61" xfId="474"/>
    <cellStyle name="Normal 61 2" xfId="859"/>
    <cellStyle name="Normal 61 2 2" xfId="1658"/>
    <cellStyle name="Normal 61 2 2 2" xfId="3317"/>
    <cellStyle name="Normal 61 2 2 2 2" xfId="7773"/>
    <cellStyle name="Normal 61 2 2 3" xfId="7774"/>
    <cellStyle name="Normal 61 2 3" xfId="2523"/>
    <cellStyle name="Normal 61 2 3 2" xfId="7775"/>
    <cellStyle name="Normal 61 2 4" xfId="7776"/>
    <cellStyle name="Normal 61 3" xfId="1262"/>
    <cellStyle name="Normal 61 3 2" xfId="2921"/>
    <cellStyle name="Normal 61 3 2 2" xfId="7777"/>
    <cellStyle name="Normal 61 3 3" xfId="7778"/>
    <cellStyle name="Normal 61 4" xfId="2127"/>
    <cellStyle name="Normal 61 4 2" xfId="7779"/>
    <cellStyle name="Normal 61 5" xfId="7780"/>
    <cellStyle name="Normal 62" xfId="475"/>
    <cellStyle name="Normal 62 2" xfId="860"/>
    <cellStyle name="Normal 62 2 2" xfId="1659"/>
    <cellStyle name="Normal 62 2 2 2" xfId="3318"/>
    <cellStyle name="Normal 62 2 2 2 2" xfId="7781"/>
    <cellStyle name="Normal 62 2 2 3" xfId="7782"/>
    <cellStyle name="Normal 62 2 3" xfId="2524"/>
    <cellStyle name="Normal 62 2 3 2" xfId="7783"/>
    <cellStyle name="Normal 62 2 4" xfId="7784"/>
    <cellStyle name="Normal 62 3" xfId="1263"/>
    <cellStyle name="Normal 62 3 2" xfId="2922"/>
    <cellStyle name="Normal 62 3 2 2" xfId="7785"/>
    <cellStyle name="Normal 62 3 3" xfId="7786"/>
    <cellStyle name="Normal 62 4" xfId="2128"/>
    <cellStyle name="Normal 62 4 2" xfId="7787"/>
    <cellStyle name="Normal 62 5" xfId="7788"/>
    <cellStyle name="Normal 63" xfId="476"/>
    <cellStyle name="Normal 63 2" xfId="861"/>
    <cellStyle name="Normal 63 2 2" xfId="1660"/>
    <cellStyle name="Normal 63 2 2 2" xfId="3319"/>
    <cellStyle name="Normal 63 2 2 2 2" xfId="7789"/>
    <cellStyle name="Normal 63 2 2 3" xfId="7790"/>
    <cellStyle name="Normal 63 2 3" xfId="2525"/>
    <cellStyle name="Normal 63 2 3 2" xfId="7791"/>
    <cellStyle name="Normal 63 2 4" xfId="7792"/>
    <cellStyle name="Normal 63 3" xfId="1264"/>
    <cellStyle name="Normal 63 3 2" xfId="2923"/>
    <cellStyle name="Normal 63 3 2 2" xfId="7793"/>
    <cellStyle name="Normal 63 3 3" xfId="7794"/>
    <cellStyle name="Normal 63 4" xfId="2129"/>
    <cellStyle name="Normal 63 4 2" xfId="7795"/>
    <cellStyle name="Normal 63 5" xfId="7796"/>
    <cellStyle name="Normal 64" xfId="477"/>
    <cellStyle name="Normal 64 2" xfId="862"/>
    <cellStyle name="Normal 64 2 2" xfId="1661"/>
    <cellStyle name="Normal 64 2 2 2" xfId="3320"/>
    <cellStyle name="Normal 64 2 2 2 2" xfId="7797"/>
    <cellStyle name="Normal 64 2 2 3" xfId="7798"/>
    <cellStyle name="Normal 64 2 3" xfId="2526"/>
    <cellStyle name="Normal 64 2 3 2" xfId="7799"/>
    <cellStyle name="Normal 64 2 4" xfId="7800"/>
    <cellStyle name="Normal 64 3" xfId="1265"/>
    <cellStyle name="Normal 64 3 2" xfId="2924"/>
    <cellStyle name="Normal 64 3 2 2" xfId="7801"/>
    <cellStyle name="Normal 64 3 3" xfId="7802"/>
    <cellStyle name="Normal 64 4" xfId="2130"/>
    <cellStyle name="Normal 64 4 2" xfId="7803"/>
    <cellStyle name="Normal 64 5" xfId="7804"/>
    <cellStyle name="Normal 65" xfId="478"/>
    <cellStyle name="Normal 65 2" xfId="863"/>
    <cellStyle name="Normal 65 2 2" xfId="1662"/>
    <cellStyle name="Normal 65 2 2 2" xfId="3321"/>
    <cellStyle name="Normal 65 2 2 2 2" xfId="7805"/>
    <cellStyle name="Normal 65 2 2 3" xfId="7806"/>
    <cellStyle name="Normal 65 2 3" xfId="2527"/>
    <cellStyle name="Normal 65 2 3 2" xfId="7807"/>
    <cellStyle name="Normal 65 2 4" xfId="7808"/>
    <cellStyle name="Normal 65 3" xfId="1266"/>
    <cellStyle name="Normal 65 3 2" xfId="2925"/>
    <cellStyle name="Normal 65 3 2 2" xfId="7809"/>
    <cellStyle name="Normal 65 3 3" xfId="7810"/>
    <cellStyle name="Normal 65 4" xfId="2131"/>
    <cellStyle name="Normal 65 4 2" xfId="7811"/>
    <cellStyle name="Normal 65 5" xfId="7812"/>
    <cellStyle name="Normal 66" xfId="479"/>
    <cellStyle name="Normal 66 2" xfId="864"/>
    <cellStyle name="Normal 66 2 2" xfId="1663"/>
    <cellStyle name="Normal 66 2 2 2" xfId="3322"/>
    <cellStyle name="Normal 66 2 2 2 2" xfId="7813"/>
    <cellStyle name="Normal 66 2 2 3" xfId="7814"/>
    <cellStyle name="Normal 66 2 3" xfId="2528"/>
    <cellStyle name="Normal 66 2 3 2" xfId="7815"/>
    <cellStyle name="Normal 66 2 4" xfId="7816"/>
    <cellStyle name="Normal 66 3" xfId="1267"/>
    <cellStyle name="Normal 66 3 2" xfId="2926"/>
    <cellStyle name="Normal 66 3 2 2" xfId="7817"/>
    <cellStyle name="Normal 66 3 3" xfId="7818"/>
    <cellStyle name="Normal 66 4" xfId="2132"/>
    <cellStyle name="Normal 66 4 2" xfId="7819"/>
    <cellStyle name="Normal 66 5" xfId="7820"/>
    <cellStyle name="Normal 67" xfId="480"/>
    <cellStyle name="Normal 67 2" xfId="865"/>
    <cellStyle name="Normal 67 2 2" xfId="1664"/>
    <cellStyle name="Normal 67 2 2 2" xfId="3323"/>
    <cellStyle name="Normal 67 2 2 2 2" xfId="7821"/>
    <cellStyle name="Normal 67 2 2 3" xfId="7822"/>
    <cellStyle name="Normal 67 2 3" xfId="2529"/>
    <cellStyle name="Normal 67 2 3 2" xfId="7823"/>
    <cellStyle name="Normal 67 2 4" xfId="7824"/>
    <cellStyle name="Normal 67 3" xfId="1268"/>
    <cellStyle name="Normal 67 3 2" xfId="2927"/>
    <cellStyle name="Normal 67 3 2 2" xfId="7825"/>
    <cellStyle name="Normal 67 3 3" xfId="7826"/>
    <cellStyle name="Normal 67 4" xfId="2133"/>
    <cellStyle name="Normal 67 4 2" xfId="7827"/>
    <cellStyle name="Normal 67 5" xfId="7828"/>
    <cellStyle name="Normal 68" xfId="481"/>
    <cellStyle name="Normal 68 2" xfId="866"/>
    <cellStyle name="Normal 68 2 2" xfId="1665"/>
    <cellStyle name="Normal 68 2 2 2" xfId="3324"/>
    <cellStyle name="Normal 68 2 2 2 2" xfId="7829"/>
    <cellStyle name="Normal 68 2 2 3" xfId="7830"/>
    <cellStyle name="Normal 68 2 3" xfId="2530"/>
    <cellStyle name="Normal 68 2 3 2" xfId="7831"/>
    <cellStyle name="Normal 68 2 4" xfId="7832"/>
    <cellStyle name="Normal 68 3" xfId="1269"/>
    <cellStyle name="Normal 68 3 2" xfId="2928"/>
    <cellStyle name="Normal 68 3 2 2" xfId="7833"/>
    <cellStyle name="Normal 68 3 3" xfId="7834"/>
    <cellStyle name="Normal 68 4" xfId="2134"/>
    <cellStyle name="Normal 68 4 2" xfId="7835"/>
    <cellStyle name="Normal 68 5" xfId="7836"/>
    <cellStyle name="Normal 69" xfId="482"/>
    <cellStyle name="Normal 69 2" xfId="867"/>
    <cellStyle name="Normal 69 2 2" xfId="1666"/>
    <cellStyle name="Normal 69 2 2 2" xfId="3325"/>
    <cellStyle name="Normal 69 2 2 2 2" xfId="7837"/>
    <cellStyle name="Normal 69 2 2 3" xfId="7838"/>
    <cellStyle name="Normal 69 2 3" xfId="2531"/>
    <cellStyle name="Normal 69 2 3 2" xfId="7839"/>
    <cellStyle name="Normal 69 2 4" xfId="7840"/>
    <cellStyle name="Normal 69 3" xfId="1270"/>
    <cellStyle name="Normal 69 3 2" xfId="2929"/>
    <cellStyle name="Normal 69 3 2 2" xfId="7841"/>
    <cellStyle name="Normal 69 3 3" xfId="7842"/>
    <cellStyle name="Normal 69 4" xfId="2135"/>
    <cellStyle name="Normal 69 4 2" xfId="7843"/>
    <cellStyle name="Normal 69 5" xfId="7844"/>
    <cellStyle name="Normal 7" xfId="178"/>
    <cellStyle name="Normal 7 2" xfId="179"/>
    <cellStyle name="Normal 7 2 2" xfId="2029"/>
    <cellStyle name="Normal 7 2 3" xfId="375"/>
    <cellStyle name="Normal 7 3" xfId="421"/>
    <cellStyle name="Normal 7 3 2" xfId="8482"/>
    <cellStyle name="Normal 7 3 3" xfId="9609"/>
    <cellStyle name="Normal 7 4" xfId="320"/>
    <cellStyle name="Normal 7 4 2" xfId="8455"/>
    <cellStyle name="Normal 7 4 3" xfId="9582"/>
    <cellStyle name="Normal 70" xfId="483"/>
    <cellStyle name="Normal 70 2" xfId="868"/>
    <cellStyle name="Normal 70 2 2" xfId="1667"/>
    <cellStyle name="Normal 70 2 2 2" xfId="3326"/>
    <cellStyle name="Normal 70 2 2 2 2" xfId="7845"/>
    <cellStyle name="Normal 70 2 2 3" xfId="7846"/>
    <cellStyle name="Normal 70 2 3" xfId="2532"/>
    <cellStyle name="Normal 70 2 3 2" xfId="7847"/>
    <cellStyle name="Normal 70 2 4" xfId="7848"/>
    <cellStyle name="Normal 70 3" xfId="1271"/>
    <cellStyle name="Normal 70 3 2" xfId="2930"/>
    <cellStyle name="Normal 70 3 2 2" xfId="7849"/>
    <cellStyle name="Normal 70 3 3" xfId="7850"/>
    <cellStyle name="Normal 70 4" xfId="2136"/>
    <cellStyle name="Normal 70 4 2" xfId="7851"/>
    <cellStyle name="Normal 70 5" xfId="7852"/>
    <cellStyle name="Normal 71" xfId="484"/>
    <cellStyle name="Normal 71 2" xfId="869"/>
    <cellStyle name="Normal 71 2 2" xfId="1668"/>
    <cellStyle name="Normal 71 2 2 2" xfId="3327"/>
    <cellStyle name="Normal 71 2 2 2 2" xfId="7853"/>
    <cellStyle name="Normal 71 2 2 3" xfId="7854"/>
    <cellStyle name="Normal 71 2 3" xfId="2533"/>
    <cellStyle name="Normal 71 2 3 2" xfId="7855"/>
    <cellStyle name="Normal 71 2 4" xfId="7856"/>
    <cellStyle name="Normal 71 3" xfId="1272"/>
    <cellStyle name="Normal 71 3 2" xfId="2931"/>
    <cellStyle name="Normal 71 3 2 2" xfId="7857"/>
    <cellStyle name="Normal 71 3 3" xfId="7858"/>
    <cellStyle name="Normal 71 4" xfId="2137"/>
    <cellStyle name="Normal 71 4 2" xfId="7859"/>
    <cellStyle name="Normal 71 5" xfId="7860"/>
    <cellStyle name="Normal 72" xfId="485"/>
    <cellStyle name="Normal 72 2" xfId="870"/>
    <cellStyle name="Normal 72 2 2" xfId="1669"/>
    <cellStyle name="Normal 72 2 2 2" xfId="3328"/>
    <cellStyle name="Normal 72 2 2 2 2" xfId="7861"/>
    <cellStyle name="Normal 72 2 2 3" xfId="7862"/>
    <cellStyle name="Normal 72 2 3" xfId="2534"/>
    <cellStyle name="Normal 72 2 3 2" xfId="7863"/>
    <cellStyle name="Normal 72 2 4" xfId="7864"/>
    <cellStyle name="Normal 72 3" xfId="1273"/>
    <cellStyle name="Normal 72 3 2" xfId="2932"/>
    <cellStyle name="Normal 72 3 2 2" xfId="7865"/>
    <cellStyle name="Normal 72 3 3" xfId="7866"/>
    <cellStyle name="Normal 72 4" xfId="2138"/>
    <cellStyle name="Normal 72 4 2" xfId="7867"/>
    <cellStyle name="Normal 72 5" xfId="7868"/>
    <cellStyle name="Normal 73" xfId="486"/>
    <cellStyle name="Normal 73 2" xfId="871"/>
    <cellStyle name="Normal 73 2 2" xfId="1670"/>
    <cellStyle name="Normal 73 2 2 2" xfId="3329"/>
    <cellStyle name="Normal 73 2 2 2 2" xfId="7869"/>
    <cellStyle name="Normal 73 2 2 3" xfId="7870"/>
    <cellStyle name="Normal 73 2 3" xfId="2535"/>
    <cellStyle name="Normal 73 2 3 2" xfId="7871"/>
    <cellStyle name="Normal 73 2 4" xfId="7872"/>
    <cellStyle name="Normal 73 3" xfId="1274"/>
    <cellStyle name="Normal 73 3 2" xfId="2933"/>
    <cellStyle name="Normal 73 3 2 2" xfId="7873"/>
    <cellStyle name="Normal 73 3 3" xfId="7874"/>
    <cellStyle name="Normal 73 4" xfId="2139"/>
    <cellStyle name="Normal 73 4 2" xfId="7875"/>
    <cellStyle name="Normal 73 5" xfId="7876"/>
    <cellStyle name="Normal 74" xfId="487"/>
    <cellStyle name="Normal 74 2" xfId="872"/>
    <cellStyle name="Normal 74 2 2" xfId="1671"/>
    <cellStyle name="Normal 74 2 2 2" xfId="3330"/>
    <cellStyle name="Normal 74 2 2 2 2" xfId="7877"/>
    <cellStyle name="Normal 74 2 2 3" xfId="7878"/>
    <cellStyle name="Normal 74 2 3" xfId="2536"/>
    <cellStyle name="Normal 74 2 3 2" xfId="7879"/>
    <cellStyle name="Normal 74 2 4" xfId="7880"/>
    <cellStyle name="Normal 74 3" xfId="1275"/>
    <cellStyle name="Normal 74 3 2" xfId="2934"/>
    <cellStyle name="Normal 74 3 2 2" xfId="7881"/>
    <cellStyle name="Normal 74 3 3" xfId="7882"/>
    <cellStyle name="Normal 74 4" xfId="2140"/>
    <cellStyle name="Normal 74 4 2" xfId="7883"/>
    <cellStyle name="Normal 74 5" xfId="7884"/>
    <cellStyle name="Normal 75" xfId="488"/>
    <cellStyle name="Normal 75 2" xfId="873"/>
    <cellStyle name="Normal 75 2 2" xfId="1672"/>
    <cellStyle name="Normal 75 2 2 2" xfId="3331"/>
    <cellStyle name="Normal 75 2 2 2 2" xfId="7885"/>
    <cellStyle name="Normal 75 2 2 3" xfId="7886"/>
    <cellStyle name="Normal 75 2 3" xfId="2537"/>
    <cellStyle name="Normal 75 2 3 2" xfId="7887"/>
    <cellStyle name="Normal 75 2 4" xfId="7888"/>
    <cellStyle name="Normal 75 3" xfId="1276"/>
    <cellStyle name="Normal 75 3 2" xfId="2935"/>
    <cellStyle name="Normal 75 3 2 2" xfId="7889"/>
    <cellStyle name="Normal 75 3 3" xfId="7890"/>
    <cellStyle name="Normal 75 4" xfId="2141"/>
    <cellStyle name="Normal 75 4 2" xfId="7891"/>
    <cellStyle name="Normal 75 5" xfId="7892"/>
    <cellStyle name="Normal 76" xfId="489"/>
    <cellStyle name="Normal 76 2" xfId="874"/>
    <cellStyle name="Normal 76 2 2" xfId="1673"/>
    <cellStyle name="Normal 76 2 2 2" xfId="3332"/>
    <cellStyle name="Normal 76 2 2 2 2" xfId="7893"/>
    <cellStyle name="Normal 76 2 2 3" xfId="7894"/>
    <cellStyle name="Normal 76 2 3" xfId="2538"/>
    <cellStyle name="Normal 76 2 3 2" xfId="7895"/>
    <cellStyle name="Normal 76 2 4" xfId="7896"/>
    <cellStyle name="Normal 76 3" xfId="1277"/>
    <cellStyle name="Normal 76 3 2" xfId="2936"/>
    <cellStyle name="Normal 76 3 2 2" xfId="7897"/>
    <cellStyle name="Normal 76 3 3" xfId="7898"/>
    <cellStyle name="Normal 76 4" xfId="2142"/>
    <cellStyle name="Normal 76 4 2" xfId="7899"/>
    <cellStyle name="Normal 76 5" xfId="7900"/>
    <cellStyle name="Normal 77" xfId="490"/>
    <cellStyle name="Normal 77 2" xfId="875"/>
    <cellStyle name="Normal 77 2 2" xfId="1674"/>
    <cellStyle name="Normal 77 2 2 2" xfId="3333"/>
    <cellStyle name="Normal 77 2 2 2 2" xfId="7901"/>
    <cellStyle name="Normal 77 2 2 3" xfId="7902"/>
    <cellStyle name="Normal 77 2 3" xfId="2539"/>
    <cellStyle name="Normal 77 2 3 2" xfId="7903"/>
    <cellStyle name="Normal 77 2 4" xfId="7904"/>
    <cellStyle name="Normal 77 3" xfId="1278"/>
    <cellStyle name="Normal 77 3 2" xfId="2937"/>
    <cellStyle name="Normal 77 3 2 2" xfId="7905"/>
    <cellStyle name="Normal 77 3 3" xfId="7906"/>
    <cellStyle name="Normal 77 4" xfId="2143"/>
    <cellStyle name="Normal 77 4 2" xfId="7907"/>
    <cellStyle name="Normal 77 5" xfId="7908"/>
    <cellStyle name="Normal 78" xfId="491"/>
    <cellStyle name="Normal 78 2" xfId="876"/>
    <cellStyle name="Normal 78 2 2" xfId="1675"/>
    <cellStyle name="Normal 78 2 2 2" xfId="3334"/>
    <cellStyle name="Normal 78 2 2 2 2" xfId="7909"/>
    <cellStyle name="Normal 78 2 2 3" xfId="7910"/>
    <cellStyle name="Normal 78 2 3" xfId="2540"/>
    <cellStyle name="Normal 78 2 3 2" xfId="7911"/>
    <cellStyle name="Normal 78 2 4" xfId="7912"/>
    <cellStyle name="Normal 78 3" xfId="1279"/>
    <cellStyle name="Normal 78 3 2" xfId="2938"/>
    <cellStyle name="Normal 78 3 2 2" xfId="7913"/>
    <cellStyle name="Normal 78 3 3" xfId="7914"/>
    <cellStyle name="Normal 78 4" xfId="2144"/>
    <cellStyle name="Normal 78 4 2" xfId="7915"/>
    <cellStyle name="Normal 78 5" xfId="7916"/>
    <cellStyle name="Normal 79" xfId="492"/>
    <cellStyle name="Normal 79 2" xfId="877"/>
    <cellStyle name="Normal 79 2 2" xfId="1676"/>
    <cellStyle name="Normal 79 2 2 2" xfId="3335"/>
    <cellStyle name="Normal 79 2 2 2 2" xfId="7917"/>
    <cellStyle name="Normal 79 2 2 3" xfId="7918"/>
    <cellStyle name="Normal 79 2 3" xfId="2541"/>
    <cellStyle name="Normal 79 2 3 2" xfId="7919"/>
    <cellStyle name="Normal 79 2 4" xfId="7920"/>
    <cellStyle name="Normal 79 3" xfId="1280"/>
    <cellStyle name="Normal 79 3 2" xfId="2939"/>
    <cellStyle name="Normal 79 3 2 2" xfId="7921"/>
    <cellStyle name="Normal 79 3 3" xfId="7922"/>
    <cellStyle name="Normal 79 4" xfId="2145"/>
    <cellStyle name="Normal 79 4 2" xfId="7923"/>
    <cellStyle name="Normal 79 5" xfId="7924"/>
    <cellStyle name="Normal 8" xfId="180"/>
    <cellStyle name="Normal 8 2" xfId="181"/>
    <cellStyle name="Normal 8 2 2" xfId="182"/>
    <cellStyle name="Normal 8 2 2 2" xfId="183"/>
    <cellStyle name="Normal 8 2 2 2 2" xfId="184"/>
    <cellStyle name="Normal 8 2 2 2 2 2" xfId="185"/>
    <cellStyle name="Normal 8 2 2 2 2 2 2" xfId="186"/>
    <cellStyle name="Normal 8 2 2 2 2 2 2 2" xfId="187"/>
    <cellStyle name="Normal 8 2 2 2 2 2 2 2 2" xfId="7925"/>
    <cellStyle name="Normal 8 2 2 2 2 2 2 2 2 2" xfId="7926"/>
    <cellStyle name="Normal 8 2 2 2 2 2 2 2 2 2 2" xfId="7927"/>
    <cellStyle name="Normal 8 2 2 2 2 2 2 2 2 2 2 2" xfId="7928"/>
    <cellStyle name="Normal 8 2 2 2 2 2 2 2 2 2 2 2 2" xfId="7929"/>
    <cellStyle name="Normal 8 2 2 2 2 2 2 2 2 2 2 2 2 2" xfId="7930"/>
    <cellStyle name="Normal 8 2 2 2 2 2 2 2 2 2 2 2 3" xfId="7931"/>
    <cellStyle name="Normal 8 2 2 2 2 2 2 2 2 2 2 2 3 2" xfId="7932"/>
    <cellStyle name="Normal 8 2 2 2 2 2 2 2 2 2 2 2 3 2 2" xfId="7933"/>
    <cellStyle name="Normal 8 2 2 2 2 2 2 2 2 2 2 2 3 2 2 2" xfId="7934"/>
    <cellStyle name="Normal 8 2 2 2 2 2 2 2 2 2 2 2 3 2 2 2 2" xfId="7935"/>
    <cellStyle name="Normal 8 2 2 2 2 2 2 2 2 2 2 2 3 2 2 2 2 2" xfId="7936"/>
    <cellStyle name="Normal 8 2 2 2 2 2 2 2 2 2 2 2 3 2 2 2 2 2 2" xfId="7937"/>
    <cellStyle name="Normal 8 2 2 2 2 2 2 2 2 2 2 2 3 2 2 2 2 2 2 2" xfId="7938"/>
    <cellStyle name="Normal 8 2 2 2 2 2 2 2 2 2 2 2 3 2 2 2 2 2 2 2 2" xfId="7939"/>
    <cellStyle name="Normal 8 2 2 2 2 2 2 2 2 2 2 2 3 2 2 2 2 2 2 2 2 2" xfId="7940"/>
    <cellStyle name="Normal 8 2 2 2 2 2 2 2 2 2 2 2 3 2 2 2 2 2 2 2 2 2 2" xfId="7941"/>
    <cellStyle name="Normal 8 2 2 2 2 2 2 2 2 2 2 2 3 2 2 2 2 2 2 2 2 2 2 2" xfId="7942"/>
    <cellStyle name="Normal 8 2 2 2 2 2 2 2 2 2 2 2 3 2 2 2 2 2 2 2 2 2 2 2 2" xfId="7943"/>
    <cellStyle name="Normal 8 2 2 2 2 2 2 2 2 2 2 2 3 2 2 2 2 2 2 2 2 2 2 2 2 2" xfId="7944"/>
    <cellStyle name="Normal 8 2 2 2 2 2 2 2 2 2 2 2 3 2 2 2 2 2 2 2 2 2 2 2 2 2 2" xfId="7945"/>
    <cellStyle name="Normal 8 2 2 2 2 2 2 2 2 2 2 2 3 2 2 2 2 2 2 2 2 2 2 2 2 2 2 2" xfId="7946"/>
    <cellStyle name="Normal 8 2 2 2 2 2 2 2 2 2 2 2 3 2 2 2 2 2 2 2 2 2 2 2 2 2 2 2 2" xfId="7947"/>
    <cellStyle name="Normal 8 2 2 2 2 2 2 2 2 2 2 2 3 2 2 2 2 2 2 2 2 2 2 2 2 2 2 2 2 2" xfId="7948"/>
    <cellStyle name="Normal 8 2 2 2 2 2 2 2 2 2 2 2 3 2 2 2 2 2 2 2 2 2 2 2 2 2 2 2 2 2 2" xfId="7949"/>
    <cellStyle name="Normal 8 2 2 2 2 2 2 2 2 2 2 2 3 2 2 2 2 2 2 2 2 2 2 2 2 2 2 2 2 2 2 2" xfId="7950"/>
    <cellStyle name="Normal 8 2 2 2 2 2 2 2 2 2 2 2 3 2 2 2 2 2 2 2 2 2 2 2 2 2 2 2 2 2 2 2 2" xfId="7951"/>
    <cellStyle name="Normal 8 2 2 2 2 2 2 2 2 2 2 2 3 2 2 2 2 2 2 2 2 2 2 2 2 2 2 2 2 2 2 2 2 2" xfId="7952"/>
    <cellStyle name="Normal 8 2 2 2 2 2 2 2 2 2 2 2 3 2 2 2 2 2 2 2 2 2 2 2 2 2 2 2 2 2 2 2 2 2 2" xfId="7953"/>
    <cellStyle name="Normal 8 2 2 2 2 2 2 2 2 2 2 2 3 2 2 2 2 2 2 2 2 2 2 2 2 2 2 2 2 2 2 2 2 2 2 2" xfId="7954"/>
    <cellStyle name="Normal 8 2 2 2 2 2 2 2 2 2 2 2 3 2 2 2 2 2 2 2 2 2 2 2 2 2 2 2 2 2 2 2 2 2 2 2 2" xfId="7955"/>
    <cellStyle name="Normal 8 2 2 2 2 2 2 2 2 2 2 2 3 2 2 2 2 2 2 2 2 2 2 2 2 2 2 2 2 2 2 2 2 2 2 2 2 2" xfId="7956"/>
    <cellStyle name="Normal 8 2 2 2 2 2 2 2 2 2 2 2 3 2 2 2 2 2 2 2 2 2 2 2 2 2 2 2 2 2 2 2 2 2 2 2 2 2 2" xfId="7957"/>
    <cellStyle name="Normal 8 2 2 2 2 2 2 2 2 2 2 2 3 2 2 2 2 2 2 2 2 2 2 2 2 2 2 2 2 2 2 2 2 2 2 2 2 2 2 2" xfId="7958"/>
    <cellStyle name="Normal 8 2 2 2 2 2 2 2 2 2 2 2 3 2 2 2 2 2 2 2 2 2 2 2 2 2 2 2 2 2 2 2 2 2 2 2 2 2 2 2 2" xfId="7959"/>
    <cellStyle name="Normal 8 2 2 2 2 2 2 2 2 2 2 2 3 2 2 2 2 2 2 2 2 2 2 2 2 2 2 2 2 2 2 2 2 2 2 2 2 2 2 2 2 2" xfId="7960"/>
    <cellStyle name="Normal 8 2 2 2 2 2 2 2 2 2 2 2 3 2 2 2 2 2 2 2 2 2 2 2 2 2 2 2 2 2 2 2 2 2 2 2 2 2 2 3" xfId="7961"/>
    <cellStyle name="Normal 8 2 2 2 2 2 2 2 2 2 2 2 3 2 2 2 2 2 2 2 2 2 2 2 2 2 2 2 2 2 2 2 2 2 2 2 2 2 3" xfId="7962"/>
    <cellStyle name="Normal 8 2 2 2 2 2 2 2 2 2 2 2 3 2 2 2 2 2 2 2 2 2 2 2 2 2 2 2 2 2 2 2 2 2 2 2 2 3" xfId="7963"/>
    <cellStyle name="Normal 8 2 2 2 2 2 2 2 2 2 2 2 3 2 2 2 2 2 2 2 2 2 2 2 2 2 2 2 2 2 2 2 2 2 2 2 3" xfId="7964"/>
    <cellStyle name="Normal 8 2 2 2 2 2 2 2 2 2 2 2 3 2 2 2 2 2 2 2 2 2 2 2 2 2 2 2 2 2 2 2 2 2 2 2 4" xfId="7965"/>
    <cellStyle name="Normal 8 2 2 2 2 2 2 2 2 2 2 2 3 2 2 2 2 2 2 2 2 2 2 2 2 2 2 2 2 2 2 2 2 2 2 3" xfId="7966"/>
    <cellStyle name="Normal 8 2 2 2 2 2 2 2 2 2 2 2 3 2 2 2 2 2 2 2 2 2 2 2 2 2 2 2 2 2 2 2 2 2 3" xfId="7967"/>
    <cellStyle name="Normal 8 2 2 2 2 2 2 2 2 2 2 2 3 2 2 2 2 2 2 2 2 2 2 2 2 2 2 2 2 2 2 2 2 3" xfId="7968"/>
    <cellStyle name="Normal 8 2 2 2 2 2 2 2 2 2 2 2 3 2 2 2 2 2 2 2 2 2 2 2 2 2 2 2 2 2 2 2 3" xfId="7969"/>
    <cellStyle name="Normal 8 2 2 2 2 2 2 2 2 2 2 2 3 2 2 2 2 2 2 2 2 2 2 2 2 2 2 2 2 2 2 2 3 2" xfId="7970"/>
    <cellStyle name="Normal 8 2 2 2 2 2 2 2 2 2 2 2 3 2 2 2 2 2 2 2 2 2 2 2 2 2 2 2 2 2 2 2 4" xfId="7971"/>
    <cellStyle name="Normal 8 2 2 2 2 2 2 2 2 2 2 2 3 2 2 2 2 2 2 2 2 2 2 2 2 2 2 2 2 2 2 2 4 2" xfId="7972"/>
    <cellStyle name="Normal 8 2 2 2 2 2 2 2 2 2 2 2 3 2 2 2 2 2 2 2 2 2 2 2 2 2 2 2 2 2 2 2 4 2 2" xfId="7973"/>
    <cellStyle name="Normal 8 2 2 2 2 2 2 2 2 2 2 2 3 2 2 2 2 2 2 2 2 2 2 2 2 2 2 2 2 2 2 2 4 3" xfId="7974"/>
    <cellStyle name="Normal 8 2 2 2 2 2 2 2 2 2 2 2 3 2 2 2 2 2 2 2 2 2 2 2 2 2 2 2 2 2 2 2 5" xfId="7975"/>
    <cellStyle name="Normal 8 2 2 2 2 2 2 2 2 2 2 2 3 2 2 2 2 2 2 2 2 2 2 2 2 2 2 2 2 2 2 3" xfId="7976"/>
    <cellStyle name="Normal 8 2 2 2 2 2 2 2 2 2 2 2 3 2 2 2 2 2 2 2 2 2 2 2 2 2 2 2 2 2 3" xfId="7977"/>
    <cellStyle name="Normal 8 2 2 2 2 2 2 2 2 2 2 2 3 2 2 2 2 2 2 2 2 2 2 2 2 2 2 2 2 3" xfId="7978"/>
    <cellStyle name="Normal 8 2 2 2 2 2 2 2 2 2 2 2 3 2 2 2 2 2 2 2 2 2 2 2 2 2 2 2 3" xfId="7979"/>
    <cellStyle name="Normal 8 2 2 2 2 2 2 2 2 2 2 2 3 2 2 2 2 2 2 2 2 2 2 2 2 2 2 3" xfId="7980"/>
    <cellStyle name="Normal 8 2 2 2 2 2 2 2 2 2 2 2 3 2 2 2 2 2 2 2 2 2 2 2 2 2 3" xfId="7981"/>
    <cellStyle name="Normal 8 2 2 2 2 2 2 2 2 2 2 2 3 2 2 2 2 2 2 2 2 2 2 2 2 3" xfId="7982"/>
    <cellStyle name="Normal 8 2 2 2 2 2 2 2 2 2 2 2 3 2 2 2 2 2 2 2 2 2 2 2 3" xfId="7983"/>
    <cellStyle name="Normal 8 2 2 2 2 2 2 2 2 2 2 2 3 2 2 2 2 2 2 2 2 2 2 3" xfId="7984"/>
    <cellStyle name="Normal 8 2 2 2 2 2 2 2 2 2 2 2 3 2 2 2 2 2 2 2 2 2 3" xfId="7985"/>
    <cellStyle name="Normal 8 2 2 2 2 2 2 2 2 2 2 2 3 2 2 2 2 2 2 2 2 2 3 2" xfId="7986"/>
    <cellStyle name="Normal 8 2 2 2 2 2 2 2 2 2 2 2 3 2 2 2 2 2 2 2 2 2 4" xfId="7987"/>
    <cellStyle name="Normal 8 2 2 2 2 2 2 2 2 2 2 2 3 2 2 2 2 2 2 2 2 3" xfId="7988"/>
    <cellStyle name="Normal 8 2 2 2 2 2 2 2 2 2 2 2 3 2 2 2 2 2 2 2 3" xfId="7989"/>
    <cellStyle name="Normal 8 2 2 2 2 2 2 2 2 2 2 2 3 2 2 2 2 2 2 3" xfId="7990"/>
    <cellStyle name="Normal 8 2 2 2 2 2 2 2 2 2 2 2 3 2 2 2 2 2 3" xfId="7991"/>
    <cellStyle name="Normal 8 2 2 2 2 2 2 2 2 2 2 2 3 2 2 2 2 3" xfId="7992"/>
    <cellStyle name="Normal 8 2 2 2 2 2 2 2 2 2 2 2 3 2 2 2 3" xfId="7993"/>
    <cellStyle name="Normal 8 2 2 2 2 2 2 2 2 2 2 2 3 2 2 3" xfId="7994"/>
    <cellStyle name="Normal 8 2 2 2 2 2 2 2 2 2 2 2 3 2 3" xfId="7995"/>
    <cellStyle name="Normal 8 2 2 2 2 2 2 2 2 2 2 2 3 3" xfId="7996"/>
    <cellStyle name="Normal 8 2 2 2 2 2 2 2 2 2 2 2 4" xfId="7997"/>
    <cellStyle name="Normal 8 2 2 2 2 2 2 2 2 2 2 3" xfId="7998"/>
    <cellStyle name="Normal 8 2 2 2 2 2 2 2 2 2 3" xfId="7999"/>
    <cellStyle name="Normal 8 2 2 2 2 2 2 2 2 3" xfId="8000"/>
    <cellStyle name="Normal 8 2 2 2 2 2 2 2 3" xfId="8001"/>
    <cellStyle name="Normal 8 2 2 2 2 2 2 3" xfId="8002"/>
    <cellStyle name="Normal 8 2 2 2 2 2 3" xfId="8003"/>
    <cellStyle name="Normal 8 2 2 2 2 3" xfId="8004"/>
    <cellStyle name="Normal 8 2 2 2 2 3 2" xfId="8005"/>
    <cellStyle name="Normal 8 2 2 2 2 3 2 2" xfId="8006"/>
    <cellStyle name="Normal 8 2 2 2 2 3 2 2 2" xfId="8007"/>
    <cellStyle name="Normal 8 2 2 2 2 3 2 2 2 2" xfId="8008"/>
    <cellStyle name="Normal 8 2 2 2 2 3 2 2 2 2 2" xfId="8009"/>
    <cellStyle name="Normal 8 2 2 2 2 3 2 2 2 2 2 2" xfId="8010"/>
    <cellStyle name="Normal 8 2 2 2 2 3 2 2 2 2 2 2 2" xfId="8011"/>
    <cellStyle name="Normal 8 2 2 2 2 3 2 2 2 2 2 2 2 2" xfId="8012"/>
    <cellStyle name="Normal 8 2 2 2 2 3 2 2 2 2 2 2 2 2 2" xfId="8013"/>
    <cellStyle name="Normal 8 2 2 2 2 3 2 2 2 2 2 2 2 2 2 2" xfId="8014"/>
    <cellStyle name="Normal 8 2 2 2 2 3 2 2 2 2 2 2 2 2 3" xfId="8015"/>
    <cellStyle name="Normal 8 2 2 2 2 3 2 2 2 2 2 2 2 3" xfId="8016"/>
    <cellStyle name="Normal 8 2 2 2 2 3 2 2 2 2 2 2 3" xfId="8017"/>
    <cellStyle name="Normal 8 2 2 2 2 3 2 2 2 2 2 3" xfId="8018"/>
    <cellStyle name="Normal 8 2 2 2 2 3 2 2 2 2 3" xfId="8019"/>
    <cellStyle name="Normal 8 2 2 2 2 3 2 2 2 3" xfId="8020"/>
    <cellStyle name="Normal 8 2 2 2 2 3 2 2 3" xfId="8021"/>
    <cellStyle name="Normal 8 2 2 2 2 3 2 3" xfId="8022"/>
    <cellStyle name="Normal 8 2 2 2 2 3 3" xfId="8023"/>
    <cellStyle name="Normal 8 2 2 2 2 4" xfId="8024"/>
    <cellStyle name="Normal 8 2 2 2 3" xfId="8025"/>
    <cellStyle name="Normal 8 2 2 2 3 2" xfId="8026"/>
    <cellStyle name="Normal 8 2 2 2 3 2 2" xfId="8027"/>
    <cellStyle name="Normal 8 2 2 2 3 2 2 2" xfId="8028"/>
    <cellStyle name="Normal 8 2 2 2 3 2 2 2 2" xfId="8029"/>
    <cellStyle name="Normal 8 2 2 2 3 2 2 2 2 2" xfId="8030"/>
    <cellStyle name="Normal 8 2 2 2 3 2 2 2 2 2 2" xfId="8031"/>
    <cellStyle name="Normal 8 2 2 2 3 2 2 2 2 2 2 2" xfId="8032"/>
    <cellStyle name="Normal 8 2 2 2 3 2 2 2 2 2 2 2 2" xfId="8033"/>
    <cellStyle name="Normal 8 2 2 2 3 2 2 2 2 2 2 2 2 2" xfId="8034"/>
    <cellStyle name="Normal 8 2 2 2 3 2 2 2 2 2 2 2 2 2 2" xfId="8035"/>
    <cellStyle name="Normal 8 2 2 2 3 2 2 2 2 2 2 2 2 2 2 2" xfId="8036"/>
    <cellStyle name="Normal 8 2 2 2 3 2 2 2 2 2 2 2 2 2 2 2 2" xfId="8037"/>
    <cellStyle name="Normal 8 2 2 2 3 2 2 2 2 2 2 2 2 2 2 2 2 2" xfId="8038"/>
    <cellStyle name="Normal 8 2 2 2 3 2 2 2 2 2 2 2 2 2 2 2 2 2 2" xfId="8039"/>
    <cellStyle name="Normal 8 2 2 2 3 2 2 2 2 2 2 2 2 2 2 2 2 2 2 2" xfId="8040"/>
    <cellStyle name="Normal 8 2 2 2 3 2 2 2 2 2 2 2 2 2 2 2 2 2 2 2 2" xfId="8041"/>
    <cellStyle name="Normal 8 2 2 2 3 2 2 2 2 2 2 2 2 2 2 2 2 2 2 3" xfId="8042"/>
    <cellStyle name="Normal 8 2 2 2 3 2 2 2 2 2 2 2 2 2 2 2 2 2 3" xfId="8043"/>
    <cellStyle name="Normal 8 2 2 2 3 2 2 2 2 2 2 2 2 2 2 2 2 3" xfId="8044"/>
    <cellStyle name="Normal 8 2 2 2 3 2 2 2 2 2 2 2 2 2 2 2 3" xfId="8045"/>
    <cellStyle name="Normal 8 2 2 2 3 2 2 2 2 2 2 2 2 2 2 2 3 2" xfId="8046"/>
    <cellStyle name="Normal 8 2 2 2 3 2 2 2 2 2 2 2 2 2 2 2 3 2 2" xfId="8047"/>
    <cellStyle name="Normal 8 2 2 2 3 2 2 2 2 2 2 2 2 2 2 2 3 2 2 2" xfId="8048"/>
    <cellStyle name="Normal 8 2 2 2 3 2 2 2 2 2 2 2 2 2 2 2 3 2 2 2 2" xfId="8049"/>
    <cellStyle name="Normal 8 2 2 2 3 2 2 2 2 2 2 2 2 2 2 2 3 2 2 2 2 2" xfId="8050"/>
    <cellStyle name="Normal 8 2 2 2 3 2 2 2 2 2 2 2 2 2 2 2 3 2 2 2 2 2 2" xfId="8051"/>
    <cellStyle name="Normal 8 2 2 2 3 2 2 2 2 2 2 2 2 2 2 2 4" xfId="8052"/>
    <cellStyle name="Normal 8 2 2 2 3 2 2 2 2 2 2 2 2 2 2 3" xfId="8053"/>
    <cellStyle name="Normal 8 2 2 2 3 2 2 2 2 2 2 2 2 2 3" xfId="8054"/>
    <cellStyle name="Normal 8 2 2 2 3 2 2 2 2 2 2 2 2 3" xfId="8055"/>
    <cellStyle name="Normal 8 2 2 2 3 2 2 2 2 2 2 2 3" xfId="8056"/>
    <cellStyle name="Normal 8 2 2 2 3 2 2 2 2 2 2 3" xfId="8057"/>
    <cellStyle name="Normal 8 2 2 2 3 2 2 2 2 2 3" xfId="8058"/>
    <cellStyle name="Normal 8 2 2 2 3 2 2 2 2 3" xfId="8059"/>
    <cellStyle name="Normal 8 2 2 2 3 2 2 2 3" xfId="8060"/>
    <cellStyle name="Normal 8 2 2 2 3 2 2 3" xfId="8061"/>
    <cellStyle name="Normal 8 2 2 2 3 2 3" xfId="8062"/>
    <cellStyle name="Normal 8 2 2 2 3 2 3 2" xfId="8063"/>
    <cellStyle name="Normal 8 2 2 2 3 2 3 2 2" xfId="8064"/>
    <cellStyle name="Normal 8 2 2 2 3 2 3 2 2 2" xfId="8065"/>
    <cellStyle name="Normal 8 2 2 2 3 2 3 2 2 2 2" xfId="8066"/>
    <cellStyle name="Normal 8 2 2 2 3 2 3 2 2 2 2 2" xfId="8067"/>
    <cellStyle name="Normal 8 2 2 2 3 2 3 2 2 2 2 2 2" xfId="8068"/>
    <cellStyle name="Normal 8 2 2 2 3 2 3 2 2 2 2 2 2 2" xfId="8069"/>
    <cellStyle name="Normal 8 2 2 2 3 2 3 2 2 2 2 2 2 2 2" xfId="8070"/>
    <cellStyle name="Normal 8 2 2 2 3 2 3 2 2 2 2 2 2 2 2 2" xfId="8071"/>
    <cellStyle name="Normal 8 2 2 2 3 2 3 2 2 2 2 2 2 2 2 2 2" xfId="8072"/>
    <cellStyle name="Normal 8 2 2 2 3 2 3 2 2 2 2 2 2 2 2 2 2 2" xfId="8073"/>
    <cellStyle name="Normal 8 2 2 2 3 2 3 2 2 2 2 2 2 2 2 2 2 2 2" xfId="8074"/>
    <cellStyle name="Normal 8 2 2 2 3 2 3 2 2 2 2 2 2 2 2 2 2 2 2 2" xfId="8075"/>
    <cellStyle name="Normal 8 2 2 2 3 2 3 2 2 2 2 2 2 2 2 2 2 2 2 2 2" xfId="8076"/>
    <cellStyle name="Normal 8 2 2 2 3 2 3 2 2 2 2 2 2 2 2 2 2 2 2 2 2 2" xfId="8077"/>
    <cellStyle name="Normal 8 2 2 2 3 2 3 2 2 2 2 2 2 2 2 2 2 2 2 2 2 2 2" xfId="8078"/>
    <cellStyle name="Normal 8 2 2 2 3 2 3 2 2 2 2 2 2 2 2 2 2 2 2 2 2 2 2 2" xfId="8079"/>
    <cellStyle name="Normal 8 2 2 2 3 2 3 2 2 2 2 2 2 2 2 2 2 2 2 2 2 2 2 2 2" xfId="8080"/>
    <cellStyle name="Normal 8 2 2 2 3 2 3 2 2 2 2 2 2 2 2 2 2 2 2 2 2 2 3" xfId="8081"/>
    <cellStyle name="Normal 8 2 2 2 3 2 3 2 2 2 2 2 2 2 2 2 2 2 2 2 2 3" xfId="8082"/>
    <cellStyle name="Normal 8 2 2 2 3 2 3 2 2 2 2 2 2 2 2 2 2 2 2 2 3" xfId="8083"/>
    <cellStyle name="Normal 8 2 2 2 3 2 3 2 2 2 2 2 2 2 2 2 2 2 2 3" xfId="8084"/>
    <cellStyle name="Normal 8 2 2 2 3 2 3 2 2 2 2 2 2 2 2 2 2 2 2 4" xfId="8085"/>
    <cellStyle name="Normal 8 2 2 2 3 2 3 2 2 2 2 2 2 2 2 2 2 2 3" xfId="8086"/>
    <cellStyle name="Normal 8 2 2 2 3 2 3 2 2 2 2 2 2 2 2 2 2 3" xfId="8087"/>
    <cellStyle name="Normal 8 2 2 2 3 2 3 2 2 2 2 2 2 2 2 2 3" xfId="8088"/>
    <cellStyle name="Normal 8 2 2 2 3 2 3 2 2 2 2 2 2 2 2 3" xfId="8089"/>
    <cellStyle name="Normal 8 2 2 2 3 2 3 2 2 2 2 2 2 2 3" xfId="8090"/>
    <cellStyle name="Normal 8 2 2 2 3 2 3 2 2 2 2 2 2 3" xfId="8091"/>
    <cellStyle name="Normal 8 2 2 2 3 2 3 2 2 2 2 2 3" xfId="8092"/>
    <cellStyle name="Normal 8 2 2 2 3 2 3 2 2 2 2 3" xfId="8093"/>
    <cellStyle name="Normal 8 2 2 2 3 2 3 2 2 2 3" xfId="8094"/>
    <cellStyle name="Normal 8 2 2 2 3 2 3 2 2 3" xfId="8095"/>
    <cellStyle name="Normal 8 2 2 2 3 2 3 2 3" xfId="8096"/>
    <cellStyle name="Normal 8 2 2 2 3 2 3 3" xfId="8097"/>
    <cellStyle name="Normal 8 2 2 2 3 2 4" xfId="8098"/>
    <cellStyle name="Normal 8 2 2 2 3 3" xfId="8099"/>
    <cellStyle name="Normal 8 2 2 2 4" xfId="8100"/>
    <cellStyle name="Normal 8 2 2 3" xfId="8101"/>
    <cellStyle name="Normal 8 2 3" xfId="2030"/>
    <cellStyle name="Normal 8 2 3 2" xfId="8102"/>
    <cellStyle name="Normal 8 2 4" xfId="376"/>
    <cellStyle name="Normal 8 2 4 2" xfId="8103"/>
    <cellStyle name="Normal 8 2 5" xfId="8104"/>
    <cellStyle name="Normal 8 3" xfId="188"/>
    <cellStyle name="Normal 8 3 2" xfId="189"/>
    <cellStyle name="Normal 8 3 2 2" xfId="8105"/>
    <cellStyle name="Normal 8 3 2 2 2" xfId="8106"/>
    <cellStyle name="Normal 8 3 2 2 2 2" xfId="8107"/>
    <cellStyle name="Normal 8 3 2 2 2 2 2" xfId="8108"/>
    <cellStyle name="Normal 8 3 2 2 2 2 2 2" xfId="8109"/>
    <cellStyle name="Normal 8 3 2 2 2 2 2 2 2" xfId="8110"/>
    <cellStyle name="Normal 8 3 2 2 2 2 2 2 2 2" xfId="8111"/>
    <cellStyle name="Normal 8 3 2 2 2 2 2 2 2 2 2" xfId="8112"/>
    <cellStyle name="Normal 8 3 2 2 2 2 2 2 2 2 2 2" xfId="8113"/>
    <cellStyle name="Normal 8 3 2 2 2 2 2 2 2 2 2 2 2" xfId="8114"/>
    <cellStyle name="Normal 8 3 2 2 2 2 2 2 2 2 2 2 2 2" xfId="8115"/>
    <cellStyle name="Normal 8 3 2 2 2 2 2 2 2 2 2 2 2 2 2" xfId="8116"/>
    <cellStyle name="Normal 8 3 2 2 2 2 2 2 2 2 2 2 2 2 2 2" xfId="8117"/>
    <cellStyle name="Normal 8 3 2 2 2 2 2 2 2 2 2 2 2 2 2 2 2" xfId="8118"/>
    <cellStyle name="Normal 8 3 2 2 2 2 2 2 2 2 2 2 2 2 2 2 2 2" xfId="8119"/>
    <cellStyle name="Normal 8 3 2 2 2 2 2 2 2 2 2 2 2 2 2 2 2 2 2" xfId="8120"/>
    <cellStyle name="Normal 8 3 2 2 2 2 2 2 2 2 2 2 2 2 2 2 2 2 2 2" xfId="8121"/>
    <cellStyle name="Normal 8 3 2 2 2 2 2 2 2 2 2 2 2 2 2 2 2 2 2 2 2" xfId="8122"/>
    <cellStyle name="Normal 8 3 2 2 2 2 2 2 2 2 2 2 2 2 2 2 2 2 2 2 2 2" xfId="8123"/>
    <cellStyle name="Normal 8 3 2 2 2 2 2 2 2 2 2 2 2 2 2 2 2 2 2 2 2 2 2" xfId="8124"/>
    <cellStyle name="Normal 8 3 2 2 2 2 2 2 2 2 2 2 2 2 2 2 2 2 2 2 2 2 2 2" xfId="8125"/>
    <cellStyle name="Normal 8 3 2 2 2 2 2 2 2 2 2 2 2 2 2 2 2 2 2 2 2 3" xfId="8126"/>
    <cellStyle name="Normal 8 3 2 2 2 2 2 2 2 2 2 2 2 2 2 2 2 2 2 2 3" xfId="8127"/>
    <cellStyle name="Normal 8 3 2 2 2 2 2 2 2 2 2 2 2 2 2 2 2 2 2 3" xfId="8128"/>
    <cellStyle name="Normal 8 3 2 2 2 2 2 2 2 2 2 2 2 2 2 2 2 2 3" xfId="8129"/>
    <cellStyle name="Normal 8 3 2 2 2 2 2 2 2 2 2 2 2 2 2 2 2 2 4" xfId="8130"/>
    <cellStyle name="Normal 8 3 2 2 2 2 2 2 2 2 2 2 2 2 2 2 2 3" xfId="8131"/>
    <cellStyle name="Normal 8 3 2 2 2 2 2 2 2 2 2 2 2 2 2 2 3" xfId="8132"/>
    <cellStyle name="Normal 8 3 2 2 2 2 2 2 2 2 2 2 2 2 2 3" xfId="8133"/>
    <cellStyle name="Normal 8 3 2 2 2 2 2 2 2 2 2 2 2 2 3" xfId="8134"/>
    <cellStyle name="Normal 8 3 2 2 2 2 2 2 2 2 2 2 2 3" xfId="8135"/>
    <cellStyle name="Normal 8 3 2 2 2 2 2 2 2 2 2 2 3" xfId="8136"/>
    <cellStyle name="Normal 8 3 2 2 2 2 2 2 2 2 2 3" xfId="8137"/>
    <cellStyle name="Normal 8 3 2 2 2 2 2 2 2 2 3" xfId="8138"/>
    <cellStyle name="Normal 8 3 2 2 2 2 2 2 2 3" xfId="8139"/>
    <cellStyle name="Normal 8 3 2 2 2 2 2 2 3" xfId="8140"/>
    <cellStyle name="Normal 8 3 2 2 2 2 2 3" xfId="8141"/>
    <cellStyle name="Normal 8 3 2 2 2 2 3" xfId="8142"/>
    <cellStyle name="Normal 8 3 2 2 2 3" xfId="8143"/>
    <cellStyle name="Normal 8 3 2 2 3" xfId="8144"/>
    <cellStyle name="Normal 8 3 2 3" xfId="8145"/>
    <cellStyle name="Normal 8 3 3" xfId="8146"/>
    <cellStyle name="Normal 8 4" xfId="358"/>
    <cellStyle name="Normal 8 4 2" xfId="8461"/>
    <cellStyle name="Normal 8 4 3" xfId="9588"/>
    <cellStyle name="Normal 8 5" xfId="8147"/>
    <cellStyle name="Normal 80" xfId="493"/>
    <cellStyle name="Normal 80 2" xfId="878"/>
    <cellStyle name="Normal 80 2 2" xfId="1677"/>
    <cellStyle name="Normal 80 2 2 2" xfId="3336"/>
    <cellStyle name="Normal 80 2 2 2 2" xfId="8148"/>
    <cellStyle name="Normal 80 2 2 3" xfId="8149"/>
    <cellStyle name="Normal 80 2 3" xfId="2542"/>
    <cellStyle name="Normal 80 2 3 2" xfId="8150"/>
    <cellStyle name="Normal 80 2 4" xfId="8151"/>
    <cellStyle name="Normal 80 3" xfId="1281"/>
    <cellStyle name="Normal 80 3 2" xfId="2940"/>
    <cellStyle name="Normal 80 3 2 2" xfId="8152"/>
    <cellStyle name="Normal 80 3 3" xfId="8153"/>
    <cellStyle name="Normal 80 4" xfId="2146"/>
    <cellStyle name="Normal 80 4 2" xfId="8154"/>
    <cellStyle name="Normal 80 5" xfId="8155"/>
    <cellStyle name="Normal 81" xfId="494"/>
    <cellStyle name="Normal 81 2" xfId="879"/>
    <cellStyle name="Normal 81 2 2" xfId="1678"/>
    <cellStyle name="Normal 81 2 2 2" xfId="3337"/>
    <cellStyle name="Normal 81 2 2 2 2" xfId="8156"/>
    <cellStyle name="Normal 81 2 2 3" xfId="8157"/>
    <cellStyle name="Normal 81 2 3" xfId="2543"/>
    <cellStyle name="Normal 81 2 3 2" xfId="8158"/>
    <cellStyle name="Normal 81 2 4" xfId="8159"/>
    <cellStyle name="Normal 81 3" xfId="1282"/>
    <cellStyle name="Normal 81 3 2" xfId="2941"/>
    <cellStyle name="Normal 81 3 2 2" xfId="8160"/>
    <cellStyle name="Normal 81 3 3" xfId="8161"/>
    <cellStyle name="Normal 81 4" xfId="2147"/>
    <cellStyle name="Normal 81 4 2" xfId="8162"/>
    <cellStyle name="Normal 81 5" xfId="8163"/>
    <cellStyle name="Normal 82" xfId="495"/>
    <cellStyle name="Normal 82 2" xfId="880"/>
    <cellStyle name="Normal 82 2 2" xfId="1679"/>
    <cellStyle name="Normal 82 2 2 2" xfId="3338"/>
    <cellStyle name="Normal 82 2 2 2 2" xfId="8164"/>
    <cellStyle name="Normal 82 2 2 3" xfId="8165"/>
    <cellStyle name="Normal 82 2 3" xfId="2544"/>
    <cellStyle name="Normal 82 2 3 2" xfId="8166"/>
    <cellStyle name="Normal 82 2 4" xfId="8167"/>
    <cellStyle name="Normal 82 3" xfId="1283"/>
    <cellStyle name="Normal 82 3 2" xfId="2942"/>
    <cellStyle name="Normal 82 3 2 2" xfId="8168"/>
    <cellStyle name="Normal 82 3 3" xfId="8169"/>
    <cellStyle name="Normal 82 4" xfId="2148"/>
    <cellStyle name="Normal 82 4 2" xfId="8170"/>
    <cellStyle name="Normal 82 5" xfId="8171"/>
    <cellStyle name="Normal 83" xfId="496"/>
    <cellStyle name="Normal 83 2" xfId="881"/>
    <cellStyle name="Normal 83 2 2" xfId="1680"/>
    <cellStyle name="Normal 83 2 2 2" xfId="3339"/>
    <cellStyle name="Normal 83 2 2 2 2" xfId="8172"/>
    <cellStyle name="Normal 83 2 2 3" xfId="8173"/>
    <cellStyle name="Normal 83 2 3" xfId="2545"/>
    <cellStyle name="Normal 83 2 3 2" xfId="8174"/>
    <cellStyle name="Normal 83 2 4" xfId="8175"/>
    <cellStyle name="Normal 83 3" xfId="1284"/>
    <cellStyle name="Normal 83 3 2" xfId="2943"/>
    <cellStyle name="Normal 83 3 2 2" xfId="8176"/>
    <cellStyle name="Normal 83 3 3" xfId="8177"/>
    <cellStyle name="Normal 83 4" xfId="2149"/>
    <cellStyle name="Normal 83 4 2" xfId="8178"/>
    <cellStyle name="Normal 83 5" xfId="8179"/>
    <cellStyle name="Normal 84" xfId="497"/>
    <cellStyle name="Normal 84 2" xfId="882"/>
    <cellStyle name="Normal 84 2 2" xfId="1681"/>
    <cellStyle name="Normal 84 2 2 2" xfId="3340"/>
    <cellStyle name="Normal 84 2 2 2 2" xfId="8180"/>
    <cellStyle name="Normal 84 2 2 3" xfId="8181"/>
    <cellStyle name="Normal 84 2 3" xfId="2546"/>
    <cellStyle name="Normal 84 2 3 2" xfId="8182"/>
    <cellStyle name="Normal 84 2 4" xfId="8183"/>
    <cellStyle name="Normal 84 3" xfId="1285"/>
    <cellStyle name="Normal 84 3 2" xfId="2944"/>
    <cellStyle name="Normal 84 3 2 2" xfId="8184"/>
    <cellStyle name="Normal 84 3 3" xfId="8185"/>
    <cellStyle name="Normal 84 4" xfId="2150"/>
    <cellStyle name="Normal 84 4 2" xfId="8186"/>
    <cellStyle name="Normal 84 5" xfId="8187"/>
    <cellStyle name="Normal 85" xfId="498"/>
    <cellStyle name="Normal 85 2" xfId="883"/>
    <cellStyle name="Normal 85 2 2" xfId="1682"/>
    <cellStyle name="Normal 85 2 2 2" xfId="3341"/>
    <cellStyle name="Normal 85 2 2 2 2" xfId="8188"/>
    <cellStyle name="Normal 85 2 2 3" xfId="8189"/>
    <cellStyle name="Normal 85 2 3" xfId="2547"/>
    <cellStyle name="Normal 85 2 3 2" xfId="8190"/>
    <cellStyle name="Normal 85 2 4" xfId="8191"/>
    <cellStyle name="Normal 85 3" xfId="1286"/>
    <cellStyle name="Normal 85 3 2" xfId="2945"/>
    <cellStyle name="Normal 85 3 2 2" xfId="8192"/>
    <cellStyle name="Normal 85 3 3" xfId="8193"/>
    <cellStyle name="Normal 85 4" xfId="2151"/>
    <cellStyle name="Normal 85 4 2" xfId="8194"/>
    <cellStyle name="Normal 85 5" xfId="8195"/>
    <cellStyle name="Normal 86" xfId="507"/>
    <cellStyle name="Normal 86 2" xfId="892"/>
    <cellStyle name="Normal 86 2 2" xfId="1691"/>
    <cellStyle name="Normal 86 2 2 2" xfId="3350"/>
    <cellStyle name="Normal 86 2 2 2 2" xfId="8196"/>
    <cellStyle name="Normal 86 2 2 3" xfId="8197"/>
    <cellStyle name="Normal 86 2 3" xfId="2556"/>
    <cellStyle name="Normal 86 2 3 2" xfId="8198"/>
    <cellStyle name="Normal 86 2 4" xfId="8199"/>
    <cellStyle name="Normal 86 3" xfId="1295"/>
    <cellStyle name="Normal 86 3 2" xfId="2954"/>
    <cellStyle name="Normal 86 3 2 2" xfId="8200"/>
    <cellStyle name="Normal 86 3 3" xfId="8201"/>
    <cellStyle name="Normal 86 4" xfId="2160"/>
    <cellStyle name="Normal 86 4 2" xfId="8202"/>
    <cellStyle name="Normal 86 5" xfId="8203"/>
    <cellStyle name="Normal 87" xfId="505"/>
    <cellStyle name="Normal 87 2" xfId="890"/>
    <cellStyle name="Normal 87 2 2" xfId="1689"/>
    <cellStyle name="Normal 87 2 2 2" xfId="3348"/>
    <cellStyle name="Normal 87 2 2 2 2" xfId="8204"/>
    <cellStyle name="Normal 87 2 2 3" xfId="8205"/>
    <cellStyle name="Normal 87 2 3" xfId="2554"/>
    <cellStyle name="Normal 87 2 3 2" xfId="8206"/>
    <cellStyle name="Normal 87 2 4" xfId="8207"/>
    <cellStyle name="Normal 87 3" xfId="1293"/>
    <cellStyle name="Normal 87 3 2" xfId="2952"/>
    <cellStyle name="Normal 87 3 2 2" xfId="8208"/>
    <cellStyle name="Normal 87 3 3" xfId="8209"/>
    <cellStyle name="Normal 87 4" xfId="2158"/>
    <cellStyle name="Normal 87 4 2" xfId="8210"/>
    <cellStyle name="Normal 87 5" xfId="8211"/>
    <cellStyle name="Normal 88" xfId="506"/>
    <cellStyle name="Normal 88 2" xfId="891"/>
    <cellStyle name="Normal 88 2 2" xfId="1690"/>
    <cellStyle name="Normal 88 2 2 2" xfId="3349"/>
    <cellStyle name="Normal 88 2 2 2 2" xfId="8212"/>
    <cellStyle name="Normal 88 2 2 3" xfId="8213"/>
    <cellStyle name="Normal 88 2 3" xfId="2555"/>
    <cellStyle name="Normal 88 2 3 2" xfId="8214"/>
    <cellStyle name="Normal 88 2 4" xfId="8215"/>
    <cellStyle name="Normal 88 3" xfId="1294"/>
    <cellStyle name="Normal 88 3 2" xfId="2953"/>
    <cellStyle name="Normal 88 3 2 2" xfId="8216"/>
    <cellStyle name="Normal 88 3 3" xfId="8217"/>
    <cellStyle name="Normal 88 4" xfId="2159"/>
    <cellStyle name="Normal 88 4 2" xfId="8218"/>
    <cellStyle name="Normal 88 5" xfId="8219"/>
    <cellStyle name="Normal 89" xfId="514"/>
    <cellStyle name="Normal 89 2" xfId="909"/>
    <cellStyle name="Normal 89 2 2" xfId="1708"/>
    <cellStyle name="Normal 89 2 2 2" xfId="3367"/>
    <cellStyle name="Normal 89 2 2 2 2" xfId="8220"/>
    <cellStyle name="Normal 89 2 2 3" xfId="8221"/>
    <cellStyle name="Normal 89 2 3" xfId="2573"/>
    <cellStyle name="Normal 89 2 3 2" xfId="8222"/>
    <cellStyle name="Normal 89 2 4" xfId="8223"/>
    <cellStyle name="Normal 89 3" xfId="1312"/>
    <cellStyle name="Normal 89 3 2" xfId="2971"/>
    <cellStyle name="Normal 89 3 2 2" xfId="8224"/>
    <cellStyle name="Normal 89 3 3" xfId="8225"/>
    <cellStyle name="Normal 89 4" xfId="2177"/>
    <cellStyle name="Normal 89 4 2" xfId="8226"/>
    <cellStyle name="Normal 89 5" xfId="8227"/>
    <cellStyle name="Normal 9" xfId="190"/>
    <cellStyle name="Normal 9 2" xfId="359"/>
    <cellStyle name="Normal 9 2 2" xfId="8228"/>
    <cellStyle name="Normal 9 2 2 2" xfId="8229"/>
    <cellStyle name="Normal 9 2 2 2 2" xfId="8230"/>
    <cellStyle name="Normal 9 2 2 2 2 2" xfId="8231"/>
    <cellStyle name="Normal 9 2 2 2 2 2 2" xfId="8232"/>
    <cellStyle name="Normal 9 2 2 2 2 2 2 2" xfId="8233"/>
    <cellStyle name="Normal 9 2 2 2 2 2 2 2 2" xfId="8234"/>
    <cellStyle name="Normal 9 2 2 2 2 2 2 2 2 2" xfId="8235"/>
    <cellStyle name="Normal 9 2 2 2 2 2 2 2 2 2 2" xfId="8236"/>
    <cellStyle name="Normal 9 2 2 2 2 2 2 2 2 2 2 2" xfId="8237"/>
    <cellStyle name="Normal 9 2 2 2 2 2 2 2 2 2 2 2 2" xfId="8238"/>
    <cellStyle name="Normal 9 2 2 2 2 2 2 2 2 2 2 2 2 2" xfId="8239"/>
    <cellStyle name="Normal 9 2 2 2 2 2 2 2 2 2 2 2 2 2 2" xfId="8240"/>
    <cellStyle name="Normal 9 2 2 2 2 2 2 2 2 2 2 2 2 2 2 2" xfId="8241"/>
    <cellStyle name="Normal 9 2 2 2 2 2 2 2 2 2 2 2 2 2 2 2 2" xfId="8242"/>
    <cellStyle name="Normal 9 2 2 2 2 2 2 2 2 2 2 2 2 2 2 2 2 2" xfId="8243"/>
    <cellStyle name="Normal 9 2 2 2 2 2 2 2 2 2 2 2 2 2 2 2 2 2 2" xfId="8244"/>
    <cellStyle name="Normal 9 2 2 2 2 2 2 2 2 2 2 2 2 2 2 2 2 2 2 2" xfId="8245"/>
    <cellStyle name="Normal 9 2 2 2 2 2 2 2 2 2 2 2 2 2 2 2 2 2 2 2 2" xfId="8246"/>
    <cellStyle name="Normal 9 2 2 2 2 2 2 2 2 2 2 2 2 2 2 2 2 2 2 2 2 2" xfId="8247"/>
    <cellStyle name="Normal 9 2 2 2 2 2 2 2 2 2 2 2 2 2 2 2 2 2 2 2 2 2 2" xfId="8248"/>
    <cellStyle name="Normal 9 2 2 2 2 2 2 2 2 2 2 2 2 2 2 2 2 2 2 2 2 2 2 2" xfId="8249"/>
    <cellStyle name="Normal 9 2 2 2 2 2 2 2 2 2 2 2 2 2 2 2 2 2 2 2 2 3" xfId="8250"/>
    <cellStyle name="Normal 9 2 2 2 2 2 2 2 2 2 2 2 2 2 2 2 2 2 2 2 3" xfId="8251"/>
    <cellStyle name="Normal 9 2 2 2 2 2 2 2 2 2 2 2 2 2 2 2 2 2 2 3" xfId="8252"/>
    <cellStyle name="Normal 9 2 2 2 2 2 2 2 2 2 2 2 2 2 2 2 2 2 3" xfId="8253"/>
    <cellStyle name="Normal 9 2 2 2 2 2 2 2 2 2 2 2 2 2 2 2 2 2 4" xfId="8254"/>
    <cellStyle name="Normal 9 2 2 2 2 2 2 2 2 2 2 2 2 2 2 2 2 3" xfId="8255"/>
    <cellStyle name="Normal 9 2 2 2 2 2 2 2 2 2 2 2 2 2 2 2 3" xfId="8256"/>
    <cellStyle name="Normal 9 2 2 2 2 2 2 2 2 2 2 2 2 2 2 3" xfId="8257"/>
    <cellStyle name="Normal 9 2 2 2 2 2 2 2 2 2 2 2 2 2 3" xfId="8258"/>
    <cellStyle name="Normal 9 2 2 2 2 2 2 2 2 2 2 2 2 3" xfId="8259"/>
    <cellStyle name="Normal 9 2 2 2 2 2 2 2 2 2 2 2 3" xfId="8260"/>
    <cellStyle name="Normal 9 2 2 2 2 2 2 2 2 2 2 3" xfId="8261"/>
    <cellStyle name="Normal 9 2 2 2 2 2 2 2 2 2 3" xfId="8262"/>
    <cellStyle name="Normal 9 2 2 2 2 2 2 2 2 3" xfId="8263"/>
    <cellStyle name="Normal 9 2 2 2 2 2 2 2 3" xfId="8264"/>
    <cellStyle name="Normal 9 2 2 2 2 2 2 3" xfId="8265"/>
    <cellStyle name="Normal 9 2 2 2 2 2 3" xfId="8266"/>
    <cellStyle name="Normal 9 2 2 2 2 3" xfId="8267"/>
    <cellStyle name="Normal 9 2 2 2 3" xfId="8268"/>
    <cellStyle name="Normal 9 2 2 3" xfId="8269"/>
    <cellStyle name="Normal 9 2 3" xfId="8270"/>
    <cellStyle name="Normal 9 2 4" xfId="8462"/>
    <cellStyle name="Normal 9 2 5" xfId="9589"/>
    <cellStyle name="Normal 9 3" xfId="8271"/>
    <cellStyle name="Normal 9 4" xfId="8272"/>
    <cellStyle name="Normal 90" xfId="501"/>
    <cellStyle name="Normal 90 2" xfId="886"/>
    <cellStyle name="Normal 90 2 2" xfId="1685"/>
    <cellStyle name="Normal 90 2 2 2" xfId="3344"/>
    <cellStyle name="Normal 90 2 2 2 2" xfId="8273"/>
    <cellStyle name="Normal 90 2 2 3" xfId="8274"/>
    <cellStyle name="Normal 90 2 3" xfId="2550"/>
    <cellStyle name="Normal 90 2 3 2" xfId="8275"/>
    <cellStyle name="Normal 90 2 4" xfId="8276"/>
    <cellStyle name="Normal 90 3" xfId="1289"/>
    <cellStyle name="Normal 90 3 2" xfId="2948"/>
    <cellStyle name="Normal 90 3 2 2" xfId="8277"/>
    <cellStyle name="Normal 90 3 3" xfId="8278"/>
    <cellStyle name="Normal 90 4" xfId="2154"/>
    <cellStyle name="Normal 90 4 2" xfId="8279"/>
    <cellStyle name="Normal 90 5" xfId="8280"/>
    <cellStyle name="Normal 91" xfId="500"/>
    <cellStyle name="Normal 91 2" xfId="885"/>
    <cellStyle name="Normal 91 2 2" xfId="1684"/>
    <cellStyle name="Normal 91 2 2 2" xfId="3343"/>
    <cellStyle name="Normal 91 2 2 2 2" xfId="8281"/>
    <cellStyle name="Normal 91 2 2 3" xfId="8282"/>
    <cellStyle name="Normal 91 2 3" xfId="2549"/>
    <cellStyle name="Normal 91 2 3 2" xfId="8283"/>
    <cellStyle name="Normal 91 2 4" xfId="8284"/>
    <cellStyle name="Normal 91 3" xfId="1288"/>
    <cellStyle name="Normal 91 3 2" xfId="2947"/>
    <cellStyle name="Normal 91 3 2 2" xfId="8285"/>
    <cellStyle name="Normal 91 3 3" xfId="8286"/>
    <cellStyle name="Normal 91 4" xfId="2153"/>
    <cellStyle name="Normal 91 4 2" xfId="8287"/>
    <cellStyle name="Normal 91 5" xfId="8288"/>
    <cellStyle name="Normal 92" xfId="504"/>
    <cellStyle name="Normal 92 2" xfId="889"/>
    <cellStyle name="Normal 92 2 2" xfId="1688"/>
    <cellStyle name="Normal 92 2 2 2" xfId="3347"/>
    <cellStyle name="Normal 92 2 2 2 2" xfId="8289"/>
    <cellStyle name="Normal 92 2 2 3" xfId="8290"/>
    <cellStyle name="Normal 92 2 3" xfId="2553"/>
    <cellStyle name="Normal 92 2 3 2" xfId="8291"/>
    <cellStyle name="Normal 92 2 4" xfId="8292"/>
    <cellStyle name="Normal 92 3" xfId="1292"/>
    <cellStyle name="Normal 92 3 2" xfId="2951"/>
    <cellStyle name="Normal 92 3 2 2" xfId="8293"/>
    <cellStyle name="Normal 92 3 3" xfId="8294"/>
    <cellStyle name="Normal 92 4" xfId="2157"/>
    <cellStyle name="Normal 92 4 2" xfId="8295"/>
    <cellStyle name="Normal 92 5" xfId="8296"/>
    <cellStyle name="Normal 93" xfId="503"/>
    <cellStyle name="Normal 93 2" xfId="888"/>
    <cellStyle name="Normal 93 2 2" xfId="1687"/>
    <cellStyle name="Normal 93 2 2 2" xfId="3346"/>
    <cellStyle name="Normal 93 2 2 2 2" xfId="8297"/>
    <cellStyle name="Normal 93 2 2 3" xfId="8298"/>
    <cellStyle name="Normal 93 2 3" xfId="2552"/>
    <cellStyle name="Normal 93 2 3 2" xfId="8299"/>
    <cellStyle name="Normal 93 2 4" xfId="8300"/>
    <cellStyle name="Normal 93 3" xfId="1291"/>
    <cellStyle name="Normal 93 3 2" xfId="2950"/>
    <cellStyle name="Normal 93 3 2 2" xfId="8301"/>
    <cellStyle name="Normal 93 3 3" xfId="8302"/>
    <cellStyle name="Normal 93 4" xfId="2156"/>
    <cellStyle name="Normal 93 4 2" xfId="8303"/>
    <cellStyle name="Normal 93 5" xfId="8304"/>
    <cellStyle name="Normal 94" xfId="502"/>
    <cellStyle name="Normal 94 2" xfId="887"/>
    <cellStyle name="Normal 94 2 2" xfId="1686"/>
    <cellStyle name="Normal 94 2 2 2" xfId="3345"/>
    <cellStyle name="Normal 94 2 2 2 2" xfId="8305"/>
    <cellStyle name="Normal 94 2 2 3" xfId="8306"/>
    <cellStyle name="Normal 94 2 3" xfId="2551"/>
    <cellStyle name="Normal 94 2 3 2" xfId="8307"/>
    <cellStyle name="Normal 94 2 4" xfId="8308"/>
    <cellStyle name="Normal 94 3" xfId="1290"/>
    <cellStyle name="Normal 94 3 2" xfId="2949"/>
    <cellStyle name="Normal 94 3 2 2" xfId="8309"/>
    <cellStyle name="Normal 94 3 3" xfId="8310"/>
    <cellStyle name="Normal 94 4" xfId="2155"/>
    <cellStyle name="Normal 94 4 2" xfId="8311"/>
    <cellStyle name="Normal 94 5" xfId="8312"/>
    <cellStyle name="Normal 95" xfId="499"/>
    <cellStyle name="Normal 95 2" xfId="884"/>
    <cellStyle name="Normal 95 2 2" xfId="1683"/>
    <cellStyle name="Normal 95 2 2 2" xfId="3342"/>
    <cellStyle name="Normal 95 2 2 2 2" xfId="8313"/>
    <cellStyle name="Normal 95 2 2 3" xfId="8314"/>
    <cellStyle name="Normal 95 2 3" xfId="2548"/>
    <cellStyle name="Normal 95 2 3 2" xfId="8315"/>
    <cellStyle name="Normal 95 2 4" xfId="8316"/>
    <cellStyle name="Normal 95 3" xfId="1287"/>
    <cellStyle name="Normal 95 3 2" xfId="2946"/>
    <cellStyle name="Normal 95 3 2 2" xfId="8317"/>
    <cellStyle name="Normal 95 3 3" xfId="8318"/>
    <cellStyle name="Normal 95 4" xfId="2152"/>
    <cellStyle name="Normal 95 4 2" xfId="8319"/>
    <cellStyle name="Normal 95 5" xfId="8320"/>
    <cellStyle name="Normal 96" xfId="509"/>
    <cellStyle name="Normal 96 2" xfId="894"/>
    <cellStyle name="Normal 96 2 2" xfId="1693"/>
    <cellStyle name="Normal 96 2 2 2" xfId="3352"/>
    <cellStyle name="Normal 96 2 2 2 2" xfId="8321"/>
    <cellStyle name="Normal 96 2 2 3" xfId="8322"/>
    <cellStyle name="Normal 96 2 3" xfId="2558"/>
    <cellStyle name="Normal 96 2 3 2" xfId="8323"/>
    <cellStyle name="Normal 96 2 4" xfId="8324"/>
    <cellStyle name="Normal 96 3" xfId="1297"/>
    <cellStyle name="Normal 96 3 2" xfId="2956"/>
    <cellStyle name="Normal 96 3 2 2" xfId="8325"/>
    <cellStyle name="Normal 96 3 3" xfId="8326"/>
    <cellStyle name="Normal 96 4" xfId="2162"/>
    <cellStyle name="Normal 96 4 2" xfId="8327"/>
    <cellStyle name="Normal 96 5" xfId="8328"/>
    <cellStyle name="Normal 97" xfId="513"/>
    <cellStyle name="Normal 97 2" xfId="906"/>
    <cellStyle name="Normal 97 2 2" xfId="1705"/>
    <cellStyle name="Normal 97 2 2 2" xfId="3364"/>
    <cellStyle name="Normal 97 2 2 2 2" xfId="8329"/>
    <cellStyle name="Normal 97 2 2 3" xfId="8330"/>
    <cellStyle name="Normal 97 2 3" xfId="2570"/>
    <cellStyle name="Normal 97 2 3 2" xfId="8331"/>
    <cellStyle name="Normal 97 2 4" xfId="8332"/>
    <cellStyle name="Normal 97 3" xfId="1309"/>
    <cellStyle name="Normal 97 3 2" xfId="2968"/>
    <cellStyle name="Normal 97 3 2 2" xfId="8333"/>
    <cellStyle name="Normal 97 3 3" xfId="8334"/>
    <cellStyle name="Normal 97 4" xfId="2174"/>
    <cellStyle name="Normal 97 4 2" xfId="8335"/>
    <cellStyle name="Normal 97 5" xfId="8336"/>
    <cellStyle name="Normal 98" xfId="518"/>
    <cellStyle name="Normal 98 2" xfId="915"/>
    <cellStyle name="Normal 98 2 2" xfId="1714"/>
    <cellStyle name="Normal 98 2 2 2" xfId="3373"/>
    <cellStyle name="Normal 98 2 2 2 2" xfId="8337"/>
    <cellStyle name="Normal 98 2 2 3" xfId="8338"/>
    <cellStyle name="Normal 98 2 3" xfId="2579"/>
    <cellStyle name="Normal 98 2 3 2" xfId="8339"/>
    <cellStyle name="Normal 98 2 4" xfId="8340"/>
    <cellStyle name="Normal 98 3" xfId="1318"/>
    <cellStyle name="Normal 98 3 2" xfId="2977"/>
    <cellStyle name="Normal 98 3 2 2" xfId="8341"/>
    <cellStyle name="Normal 98 3 3" xfId="8342"/>
    <cellStyle name="Normal 98 4" xfId="2183"/>
    <cellStyle name="Normal 98 4 2" xfId="8343"/>
    <cellStyle name="Normal 98 5" xfId="8344"/>
    <cellStyle name="Normal 99" xfId="510"/>
    <cellStyle name="Normal 99 2" xfId="897"/>
    <cellStyle name="Normal 99 2 2" xfId="1696"/>
    <cellStyle name="Normal 99 2 2 2" xfId="3355"/>
    <cellStyle name="Normal 99 2 2 2 2" xfId="8345"/>
    <cellStyle name="Normal 99 2 2 3" xfId="8346"/>
    <cellStyle name="Normal 99 2 3" xfId="2561"/>
    <cellStyle name="Normal 99 2 3 2" xfId="8347"/>
    <cellStyle name="Normal 99 2 4" xfId="8348"/>
    <cellStyle name="Normal 99 3" xfId="1300"/>
    <cellStyle name="Normal 99 3 2" xfId="2959"/>
    <cellStyle name="Normal 99 3 2 2" xfId="8349"/>
    <cellStyle name="Normal 99 3 3" xfId="8350"/>
    <cellStyle name="Normal 99 4" xfId="2165"/>
    <cellStyle name="Normal 99 4 2" xfId="8351"/>
    <cellStyle name="Normal 99 5" xfId="8352"/>
    <cellStyle name="Normal_Appendix M-4, Operational Emissions - Operation and Maintenance Equipment_SW_20090206" xfId="3903"/>
    <cellStyle name="Note 2" xfId="192"/>
    <cellStyle name="Note 2 2" xfId="818"/>
    <cellStyle name="Note 2 2 2" xfId="1617"/>
    <cellStyle name="Note 2 2 2 2" xfId="3276"/>
    <cellStyle name="Note 2 2 2 2 2" xfId="8353"/>
    <cellStyle name="Note 2 2 2 3" xfId="8354"/>
    <cellStyle name="Note 2 2 3" xfId="2482"/>
    <cellStyle name="Note 2 2 3 2" xfId="8355"/>
    <cellStyle name="Note 2 2 4" xfId="8356"/>
    <cellStyle name="Note 2 2 5" xfId="8867"/>
    <cellStyle name="Note 2 2 6" xfId="8731"/>
    <cellStyle name="Note 2 2 7" xfId="8916"/>
    <cellStyle name="Note 2 2 8" xfId="8958"/>
    <cellStyle name="Note 2 3" xfId="1221"/>
    <cellStyle name="Note 2 3 2" xfId="2880"/>
    <cellStyle name="Note 2 3 2 2" xfId="8357"/>
    <cellStyle name="Note 2 3 3" xfId="8358"/>
    <cellStyle name="Note 2 4" xfId="433"/>
    <cellStyle name="Note 2 4 2" xfId="2086"/>
    <cellStyle name="Note 2 5" xfId="2060"/>
    <cellStyle name="Note 2 6" xfId="8866"/>
    <cellStyle name="Note 2 6 2" xfId="10416"/>
    <cellStyle name="Note 2 7" xfId="8732"/>
    <cellStyle name="Note 2 7 2" xfId="10378"/>
    <cellStyle name="Note 2 8" xfId="8915"/>
    <cellStyle name="Note 2 8 2" xfId="10428"/>
    <cellStyle name="Note 2 9" xfId="8957"/>
    <cellStyle name="Note 2 9 2" xfId="10440"/>
    <cellStyle name="Note 3" xfId="191"/>
    <cellStyle name="Note 3 10" xfId="10031"/>
    <cellStyle name="Note 3 11" xfId="9016"/>
    <cellStyle name="Note 3 2" xfId="893"/>
    <cellStyle name="Note 3 2 2" xfId="1692"/>
    <cellStyle name="Note 3 2 2 2" xfId="3351"/>
    <cellStyle name="Note 3 2 2 2 2" xfId="8359"/>
    <cellStyle name="Note 3 2 2 3" xfId="8360"/>
    <cellStyle name="Note 3 2 3" xfId="2557"/>
    <cellStyle name="Note 3 2 3 2" xfId="8361"/>
    <cellStyle name="Note 3 2 4" xfId="8362"/>
    <cellStyle name="Note 3 3" xfId="1296"/>
    <cellStyle name="Note 3 3 2" xfId="2955"/>
    <cellStyle name="Note 3 3 2 2" xfId="8363"/>
    <cellStyle name="Note 3 3 3" xfId="8364"/>
    <cellStyle name="Note 3 4" xfId="2161"/>
    <cellStyle name="Note 3 4 2" xfId="8365"/>
    <cellStyle name="Note 3 5" xfId="508"/>
    <cellStyle name="Note 3 6" xfId="8868"/>
    <cellStyle name="Note 3 6 2" xfId="10417"/>
    <cellStyle name="Note 3 6 3" xfId="9369"/>
    <cellStyle name="Note 3 7" xfId="8921"/>
    <cellStyle name="Note 3 8" xfId="8917"/>
    <cellStyle name="Note 3 9" xfId="8959"/>
    <cellStyle name="Note 4" xfId="528"/>
    <cellStyle name="Note 4 2" xfId="925"/>
    <cellStyle name="Note 4 2 2" xfId="1724"/>
    <cellStyle name="Note 4 2 2 2" xfId="3383"/>
    <cellStyle name="Note 4 2 2 2 2" xfId="8366"/>
    <cellStyle name="Note 4 2 2 3" xfId="8367"/>
    <cellStyle name="Note 4 2 3" xfId="2589"/>
    <cellStyle name="Note 4 2 3 2" xfId="8368"/>
    <cellStyle name="Note 4 2 4" xfId="8369"/>
    <cellStyle name="Note 4 3" xfId="1328"/>
    <cellStyle name="Note 4 3 2" xfId="2987"/>
    <cellStyle name="Note 4 3 2 2" xfId="8370"/>
    <cellStyle name="Note 4 3 3" xfId="8371"/>
    <cellStyle name="Note 4 4" xfId="2193"/>
    <cellStyle name="Note 4 4 2" xfId="8372"/>
    <cellStyle name="Note 4 5" xfId="8373"/>
    <cellStyle name="Note 5" xfId="744"/>
    <cellStyle name="Note 5 2" xfId="1141"/>
    <cellStyle name="Note 5 2 2" xfId="1940"/>
    <cellStyle name="Note 5 2 2 2" xfId="3599"/>
    <cellStyle name="Note 5 2 2 2 2" xfId="8374"/>
    <cellStyle name="Note 5 2 2 3" xfId="8375"/>
    <cellStyle name="Note 5 2 3" xfId="2805"/>
    <cellStyle name="Note 5 2 3 2" xfId="8376"/>
    <cellStyle name="Note 5 2 4" xfId="8377"/>
    <cellStyle name="Note 5 3" xfId="1544"/>
    <cellStyle name="Note 5 3 2" xfId="3203"/>
    <cellStyle name="Note 5 3 2 2" xfId="8378"/>
    <cellStyle name="Note 5 3 3" xfId="8379"/>
    <cellStyle name="Note 5 4" xfId="2409"/>
    <cellStyle name="Note 5 4 2" xfId="8380"/>
    <cellStyle name="Note 5 5" xfId="8381"/>
    <cellStyle name="Note 6" xfId="2000"/>
    <cellStyle name="Note 6 2" xfId="3655"/>
    <cellStyle name="Note 7" xfId="3772"/>
    <cellStyle name="Note 7 2" xfId="8586"/>
    <cellStyle name="Note 7 2 2" xfId="9937"/>
    <cellStyle name="Note 7 2 3" xfId="10285"/>
    <cellStyle name="Note 7 2 4" xfId="9275"/>
    <cellStyle name="Note 7 3" xfId="9713"/>
    <cellStyle name="Note 7 4" xfId="9453"/>
    <cellStyle name="Note 7 5" xfId="10113"/>
    <cellStyle name="Note 7 6" xfId="9102"/>
    <cellStyle name="Note 8" xfId="3802"/>
    <cellStyle name="Note 8 2" xfId="8616"/>
    <cellStyle name="Note 8 2 2" xfId="9946"/>
    <cellStyle name="Note 8 2 3" xfId="10294"/>
    <cellStyle name="Note 8 2 4" xfId="9284"/>
    <cellStyle name="Note 8 3" xfId="9743"/>
    <cellStyle name="Note 8 4" xfId="9462"/>
    <cellStyle name="Note 8 5" xfId="10122"/>
    <cellStyle name="Note 8 6" xfId="9111"/>
    <cellStyle name="Note 9" xfId="3891"/>
    <cellStyle name="Note 9 2" xfId="8693"/>
    <cellStyle name="Note 9 2 2" xfId="10018"/>
    <cellStyle name="Note 9 2 3" xfId="10366"/>
    <cellStyle name="Note 9 2 4" xfId="9356"/>
    <cellStyle name="Note 9 3" xfId="9820"/>
    <cellStyle name="Note 9 4" xfId="9534"/>
    <cellStyle name="Note 9 5" xfId="10194"/>
    <cellStyle name="Note 9 6" xfId="9183"/>
    <cellStyle name="NUMBER" xfId="360"/>
    <cellStyle name="Output" xfId="270" builtinId="21" customBuiltin="1"/>
    <cellStyle name="Output 2" xfId="194"/>
    <cellStyle name="Output 2 2" xfId="8871"/>
    <cellStyle name="Output 2 2 2" xfId="10418"/>
    <cellStyle name="Output 2 3" xfId="8923"/>
    <cellStyle name="Output 2 3 2" xfId="10432"/>
    <cellStyle name="Output 2 4" xfId="8967"/>
    <cellStyle name="Output 2 4 2" xfId="10446"/>
    <cellStyle name="Output 2 5" xfId="9001"/>
    <cellStyle name="Output 2 5 2" xfId="10458"/>
    <cellStyle name="Output 3" xfId="193"/>
    <cellStyle name="Output 3 2" xfId="9370"/>
    <cellStyle name="Output 3 3" xfId="10032"/>
    <cellStyle name="Output 3 4" xfId="9017"/>
    <cellStyle name="Output 4" xfId="3773"/>
    <cellStyle name="Output 4 2" xfId="8587"/>
    <cellStyle name="Output 4 2 2" xfId="9938"/>
    <cellStyle name="Output 4 2 3" xfId="10286"/>
    <cellStyle name="Output 4 2 4" xfId="9276"/>
    <cellStyle name="Output 4 3" xfId="9714"/>
    <cellStyle name="Output 4 4" xfId="9454"/>
    <cellStyle name="Output 4 5" xfId="10114"/>
    <cellStyle name="Output 4 6" xfId="9103"/>
    <cellStyle name="Output 5" xfId="3803"/>
    <cellStyle name="Output 5 2" xfId="8617"/>
    <cellStyle name="Output 5 2 2" xfId="9947"/>
    <cellStyle name="Output 5 2 3" xfId="10295"/>
    <cellStyle name="Output 5 2 4" xfId="9285"/>
    <cellStyle name="Output 5 3" xfId="9744"/>
    <cellStyle name="Output 5 4" xfId="9463"/>
    <cellStyle name="Output 5 5" xfId="10123"/>
    <cellStyle name="Output 5 6" xfId="9112"/>
    <cellStyle name="Output 6" xfId="3892"/>
    <cellStyle name="Output 6 2" xfId="8694"/>
    <cellStyle name="Output 6 2 2" xfId="10019"/>
    <cellStyle name="Output 6 2 3" xfId="10367"/>
    <cellStyle name="Output 6 2 4" xfId="9357"/>
    <cellStyle name="Output 6 3" xfId="9821"/>
    <cellStyle name="Output 6 4" xfId="9535"/>
    <cellStyle name="Output 6 5" xfId="10195"/>
    <cellStyle name="Output 6 6" xfId="9184"/>
    <cellStyle name="Output 7" xfId="3885"/>
    <cellStyle name="Output 7 2" xfId="8687"/>
    <cellStyle name="Output 7 2 2" xfId="10014"/>
    <cellStyle name="Output 7 2 3" xfId="10362"/>
    <cellStyle name="Output 7 2 4" xfId="9352"/>
    <cellStyle name="Output 7 3" xfId="9814"/>
    <cellStyle name="Output 7 4" xfId="9530"/>
    <cellStyle name="Output 7 5" xfId="10190"/>
    <cellStyle name="Output 7 6" xfId="9179"/>
    <cellStyle name="Output 8" xfId="3900"/>
    <cellStyle name="Output 8 2" xfId="8702"/>
    <cellStyle name="Output 8 2 2" xfId="10023"/>
    <cellStyle name="Output 8 2 3" xfId="10371"/>
    <cellStyle name="Output 8 2 4" xfId="9361"/>
    <cellStyle name="Output 8 3" xfId="9829"/>
    <cellStyle name="Output 8 4" xfId="9539"/>
    <cellStyle name="Output 8 5" xfId="10199"/>
    <cellStyle name="Output 8 6" xfId="9188"/>
    <cellStyle name="Percent" xfId="2" builtinId="5"/>
    <cellStyle name="Percent [2]" xfId="196"/>
    <cellStyle name="Percent [2] 2" xfId="197"/>
    <cellStyle name="Percent [2] 2 2" xfId="8434"/>
    <cellStyle name="Percent [2] 2 3" xfId="9561"/>
    <cellStyle name="Percent [2] 3" xfId="8433"/>
    <cellStyle name="Percent [2] 4" xfId="9560"/>
    <cellStyle name="Percent 10" xfId="257"/>
    <cellStyle name="Percent 10 2" xfId="3675"/>
    <cellStyle name="Percent 10 3" xfId="2020"/>
    <cellStyle name="Percent 11" xfId="258"/>
    <cellStyle name="Percent 11 2" xfId="3676"/>
    <cellStyle name="Percent 11 3" xfId="2021"/>
    <cellStyle name="Percent 11 4" xfId="8449"/>
    <cellStyle name="Percent 11 5" xfId="9576"/>
    <cellStyle name="Percent 12" xfId="255"/>
    <cellStyle name="Percent 12 2" xfId="8447"/>
    <cellStyle name="Percent 12 3" xfId="9574"/>
    <cellStyle name="Percent 13" xfId="260"/>
    <cellStyle name="Percent 13 2" xfId="8451"/>
    <cellStyle name="Percent 13 3" xfId="9578"/>
    <cellStyle name="Percent 14" xfId="198"/>
    <cellStyle name="Percent 14 2" xfId="8435"/>
    <cellStyle name="Percent 14 3" xfId="9562"/>
    <cellStyle name="Percent 15" xfId="3774"/>
    <cellStyle name="Percent 15 2" xfId="8588"/>
    <cellStyle name="Percent 15 3" xfId="9715"/>
    <cellStyle name="Percent 16" xfId="3748"/>
    <cellStyle name="Percent 16 2" xfId="8562"/>
    <cellStyle name="Percent 16 3" xfId="9689"/>
    <cellStyle name="Percent 17" xfId="3781"/>
    <cellStyle name="Percent 17 2" xfId="8595"/>
    <cellStyle name="Percent 17 3" xfId="9722"/>
    <cellStyle name="Percent 18" xfId="3754"/>
    <cellStyle name="Percent 18 2" xfId="8568"/>
    <cellStyle name="Percent 18 3" xfId="9695"/>
    <cellStyle name="Percent 19" xfId="3782"/>
    <cellStyle name="Percent 19 2" xfId="8596"/>
    <cellStyle name="Percent 19 3" xfId="9723"/>
    <cellStyle name="Percent 2" xfId="199"/>
    <cellStyle name="Percent 2 2" xfId="200"/>
    <cellStyle name="Percent 2 2 2" xfId="8437"/>
    <cellStyle name="Percent 2 2 3" xfId="9564"/>
    <cellStyle name="Percent 2 3" xfId="8436"/>
    <cellStyle name="Percent 2 4" xfId="9563"/>
    <cellStyle name="Percent 20" xfId="3752"/>
    <cellStyle name="Percent 20 2" xfId="8566"/>
    <cellStyle name="Percent 20 3" xfId="9693"/>
    <cellStyle name="Percent 21" xfId="3787"/>
    <cellStyle name="Percent 21 2" xfId="8601"/>
    <cellStyle name="Percent 21 3" xfId="9728"/>
    <cellStyle name="Percent 22" xfId="3758"/>
    <cellStyle name="Percent 22 2" xfId="8572"/>
    <cellStyle name="Percent 22 3" xfId="9699"/>
    <cellStyle name="Percent 23" xfId="3788"/>
    <cellStyle name="Percent 23 2" xfId="8602"/>
    <cellStyle name="Percent 23 3" xfId="9729"/>
    <cellStyle name="Percent 24" xfId="3756"/>
    <cellStyle name="Percent 24 2" xfId="8570"/>
    <cellStyle name="Percent 24 3" xfId="9697"/>
    <cellStyle name="Percent 25" xfId="3793"/>
    <cellStyle name="Percent 25 2" xfId="8607"/>
    <cellStyle name="Percent 25 3" xfId="9734"/>
    <cellStyle name="Percent 26" xfId="3760"/>
    <cellStyle name="Percent 26 2" xfId="8574"/>
    <cellStyle name="Percent 26 3" xfId="9701"/>
    <cellStyle name="Percent 27" xfId="3804"/>
    <cellStyle name="Percent 27 2" xfId="8618"/>
    <cellStyle name="Percent 27 3" xfId="9745"/>
    <cellStyle name="Percent 28" xfId="3893"/>
    <cellStyle name="Percent 28 2" xfId="8695"/>
    <cellStyle name="Percent 28 3" xfId="9822"/>
    <cellStyle name="Percent 29" xfId="3884"/>
    <cellStyle name="Percent 29 2" xfId="8686"/>
    <cellStyle name="Percent 29 3" xfId="9813"/>
    <cellStyle name="Percent 3" xfId="201"/>
    <cellStyle name="Percent 3 2" xfId="409"/>
    <cellStyle name="Percent 3 2 2" xfId="8475"/>
    <cellStyle name="Percent 3 2 3" xfId="9602"/>
    <cellStyle name="Percent 3 3" xfId="2026"/>
    <cellStyle name="Percent 3 4" xfId="306"/>
    <cellStyle name="Percent 3 5" xfId="8438"/>
    <cellStyle name="Percent 3 6" xfId="9565"/>
    <cellStyle name="Percent 30" xfId="3901"/>
    <cellStyle name="Percent 30 2" xfId="8703"/>
    <cellStyle name="Percent 30 3" xfId="9830"/>
    <cellStyle name="Percent 31" xfId="10467"/>
    <cellStyle name="Percent 4" xfId="202"/>
    <cellStyle name="Percent 4 2" xfId="411"/>
    <cellStyle name="Percent 4 2 2" xfId="8476"/>
    <cellStyle name="Percent 4 2 3" xfId="9603"/>
    <cellStyle name="Percent 5" xfId="203"/>
    <cellStyle name="Percent 5 2" xfId="412"/>
    <cellStyle name="Percent 5 2 2" xfId="8477"/>
    <cellStyle name="Percent 5 2 3" xfId="9604"/>
    <cellStyle name="Percent 6" xfId="204"/>
    <cellStyle name="Percent 6 2" xfId="2015"/>
    <cellStyle name="Percent 6 2 2" xfId="3670"/>
    <cellStyle name="Percent 6 3" xfId="8439"/>
    <cellStyle name="Percent 6 4" xfId="9566"/>
    <cellStyle name="Percent 7" xfId="205"/>
    <cellStyle name="Percent 7 2" xfId="2017"/>
    <cellStyle name="Percent 7 2 2" xfId="3672"/>
    <cellStyle name="Percent 8" xfId="206"/>
    <cellStyle name="Percent 8 2" xfId="3673"/>
    <cellStyle name="Percent 8 3" xfId="2018"/>
    <cellStyle name="Percent 8 4" xfId="8440"/>
    <cellStyle name="Percent 8 5" xfId="9567"/>
    <cellStyle name="Percent 9" xfId="195"/>
    <cellStyle name="Percent 9 2" xfId="3674"/>
    <cellStyle name="Percent 9 3" xfId="2019"/>
    <cellStyle name="pmxBorderCellsS" xfId="207"/>
    <cellStyle name="pmxCategoryHeadingB" xfId="208"/>
    <cellStyle name="pmxCategoryHeadingM" xfId="209"/>
    <cellStyle name="pmxHeadingB" xfId="210"/>
    <cellStyle name="pmxHeadingL" xfId="211"/>
    <cellStyle name="pmxHeadingM" xfId="212"/>
    <cellStyle name="pmxHeadingS" xfId="213"/>
    <cellStyle name="pmxMinorHeadingB" xfId="214"/>
    <cellStyle name="pmxMinorHeadingS" xfId="215"/>
    <cellStyle name="pmxSubHeadingB" xfId="216"/>
    <cellStyle name="pmxSubHeadingM" xfId="217"/>
    <cellStyle name="pmxSubSubHeadingB" xfId="218"/>
    <cellStyle name="pmxSubSubHeadingM" xfId="219"/>
    <cellStyle name="pmxSubSubHeadingS" xfId="220"/>
    <cellStyle name="PSChar" xfId="221"/>
    <cellStyle name="PSDate" xfId="222"/>
    <cellStyle name="PSDec" xfId="223"/>
    <cellStyle name="PSHeading" xfId="224"/>
    <cellStyle name="PSHeading 2" xfId="8382"/>
    <cellStyle name="PSHeading 2 2" xfId="8383"/>
    <cellStyle name="PSHeading 2 3" xfId="8384"/>
    <cellStyle name="PSHeading 2 4" xfId="8385"/>
    <cellStyle name="PSHeading 2 5" xfId="8386"/>
    <cellStyle name="PSHeading 2 6" xfId="8387"/>
    <cellStyle name="PSHeading 2 7" xfId="8388"/>
    <cellStyle name="PSHeading 2 8" xfId="8389"/>
    <cellStyle name="PSHeading 2 9" xfId="8390"/>
    <cellStyle name="PSHeading 3" xfId="8391"/>
    <cellStyle name="PSHeading 4" xfId="8392"/>
    <cellStyle name="PSHeading 5" xfId="8393"/>
    <cellStyle name="PSInt" xfId="225"/>
    <cellStyle name="PSSpacer" xfId="226"/>
    <cellStyle name="PSV sizing template" xfId="227"/>
    <cellStyle name="PSV sizing template 10" xfId="9568"/>
    <cellStyle name="PSV sizing template 2" xfId="8394"/>
    <cellStyle name="PSV sizing template 2 10" xfId="8395"/>
    <cellStyle name="PSV sizing template 2 10 2" xfId="8708"/>
    <cellStyle name="PSV sizing template 2 10 3" xfId="9835"/>
    <cellStyle name="PSV sizing template 2 11" xfId="8396"/>
    <cellStyle name="PSV sizing template 2 11 2" xfId="8709"/>
    <cellStyle name="PSV sizing template 2 11 3" xfId="9836"/>
    <cellStyle name="PSV sizing template 2 12" xfId="8397"/>
    <cellStyle name="PSV sizing template 2 12 2" xfId="8710"/>
    <cellStyle name="PSV sizing template 2 12 3" xfId="9837"/>
    <cellStyle name="PSV sizing template 2 13" xfId="8398"/>
    <cellStyle name="PSV sizing template 2 13 2" xfId="8711"/>
    <cellStyle name="PSV sizing template 2 13 3" xfId="9838"/>
    <cellStyle name="PSV sizing template 2 14" xfId="8707"/>
    <cellStyle name="PSV sizing template 2 15" xfId="9834"/>
    <cellStyle name="PSV sizing template 2 2" xfId="8399"/>
    <cellStyle name="PSV sizing template 2 2 2" xfId="8712"/>
    <cellStyle name="PSV sizing template 2 2 3" xfId="9839"/>
    <cellStyle name="PSV sizing template 2 3" xfId="8400"/>
    <cellStyle name="PSV sizing template 2 3 2" xfId="8713"/>
    <cellStyle name="PSV sizing template 2 3 3" xfId="9840"/>
    <cellStyle name="PSV sizing template 2 4" xfId="8401"/>
    <cellStyle name="PSV sizing template 2 4 2" xfId="8714"/>
    <cellStyle name="PSV sizing template 2 4 3" xfId="9841"/>
    <cellStyle name="PSV sizing template 2 5" xfId="8402"/>
    <cellStyle name="PSV sizing template 2 5 2" xfId="8715"/>
    <cellStyle name="PSV sizing template 2 5 3" xfId="9842"/>
    <cellStyle name="PSV sizing template 2 6" xfId="8403"/>
    <cellStyle name="PSV sizing template 2 6 2" xfId="8716"/>
    <cellStyle name="PSV sizing template 2 6 3" xfId="9843"/>
    <cellStyle name="PSV sizing template 2 7" xfId="8404"/>
    <cellStyle name="PSV sizing template 2 7 2" xfId="8717"/>
    <cellStyle name="PSV sizing template 2 7 3" xfId="9844"/>
    <cellStyle name="PSV sizing template 2 8" xfId="8405"/>
    <cellStyle name="PSV sizing template 2 8 2" xfId="8718"/>
    <cellStyle name="PSV sizing template 2 8 3" xfId="9845"/>
    <cellStyle name="PSV sizing template 2 9" xfId="8406"/>
    <cellStyle name="PSV sizing template 2 9 2" xfId="8719"/>
    <cellStyle name="PSV sizing template 2 9 3" xfId="9846"/>
    <cellStyle name="PSV sizing template 3" xfId="8407"/>
    <cellStyle name="PSV sizing template 3 2" xfId="8720"/>
    <cellStyle name="PSV sizing template 3 3" xfId="9847"/>
    <cellStyle name="PSV sizing template 4" xfId="8408"/>
    <cellStyle name="PSV sizing template 4 2" xfId="8721"/>
    <cellStyle name="PSV sizing template 4 3" xfId="9848"/>
    <cellStyle name="PSV sizing template 5" xfId="8409"/>
    <cellStyle name="PSV sizing template 5 2" xfId="8722"/>
    <cellStyle name="PSV sizing template 5 3" xfId="9849"/>
    <cellStyle name="PSV sizing template 6" xfId="8410"/>
    <cellStyle name="PSV sizing template 6 2" xfId="8723"/>
    <cellStyle name="PSV sizing template 6 3" xfId="9850"/>
    <cellStyle name="PSV sizing template 7" xfId="8411"/>
    <cellStyle name="PSV sizing template 7 2" xfId="8724"/>
    <cellStyle name="PSV sizing template 7 3" xfId="9851"/>
    <cellStyle name="PSV sizing template 8" xfId="8412"/>
    <cellStyle name="PSV sizing template 8 2" xfId="8725"/>
    <cellStyle name="PSV sizing template 8 3" xfId="9852"/>
    <cellStyle name="PSV sizing template 9" xfId="8441"/>
    <cellStyle name="pump" xfId="361"/>
    <cellStyle name="pumpR" xfId="362"/>
    <cellStyle name="Response Header" xfId="228"/>
    <cellStyle name="Schedule" xfId="229"/>
    <cellStyle name="Schedule 2" xfId="230"/>
    <cellStyle name="Section Subtitle" xfId="231"/>
    <cellStyle name="Section Title" xfId="232"/>
    <cellStyle name="Sheet Title" xfId="233"/>
    <cellStyle name="specs" xfId="319"/>
    <cellStyle name="specs 2" xfId="372"/>
    <cellStyle name="specs 2 10" xfId="3879"/>
    <cellStyle name="specs 2 10 2" xfId="8683"/>
    <cellStyle name="specs 2 10 2 2" xfId="10012"/>
    <cellStyle name="specs 2 10 2 3" xfId="10360"/>
    <cellStyle name="specs 2 10 2 4" xfId="9350"/>
    <cellStyle name="specs 2 10 3" xfId="9810"/>
    <cellStyle name="specs 2 10 4" xfId="9528"/>
    <cellStyle name="specs 2 10 5" xfId="10188"/>
    <cellStyle name="specs 2 10 6" xfId="9177"/>
    <cellStyle name="specs 2 11" xfId="3831"/>
    <cellStyle name="specs 2 11 2" xfId="8638"/>
    <cellStyle name="specs 2 11 2 2" xfId="9967"/>
    <cellStyle name="specs 2 11 2 3" xfId="10315"/>
    <cellStyle name="specs 2 11 2 4" xfId="9305"/>
    <cellStyle name="specs 2 11 3" xfId="9765"/>
    <cellStyle name="specs 2 11 4" xfId="9483"/>
    <cellStyle name="specs 2 11 5" xfId="10143"/>
    <cellStyle name="specs 2 11 6" xfId="9132"/>
    <cellStyle name="specs 2 12" xfId="8463"/>
    <cellStyle name="specs 2 12 2" xfId="9857"/>
    <cellStyle name="specs 2 12 3" xfId="10205"/>
    <cellStyle name="specs 2 12 4" xfId="9195"/>
    <cellStyle name="specs 2 13" xfId="9003"/>
    <cellStyle name="specs 2 13 2" xfId="10460"/>
    <cellStyle name="specs 2 13 3" xfId="9590"/>
    <cellStyle name="specs 2 2" xfId="2041"/>
    <cellStyle name="specs 2 2 10" xfId="3706"/>
    <cellStyle name="specs 2 2 10 2" xfId="8524"/>
    <cellStyle name="specs 2 2 10 2 2" xfId="9892"/>
    <cellStyle name="specs 2 2 10 2 3" xfId="10240"/>
    <cellStyle name="specs 2 2 10 2 4" xfId="9230"/>
    <cellStyle name="specs 2 2 10 3" xfId="9651"/>
    <cellStyle name="specs 2 2 10 4" xfId="9408"/>
    <cellStyle name="specs 2 2 10 5" xfId="10068"/>
    <cellStyle name="specs 2 2 10 6" xfId="9057"/>
    <cellStyle name="specs 2 2 11" xfId="377"/>
    <cellStyle name="specs 2 2 11 2" xfId="8464"/>
    <cellStyle name="specs 2 2 11 2 2" xfId="9858"/>
    <cellStyle name="specs 2 2 11 2 3" xfId="10206"/>
    <cellStyle name="specs 2 2 11 2 4" xfId="9196"/>
    <cellStyle name="specs 2 2 11 3" xfId="9591"/>
    <cellStyle name="specs 2 2 11 4" xfId="9377"/>
    <cellStyle name="specs 2 2 11 5" xfId="10038"/>
    <cellStyle name="specs 2 2 11 6" xfId="9025"/>
    <cellStyle name="specs 2 2 12" xfId="3690"/>
    <cellStyle name="specs 2 2 12 2" xfId="8510"/>
    <cellStyle name="specs 2 2 12 2 2" xfId="9878"/>
    <cellStyle name="specs 2 2 12 2 3" xfId="10226"/>
    <cellStyle name="specs 2 2 12 2 4" xfId="9216"/>
    <cellStyle name="specs 2 2 12 3" xfId="9637"/>
    <cellStyle name="specs 2 2 12 4" xfId="9394"/>
    <cellStyle name="specs 2 2 12 5" xfId="10054"/>
    <cellStyle name="specs 2 2 12 6" xfId="9043"/>
    <cellStyle name="specs 2 2 13" xfId="3849"/>
    <cellStyle name="specs 2 2 13 2" xfId="8654"/>
    <cellStyle name="specs 2 2 13 2 2" xfId="9983"/>
    <cellStyle name="specs 2 2 13 2 3" xfId="10331"/>
    <cellStyle name="specs 2 2 13 2 4" xfId="9321"/>
    <cellStyle name="specs 2 2 13 3" xfId="9781"/>
    <cellStyle name="specs 2 2 13 4" xfId="9499"/>
    <cellStyle name="specs 2 2 13 5" xfId="10159"/>
    <cellStyle name="specs 2 2 13 6" xfId="9148"/>
    <cellStyle name="specs 2 2 14" xfId="3870"/>
    <cellStyle name="specs 2 2 14 2" xfId="8674"/>
    <cellStyle name="specs 2 2 14 2 2" xfId="10003"/>
    <cellStyle name="specs 2 2 14 2 3" xfId="10351"/>
    <cellStyle name="specs 2 2 14 2 4" xfId="9341"/>
    <cellStyle name="specs 2 2 14 3" xfId="9801"/>
    <cellStyle name="specs 2 2 14 4" xfId="9519"/>
    <cellStyle name="specs 2 2 14 5" xfId="10179"/>
    <cellStyle name="specs 2 2 14 6" xfId="9168"/>
    <cellStyle name="specs 2 2 15" xfId="3833"/>
    <cellStyle name="specs 2 2 15 2" xfId="8639"/>
    <cellStyle name="specs 2 2 15 2 2" xfId="9968"/>
    <cellStyle name="specs 2 2 15 2 3" xfId="10316"/>
    <cellStyle name="specs 2 2 15 2 4" xfId="9306"/>
    <cellStyle name="specs 2 2 15 3" xfId="9766"/>
    <cellStyle name="specs 2 2 15 4" xfId="9484"/>
    <cellStyle name="specs 2 2 15 5" xfId="10144"/>
    <cellStyle name="specs 2 2 15 6" xfId="9133"/>
    <cellStyle name="specs 2 2 16" xfId="3877"/>
    <cellStyle name="specs 2 2 16 2" xfId="8681"/>
    <cellStyle name="specs 2 2 16 2 2" xfId="10010"/>
    <cellStyle name="specs 2 2 16 2 3" xfId="10358"/>
    <cellStyle name="specs 2 2 16 2 4" xfId="9348"/>
    <cellStyle name="specs 2 2 16 3" xfId="9808"/>
    <cellStyle name="specs 2 2 16 4" xfId="9526"/>
    <cellStyle name="specs 2 2 16 5" xfId="10186"/>
    <cellStyle name="specs 2 2 16 6" xfId="9175"/>
    <cellStyle name="specs 2 2 17" xfId="3817"/>
    <cellStyle name="specs 2 2 17 2" xfId="8628"/>
    <cellStyle name="specs 2 2 17 2 2" xfId="9957"/>
    <cellStyle name="specs 2 2 17 2 3" xfId="10305"/>
    <cellStyle name="specs 2 2 17 2 4" xfId="9295"/>
    <cellStyle name="specs 2 2 17 3" xfId="9755"/>
    <cellStyle name="specs 2 2 17 4" xfId="9473"/>
    <cellStyle name="specs 2 2 17 5" xfId="10133"/>
    <cellStyle name="specs 2 2 17 6" xfId="9122"/>
    <cellStyle name="specs 2 2 18" xfId="3839"/>
    <cellStyle name="specs 2 2 18 2" xfId="8644"/>
    <cellStyle name="specs 2 2 18 2 2" xfId="9973"/>
    <cellStyle name="specs 2 2 18 2 3" xfId="10321"/>
    <cellStyle name="specs 2 2 18 2 4" xfId="9311"/>
    <cellStyle name="specs 2 2 18 3" xfId="9771"/>
    <cellStyle name="specs 2 2 18 4" xfId="9489"/>
    <cellStyle name="specs 2 2 18 5" xfId="10149"/>
    <cellStyle name="specs 2 2 18 6" xfId="9138"/>
    <cellStyle name="specs 2 2 19" xfId="3826"/>
    <cellStyle name="specs 2 2 19 2" xfId="8633"/>
    <cellStyle name="specs 2 2 19 2 2" xfId="9962"/>
    <cellStyle name="specs 2 2 19 2 3" xfId="10310"/>
    <cellStyle name="specs 2 2 19 2 4" xfId="9300"/>
    <cellStyle name="specs 2 2 19 3" xfId="9760"/>
    <cellStyle name="specs 2 2 19 4" xfId="9478"/>
    <cellStyle name="specs 2 2 19 5" xfId="10138"/>
    <cellStyle name="specs 2 2 19 6" xfId="9127"/>
    <cellStyle name="specs 2 2 2" xfId="3719"/>
    <cellStyle name="specs 2 2 2 2" xfId="8537"/>
    <cellStyle name="specs 2 2 2 2 2" xfId="9905"/>
    <cellStyle name="specs 2 2 2 2 3" xfId="10253"/>
    <cellStyle name="specs 2 2 2 2 4" xfId="9243"/>
    <cellStyle name="specs 2 2 2 3" xfId="9664"/>
    <cellStyle name="specs 2 2 2 4" xfId="9421"/>
    <cellStyle name="specs 2 2 2 5" xfId="10081"/>
    <cellStyle name="specs 2 2 2 6" xfId="9070"/>
    <cellStyle name="specs 2 2 20" xfId="3828"/>
    <cellStyle name="specs 2 2 20 2" xfId="8635"/>
    <cellStyle name="specs 2 2 20 2 2" xfId="9964"/>
    <cellStyle name="specs 2 2 20 2 3" xfId="10312"/>
    <cellStyle name="specs 2 2 20 2 4" xfId="9302"/>
    <cellStyle name="specs 2 2 20 3" xfId="9762"/>
    <cellStyle name="specs 2 2 20 4" xfId="9480"/>
    <cellStyle name="specs 2 2 20 5" xfId="10140"/>
    <cellStyle name="specs 2 2 20 6" xfId="9129"/>
    <cellStyle name="specs 2 2 21" xfId="3872"/>
    <cellStyle name="specs 2 2 21 2" xfId="8676"/>
    <cellStyle name="specs 2 2 21 2 2" xfId="10005"/>
    <cellStyle name="specs 2 2 21 2 3" xfId="10353"/>
    <cellStyle name="specs 2 2 21 2 4" xfId="9343"/>
    <cellStyle name="specs 2 2 21 3" xfId="9803"/>
    <cellStyle name="specs 2 2 21 4" xfId="9521"/>
    <cellStyle name="specs 2 2 21 5" xfId="10181"/>
    <cellStyle name="specs 2 2 21 6" xfId="9170"/>
    <cellStyle name="specs 2 2 22" xfId="3844"/>
    <cellStyle name="specs 2 2 22 2" xfId="8649"/>
    <cellStyle name="specs 2 2 22 2 2" xfId="9978"/>
    <cellStyle name="specs 2 2 22 2 3" xfId="10326"/>
    <cellStyle name="specs 2 2 22 2 4" xfId="9316"/>
    <cellStyle name="specs 2 2 22 3" xfId="9776"/>
    <cellStyle name="specs 2 2 22 4" xfId="9494"/>
    <cellStyle name="specs 2 2 22 5" xfId="10154"/>
    <cellStyle name="specs 2 2 22 6" xfId="9143"/>
    <cellStyle name="specs 2 2 23" xfId="3809"/>
    <cellStyle name="specs 2 2 23 2" xfId="8622"/>
    <cellStyle name="specs 2 2 23 2 2" xfId="9951"/>
    <cellStyle name="specs 2 2 23 2 3" xfId="10299"/>
    <cellStyle name="specs 2 2 23 2 4" xfId="9289"/>
    <cellStyle name="specs 2 2 23 3" xfId="9749"/>
    <cellStyle name="specs 2 2 23 4" xfId="9467"/>
    <cellStyle name="specs 2 2 23 5" xfId="10127"/>
    <cellStyle name="specs 2 2 23 6" xfId="9116"/>
    <cellStyle name="specs 2 2 24" xfId="3835"/>
    <cellStyle name="specs 2 2 24 2" xfId="8641"/>
    <cellStyle name="specs 2 2 24 2 2" xfId="9970"/>
    <cellStyle name="specs 2 2 24 2 3" xfId="10318"/>
    <cellStyle name="specs 2 2 24 2 4" xfId="9308"/>
    <cellStyle name="specs 2 2 24 3" xfId="9768"/>
    <cellStyle name="specs 2 2 24 4" xfId="9486"/>
    <cellStyle name="specs 2 2 24 5" xfId="10146"/>
    <cellStyle name="specs 2 2 24 6" xfId="9135"/>
    <cellStyle name="specs 2 2 25" xfId="8496"/>
    <cellStyle name="specs 2 2 25 2" xfId="9867"/>
    <cellStyle name="specs 2 2 25 3" xfId="10215"/>
    <cellStyle name="specs 2 2 25 4" xfId="9205"/>
    <cellStyle name="specs 2 2 26" xfId="8901"/>
    <cellStyle name="specs 2 2 26 2" xfId="10421"/>
    <cellStyle name="specs 2 2 26 3" xfId="9623"/>
    <cellStyle name="specs 2 2 27" xfId="8949"/>
    <cellStyle name="specs 2 2 27 2" xfId="10433"/>
    <cellStyle name="specs 2 2 27 3" xfId="9385"/>
    <cellStyle name="specs 2 2 28" xfId="9004"/>
    <cellStyle name="specs 2 2 28 2" xfId="10461"/>
    <cellStyle name="specs 2 2 29" xfId="9033"/>
    <cellStyle name="specs 2 2 3" xfId="3712"/>
    <cellStyle name="specs 2 2 3 2" xfId="8530"/>
    <cellStyle name="specs 2 2 3 2 2" xfId="9898"/>
    <cellStyle name="specs 2 2 3 2 3" xfId="10246"/>
    <cellStyle name="specs 2 2 3 2 4" xfId="9236"/>
    <cellStyle name="specs 2 2 3 3" xfId="9657"/>
    <cellStyle name="specs 2 2 3 4" xfId="9414"/>
    <cellStyle name="specs 2 2 3 5" xfId="10074"/>
    <cellStyle name="specs 2 2 3 6" xfId="9063"/>
    <cellStyle name="specs 2 2 4" xfId="3684"/>
    <cellStyle name="specs 2 2 4 2" xfId="8505"/>
    <cellStyle name="specs 2 2 4 2 2" xfId="9873"/>
    <cellStyle name="specs 2 2 4 2 3" xfId="10221"/>
    <cellStyle name="specs 2 2 4 2 4" xfId="9211"/>
    <cellStyle name="specs 2 2 4 3" xfId="9632"/>
    <cellStyle name="specs 2 2 4 4" xfId="9389"/>
    <cellStyle name="specs 2 2 4 5" xfId="10049"/>
    <cellStyle name="specs 2 2 4 6" xfId="9038"/>
    <cellStyle name="specs 2 2 5" xfId="3739"/>
    <cellStyle name="specs 2 2 5 2" xfId="8553"/>
    <cellStyle name="specs 2 2 5 2 2" xfId="9921"/>
    <cellStyle name="specs 2 2 5 2 3" xfId="10269"/>
    <cellStyle name="specs 2 2 5 2 4" xfId="9259"/>
    <cellStyle name="specs 2 2 5 3" xfId="9680"/>
    <cellStyle name="specs 2 2 5 4" xfId="9437"/>
    <cellStyle name="specs 2 2 5 5" xfId="10097"/>
    <cellStyle name="specs 2 2 5 6" xfId="9086"/>
    <cellStyle name="specs 2 2 6" xfId="3730"/>
    <cellStyle name="specs 2 2 6 2" xfId="8544"/>
    <cellStyle name="specs 2 2 6 2 2" xfId="9912"/>
    <cellStyle name="specs 2 2 6 2 3" xfId="10260"/>
    <cellStyle name="specs 2 2 6 2 4" xfId="9250"/>
    <cellStyle name="specs 2 2 6 3" xfId="9671"/>
    <cellStyle name="specs 2 2 6 4" xfId="9428"/>
    <cellStyle name="specs 2 2 6 5" xfId="10088"/>
    <cellStyle name="specs 2 2 6 6" xfId="9077"/>
    <cellStyle name="specs 2 2 7" xfId="3697"/>
    <cellStyle name="specs 2 2 7 2" xfId="8516"/>
    <cellStyle name="specs 2 2 7 2 2" xfId="9884"/>
    <cellStyle name="specs 2 2 7 2 3" xfId="10232"/>
    <cellStyle name="specs 2 2 7 2 4" xfId="9222"/>
    <cellStyle name="specs 2 2 7 3" xfId="9643"/>
    <cellStyle name="specs 2 2 7 4" xfId="9400"/>
    <cellStyle name="specs 2 2 7 5" xfId="10060"/>
    <cellStyle name="specs 2 2 7 6" xfId="9049"/>
    <cellStyle name="specs 2 2 8" xfId="3685"/>
    <cellStyle name="specs 2 2 8 2" xfId="8506"/>
    <cellStyle name="specs 2 2 8 2 2" xfId="9874"/>
    <cellStyle name="specs 2 2 8 2 3" xfId="10222"/>
    <cellStyle name="specs 2 2 8 2 4" xfId="9212"/>
    <cellStyle name="specs 2 2 8 3" xfId="9633"/>
    <cellStyle name="specs 2 2 8 4" xfId="9390"/>
    <cellStyle name="specs 2 2 8 5" xfId="10050"/>
    <cellStyle name="specs 2 2 8 6" xfId="9039"/>
    <cellStyle name="specs 2 2 9" xfId="3693"/>
    <cellStyle name="specs 2 2 9 2" xfId="8512"/>
    <cellStyle name="specs 2 2 9 2 2" xfId="9880"/>
    <cellStyle name="specs 2 2 9 2 3" xfId="10228"/>
    <cellStyle name="specs 2 2 9 2 4" xfId="9218"/>
    <cellStyle name="specs 2 2 9 3" xfId="9639"/>
    <cellStyle name="specs 2 2 9 4" xfId="9396"/>
    <cellStyle name="specs 2 2 9 5" xfId="10056"/>
    <cellStyle name="specs 2 2 9 6" xfId="9045"/>
    <cellStyle name="specs 2 3" xfId="381"/>
    <cellStyle name="specs 2 3 2" xfId="8467"/>
    <cellStyle name="specs 2 3 2 2" xfId="9861"/>
    <cellStyle name="specs 2 3 2 3" xfId="10209"/>
    <cellStyle name="specs 2 3 2 4" xfId="9199"/>
    <cellStyle name="specs 2 3 3" xfId="8902"/>
    <cellStyle name="specs 2 3 3 2" xfId="10422"/>
    <cellStyle name="specs 2 3 3 3" xfId="9594"/>
    <cellStyle name="specs 2 3 4" xfId="8950"/>
    <cellStyle name="specs 2 3 4 2" xfId="10434"/>
    <cellStyle name="specs 2 3 4 3" xfId="9379"/>
    <cellStyle name="specs 2 3 5" xfId="8988"/>
    <cellStyle name="specs 2 3 5 2" xfId="10447"/>
    <cellStyle name="specs 2 3 6" xfId="9005"/>
    <cellStyle name="specs 2 3 6 2" xfId="10462"/>
    <cellStyle name="specs 2 3 7" xfId="10041"/>
    <cellStyle name="specs 2 3 8" xfId="9027"/>
    <cellStyle name="specs 2 4" xfId="3699"/>
    <cellStyle name="specs 2 4 2" xfId="8518"/>
    <cellStyle name="specs 2 4 2 2" xfId="9886"/>
    <cellStyle name="specs 2 4 2 3" xfId="10234"/>
    <cellStyle name="specs 2 4 2 4" xfId="9224"/>
    <cellStyle name="specs 2 4 3" xfId="8903"/>
    <cellStyle name="specs 2 4 3 2" xfId="10423"/>
    <cellStyle name="specs 2 4 3 3" xfId="9645"/>
    <cellStyle name="specs 2 4 4" xfId="8951"/>
    <cellStyle name="specs 2 4 4 2" xfId="10435"/>
    <cellStyle name="specs 2 4 4 3" xfId="9402"/>
    <cellStyle name="specs 2 4 5" xfId="8989"/>
    <cellStyle name="specs 2 4 5 2" xfId="10448"/>
    <cellStyle name="specs 2 4 6" xfId="9006"/>
    <cellStyle name="specs 2 4 6 2" xfId="10463"/>
    <cellStyle name="specs 2 4 7" xfId="10062"/>
    <cellStyle name="specs 2 4 8" xfId="9051"/>
    <cellStyle name="specs 2 5" xfId="3729"/>
    <cellStyle name="specs 2 5 2" xfId="8543"/>
    <cellStyle name="specs 2 5 2 2" xfId="9911"/>
    <cellStyle name="specs 2 5 2 3" xfId="10259"/>
    <cellStyle name="specs 2 5 2 4" xfId="9249"/>
    <cellStyle name="specs 2 5 3" xfId="9670"/>
    <cellStyle name="specs 2 5 4" xfId="9427"/>
    <cellStyle name="specs 2 5 5" xfId="10087"/>
    <cellStyle name="specs 2 5 6" xfId="9076"/>
    <cellStyle name="specs 2 6" xfId="3695"/>
    <cellStyle name="specs 2 6 2" xfId="8514"/>
    <cellStyle name="specs 2 6 2 2" xfId="9882"/>
    <cellStyle name="specs 2 6 2 3" xfId="10230"/>
    <cellStyle name="specs 2 6 2 4" xfId="9220"/>
    <cellStyle name="specs 2 6 3" xfId="9641"/>
    <cellStyle name="specs 2 6 4" xfId="9398"/>
    <cellStyle name="specs 2 6 5" xfId="10058"/>
    <cellStyle name="specs 2 6 6" xfId="9047"/>
    <cellStyle name="specs 2 7" xfId="3810"/>
    <cellStyle name="specs 2 7 2" xfId="8623"/>
    <cellStyle name="specs 2 7 2 2" xfId="9952"/>
    <cellStyle name="specs 2 7 2 3" xfId="10300"/>
    <cellStyle name="specs 2 7 2 4" xfId="9290"/>
    <cellStyle name="specs 2 7 3" xfId="9750"/>
    <cellStyle name="specs 2 7 4" xfId="9468"/>
    <cellStyle name="specs 2 7 5" xfId="10128"/>
    <cellStyle name="specs 2 7 6" xfId="9117"/>
    <cellStyle name="specs 2 8" xfId="3867"/>
    <cellStyle name="specs 2 8 2" xfId="8671"/>
    <cellStyle name="specs 2 8 2 2" xfId="10000"/>
    <cellStyle name="specs 2 8 2 3" xfId="10348"/>
    <cellStyle name="specs 2 8 2 4" xfId="9338"/>
    <cellStyle name="specs 2 8 3" xfId="9798"/>
    <cellStyle name="specs 2 8 4" xfId="9516"/>
    <cellStyle name="specs 2 8 5" xfId="10176"/>
    <cellStyle name="specs 2 8 6" xfId="9165"/>
    <cellStyle name="specs 2 9" xfId="3838"/>
    <cellStyle name="specs 2 9 2" xfId="8643"/>
    <cellStyle name="specs 2 9 2 2" xfId="9972"/>
    <cellStyle name="specs 2 9 2 3" xfId="10320"/>
    <cellStyle name="specs 2 9 2 4" xfId="9310"/>
    <cellStyle name="specs 2 9 3" xfId="9770"/>
    <cellStyle name="specs 2 9 4" xfId="9488"/>
    <cellStyle name="specs 2 9 5" xfId="10148"/>
    <cellStyle name="specs 2 9 6" xfId="9137"/>
    <cellStyle name="specs 3" xfId="8415"/>
    <cellStyle name="specs 3 2" xfId="8727"/>
    <cellStyle name="specs 3 2 2" xfId="10026"/>
    <cellStyle name="specs 3 2 3" xfId="10374"/>
    <cellStyle name="specs 3 2 4" xfId="9364"/>
    <cellStyle name="specs 3 3" xfId="8904"/>
    <cellStyle name="specs 3 3 2" xfId="10424"/>
    <cellStyle name="specs 3 3 3" xfId="9854"/>
    <cellStyle name="specs 3 4" xfId="8952"/>
    <cellStyle name="specs 3 4 2" xfId="10436"/>
    <cellStyle name="specs 3 4 3" xfId="9542"/>
    <cellStyle name="specs 3 5" xfId="8990"/>
    <cellStyle name="specs 3 5 2" xfId="10449"/>
    <cellStyle name="specs 3 6" xfId="9007"/>
    <cellStyle name="specs 3 6 2" xfId="10464"/>
    <cellStyle name="specs 3 7" xfId="10202"/>
    <cellStyle name="specs 3 8" xfId="9192"/>
    <cellStyle name="specs 4" xfId="8416"/>
    <cellStyle name="specs 4 2" xfId="8728"/>
    <cellStyle name="specs 4 2 2" xfId="10027"/>
    <cellStyle name="specs 4 2 3" xfId="10375"/>
    <cellStyle name="specs 4 2 4" xfId="9365"/>
    <cellStyle name="specs 4 3" xfId="8905"/>
    <cellStyle name="specs 4 3 2" xfId="10425"/>
    <cellStyle name="specs 4 3 3" xfId="9855"/>
    <cellStyle name="specs 4 4" xfId="8953"/>
    <cellStyle name="specs 4 4 2" xfId="10437"/>
    <cellStyle name="specs 4 4 3" xfId="9543"/>
    <cellStyle name="specs 4 5" xfId="8991"/>
    <cellStyle name="specs 4 5 2" xfId="10450"/>
    <cellStyle name="specs 4 6" xfId="9008"/>
    <cellStyle name="specs 4 6 2" xfId="10465"/>
    <cellStyle name="specs 4 7" xfId="10203"/>
    <cellStyle name="specs 4 8" xfId="9193"/>
    <cellStyle name="specs 5" xfId="8417"/>
    <cellStyle name="specs 5 2" xfId="8729"/>
    <cellStyle name="specs 5 2 2" xfId="10028"/>
    <cellStyle name="specs 5 2 3" xfId="10376"/>
    <cellStyle name="specs 5 2 4" xfId="9366"/>
    <cellStyle name="specs 5 3" xfId="8906"/>
    <cellStyle name="specs 5 3 2" xfId="10426"/>
    <cellStyle name="specs 5 3 3" xfId="9856"/>
    <cellStyle name="specs 5 4" xfId="8954"/>
    <cellStyle name="specs 5 4 2" xfId="10438"/>
    <cellStyle name="specs 5 4 3" xfId="9544"/>
    <cellStyle name="specs 5 5" xfId="8992"/>
    <cellStyle name="specs 5 5 2" xfId="10451"/>
    <cellStyle name="specs 5 6" xfId="9009"/>
    <cellStyle name="specs 5 6 2" xfId="10466"/>
    <cellStyle name="specs 5 7" xfId="10204"/>
    <cellStyle name="specs 5 8" xfId="9194"/>
    <cellStyle name="specs 6" xfId="9002"/>
    <cellStyle name="specs 6 2" xfId="10459"/>
    <cellStyle name="Standard_Agenda" xfId="363"/>
    <cellStyle name="Style 1" xfId="234"/>
    <cellStyle name="Style 1 2" xfId="1994"/>
    <cellStyle name="Style 1 2 2" xfId="8493"/>
    <cellStyle name="Style 1 2 3" xfId="9620"/>
    <cellStyle name="Style 1 3" xfId="8442"/>
    <cellStyle name="Style 1 4" xfId="9569"/>
    <cellStyle name="Subtitle" xfId="235"/>
    <cellStyle name="Table Title" xfId="236"/>
    <cellStyle name="Title" xfId="261" builtinId="15" customBuiltin="1"/>
    <cellStyle name="Title 2" xfId="238"/>
    <cellStyle name="Title 2 2" xfId="8909"/>
    <cellStyle name="Title 2 3" xfId="8955"/>
    <cellStyle name="Title 2 4" xfId="8993"/>
    <cellStyle name="Title 2 5" xfId="9010"/>
    <cellStyle name="Title 3" xfId="237"/>
    <cellStyle name="Total" xfId="276" builtinId="25" customBuiltin="1"/>
    <cellStyle name="Total 2" xfId="240"/>
    <cellStyle name="Total 2 2" xfId="8413"/>
    <cellStyle name="Total 2 2 2" xfId="8726"/>
    <cellStyle name="Total 2 2 2 2" xfId="10025"/>
    <cellStyle name="Total 2 2 2 3" xfId="10373"/>
    <cellStyle name="Total 2 2 2 4" xfId="9363"/>
    <cellStyle name="Total 2 2 3" xfId="9853"/>
    <cellStyle name="Total 2 2 4" xfId="9541"/>
    <cellStyle name="Total 2 2 5" xfId="10201"/>
    <cellStyle name="Total 2 2 6" xfId="9191"/>
    <cellStyle name="Total 2 3" xfId="8910"/>
    <cellStyle name="Total 2 3 2" xfId="10427"/>
    <cellStyle name="Total 2 4" xfId="8956"/>
    <cellStyle name="Total 2 4 2" xfId="10439"/>
    <cellStyle name="Total 2 5" xfId="8994"/>
    <cellStyle name="Total 2 5 2" xfId="10452"/>
    <cellStyle name="Total 2 6" xfId="9011"/>
    <cellStyle name="Total 2 6 2" xfId="10468"/>
    <cellStyle name="Total 3" xfId="239"/>
    <cellStyle name="Total 3 2" xfId="9371"/>
    <cellStyle name="Total 3 3" xfId="10033"/>
    <cellStyle name="Total 3 4" xfId="9018"/>
    <cellStyle name="Total 4" xfId="3784"/>
    <cellStyle name="Total 4 2" xfId="8598"/>
    <cellStyle name="Total 4 2 2" xfId="9943"/>
    <cellStyle name="Total 4 2 3" xfId="10291"/>
    <cellStyle name="Total 4 2 4" xfId="9281"/>
    <cellStyle name="Total 4 3" xfId="9725"/>
    <cellStyle name="Total 4 4" xfId="9459"/>
    <cellStyle name="Total 4 5" xfId="10119"/>
    <cellStyle name="Total 4 6" xfId="9108"/>
    <cellStyle name="Total 5" xfId="3805"/>
    <cellStyle name="Total 5 2" xfId="8619"/>
    <cellStyle name="Total 5 2 2" xfId="9948"/>
    <cellStyle name="Total 5 2 3" xfId="10296"/>
    <cellStyle name="Total 5 2 4" xfId="9286"/>
    <cellStyle name="Total 5 3" xfId="9746"/>
    <cellStyle name="Total 5 4" xfId="9464"/>
    <cellStyle name="Total 5 5" xfId="10124"/>
    <cellStyle name="Total 5 6" xfId="9113"/>
    <cellStyle name="Total 6" xfId="3895"/>
    <cellStyle name="Total 6 2" xfId="8697"/>
    <cellStyle name="Total 6 2 2" xfId="10020"/>
    <cellStyle name="Total 6 2 3" xfId="10368"/>
    <cellStyle name="Total 6 2 4" xfId="9358"/>
    <cellStyle name="Total 6 3" xfId="9824"/>
    <cellStyle name="Total 6 4" xfId="9536"/>
    <cellStyle name="Total 6 5" xfId="10196"/>
    <cellStyle name="Total 6 6" xfId="9185"/>
    <cellStyle name="Total 7" xfId="3896"/>
    <cellStyle name="Total 7 2" xfId="8698"/>
    <cellStyle name="Total 7 2 2" xfId="10021"/>
    <cellStyle name="Total 7 2 3" xfId="10369"/>
    <cellStyle name="Total 7 2 4" xfId="9359"/>
    <cellStyle name="Total 7 3" xfId="9825"/>
    <cellStyle name="Total 7 4" xfId="9537"/>
    <cellStyle name="Total 7 5" xfId="10197"/>
    <cellStyle name="Total 7 6" xfId="9186"/>
    <cellStyle name="Total 8" xfId="3902"/>
    <cellStyle name="Total 8 2" xfId="8704"/>
    <cellStyle name="Total 8 2 2" xfId="10024"/>
    <cellStyle name="Total 8 2 3" xfId="10372"/>
    <cellStyle name="Total 8 2 4" xfId="9362"/>
    <cellStyle name="Total 8 3" xfId="9831"/>
    <cellStyle name="Total 8 4" xfId="9540"/>
    <cellStyle name="Total 8 5" xfId="10200"/>
    <cellStyle name="Total 8 6" xfId="9189"/>
    <cellStyle name="User Input" xfId="241"/>
    <cellStyle name="vessel" xfId="364"/>
    <cellStyle name="VV" xfId="365"/>
    <cellStyle name="Währung [0]_C4-Data-ZAV-USA" xfId="366"/>
    <cellStyle name="Währung_C4-Data-ZAV-USA" xfId="367"/>
    <cellStyle name="Warning Text" xfId="274" builtinId="11" customBuiltin="1"/>
    <cellStyle name="Warning Text 2" xfId="243"/>
    <cellStyle name="Warning Text 2 2" xfId="8914"/>
    <cellStyle name="Warning Text 2 3" xfId="8960"/>
    <cellStyle name="Warning Text 2 4" xfId="8995"/>
    <cellStyle name="Warning Text 2 5" xfId="9012"/>
    <cellStyle name="Warning Text 3" xfId="242"/>
    <cellStyle name="zero" xfId="326"/>
    <cellStyle name="一般_Appendix M-5, Greenhouse Gas Emissions From Point Sources and Leakage of Transmission" xfId="244"/>
    <cellStyle name="入力" xfId="368"/>
    <cellStyle name="入力 10" xfId="3874"/>
    <cellStyle name="入力 10 2" xfId="8678"/>
    <cellStyle name="入力 10 2 2" xfId="10007"/>
    <cellStyle name="入力 10 2 3" xfId="10355"/>
    <cellStyle name="入力 10 2 4" xfId="9345"/>
    <cellStyle name="入力 10 3" xfId="9805"/>
    <cellStyle name="入力 10 4" xfId="9523"/>
    <cellStyle name="入力 10 5" xfId="10183"/>
    <cellStyle name="入力 10 6" xfId="9172"/>
    <cellStyle name="入力 11" xfId="8961"/>
    <cellStyle name="入力 11 2" xfId="10441"/>
    <cellStyle name="入力 11 3" xfId="9376"/>
    <cellStyle name="入力 12" xfId="8996"/>
    <cellStyle name="入力 12 2" xfId="10453"/>
    <cellStyle name="入力 2" xfId="2043"/>
    <cellStyle name="入力 2 10" xfId="3715"/>
    <cellStyle name="入力 2 10 2" xfId="8533"/>
    <cellStyle name="入力 2 10 2 2" xfId="9901"/>
    <cellStyle name="入力 2 10 2 3" xfId="10249"/>
    <cellStyle name="入力 2 10 2 4" xfId="9239"/>
    <cellStyle name="入力 2 10 3" xfId="9660"/>
    <cellStyle name="入力 2 10 4" xfId="9417"/>
    <cellStyle name="入力 2 10 5" xfId="10077"/>
    <cellStyle name="入力 2 10 6" xfId="9066"/>
    <cellStyle name="入力 2 11" xfId="3733"/>
    <cellStyle name="入力 2 11 2" xfId="8547"/>
    <cellStyle name="入力 2 11 2 2" xfId="9915"/>
    <cellStyle name="入力 2 11 2 3" xfId="10263"/>
    <cellStyle name="入力 2 11 2 4" xfId="9253"/>
    <cellStyle name="入力 2 11 3" xfId="9674"/>
    <cellStyle name="入力 2 11 4" xfId="9431"/>
    <cellStyle name="入力 2 11 5" xfId="10091"/>
    <cellStyle name="入力 2 11 6" xfId="9080"/>
    <cellStyle name="入力 2 12" xfId="3850"/>
    <cellStyle name="入力 2 12 2" xfId="8655"/>
    <cellStyle name="入力 2 12 2 2" xfId="9984"/>
    <cellStyle name="入力 2 12 2 3" xfId="10332"/>
    <cellStyle name="入力 2 12 2 4" xfId="9322"/>
    <cellStyle name="入力 2 12 3" xfId="9782"/>
    <cellStyle name="入力 2 12 4" xfId="9500"/>
    <cellStyle name="入力 2 12 5" xfId="10160"/>
    <cellStyle name="入力 2 12 6" xfId="9149"/>
    <cellStyle name="入力 2 13" xfId="3861"/>
    <cellStyle name="入力 2 13 2" xfId="8666"/>
    <cellStyle name="入力 2 13 2 2" xfId="9995"/>
    <cellStyle name="入力 2 13 2 3" xfId="10343"/>
    <cellStyle name="入力 2 13 2 4" xfId="9333"/>
    <cellStyle name="入力 2 13 3" xfId="9793"/>
    <cellStyle name="入力 2 13 4" xfId="9511"/>
    <cellStyle name="入力 2 13 5" xfId="10171"/>
    <cellStyle name="入力 2 13 6" xfId="9160"/>
    <cellStyle name="入力 2 14" xfId="3852"/>
    <cellStyle name="入力 2 14 2" xfId="8657"/>
    <cellStyle name="入力 2 14 2 2" xfId="9986"/>
    <cellStyle name="入力 2 14 2 3" xfId="10334"/>
    <cellStyle name="入力 2 14 2 4" xfId="9324"/>
    <cellStyle name="入力 2 14 3" xfId="9784"/>
    <cellStyle name="入力 2 14 4" xfId="9502"/>
    <cellStyle name="入力 2 14 5" xfId="10162"/>
    <cellStyle name="入力 2 14 6" xfId="9151"/>
    <cellStyle name="入力 2 15" xfId="3824"/>
    <cellStyle name="入力 2 15 2" xfId="8631"/>
    <cellStyle name="入力 2 15 2 2" xfId="9960"/>
    <cellStyle name="入力 2 15 2 3" xfId="10308"/>
    <cellStyle name="入力 2 15 2 4" xfId="9298"/>
    <cellStyle name="入力 2 15 3" xfId="9758"/>
    <cellStyle name="入力 2 15 4" xfId="9476"/>
    <cellStyle name="入力 2 15 5" xfId="10136"/>
    <cellStyle name="入力 2 15 6" xfId="9125"/>
    <cellStyle name="入力 2 16" xfId="3825"/>
    <cellStyle name="入力 2 16 2" xfId="8632"/>
    <cellStyle name="入力 2 16 2 2" xfId="9961"/>
    <cellStyle name="入力 2 16 2 3" xfId="10309"/>
    <cellStyle name="入力 2 16 2 4" xfId="9299"/>
    <cellStyle name="入力 2 16 3" xfId="9759"/>
    <cellStyle name="入力 2 16 4" xfId="9477"/>
    <cellStyle name="入力 2 16 5" xfId="10137"/>
    <cellStyle name="入力 2 16 6" xfId="9126"/>
    <cellStyle name="入力 2 17" xfId="3851"/>
    <cellStyle name="入力 2 17 2" xfId="8656"/>
    <cellStyle name="入力 2 17 2 2" xfId="9985"/>
    <cellStyle name="入力 2 17 2 3" xfId="10333"/>
    <cellStyle name="入力 2 17 2 4" xfId="9323"/>
    <cellStyle name="入力 2 17 3" xfId="9783"/>
    <cellStyle name="入力 2 17 4" xfId="9501"/>
    <cellStyle name="入力 2 17 5" xfId="10161"/>
    <cellStyle name="入力 2 17 6" xfId="9150"/>
    <cellStyle name="入力 2 18" xfId="3858"/>
    <cellStyle name="入力 2 18 2" xfId="8663"/>
    <cellStyle name="入力 2 18 2 2" xfId="9992"/>
    <cellStyle name="入力 2 18 2 3" xfId="10340"/>
    <cellStyle name="入力 2 18 2 4" xfId="9330"/>
    <cellStyle name="入力 2 18 3" xfId="9790"/>
    <cellStyle name="入力 2 18 4" xfId="9508"/>
    <cellStyle name="入力 2 18 5" xfId="10168"/>
    <cellStyle name="入力 2 18 6" xfId="9157"/>
    <cellStyle name="入力 2 19" xfId="3822"/>
    <cellStyle name="入力 2 19 2" xfId="8630"/>
    <cellStyle name="入力 2 19 2 2" xfId="9959"/>
    <cellStyle name="入力 2 19 2 3" xfId="10307"/>
    <cellStyle name="入力 2 19 2 4" xfId="9297"/>
    <cellStyle name="入力 2 19 3" xfId="9757"/>
    <cellStyle name="入力 2 19 4" xfId="9475"/>
    <cellStyle name="入力 2 19 5" xfId="10135"/>
    <cellStyle name="入力 2 19 6" xfId="9124"/>
    <cellStyle name="入力 2 2" xfId="3720"/>
    <cellStyle name="入力 2 2 2" xfId="8538"/>
    <cellStyle name="入力 2 2 2 2" xfId="9906"/>
    <cellStyle name="入力 2 2 2 3" xfId="10254"/>
    <cellStyle name="入力 2 2 2 4" xfId="9244"/>
    <cellStyle name="入力 2 2 3" xfId="9665"/>
    <cellStyle name="入力 2 2 4" xfId="9422"/>
    <cellStyle name="入力 2 2 5" xfId="10082"/>
    <cellStyle name="入力 2 2 6" xfId="9071"/>
    <cellStyle name="入力 2 20" xfId="8497"/>
    <cellStyle name="入力 2 20 2" xfId="9868"/>
    <cellStyle name="入力 2 20 3" xfId="10216"/>
    <cellStyle name="入力 2 20 4" xfId="9206"/>
    <cellStyle name="入力 2 21" xfId="8962"/>
    <cellStyle name="入力 2 21 2" xfId="10442"/>
    <cellStyle name="入力 2 21 3" xfId="9624"/>
    <cellStyle name="入力 2 22" xfId="8997"/>
    <cellStyle name="入力 2 22 2" xfId="10454"/>
    <cellStyle name="入力 2 3" xfId="3694"/>
    <cellStyle name="入力 2 3 2" xfId="8513"/>
    <cellStyle name="入力 2 3 2 2" xfId="9881"/>
    <cellStyle name="入力 2 3 2 3" xfId="10229"/>
    <cellStyle name="入力 2 3 2 4" xfId="9219"/>
    <cellStyle name="入力 2 3 3" xfId="9640"/>
    <cellStyle name="入力 2 3 4" xfId="9397"/>
    <cellStyle name="入力 2 3 5" xfId="10057"/>
    <cellStyle name="入力 2 3 6" xfId="9046"/>
    <cellStyle name="入力 2 4" xfId="3736"/>
    <cellStyle name="入力 2 4 2" xfId="8550"/>
    <cellStyle name="入力 2 4 2 2" xfId="9918"/>
    <cellStyle name="入力 2 4 2 3" xfId="10266"/>
    <cellStyle name="入力 2 4 2 4" xfId="9256"/>
    <cellStyle name="入力 2 4 3" xfId="9677"/>
    <cellStyle name="入力 2 4 4" xfId="9434"/>
    <cellStyle name="入力 2 4 5" xfId="10094"/>
    <cellStyle name="入力 2 4 6" xfId="9083"/>
    <cellStyle name="入力 2 5" xfId="3726"/>
    <cellStyle name="入力 2 5 2" xfId="8541"/>
    <cellStyle name="入力 2 5 2 2" xfId="9909"/>
    <cellStyle name="入力 2 5 2 3" xfId="10257"/>
    <cellStyle name="入力 2 5 2 4" xfId="9247"/>
    <cellStyle name="入力 2 5 3" xfId="9668"/>
    <cellStyle name="入力 2 5 4" xfId="9425"/>
    <cellStyle name="入力 2 5 5" xfId="10085"/>
    <cellStyle name="入力 2 5 6" xfId="9074"/>
    <cellStyle name="入力 2 6" xfId="3710"/>
    <cellStyle name="入力 2 6 2" xfId="8528"/>
    <cellStyle name="入力 2 6 2 2" xfId="9896"/>
    <cellStyle name="入力 2 6 2 3" xfId="10244"/>
    <cellStyle name="入力 2 6 2 4" xfId="9234"/>
    <cellStyle name="入力 2 6 3" xfId="9655"/>
    <cellStyle name="入力 2 6 4" xfId="9412"/>
    <cellStyle name="入力 2 6 5" xfId="10072"/>
    <cellStyle name="入力 2 6 6" xfId="9061"/>
    <cellStyle name="入力 2 7" xfId="3680"/>
    <cellStyle name="入力 2 7 2" xfId="8502"/>
    <cellStyle name="入力 2 7 2 2" xfId="9870"/>
    <cellStyle name="入力 2 7 2 3" xfId="10218"/>
    <cellStyle name="入力 2 7 2 4" xfId="9208"/>
    <cellStyle name="入力 2 7 3" xfId="9629"/>
    <cellStyle name="入力 2 7 4" xfId="9386"/>
    <cellStyle name="入力 2 7 5" xfId="10046"/>
    <cellStyle name="入力 2 7 6" xfId="9035"/>
    <cellStyle name="入力 2 8" xfId="392"/>
    <cellStyle name="入力 2 8 2" xfId="8471"/>
    <cellStyle name="入力 2 8 2 2" xfId="9865"/>
    <cellStyle name="入力 2 8 2 3" xfId="10213"/>
    <cellStyle name="入力 2 8 2 4" xfId="9203"/>
    <cellStyle name="入力 2 8 3" xfId="9598"/>
    <cellStyle name="入力 2 8 4" xfId="9383"/>
    <cellStyle name="入力 2 8 5" xfId="10045"/>
    <cellStyle name="入力 2 8 6" xfId="9031"/>
    <cellStyle name="入力 2 9" xfId="3723"/>
    <cellStyle name="入力 2 9 2" xfId="8540"/>
    <cellStyle name="入力 2 9 2 2" xfId="9908"/>
    <cellStyle name="入力 2 9 2 3" xfId="10256"/>
    <cellStyle name="入力 2 9 2 4" xfId="9246"/>
    <cellStyle name="入力 2 9 3" xfId="9667"/>
    <cellStyle name="入力 2 9 4" xfId="9424"/>
    <cellStyle name="入力 2 9 5" xfId="10084"/>
    <cellStyle name="入力 2 9 6" xfId="9073"/>
    <cellStyle name="入力 3" xfId="3742"/>
    <cellStyle name="入力 3 2" xfId="8556"/>
    <cellStyle name="入力 3 2 2" xfId="9924"/>
    <cellStyle name="入力 3 2 3" xfId="10272"/>
    <cellStyle name="入力 3 2 4" xfId="9262"/>
    <cellStyle name="入力 3 3" xfId="8918"/>
    <cellStyle name="入力 3 3 2" xfId="10429"/>
    <cellStyle name="入力 3 3 3" xfId="9683"/>
    <cellStyle name="入力 3 4" xfId="8963"/>
    <cellStyle name="入力 3 4 2" xfId="10443"/>
    <cellStyle name="入力 3 4 3" xfId="9440"/>
    <cellStyle name="入力 3 5" xfId="8998"/>
    <cellStyle name="入力 3 5 2" xfId="10455"/>
    <cellStyle name="入力 3 6" xfId="9013"/>
    <cellStyle name="入力 3 6 2" xfId="10469"/>
    <cellStyle name="入力 3 7" xfId="10100"/>
    <cellStyle name="入力 3 8" xfId="9089"/>
    <cellStyle name="入力 4" xfId="3688"/>
    <cellStyle name="入力 4 2" xfId="8508"/>
    <cellStyle name="入力 4 2 2" xfId="9876"/>
    <cellStyle name="入力 4 2 3" xfId="10224"/>
    <cellStyle name="入力 4 2 4" xfId="9214"/>
    <cellStyle name="入力 4 3" xfId="8919"/>
    <cellStyle name="入力 4 3 2" xfId="10430"/>
    <cellStyle name="入力 4 3 3" xfId="9635"/>
    <cellStyle name="入力 4 4" xfId="8964"/>
    <cellStyle name="入力 4 4 2" xfId="10444"/>
    <cellStyle name="入力 4 4 3" xfId="9392"/>
    <cellStyle name="入力 4 5" xfId="8999"/>
    <cellStyle name="入力 4 5 2" xfId="10456"/>
    <cellStyle name="入力 4 6" xfId="9014"/>
    <cellStyle name="入力 4 6 2" xfId="10470"/>
    <cellStyle name="入力 4 7" xfId="10052"/>
    <cellStyle name="入力 4 8" xfId="9041"/>
    <cellStyle name="入力 5" xfId="3683"/>
    <cellStyle name="入力 5 2" xfId="8504"/>
    <cellStyle name="入力 5 2 2" xfId="9872"/>
    <cellStyle name="入力 5 2 3" xfId="10220"/>
    <cellStyle name="入力 5 2 4" xfId="9210"/>
    <cellStyle name="入力 5 3" xfId="9631"/>
    <cellStyle name="入力 5 4" xfId="9388"/>
    <cellStyle name="入力 5 5" xfId="10048"/>
    <cellStyle name="入力 5 6" xfId="9037"/>
    <cellStyle name="入力 6" xfId="3682"/>
    <cellStyle name="入力 6 2" xfId="8503"/>
    <cellStyle name="入力 6 2 2" xfId="9871"/>
    <cellStyle name="入力 6 2 3" xfId="10219"/>
    <cellStyle name="入力 6 2 4" xfId="9209"/>
    <cellStyle name="入力 6 3" xfId="9630"/>
    <cellStyle name="入力 6 4" xfId="9387"/>
    <cellStyle name="入力 6 5" xfId="10047"/>
    <cellStyle name="入力 6 6" xfId="9036"/>
    <cellStyle name="入力 7" xfId="3692"/>
    <cellStyle name="入力 7 2" xfId="8511"/>
    <cellStyle name="入力 7 2 2" xfId="9879"/>
    <cellStyle name="入力 7 2 3" xfId="10227"/>
    <cellStyle name="入力 7 2 4" xfId="9217"/>
    <cellStyle name="入力 7 3" xfId="9638"/>
    <cellStyle name="入力 7 4" xfId="9395"/>
    <cellStyle name="入力 7 5" xfId="10055"/>
    <cellStyle name="入力 7 6" xfId="9044"/>
    <cellStyle name="入力 8" xfId="3732"/>
    <cellStyle name="入力 8 2" xfId="8546"/>
    <cellStyle name="入力 8 2 2" xfId="9914"/>
    <cellStyle name="入力 8 2 3" xfId="10262"/>
    <cellStyle name="入力 8 2 4" xfId="9252"/>
    <cellStyle name="入力 8 3" xfId="9673"/>
    <cellStyle name="入力 8 4" xfId="9430"/>
    <cellStyle name="入力 8 5" xfId="10090"/>
    <cellStyle name="入力 8 6" xfId="9079"/>
    <cellStyle name="入力 9" xfId="3868"/>
    <cellStyle name="入力 9 2" xfId="8672"/>
    <cellStyle name="入力 9 2 2" xfId="10001"/>
    <cellStyle name="入力 9 2 3" xfId="10349"/>
    <cellStyle name="入力 9 2 4" xfId="9339"/>
    <cellStyle name="入力 9 3" xfId="9799"/>
    <cellStyle name="入力 9 4" xfId="9517"/>
    <cellStyle name="入力 9 5" xfId="10177"/>
    <cellStyle name="入力 9 6" xfId="9166"/>
    <cellStyle name="標準_API_BLANK" xfId="369"/>
  </cellStyles>
  <dxfs count="2">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activefarming.org/node/6478#http://www.activefarming.org/node/6478" TargetMode="External"/></Relationships>
</file>

<file path=xl/drawings/drawing1.xml><?xml version="1.0" encoding="utf-8"?>
<xdr:wsDr xmlns:xdr="http://schemas.openxmlformats.org/drawingml/2006/spreadsheetDrawing" xmlns:a="http://schemas.openxmlformats.org/drawingml/2006/main">
  <xdr:twoCellAnchor>
    <xdr:from>
      <xdr:col>0</xdr:col>
      <xdr:colOff>238125</xdr:colOff>
      <xdr:row>60</xdr:row>
      <xdr:rowOff>123825</xdr:rowOff>
    </xdr:from>
    <xdr:to>
      <xdr:col>9</xdr:col>
      <xdr:colOff>495300</xdr:colOff>
      <xdr:row>72</xdr:row>
      <xdr:rowOff>95250</xdr:rowOff>
    </xdr:to>
    <xdr:sp macro="" textlink="">
      <xdr:nvSpPr>
        <xdr:cNvPr id="2" name="Rectangle 1"/>
        <xdr:cNvSpPr>
          <a:spLocks noChangeArrowheads="1"/>
        </xdr:cNvSpPr>
      </xdr:nvSpPr>
      <xdr:spPr bwMode="auto">
        <a:xfrm>
          <a:off x="238125" y="10048875"/>
          <a:ext cx="6238875" cy="1914525"/>
        </a:xfrm>
        <a:prstGeom prst="rect">
          <a:avLst/>
        </a:prstGeom>
        <a:solidFill>
          <a:srgbClr val="FFFFFF"/>
        </a:solidFill>
        <a:ln w="9525">
          <a:solidFill>
            <a:srgbClr val="000000"/>
          </a:solidFill>
          <a:miter lim="800000"/>
          <a:headEnd/>
          <a:tailEnd/>
        </a:ln>
      </xdr:spPr>
    </xdr:sp>
    <xdr:clientData/>
  </xdr:twoCellAnchor>
  <xdr:twoCellAnchor>
    <xdr:from>
      <xdr:col>1</xdr:col>
      <xdr:colOff>123825</xdr:colOff>
      <xdr:row>62</xdr:row>
      <xdr:rowOff>142875</xdr:rowOff>
    </xdr:from>
    <xdr:to>
      <xdr:col>7</xdr:col>
      <xdr:colOff>533400</xdr:colOff>
      <xdr:row>72</xdr:row>
      <xdr:rowOff>19050</xdr:rowOff>
    </xdr:to>
    <xdr:sp macro="" textlink="">
      <xdr:nvSpPr>
        <xdr:cNvPr id="3" name="Text Box 2"/>
        <xdr:cNvSpPr txBox="1">
          <a:spLocks noChangeArrowheads="1"/>
        </xdr:cNvSpPr>
      </xdr:nvSpPr>
      <xdr:spPr bwMode="auto">
        <a:xfrm>
          <a:off x="733425" y="10391775"/>
          <a:ext cx="4181475" cy="1495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Description: </a:t>
          </a:r>
        </a:p>
        <a:p>
          <a:pPr algn="l" rtl="0">
            <a:defRPr sz="1000"/>
          </a:pPr>
          <a:r>
            <a:rPr lang="en-US" sz="1000" b="0" i="0" strike="noStrike">
              <a:solidFill>
                <a:srgbClr val="000000"/>
              </a:solidFill>
              <a:latin typeface="Arial"/>
              <a:cs typeface="Arial"/>
            </a:rPr>
            <a:t>1998 Kenworth T800; 400 miles, empty weight 25,500 lbs, 525 hp, N14 Cummins, 18 speed, 17 aluminum east box, 20k and 40k, axles, 433 ratio, air ride, axle interlock, 240" wheel base, all aluminum wheels, all new tires, 2 steerable lift axles, new brakes, roll tarp, suspension updates, new S.S. drop visor, L.E.D. lights and S.S. trip, new bumper, paint light bar and more. Asking $67,900. Located in Eau Claire, WI. For more information, please call 715-833-0313 or 715-830-0031.</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0</xdr:col>
      <xdr:colOff>542925</xdr:colOff>
      <xdr:row>61</xdr:row>
      <xdr:rowOff>47625</xdr:rowOff>
    </xdr:from>
    <xdr:to>
      <xdr:col>9</xdr:col>
      <xdr:colOff>209550</xdr:colOff>
      <xdr:row>62</xdr:row>
      <xdr:rowOff>66675</xdr:rowOff>
    </xdr:to>
    <xdr:sp macro="" textlink="">
      <xdr:nvSpPr>
        <xdr:cNvPr id="4" name="Text Box 3">
          <a:hlinkClick xmlns:r="http://schemas.openxmlformats.org/officeDocument/2006/relationships" r:id="rId1"/>
        </xdr:cNvPr>
        <xdr:cNvSpPr txBox="1">
          <a:spLocks noChangeArrowheads="1"/>
        </xdr:cNvSpPr>
      </xdr:nvSpPr>
      <xdr:spPr bwMode="auto">
        <a:xfrm>
          <a:off x="542925" y="10134600"/>
          <a:ext cx="5648325"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http://www.activefarming.org/node/6478</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wtf1fp001\AQES\Documents%20and%20Settings\mraab\Local%20Settings\Temporary%20Internet%20Files\OLK17D\My%20Documents\Projects\Duke%20-%202355\Duke%20Kaufman%20-%202355016\Old%20Kaufman%20Emiss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CO/E&amp;P%20MACT%20(includes%20HAPs)/HCLIQTN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CO/BRF/Lone%20Creek%20Gas%20Analys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ekdm33/Box%20Sync/CPAI_GMT2_NEPA/400-Technical/Emissions%20Inventory/A_Roaded%20Year-Round%20Drilling%20(Proposed%20Action)/GMT1_Drilling_Inventory_Emissions_20_SEP_20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lekdm33/Box%20Sync/CPAI_GMT2_NEPA/400-Technical/Emissions%20Inventory/A_Roaded%20Year-Round%20Drilling%20(Proposed%20Action)/GMT2_Construction_Equipment_Emissions_Ver1-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kdm33/Box%20Sync/CPAI_GMT2_NEPA/400-Technical/Emissions%20Inventory/A_Roaded%20Year-Round%20Drilling%20(Proposed%20Action)/GMT1_Construction_Equipment_Emissions_22_SEP_20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laskaLNG%20Marine%20Emissions%20Inventory_07-20-16%20BLACKERT%20FLEE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lekdm33/Box%20Sync/Alaska_LNG_GTP/Input%20Data%20GTP/GTP%20Mobile%20Source%20Emiss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aust Flow Comparison"/>
      <sheetName val="Exhaust Flow Chart"/>
      <sheetName val="CTG Hourly Emissions"/>
      <sheetName val="CTG Concentration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I RVP"/>
      <sheetName val="HC Liquid Tank Data"/>
      <sheetName val="FS2&amp;3 Vapor Composition"/>
      <sheetName val="temp"/>
      <sheetName val="CPF-1 DT Vapor Composition"/>
      <sheetName val="CPF2 PFD"/>
      <sheetName val="CPF-1 DT Liquid Composition"/>
      <sheetName val="GRI GLYCalc 3.0 Inputs"/>
      <sheetName val="PBU Crude Composition"/>
      <sheetName val="NSPS Tanks"/>
      <sheetName val="E&amp;PTANK Data"/>
      <sheetName val="CPF1 V-B Calculatio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ing Emissions @ 5"/>
      <sheetName val="Venting Emissions @ 2"/>
      <sheetName val="cyl 3040"/>
      <sheetName val="cyl 3042"/>
      <sheetName val="Venting Emission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5 PTE"/>
      <sheetName val="NOx"/>
      <sheetName val="CO"/>
      <sheetName val="SO2"/>
      <sheetName val="Modeling - Load Revisions"/>
      <sheetName val="PM10"/>
      <sheetName val="PM2.5"/>
      <sheetName val="VOC"/>
      <sheetName val="CO2e"/>
      <sheetName val="Support Equip Calcs"/>
      <sheetName val="DOYON 141 Emission Units"/>
      <sheetName val="DOYON 19 Emission Units"/>
      <sheetName val="Rig Camp Generator"/>
      <sheetName val="GHG Emission Factors"/>
      <sheetName val="Constants"/>
      <sheetName val="Cat 3512C DITA"/>
      <sheetName val="CAT 3512C Vendor Sheet"/>
      <sheetName val="Support Input Data"/>
      <sheetName val="Support Equip Inven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D2">
            <v>7000</v>
          </cell>
        </row>
        <row r="3">
          <cell r="D3">
            <v>9387</v>
          </cell>
        </row>
        <row r="4">
          <cell r="D4">
            <v>3.3472000000000002E-2</v>
          </cell>
        </row>
        <row r="5">
          <cell r="D5">
            <v>0.95</v>
          </cell>
        </row>
        <row r="6">
          <cell r="D6">
            <v>0.8</v>
          </cell>
        </row>
        <row r="9">
          <cell r="D9">
            <v>129653</v>
          </cell>
        </row>
        <row r="10">
          <cell r="D10">
            <v>121670</v>
          </cell>
        </row>
        <row r="14">
          <cell r="D14">
            <v>0.11</v>
          </cell>
        </row>
      </sheetData>
      <sheetData sheetId="18" refreshError="1">
        <row r="2">
          <cell r="B2" t="str">
            <v>Support Equipment</v>
          </cell>
          <cell r="C2">
            <v>0</v>
          </cell>
          <cell r="D2">
            <v>0</v>
          </cell>
        </row>
        <row r="3">
          <cell r="B3" t="str">
            <v>Equipment</v>
          </cell>
          <cell r="C3" t="str">
            <v>Design
Rating</v>
          </cell>
          <cell r="D3">
            <v>0</v>
          </cell>
        </row>
        <row r="4">
          <cell r="B4">
            <v>0</v>
          </cell>
          <cell r="C4">
            <v>0</v>
          </cell>
          <cell r="D4">
            <v>0</v>
          </cell>
        </row>
        <row r="5">
          <cell r="B5" t="str">
            <v>Cat D3412</v>
          </cell>
          <cell r="C5">
            <v>500</v>
          </cell>
          <cell r="D5" t="str">
            <v>kW</v>
          </cell>
        </row>
        <row r="6">
          <cell r="B6" t="str">
            <v>Cat D3412</v>
          </cell>
          <cell r="C6">
            <v>500</v>
          </cell>
          <cell r="D6" t="str">
            <v>kW</v>
          </cell>
        </row>
        <row r="7">
          <cell r="B7" t="str">
            <v>Lighting Engine</v>
          </cell>
          <cell r="C7">
            <v>11</v>
          </cell>
          <cell r="D7" t="str">
            <v>bhp</v>
          </cell>
        </row>
        <row r="8">
          <cell r="B8" t="str">
            <v>Lighting Engine</v>
          </cell>
          <cell r="C8">
            <v>11</v>
          </cell>
          <cell r="D8" t="str">
            <v>bhp</v>
          </cell>
        </row>
        <row r="9">
          <cell r="B9" t="str">
            <v>Lighting Engine</v>
          </cell>
          <cell r="C9">
            <v>11</v>
          </cell>
          <cell r="D9" t="str">
            <v>bhp</v>
          </cell>
        </row>
        <row r="10">
          <cell r="B10" t="str">
            <v>Lighting Engine</v>
          </cell>
          <cell r="C10">
            <v>11</v>
          </cell>
          <cell r="D10" t="str">
            <v>bhp</v>
          </cell>
        </row>
        <row r="11">
          <cell r="B11" t="str">
            <v>Lighting Engine</v>
          </cell>
          <cell r="C11">
            <v>11</v>
          </cell>
          <cell r="D11" t="str">
            <v>bhp</v>
          </cell>
        </row>
        <row r="12">
          <cell r="B12" t="str">
            <v>Lighting Engine</v>
          </cell>
          <cell r="C12">
            <v>11</v>
          </cell>
          <cell r="D12" t="str">
            <v>bhp</v>
          </cell>
        </row>
        <row r="13">
          <cell r="B13" t="str">
            <v>Lighting Engine</v>
          </cell>
          <cell r="C13">
            <v>11</v>
          </cell>
          <cell r="D13" t="str">
            <v>bhp</v>
          </cell>
        </row>
        <row r="14">
          <cell r="B14" t="str">
            <v>Lighting Engine</v>
          </cell>
          <cell r="C14">
            <v>11</v>
          </cell>
          <cell r="D14" t="str">
            <v>bhp</v>
          </cell>
        </row>
        <row r="15">
          <cell r="B15" t="str">
            <v>Lighting Engine</v>
          </cell>
          <cell r="C15">
            <v>11</v>
          </cell>
          <cell r="D15" t="str">
            <v>bhp</v>
          </cell>
        </row>
        <row r="16">
          <cell r="B16" t="str">
            <v>Lighting Engine</v>
          </cell>
          <cell r="C16">
            <v>11</v>
          </cell>
          <cell r="D16" t="str">
            <v>bhp</v>
          </cell>
        </row>
        <row r="17">
          <cell r="B17" t="str">
            <v>Snow Melter</v>
          </cell>
          <cell r="C17">
            <v>8.8000000000000007</v>
          </cell>
          <cell r="D17" t="str">
            <v>MMBtu/hr</v>
          </cell>
        </row>
        <row r="18">
          <cell r="B18" t="str">
            <v>Portable Heater</v>
          </cell>
          <cell r="C18">
            <v>0.2</v>
          </cell>
          <cell r="D18" t="str">
            <v>MMBtu/hr</v>
          </cell>
        </row>
        <row r="19">
          <cell r="B19" t="str">
            <v>Portable Heater</v>
          </cell>
          <cell r="C19">
            <v>0.2</v>
          </cell>
          <cell r="D19" t="str">
            <v>MMBtu/hr</v>
          </cell>
        </row>
        <row r="20">
          <cell r="B20" t="str">
            <v>Portable Heater</v>
          </cell>
          <cell r="C20">
            <v>0.2</v>
          </cell>
          <cell r="D20" t="str">
            <v>MMBtu/hr</v>
          </cell>
        </row>
        <row r="21">
          <cell r="B21" t="str">
            <v>Portable Heater</v>
          </cell>
          <cell r="C21">
            <v>0.2</v>
          </cell>
          <cell r="D21" t="str">
            <v>MMBtu/hr</v>
          </cell>
        </row>
        <row r="22">
          <cell r="B22" t="str">
            <v>Portable Heater</v>
          </cell>
          <cell r="C22">
            <v>0.2</v>
          </cell>
          <cell r="D22" t="str">
            <v>MMBtu/hr</v>
          </cell>
        </row>
        <row r="23">
          <cell r="B23" t="str">
            <v>Portable Welder or Compressor Engine</v>
          </cell>
          <cell r="C23">
            <v>60</v>
          </cell>
          <cell r="D23" t="str">
            <v>bhp</v>
          </cell>
        </row>
        <row r="24">
          <cell r="B24" t="str">
            <v>Portable Welder or Compressor Engine</v>
          </cell>
          <cell r="C24">
            <v>60</v>
          </cell>
          <cell r="D24" t="str">
            <v>bhp</v>
          </cell>
        </row>
        <row r="25">
          <cell r="B25" t="str">
            <v>Portable Power Generator</v>
          </cell>
          <cell r="C25">
            <v>50</v>
          </cell>
          <cell r="D25" t="str">
            <v>kW</v>
          </cell>
        </row>
        <row r="26">
          <cell r="B26">
            <v>0</v>
          </cell>
          <cell r="C26">
            <v>0</v>
          </cell>
          <cell r="D26">
            <v>0</v>
          </cell>
        </row>
        <row r="27">
          <cell r="B27">
            <v>0</v>
          </cell>
          <cell r="C27">
            <v>0</v>
          </cell>
          <cell r="D27">
            <v>0</v>
          </cell>
        </row>
        <row r="28">
          <cell r="B28">
            <v>0</v>
          </cell>
          <cell r="C28">
            <v>0</v>
          </cell>
          <cell r="D28">
            <v>0</v>
          </cell>
        </row>
        <row r="29">
          <cell r="B29">
            <v>0</v>
          </cell>
          <cell r="C29">
            <v>0</v>
          </cell>
          <cell r="D29">
            <v>0</v>
          </cell>
        </row>
        <row r="30">
          <cell r="B30">
            <v>0</v>
          </cell>
          <cell r="C30">
            <v>0</v>
          </cell>
          <cell r="D30">
            <v>0</v>
          </cell>
        </row>
        <row r="31">
          <cell r="B31">
            <v>0</v>
          </cell>
          <cell r="C31">
            <v>0</v>
          </cell>
          <cell r="D31">
            <v>0</v>
          </cell>
        </row>
        <row r="32">
          <cell r="B32">
            <v>0</v>
          </cell>
          <cell r="C32">
            <v>0</v>
          </cell>
          <cell r="D32">
            <v>0</v>
          </cell>
        </row>
        <row r="33">
          <cell r="B33">
            <v>0</v>
          </cell>
          <cell r="C33">
            <v>0</v>
          </cell>
          <cell r="D33">
            <v>0</v>
          </cell>
        </row>
        <row r="34">
          <cell r="B34">
            <v>0</v>
          </cell>
          <cell r="C34">
            <v>0</v>
          </cell>
          <cell r="D34">
            <v>0</v>
          </cell>
        </row>
        <row r="35">
          <cell r="B35">
            <v>0</v>
          </cell>
          <cell r="C35">
            <v>0</v>
          </cell>
          <cell r="D35">
            <v>0</v>
          </cell>
        </row>
        <row r="36">
          <cell r="B36">
            <v>0</v>
          </cell>
          <cell r="C36">
            <v>0</v>
          </cell>
          <cell r="D36">
            <v>0</v>
          </cell>
        </row>
        <row r="37">
          <cell r="B37">
            <v>0</v>
          </cell>
          <cell r="C37">
            <v>0</v>
          </cell>
          <cell r="D37">
            <v>0</v>
          </cell>
        </row>
        <row r="38">
          <cell r="B38">
            <v>0</v>
          </cell>
          <cell r="C38">
            <v>0</v>
          </cell>
          <cell r="D38">
            <v>0</v>
          </cell>
        </row>
        <row r="39">
          <cell r="B39">
            <v>0</v>
          </cell>
          <cell r="C39">
            <v>0</v>
          </cell>
          <cell r="D39">
            <v>0</v>
          </cell>
        </row>
        <row r="40">
          <cell r="B40">
            <v>0</v>
          </cell>
          <cell r="C40">
            <v>0</v>
          </cell>
          <cell r="D40">
            <v>0</v>
          </cell>
        </row>
        <row r="41">
          <cell r="B41">
            <v>0</v>
          </cell>
          <cell r="C41">
            <v>0</v>
          </cell>
          <cell r="D41">
            <v>0</v>
          </cell>
        </row>
        <row r="42">
          <cell r="B42">
            <v>0</v>
          </cell>
          <cell r="C42">
            <v>0</v>
          </cell>
          <cell r="D42">
            <v>0</v>
          </cell>
        </row>
        <row r="43">
          <cell r="B43">
            <v>0</v>
          </cell>
          <cell r="C43">
            <v>0</v>
          </cell>
          <cell r="D43">
            <v>0</v>
          </cell>
        </row>
        <row r="44">
          <cell r="B44">
            <v>0</v>
          </cell>
          <cell r="C44">
            <v>0</v>
          </cell>
          <cell r="D44">
            <v>0</v>
          </cell>
        </row>
        <row r="45">
          <cell r="B45">
            <v>0</v>
          </cell>
          <cell r="C45">
            <v>0</v>
          </cell>
          <cell r="D45">
            <v>0</v>
          </cell>
        </row>
        <row r="46">
          <cell r="B46">
            <v>0</v>
          </cell>
          <cell r="C46">
            <v>0</v>
          </cell>
          <cell r="D46">
            <v>0</v>
          </cell>
        </row>
        <row r="47">
          <cell r="B47">
            <v>0</v>
          </cell>
          <cell r="C47">
            <v>0</v>
          </cell>
          <cell r="D47">
            <v>0</v>
          </cell>
        </row>
        <row r="48">
          <cell r="B48">
            <v>0</v>
          </cell>
          <cell r="C48">
            <v>0</v>
          </cell>
          <cell r="D48">
            <v>0</v>
          </cell>
        </row>
        <row r="49">
          <cell r="B49">
            <v>0</v>
          </cell>
          <cell r="C49">
            <v>0</v>
          </cell>
          <cell r="D49">
            <v>0</v>
          </cell>
        </row>
        <row r="50">
          <cell r="B50">
            <v>0</v>
          </cell>
          <cell r="C50">
            <v>0</v>
          </cell>
          <cell r="D50">
            <v>0</v>
          </cell>
        </row>
        <row r="51">
          <cell r="B51">
            <v>0</v>
          </cell>
          <cell r="C51">
            <v>0</v>
          </cell>
          <cell r="D51">
            <v>0</v>
          </cell>
        </row>
        <row r="52">
          <cell r="B52">
            <v>0</v>
          </cell>
          <cell r="C52">
            <v>0</v>
          </cell>
          <cell r="D52">
            <v>0</v>
          </cell>
        </row>
        <row r="53">
          <cell r="B53">
            <v>0</v>
          </cell>
          <cell r="C53">
            <v>0</v>
          </cell>
          <cell r="D53">
            <v>0</v>
          </cell>
        </row>
        <row r="54">
          <cell r="B54">
            <v>0</v>
          </cell>
          <cell r="C54">
            <v>0</v>
          </cell>
          <cell r="D54">
            <v>0</v>
          </cell>
        </row>
        <row r="55">
          <cell r="B55">
            <v>0</v>
          </cell>
          <cell r="C55">
            <v>0</v>
          </cell>
          <cell r="D55">
            <v>0</v>
          </cell>
        </row>
        <row r="56">
          <cell r="B56">
            <v>0</v>
          </cell>
          <cell r="C56">
            <v>0</v>
          </cell>
          <cell r="D56">
            <v>0</v>
          </cell>
        </row>
        <row r="57">
          <cell r="B57">
            <v>0</v>
          </cell>
          <cell r="C57">
            <v>0</v>
          </cell>
          <cell r="D57">
            <v>0</v>
          </cell>
        </row>
        <row r="58">
          <cell r="B58">
            <v>0</v>
          </cell>
          <cell r="C58">
            <v>0</v>
          </cell>
          <cell r="D58">
            <v>0</v>
          </cell>
        </row>
        <row r="59">
          <cell r="B59">
            <v>0</v>
          </cell>
          <cell r="C59">
            <v>0</v>
          </cell>
          <cell r="D59">
            <v>0</v>
          </cell>
        </row>
        <row r="60">
          <cell r="B60">
            <v>0</v>
          </cell>
          <cell r="C60">
            <v>0</v>
          </cell>
          <cell r="D60">
            <v>0</v>
          </cell>
        </row>
        <row r="61">
          <cell r="B61">
            <v>0</v>
          </cell>
          <cell r="C61">
            <v>0</v>
          </cell>
          <cell r="D61">
            <v>0</v>
          </cell>
        </row>
        <row r="62">
          <cell r="B62">
            <v>0</v>
          </cell>
          <cell r="C62">
            <v>0</v>
          </cell>
          <cell r="D62">
            <v>0</v>
          </cell>
        </row>
        <row r="63">
          <cell r="B63">
            <v>0</v>
          </cell>
          <cell r="C63">
            <v>0</v>
          </cell>
          <cell r="D63">
            <v>0</v>
          </cell>
        </row>
        <row r="64">
          <cell r="B64">
            <v>0</v>
          </cell>
          <cell r="C64">
            <v>0</v>
          </cell>
          <cell r="D64">
            <v>0</v>
          </cell>
        </row>
        <row r="65">
          <cell r="B65">
            <v>0</v>
          </cell>
          <cell r="C65">
            <v>0</v>
          </cell>
          <cell r="D65">
            <v>0</v>
          </cell>
        </row>
        <row r="66">
          <cell r="B66">
            <v>0</v>
          </cell>
          <cell r="C66">
            <v>0</v>
          </cell>
          <cell r="D66">
            <v>0</v>
          </cell>
        </row>
        <row r="67">
          <cell r="B67">
            <v>0</v>
          </cell>
          <cell r="C67">
            <v>0</v>
          </cell>
          <cell r="D67">
            <v>0</v>
          </cell>
        </row>
        <row r="68">
          <cell r="B68">
            <v>0</v>
          </cell>
          <cell r="C68">
            <v>0</v>
          </cell>
          <cell r="D68">
            <v>0</v>
          </cell>
        </row>
        <row r="69">
          <cell r="B69">
            <v>0</v>
          </cell>
          <cell r="C69">
            <v>0</v>
          </cell>
          <cell r="D69">
            <v>0</v>
          </cell>
        </row>
        <row r="70">
          <cell r="B70">
            <v>0</v>
          </cell>
          <cell r="C70">
            <v>0</v>
          </cell>
          <cell r="D70">
            <v>0</v>
          </cell>
        </row>
        <row r="71">
          <cell r="B71">
            <v>0</v>
          </cell>
          <cell r="C71">
            <v>0</v>
          </cell>
          <cell r="D71">
            <v>0</v>
          </cell>
        </row>
        <row r="72">
          <cell r="B72">
            <v>0</v>
          </cell>
          <cell r="C72">
            <v>0</v>
          </cell>
          <cell r="D72">
            <v>0</v>
          </cell>
        </row>
        <row r="73">
          <cell r="B73">
            <v>0</v>
          </cell>
          <cell r="C73">
            <v>0</v>
          </cell>
          <cell r="D73">
            <v>0</v>
          </cell>
        </row>
        <row r="74">
          <cell r="B74">
            <v>0</v>
          </cell>
          <cell r="C74">
            <v>0</v>
          </cell>
          <cell r="D74">
            <v>0</v>
          </cell>
        </row>
        <row r="75">
          <cell r="B75">
            <v>0</v>
          </cell>
          <cell r="C75">
            <v>0</v>
          </cell>
          <cell r="D75">
            <v>0</v>
          </cell>
        </row>
        <row r="76">
          <cell r="B76">
            <v>0</v>
          </cell>
          <cell r="C76">
            <v>0</v>
          </cell>
          <cell r="D76">
            <v>0</v>
          </cell>
        </row>
        <row r="77">
          <cell r="B77">
            <v>0</v>
          </cell>
          <cell r="C77">
            <v>0</v>
          </cell>
          <cell r="D77">
            <v>0</v>
          </cell>
        </row>
        <row r="78">
          <cell r="B78">
            <v>0</v>
          </cell>
          <cell r="C78">
            <v>0</v>
          </cell>
          <cell r="D78">
            <v>0</v>
          </cell>
        </row>
        <row r="79">
          <cell r="B79">
            <v>0</v>
          </cell>
          <cell r="C79">
            <v>0</v>
          </cell>
          <cell r="D79">
            <v>0</v>
          </cell>
        </row>
        <row r="80">
          <cell r="B80">
            <v>0</v>
          </cell>
          <cell r="C80">
            <v>0</v>
          </cell>
          <cell r="D80">
            <v>0</v>
          </cell>
        </row>
        <row r="81">
          <cell r="B81">
            <v>0</v>
          </cell>
          <cell r="C81">
            <v>0</v>
          </cell>
          <cell r="D81">
            <v>0</v>
          </cell>
        </row>
        <row r="82">
          <cell r="B82">
            <v>0</v>
          </cell>
          <cell r="C82">
            <v>0</v>
          </cell>
          <cell r="D82">
            <v>0</v>
          </cell>
        </row>
        <row r="83">
          <cell r="B83">
            <v>0</v>
          </cell>
          <cell r="C83">
            <v>0</v>
          </cell>
          <cell r="D83">
            <v>0</v>
          </cell>
        </row>
        <row r="84">
          <cell r="B84">
            <v>0</v>
          </cell>
          <cell r="C84">
            <v>0</v>
          </cell>
          <cell r="D8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Original"/>
      <sheetName val="Revisions"/>
      <sheetName val="Source Data Revised"/>
      <sheetName val="Source Data With Multipliers"/>
      <sheetName val="Hours per Day-Month-Year"/>
      <sheetName val="GMT1 and GMT2 Comparison"/>
      <sheetName val="NOx (2)"/>
      <sheetName val="CO (2)"/>
      <sheetName val="SO2 (2)"/>
      <sheetName val="PM10 (2)"/>
      <sheetName val="PM2.5 (2)"/>
      <sheetName val="VOC (2)"/>
      <sheetName val="HAPS (2)"/>
      <sheetName val="CO2e (2)"/>
      <sheetName val="NR NOx lb per hr"/>
      <sheetName val="NR CO lb per hr"/>
      <sheetName val="NR VOC lb per hr"/>
      <sheetName val="NR SO2 lb per hr"/>
      <sheetName val="NR PM10 lb per hr"/>
      <sheetName val="NR PM2.5 lb per hr"/>
      <sheetName val="NR NOx avg lb per hr"/>
      <sheetName val="NR CO avg lb per hr"/>
      <sheetName val="NR VOC avg lb per hr"/>
      <sheetName val="NR SO2 avg lb per hr"/>
      <sheetName val="NR PM10 avg lb per hr"/>
      <sheetName val="NR PM2.5 avg lb per hr"/>
      <sheetName val="NR NOx tpy"/>
      <sheetName val="NR CO tpy"/>
      <sheetName val="NR VOC tpy"/>
      <sheetName val="NR SO2 tpy"/>
      <sheetName val="NR PM10 tpy"/>
      <sheetName val="NR PM2.5 tpy"/>
      <sheetName val="NR HAPs tpy"/>
      <sheetName val="NR HAPs tpm"/>
      <sheetName val="NR GHG tpy"/>
      <sheetName val="OR NOx lb per hour"/>
      <sheetName val="OR CO lb per hour"/>
      <sheetName val="OR VOC lb per hour"/>
      <sheetName val="OR SO2 lb per hour"/>
      <sheetName val="OR PM10 lb per hour"/>
      <sheetName val="OR PM2.5 lb per hour"/>
      <sheetName val="OR NOx avg lb per hour"/>
      <sheetName val="OR CO avg lb per hour"/>
      <sheetName val="OR VOC avg lb per hour"/>
      <sheetName val="OR SO2 avg lb per hour"/>
      <sheetName val="OR PM10 avg lb per hour"/>
      <sheetName val="OR PM2.5 avg lb per hour"/>
      <sheetName val="OR NOx tpy"/>
      <sheetName val="OR CO tpy"/>
      <sheetName val="OR VOC tpy"/>
      <sheetName val="OR SO2 tpy"/>
      <sheetName val="OR PM10 tpy"/>
      <sheetName val="OR PM2.5 tpy"/>
      <sheetName val="OR GHG tpy"/>
      <sheetName val="OR HAPs tpy"/>
      <sheetName val="Heater-Engine NOx"/>
      <sheetName val="Heater-Engine CO"/>
      <sheetName val="Heater-Engine VOC"/>
      <sheetName val="Heater-Engine SO2"/>
      <sheetName val="Heater-Engine PM10"/>
      <sheetName val="Heater-Engine PM2.5"/>
      <sheetName val="TAF-LF"/>
      <sheetName val="CO"/>
      <sheetName val="PM"/>
      <sheetName val="THC"/>
      <sheetName val="NOx"/>
      <sheetName val="BSFC"/>
      <sheetName val="Median Life"/>
      <sheetName val="A Coeff"/>
      <sheetName val="Heater-Engine GHG HAPs"/>
      <sheetName val="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5">
          <cell r="D15">
            <v>0.151</v>
          </cell>
          <cell r="E15">
            <v>8.0000000000000002E-3</v>
          </cell>
          <cell r="F15">
            <v>0.47299999999999998</v>
          </cell>
          <cell r="G15">
            <v>2.7E-2</v>
          </cell>
        </row>
      </sheetData>
      <sheetData sheetId="69"/>
      <sheetData sheetId="7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sheetName val="Hours per Day-Month-Year"/>
      <sheetName val="NR NOx lb per hr"/>
      <sheetName val="NR CO lb per hr"/>
      <sheetName val="NR VOC lb per hr"/>
      <sheetName val="NR SO2 lb per hr"/>
      <sheetName val="NR PM10 lb per hr"/>
      <sheetName val="NR PM2.5 lb per hr"/>
      <sheetName val="NR NOx avg lb per hr"/>
      <sheetName val="NR CO avg lb per hr"/>
      <sheetName val="NR VOC avg lb per hr"/>
      <sheetName val="NR SO2 avg lb per hr"/>
      <sheetName val="NR PM10 avg lb per hr"/>
      <sheetName val="NR PM2.5 avg lb per hr"/>
      <sheetName val="NOx (2)"/>
      <sheetName val="CO (2)"/>
      <sheetName val="SO2 (2)"/>
      <sheetName val="PM10 (2)"/>
      <sheetName val="PM2.5 (2)"/>
      <sheetName val="VOC (2)"/>
      <sheetName val="HAPS (2)"/>
      <sheetName val="CO2e (2)"/>
      <sheetName val="NR NOx tpy"/>
      <sheetName val="NR CO tpy"/>
      <sheetName val="NR VOC tpy"/>
      <sheetName val="NR SO2 tpy"/>
      <sheetName val="NR PM10 tpy"/>
      <sheetName val="NR PM2.5 tpy"/>
      <sheetName val="NR HAPs tpy"/>
      <sheetName val="NR GHG tpy"/>
      <sheetName val="OR NOx lb per hour"/>
      <sheetName val="OR CO lb per hour"/>
      <sheetName val="OR VOC lb per hour"/>
      <sheetName val="OR SO2 lb per hour"/>
      <sheetName val="OR PM10 lb per hour"/>
      <sheetName val="OR PM2.5 lb per hour"/>
      <sheetName val="OR NOx avg lb per hour"/>
      <sheetName val="OR CO avg lb per hour"/>
      <sheetName val="OR VOC avg lb per hour"/>
      <sheetName val="OR SO2 avg lb per hour"/>
      <sheetName val="OR PM10 avg lb per hour"/>
      <sheetName val="OR PM2.5 avg lb per hour"/>
      <sheetName val="OR NOx tpy"/>
      <sheetName val="OR CO tpy"/>
      <sheetName val="OR VOC tpy"/>
      <sheetName val="OR SO2 tpy"/>
      <sheetName val="OR PM10 tpy"/>
      <sheetName val="OR PM2.5 tpy"/>
      <sheetName val="OR GHG tpy"/>
      <sheetName val="OR HAPs tpy"/>
      <sheetName val="Heater-Engine NOx"/>
      <sheetName val="Heater-Engine CO"/>
      <sheetName val="Heater-Engine VOC"/>
      <sheetName val="Heater-Engine SO2"/>
      <sheetName val="Heater-Engine PM10"/>
      <sheetName val="Heater-Engine PM2.5"/>
      <sheetName val="Heater-Engine GHG HAPs"/>
      <sheetName val="TAF-LF"/>
      <sheetName val="CO"/>
      <sheetName val="PM"/>
      <sheetName val="THC"/>
      <sheetName val="NOx"/>
      <sheetName val="BSFC"/>
      <sheetName val="Median Life"/>
      <sheetName val="A Coeff"/>
      <sheetName val="Rig Camp Generator"/>
      <sheetName val="Airport Emissions"/>
      <sheetName val="EDMS Raw Reports"/>
      <sheetName val="Blas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row r="15">
          <cell r="D15">
            <v>0.151</v>
          </cell>
          <cell r="E15">
            <v>8.0000000000000002E-3</v>
          </cell>
          <cell r="F15">
            <v>0.47299999999999998</v>
          </cell>
          <cell r="G15">
            <v>2.7E-2</v>
          </cell>
        </row>
      </sheetData>
      <sheetData sheetId="65" refreshError="1"/>
      <sheetData sheetId="66" refreshError="1"/>
      <sheetData sheetId="67" refreshError="1"/>
      <sheetData sheetId="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low Chart"/>
      <sheetName val="Internal Revision"/>
      <sheetName val="Issues"/>
      <sheetName val="Operation Summary"/>
      <sheetName val="Emissions Summary"/>
      <sheetName val="1-Ship State Waters"/>
      <sheetName val="2-Ship Near Terminal"/>
      <sheetName val="Summary for Modeling-2Ship"/>
      <sheetName val="Assumptions"/>
      <sheetName val="Low Load Adjustment"/>
      <sheetName val="ICE Fleeting"/>
      <sheetName val="IC Engine Category"/>
      <sheetName val="ICE Emission Factors"/>
      <sheetName val="AQRV Speciation"/>
      <sheetName val="Main Engines IC - Normal"/>
      <sheetName val="Main Engines S - Normal"/>
      <sheetName val="Main Engines IC - Warm"/>
      <sheetName val="Main Engines S - Warm"/>
      <sheetName val="Carrier Tugs - Normal NO ICE"/>
      <sheetName val="Carrier Tugs - Warm NO ICE"/>
      <sheetName val="Carrier Tugs - Normal ICE"/>
      <sheetName val="Carrier Tugs - Warm ICE"/>
      <sheetName val="Crew Boat"/>
      <sheetName val="Supply Boat"/>
      <sheetName val="Fuel Consumption"/>
    </sheetNames>
    <sheetDataSet>
      <sheetData sheetId="0"/>
      <sheetData sheetId="1"/>
      <sheetData sheetId="2"/>
      <sheetData sheetId="3"/>
      <sheetData sheetId="4"/>
      <sheetData sheetId="5">
        <row r="8">
          <cell r="J8">
            <v>279.30929572962589</v>
          </cell>
        </row>
        <row r="9">
          <cell r="J9">
            <v>457.69162624562762</v>
          </cell>
        </row>
        <row r="10">
          <cell r="J10">
            <v>59.174650282654945</v>
          </cell>
        </row>
        <row r="11">
          <cell r="J11">
            <v>13.326532199890202</v>
          </cell>
        </row>
        <row r="12">
          <cell r="J12">
            <v>12.257327442636374</v>
          </cell>
        </row>
        <row r="13">
          <cell r="J13">
            <v>18.283605218931971</v>
          </cell>
        </row>
        <row r="15">
          <cell r="J15">
            <v>0.30566101621786856</v>
          </cell>
        </row>
        <row r="19">
          <cell r="J19">
            <v>379.59283477458047</v>
          </cell>
        </row>
        <row r="20">
          <cell r="J20">
            <v>630.3830592285251</v>
          </cell>
        </row>
        <row r="21">
          <cell r="J21">
            <v>116.58160964624815</v>
          </cell>
        </row>
        <row r="22">
          <cell r="J22">
            <v>14.012317395855819</v>
          </cell>
        </row>
        <row r="23">
          <cell r="J23">
            <v>12.975645079994786</v>
          </cell>
        </row>
        <row r="24">
          <cell r="J24">
            <v>1.1740993348412458</v>
          </cell>
        </row>
        <row r="25">
          <cell r="J25">
            <v>81247.804895886235</v>
          </cell>
        </row>
        <row r="26">
          <cell r="J26">
            <v>0.32663816043094951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Onsite Opper. Eqt and Vehic"/>
      <sheetName val="Mobile Eqt and Vehic"/>
      <sheetName val="Mobile Trip Assumptions"/>
      <sheetName val="Mobile Emissions"/>
      <sheetName val="Non-Road Emissions"/>
      <sheetName val="NOx"/>
      <sheetName val="CO"/>
      <sheetName val="PM"/>
      <sheetName val="THC"/>
      <sheetName val="BSFC"/>
      <sheetName val="TAF-LF"/>
      <sheetName val="Heater-Engine"/>
    </sheetNames>
    <sheetDataSet>
      <sheetData sheetId="0"/>
      <sheetData sheetId="1"/>
      <sheetData sheetId="2"/>
      <sheetData sheetId="3"/>
      <sheetData sheetId="4"/>
      <sheetData sheetId="5"/>
      <sheetData sheetId="6">
        <row r="3">
          <cell r="B3" t="str">
            <v>SCC</v>
          </cell>
        </row>
      </sheetData>
      <sheetData sheetId="7">
        <row r="3">
          <cell r="B3" t="str">
            <v>SCC</v>
          </cell>
        </row>
      </sheetData>
      <sheetData sheetId="8">
        <row r="3">
          <cell r="B3" t="str">
            <v>SCC</v>
          </cell>
        </row>
      </sheetData>
      <sheetData sheetId="9">
        <row r="3">
          <cell r="B3" t="str">
            <v>SCC</v>
          </cell>
        </row>
      </sheetData>
      <sheetData sheetId="10">
        <row r="3">
          <cell r="B3" t="str">
            <v>SCC</v>
          </cell>
        </row>
      </sheetData>
      <sheetData sheetId="11">
        <row r="2">
          <cell r="B2" t="str">
            <v>SCC Code</v>
          </cell>
          <cell r="C2" t="str">
            <v>Type of Non Road Engine</v>
          </cell>
          <cell r="D2" t="str">
            <v>TAF Assignment</v>
          </cell>
          <cell r="E2" t="str">
            <v>Load Factor</v>
          </cell>
        </row>
        <row r="3">
          <cell r="B3">
            <v>2270001020</v>
          </cell>
          <cell r="C3" t="str">
            <v>Diesel Snowmobiles</v>
          </cell>
          <cell r="D3" t="str">
            <v>None</v>
          </cell>
          <cell r="E3">
            <v>0.34</v>
          </cell>
        </row>
        <row r="4">
          <cell r="B4">
            <v>2270001030</v>
          </cell>
          <cell r="C4" t="str">
            <v>Diesel All Terrain Vehicles/MC</v>
          </cell>
          <cell r="D4" t="str">
            <v>None</v>
          </cell>
          <cell r="E4">
            <v>0.42</v>
          </cell>
        </row>
        <row r="5">
          <cell r="B5">
            <v>2270001050</v>
          </cell>
          <cell r="C5" t="str">
            <v>Diesel Golf Carts</v>
          </cell>
          <cell r="D5" t="str">
            <v>None</v>
          </cell>
          <cell r="E5">
            <v>0.49</v>
          </cell>
        </row>
        <row r="6">
          <cell r="B6">
            <v>2270001060</v>
          </cell>
          <cell r="C6" t="str">
            <v>Diesel Specialty Vehicle Carts</v>
          </cell>
          <cell r="D6" t="str">
            <v>Lo</v>
          </cell>
          <cell r="E6">
            <v>0.21</v>
          </cell>
        </row>
        <row r="7">
          <cell r="B7">
            <v>2270002003</v>
          </cell>
          <cell r="C7" t="str">
            <v>Diesel Pavers</v>
          </cell>
          <cell r="D7" t="str">
            <v>Hi</v>
          </cell>
          <cell r="E7">
            <v>0.59</v>
          </cell>
        </row>
        <row r="8">
          <cell r="B8">
            <v>2270002006</v>
          </cell>
          <cell r="C8" t="str">
            <v>Diesel Tampers/Rammers</v>
          </cell>
          <cell r="D8" t="str">
            <v>None</v>
          </cell>
          <cell r="E8">
            <v>0.43</v>
          </cell>
        </row>
        <row r="9">
          <cell r="B9">
            <v>2270002009</v>
          </cell>
          <cell r="C9" t="str">
            <v>Diesel Plate Compactors</v>
          </cell>
          <cell r="D9" t="str">
            <v>None</v>
          </cell>
          <cell r="E9">
            <v>0.43</v>
          </cell>
        </row>
        <row r="10">
          <cell r="B10">
            <v>2270002012</v>
          </cell>
          <cell r="C10" t="str">
            <v>Diesel Concrete Pavers</v>
          </cell>
          <cell r="D10">
            <v>0</v>
          </cell>
          <cell r="E10">
            <v>0.59</v>
          </cell>
        </row>
        <row r="11">
          <cell r="B11">
            <v>2270002015</v>
          </cell>
          <cell r="C11" t="str">
            <v>Diesel Rollers</v>
          </cell>
          <cell r="D11" t="str">
            <v>Hi</v>
          </cell>
          <cell r="E11">
            <v>0.59</v>
          </cell>
        </row>
        <row r="12">
          <cell r="B12">
            <v>2270002018</v>
          </cell>
          <cell r="C12" t="str">
            <v>Diesel Scrapers</v>
          </cell>
          <cell r="D12" t="str">
            <v>Hi</v>
          </cell>
          <cell r="E12">
            <v>0.59</v>
          </cell>
        </row>
        <row r="13">
          <cell r="B13">
            <v>2270002021</v>
          </cell>
          <cell r="C13" t="str">
            <v>Diesel Paving Equipment</v>
          </cell>
          <cell r="D13" t="str">
            <v>Hi</v>
          </cell>
          <cell r="E13">
            <v>0.59</v>
          </cell>
        </row>
        <row r="14">
          <cell r="B14">
            <v>2270002024</v>
          </cell>
          <cell r="C14" t="str">
            <v>Diesel Surfacing Equipment</v>
          </cell>
          <cell r="D14" t="str">
            <v>Hi</v>
          </cell>
          <cell r="E14">
            <v>0.59</v>
          </cell>
        </row>
        <row r="15">
          <cell r="B15">
            <v>2270002027</v>
          </cell>
          <cell r="C15" t="str">
            <v>Diesel Signal Boards</v>
          </cell>
          <cell r="D15" t="str">
            <v>None</v>
          </cell>
          <cell r="E15">
            <v>0.43</v>
          </cell>
        </row>
        <row r="16">
          <cell r="B16">
            <v>2270002030</v>
          </cell>
          <cell r="C16" t="str">
            <v>Diesel Trenchers</v>
          </cell>
          <cell r="D16" t="str">
            <v>Hi</v>
          </cell>
          <cell r="E16">
            <v>0.59</v>
          </cell>
        </row>
        <row r="17">
          <cell r="B17">
            <v>2270002033</v>
          </cell>
          <cell r="C17" t="str">
            <v>Diesel Bore/Drill Rigs</v>
          </cell>
          <cell r="D17" t="str">
            <v>None</v>
          </cell>
          <cell r="E17">
            <v>0.43</v>
          </cell>
        </row>
        <row r="18">
          <cell r="B18">
            <v>2270002036</v>
          </cell>
          <cell r="C18" t="str">
            <v>Diesel Excavators</v>
          </cell>
          <cell r="D18" t="str">
            <v>Hi</v>
          </cell>
          <cell r="E18">
            <v>0.59</v>
          </cell>
        </row>
        <row r="19">
          <cell r="B19">
            <v>2270002039</v>
          </cell>
          <cell r="C19" t="str">
            <v>Diesel Concrete/Industrial Saws</v>
          </cell>
          <cell r="D19" t="str">
            <v>Hi</v>
          </cell>
          <cell r="E19">
            <v>0.59</v>
          </cell>
        </row>
        <row r="20">
          <cell r="B20">
            <v>2270002042</v>
          </cell>
          <cell r="C20" t="str">
            <v>Diesel Cement &amp; Mortar Mixers</v>
          </cell>
          <cell r="D20" t="str">
            <v>None</v>
          </cell>
          <cell r="E20">
            <v>0.43</v>
          </cell>
        </row>
        <row r="21">
          <cell r="B21">
            <v>2270002045</v>
          </cell>
          <cell r="C21" t="str">
            <v>Diesel Cranes</v>
          </cell>
          <cell r="D21" t="str">
            <v>None</v>
          </cell>
          <cell r="E21">
            <v>0.43</v>
          </cell>
        </row>
        <row r="22">
          <cell r="B22">
            <v>2270002048</v>
          </cell>
          <cell r="C22" t="str">
            <v>Diesel Graders</v>
          </cell>
          <cell r="D22" t="str">
            <v>Hi</v>
          </cell>
          <cell r="E22">
            <v>0.59</v>
          </cell>
        </row>
        <row r="23">
          <cell r="B23">
            <v>2270002051</v>
          </cell>
          <cell r="C23" t="str">
            <v>Diesel Off-highway Trucks</v>
          </cell>
          <cell r="D23" t="str">
            <v>Hi</v>
          </cell>
          <cell r="E23">
            <v>0.59</v>
          </cell>
        </row>
        <row r="24">
          <cell r="B24">
            <v>2270002054</v>
          </cell>
          <cell r="C24" t="str">
            <v>Diesel Crushing/Proc. Equipment</v>
          </cell>
          <cell r="D24" t="str">
            <v>None</v>
          </cell>
          <cell r="E24">
            <v>0.43</v>
          </cell>
        </row>
        <row r="25">
          <cell r="B25">
            <v>2270002057</v>
          </cell>
          <cell r="C25" t="str">
            <v>Diesel Rough Terrain Forklifts</v>
          </cell>
          <cell r="D25" t="str">
            <v>Hi</v>
          </cell>
          <cell r="E25">
            <v>0.59</v>
          </cell>
        </row>
        <row r="26">
          <cell r="B26">
            <v>2270002060</v>
          </cell>
          <cell r="C26" t="str">
            <v>Diesel Rubber Tire Loaders</v>
          </cell>
          <cell r="D26" t="str">
            <v>Hi</v>
          </cell>
          <cell r="E26">
            <v>0.59</v>
          </cell>
        </row>
        <row r="27">
          <cell r="B27">
            <v>2270002063</v>
          </cell>
          <cell r="C27" t="str">
            <v>Diesel Rubber Tire Dozers</v>
          </cell>
          <cell r="D27" t="str">
            <v>Hi</v>
          </cell>
          <cell r="E27">
            <v>0.59</v>
          </cell>
        </row>
        <row r="28">
          <cell r="B28">
            <v>2270002066</v>
          </cell>
          <cell r="C28" t="str">
            <v>Diesel Tractors/Loaders/Backhoes</v>
          </cell>
          <cell r="D28" t="str">
            <v>Lo</v>
          </cell>
          <cell r="E28">
            <v>0.21</v>
          </cell>
        </row>
        <row r="29">
          <cell r="B29">
            <v>2270002069</v>
          </cell>
          <cell r="C29" t="str">
            <v>Diesel Crawler Tractors</v>
          </cell>
          <cell r="D29" t="str">
            <v>Hi</v>
          </cell>
          <cell r="E29">
            <v>0.59</v>
          </cell>
        </row>
        <row r="30">
          <cell r="B30">
            <v>2270002072</v>
          </cell>
          <cell r="C30" t="str">
            <v>Diesel Skid Steer Loaders</v>
          </cell>
          <cell r="D30" t="str">
            <v>Lo</v>
          </cell>
          <cell r="E30">
            <v>0.21</v>
          </cell>
        </row>
        <row r="31">
          <cell r="B31">
            <v>2270002075</v>
          </cell>
          <cell r="C31" t="str">
            <v>Diesel Off-Highway Tractors</v>
          </cell>
          <cell r="D31" t="str">
            <v>Hi</v>
          </cell>
          <cell r="E31">
            <v>0.59</v>
          </cell>
        </row>
        <row r="32">
          <cell r="B32">
            <v>2270002078</v>
          </cell>
          <cell r="C32" t="str">
            <v>Diesel Dumpers/Tenders</v>
          </cell>
          <cell r="D32" t="str">
            <v>Lo</v>
          </cell>
          <cell r="E32">
            <v>0.21</v>
          </cell>
        </row>
        <row r="33">
          <cell r="B33">
            <v>2270002081</v>
          </cell>
          <cell r="C33" t="str">
            <v>Diesel Other Construction Equipment</v>
          </cell>
          <cell r="D33" t="str">
            <v>Hi</v>
          </cell>
          <cell r="E33">
            <v>0.59</v>
          </cell>
        </row>
        <row r="34">
          <cell r="B34">
            <v>2270003010</v>
          </cell>
          <cell r="C34" t="str">
            <v>Diesel Aerial Lifts</v>
          </cell>
          <cell r="D34" t="str">
            <v>Lo</v>
          </cell>
          <cell r="E34">
            <v>0.21</v>
          </cell>
        </row>
        <row r="35">
          <cell r="B35">
            <v>2270003020</v>
          </cell>
          <cell r="C35" t="str">
            <v>Diesel Forklifts</v>
          </cell>
          <cell r="D35" t="str">
            <v>Hi</v>
          </cell>
          <cell r="E35">
            <v>0.59</v>
          </cell>
        </row>
        <row r="36">
          <cell r="B36">
            <v>2270003030</v>
          </cell>
          <cell r="C36" t="str">
            <v>Diesel Sweepers/Scrubbers</v>
          </cell>
          <cell r="D36" t="str">
            <v>None</v>
          </cell>
          <cell r="E36">
            <v>0.43</v>
          </cell>
        </row>
        <row r="37">
          <cell r="B37">
            <v>2270003040</v>
          </cell>
          <cell r="C37" t="str">
            <v>Diesel Other General Industrial Equipmen</v>
          </cell>
          <cell r="D37" t="str">
            <v>None</v>
          </cell>
          <cell r="E37">
            <v>0.43</v>
          </cell>
        </row>
        <row r="38">
          <cell r="B38">
            <v>2270003050</v>
          </cell>
          <cell r="C38" t="str">
            <v>Diesel Other Material Handling Equipment</v>
          </cell>
          <cell r="D38" t="str">
            <v>Lo</v>
          </cell>
          <cell r="E38">
            <v>0.21</v>
          </cell>
        </row>
        <row r="39">
          <cell r="B39">
            <v>2270003060</v>
          </cell>
          <cell r="C39" t="str">
            <v>Diesel AC\Refrigeration</v>
          </cell>
          <cell r="D39" t="str">
            <v>None</v>
          </cell>
          <cell r="E39">
            <v>0.43</v>
          </cell>
        </row>
        <row r="40">
          <cell r="B40">
            <v>2270003070</v>
          </cell>
          <cell r="C40" t="str">
            <v>Diesel Terminal Tractors</v>
          </cell>
          <cell r="D40" t="str">
            <v>Hi</v>
          </cell>
          <cell r="E40">
            <v>0.59</v>
          </cell>
        </row>
        <row r="41">
          <cell r="B41">
            <v>2270004010</v>
          </cell>
          <cell r="C41" t="str">
            <v>Diesel Lawn mowers (Residential)</v>
          </cell>
          <cell r="D41" t="str">
            <v>None</v>
          </cell>
          <cell r="E41">
            <v>0.43</v>
          </cell>
        </row>
        <row r="42">
          <cell r="B42">
            <v>2270004011</v>
          </cell>
          <cell r="C42" t="str">
            <v>Diesel Lawn mowers (Commerical)</v>
          </cell>
          <cell r="D42" t="str">
            <v>None</v>
          </cell>
          <cell r="E42">
            <v>0.43</v>
          </cell>
        </row>
        <row r="43">
          <cell r="B43">
            <v>2270004015</v>
          </cell>
          <cell r="C43" t="str">
            <v>Diesel Rotary Tillers &lt; 6 HP (Residentia</v>
          </cell>
          <cell r="D43" t="str">
            <v>None</v>
          </cell>
          <cell r="E43">
            <v>0.43</v>
          </cell>
        </row>
        <row r="44">
          <cell r="B44">
            <v>2270004016</v>
          </cell>
          <cell r="C44" t="str">
            <v>Diesel Rotary Tillers &lt; 6 HP (Commercial</v>
          </cell>
          <cell r="D44" t="str">
            <v>None</v>
          </cell>
          <cell r="E44">
            <v>0.43</v>
          </cell>
        </row>
        <row r="45">
          <cell r="B45">
            <v>2270004020</v>
          </cell>
          <cell r="C45" t="str">
            <v>Diesel Chain Saws &lt; 6 HP (Residential)</v>
          </cell>
          <cell r="D45" t="str">
            <v>None</v>
          </cell>
          <cell r="E45">
            <v>0.43</v>
          </cell>
        </row>
        <row r="46">
          <cell r="B46">
            <v>2270004021</v>
          </cell>
          <cell r="C46" t="str">
            <v>Diesel Chain Saws &lt; 6 HP (Commercial)</v>
          </cell>
          <cell r="D46" t="str">
            <v>None</v>
          </cell>
          <cell r="E46">
            <v>0.43</v>
          </cell>
        </row>
        <row r="47">
          <cell r="B47">
            <v>2270004025</v>
          </cell>
          <cell r="C47" t="str">
            <v>Diesel Trimmers/Edgers/Brush Cutters (Re</v>
          </cell>
          <cell r="D47" t="str">
            <v>None</v>
          </cell>
          <cell r="E47">
            <v>0.43</v>
          </cell>
        </row>
        <row r="48">
          <cell r="B48">
            <v>2270004026</v>
          </cell>
          <cell r="C48" t="str">
            <v>Diesel Trimmers/Edgers/Brush Cutters (Co</v>
          </cell>
          <cell r="D48" t="str">
            <v>None</v>
          </cell>
          <cell r="E48">
            <v>0.43</v>
          </cell>
        </row>
        <row r="49">
          <cell r="B49">
            <v>2270004030</v>
          </cell>
          <cell r="C49" t="str">
            <v>Diesel Leafblowers/Vacuums (Residential)</v>
          </cell>
          <cell r="D49" t="str">
            <v>None</v>
          </cell>
          <cell r="E49">
            <v>0.43</v>
          </cell>
        </row>
        <row r="50">
          <cell r="B50">
            <v>2270004031</v>
          </cell>
          <cell r="C50" t="str">
            <v>Diesel Leafblowers/Vacuums (Commercial)</v>
          </cell>
          <cell r="D50" t="str">
            <v>None</v>
          </cell>
          <cell r="E50">
            <v>0.43</v>
          </cell>
        </row>
        <row r="51">
          <cell r="B51">
            <v>2270004035</v>
          </cell>
          <cell r="C51" t="str">
            <v>Diesel Snowblowers (Residential)</v>
          </cell>
          <cell r="D51" t="str">
            <v>None</v>
          </cell>
          <cell r="E51">
            <v>0.43</v>
          </cell>
        </row>
        <row r="52">
          <cell r="B52">
            <v>2270004036</v>
          </cell>
          <cell r="C52" t="str">
            <v>Diesel Snowblowers (Commercial)</v>
          </cell>
          <cell r="D52" t="str">
            <v>None</v>
          </cell>
          <cell r="E52">
            <v>0.43</v>
          </cell>
        </row>
        <row r="53">
          <cell r="B53">
            <v>2270004040</v>
          </cell>
          <cell r="C53" t="str">
            <v>Diesel Rear Engine Riding Mowers (Res.)</v>
          </cell>
          <cell r="D53" t="str">
            <v>None</v>
          </cell>
          <cell r="E53">
            <v>0.43</v>
          </cell>
        </row>
        <row r="54">
          <cell r="B54">
            <v>2270004041</v>
          </cell>
          <cell r="C54" t="str">
            <v>Diesel Rear Engine Riding Mowers (Comm.)</v>
          </cell>
          <cell r="D54" t="str">
            <v>None</v>
          </cell>
          <cell r="E54">
            <v>0.43</v>
          </cell>
        </row>
        <row r="55">
          <cell r="B55">
            <v>2270004045</v>
          </cell>
          <cell r="C55" t="str">
            <v>Diesel Front Mowers (Residential)</v>
          </cell>
          <cell r="D55" t="str">
            <v>None</v>
          </cell>
          <cell r="E55">
            <v>0.43</v>
          </cell>
        </row>
        <row r="56">
          <cell r="B56">
            <v>2270004046</v>
          </cell>
          <cell r="C56" t="str">
            <v>Diesel Front Mowers (Commercial)</v>
          </cell>
          <cell r="D56" t="str">
            <v>None</v>
          </cell>
          <cell r="E56">
            <v>0.43</v>
          </cell>
        </row>
        <row r="57">
          <cell r="B57">
            <v>2270004050</v>
          </cell>
          <cell r="C57" t="str">
            <v>Diesel Shredders &lt; 6 HP (Residential)</v>
          </cell>
          <cell r="D57" t="str">
            <v>None</v>
          </cell>
          <cell r="E57">
            <v>0.43</v>
          </cell>
        </row>
        <row r="58">
          <cell r="B58">
            <v>2270004051</v>
          </cell>
          <cell r="C58" t="str">
            <v>Diesel Shredders &lt; 6 HP (Commercial)</v>
          </cell>
          <cell r="D58" t="str">
            <v>None</v>
          </cell>
          <cell r="E58">
            <v>0.43</v>
          </cell>
        </row>
        <row r="59">
          <cell r="B59">
            <v>2270004055</v>
          </cell>
          <cell r="C59" t="str">
            <v>Diesel Lawn &amp; Garden Tractors (Residenti</v>
          </cell>
          <cell r="D59" t="str">
            <v>None</v>
          </cell>
          <cell r="E59">
            <v>0.43</v>
          </cell>
        </row>
        <row r="60">
          <cell r="B60">
            <v>2270004056</v>
          </cell>
          <cell r="C60" t="str">
            <v>Diesel Lawn &amp; Garden Tractors (Commercia</v>
          </cell>
          <cell r="D60" t="str">
            <v>None</v>
          </cell>
          <cell r="E60">
            <v>0.43</v>
          </cell>
        </row>
        <row r="61">
          <cell r="B61">
            <v>2270004060</v>
          </cell>
          <cell r="C61" t="str">
            <v>Diesel Wood Splitters (Residential)</v>
          </cell>
          <cell r="D61" t="str">
            <v>None</v>
          </cell>
          <cell r="E61">
            <v>0.43</v>
          </cell>
        </row>
        <row r="62">
          <cell r="B62">
            <v>2270004061</v>
          </cell>
          <cell r="C62" t="str">
            <v>Diesel Wood Splitters (Commercial)</v>
          </cell>
          <cell r="D62" t="str">
            <v>None</v>
          </cell>
          <cell r="E62">
            <v>0.43</v>
          </cell>
        </row>
        <row r="63">
          <cell r="B63">
            <v>2270004065</v>
          </cell>
          <cell r="C63" t="str">
            <v>Diesel Chippers/Stump Grinders (Resident</v>
          </cell>
          <cell r="D63" t="str">
            <v>None</v>
          </cell>
          <cell r="E63">
            <v>0.43</v>
          </cell>
        </row>
        <row r="64">
          <cell r="B64">
            <v>2270004066</v>
          </cell>
          <cell r="C64" t="str">
            <v>Diesel Chippers/Stump Grinders (Commerci</v>
          </cell>
          <cell r="D64" t="str">
            <v>None</v>
          </cell>
          <cell r="E64">
            <v>0.43</v>
          </cell>
        </row>
        <row r="65">
          <cell r="B65">
            <v>2270004070</v>
          </cell>
          <cell r="C65" t="str">
            <v>Diesel Commercial Turf Equipment (Res.)</v>
          </cell>
          <cell r="D65">
            <v>0</v>
          </cell>
          <cell r="E65">
            <v>0.43</v>
          </cell>
        </row>
        <row r="66">
          <cell r="B66">
            <v>2270004071</v>
          </cell>
          <cell r="C66" t="str">
            <v>Diesel Commercial Turf Equipment (Comm.)</v>
          </cell>
          <cell r="D66" t="str">
            <v>None</v>
          </cell>
          <cell r="E66">
            <v>0.43</v>
          </cell>
        </row>
        <row r="67">
          <cell r="B67">
            <v>2270004075</v>
          </cell>
          <cell r="C67" t="str">
            <v>Diesel Other Lawn &amp; Garden Equipment (Re</v>
          </cell>
          <cell r="D67" t="str">
            <v>None</v>
          </cell>
          <cell r="E67">
            <v>0.43</v>
          </cell>
        </row>
        <row r="68">
          <cell r="B68">
            <v>2270004076</v>
          </cell>
          <cell r="C68" t="str">
            <v>Diesel Other Lawn &amp; Garden Equipment (Co</v>
          </cell>
          <cell r="D68" t="str">
            <v>None</v>
          </cell>
          <cell r="E68">
            <v>0.43</v>
          </cell>
        </row>
        <row r="69">
          <cell r="B69">
            <v>2270005010</v>
          </cell>
          <cell r="C69" t="str">
            <v>Diesel 2-Wheel Tractors</v>
          </cell>
          <cell r="D69" t="str">
            <v>Hi</v>
          </cell>
          <cell r="E69">
            <v>0.59</v>
          </cell>
        </row>
        <row r="70">
          <cell r="B70">
            <v>2270005015</v>
          </cell>
          <cell r="C70" t="str">
            <v>Diesel Agricultural Tractors</v>
          </cell>
          <cell r="D70" t="str">
            <v>Hi</v>
          </cell>
          <cell r="E70">
            <v>0.59</v>
          </cell>
        </row>
        <row r="71">
          <cell r="B71">
            <v>2270005020</v>
          </cell>
          <cell r="C71" t="str">
            <v>Diesel Combines</v>
          </cell>
          <cell r="D71" t="str">
            <v>Hi</v>
          </cell>
          <cell r="E71">
            <v>0.59</v>
          </cell>
        </row>
        <row r="72">
          <cell r="B72">
            <v>2270005025</v>
          </cell>
          <cell r="C72" t="str">
            <v>Diesel Balers</v>
          </cell>
          <cell r="D72" t="str">
            <v>Hi</v>
          </cell>
          <cell r="E72">
            <v>0.59</v>
          </cell>
        </row>
        <row r="73">
          <cell r="B73">
            <v>2270005030</v>
          </cell>
          <cell r="C73" t="str">
            <v>Diesel Agricultural Mowers</v>
          </cell>
          <cell r="D73" t="str">
            <v>Hi</v>
          </cell>
          <cell r="E73">
            <v>0.59</v>
          </cell>
        </row>
        <row r="74">
          <cell r="B74">
            <v>2270005035</v>
          </cell>
          <cell r="C74" t="str">
            <v>Diesel Sprayers</v>
          </cell>
          <cell r="D74" t="str">
            <v>Hi</v>
          </cell>
          <cell r="E74">
            <v>0.59</v>
          </cell>
        </row>
        <row r="75">
          <cell r="B75">
            <v>2270005040</v>
          </cell>
          <cell r="C75" t="str">
            <v>Diesel Tillers &gt; 6 HP</v>
          </cell>
          <cell r="D75" t="str">
            <v>Hi</v>
          </cell>
          <cell r="E75">
            <v>0.59</v>
          </cell>
        </row>
        <row r="76">
          <cell r="B76">
            <v>2270005045</v>
          </cell>
          <cell r="C76" t="str">
            <v>Diesel Swathers</v>
          </cell>
          <cell r="D76" t="str">
            <v>Hi</v>
          </cell>
          <cell r="E76">
            <v>0.59</v>
          </cell>
        </row>
        <row r="77">
          <cell r="B77">
            <v>2270005055</v>
          </cell>
          <cell r="C77" t="str">
            <v>Diesel Other Agricultural Equipment</v>
          </cell>
          <cell r="D77" t="str">
            <v>Hi</v>
          </cell>
          <cell r="E77">
            <v>0.59</v>
          </cell>
        </row>
        <row r="78">
          <cell r="B78">
            <v>2270005060</v>
          </cell>
          <cell r="C78" t="str">
            <v>Diesel Irrigation Sets</v>
          </cell>
          <cell r="D78" t="str">
            <v>None</v>
          </cell>
          <cell r="E78">
            <v>0.43</v>
          </cell>
        </row>
        <row r="79">
          <cell r="B79">
            <v>2270006005</v>
          </cell>
          <cell r="C79" t="str">
            <v>Diesel Light Commercial  Generator Sets</v>
          </cell>
          <cell r="D79" t="str">
            <v>None</v>
          </cell>
          <cell r="E79">
            <v>0.43</v>
          </cell>
        </row>
        <row r="80">
          <cell r="B80">
            <v>2270006010</v>
          </cell>
          <cell r="C80" t="str">
            <v>Diesel Light Commercial  Pumps</v>
          </cell>
          <cell r="D80" t="str">
            <v>None</v>
          </cell>
          <cell r="E80">
            <v>0.43</v>
          </cell>
        </row>
        <row r="81">
          <cell r="B81">
            <v>2270006015</v>
          </cell>
          <cell r="C81" t="str">
            <v>Diesel Light Commercial  Air Compressors</v>
          </cell>
          <cell r="D81" t="str">
            <v>None</v>
          </cell>
          <cell r="E81">
            <v>0.43</v>
          </cell>
        </row>
        <row r="82">
          <cell r="B82">
            <v>2270006020</v>
          </cell>
          <cell r="C82" t="str">
            <v>Diesel Light Commercial  Gas Compressors</v>
          </cell>
          <cell r="D82" t="str">
            <v>None</v>
          </cell>
          <cell r="E82">
            <v>0.43</v>
          </cell>
        </row>
        <row r="83">
          <cell r="B83">
            <v>2270006025</v>
          </cell>
          <cell r="C83" t="str">
            <v>Diesel Light Commercial  Welders</v>
          </cell>
          <cell r="D83" t="str">
            <v>Lo</v>
          </cell>
          <cell r="E83">
            <v>0.21</v>
          </cell>
        </row>
        <row r="84">
          <cell r="B84">
            <v>2270006030</v>
          </cell>
          <cell r="C84" t="str">
            <v>Diesel Light Commercial  Pressure Washer</v>
          </cell>
          <cell r="D84" t="str">
            <v>None</v>
          </cell>
          <cell r="E84">
            <v>0.43</v>
          </cell>
        </row>
        <row r="85">
          <cell r="B85">
            <v>2270006035</v>
          </cell>
          <cell r="C85" t="str">
            <v>Diesel Hydro Power Units</v>
          </cell>
          <cell r="D85">
            <v>0</v>
          </cell>
          <cell r="E85">
            <v>0.43</v>
          </cell>
        </row>
        <row r="86">
          <cell r="B86">
            <v>2270007005</v>
          </cell>
          <cell r="C86" t="str">
            <v>Diesel Logging Equipment Chain Saws &gt; 6</v>
          </cell>
          <cell r="D86" t="str">
            <v>Hi</v>
          </cell>
          <cell r="E86">
            <v>0.59</v>
          </cell>
        </row>
        <row r="87">
          <cell r="B87">
            <v>2270007010</v>
          </cell>
          <cell r="C87" t="str">
            <v>Diesel Logging Equipment Shredders &gt; 6</v>
          </cell>
          <cell r="D87" t="str">
            <v>Hi</v>
          </cell>
          <cell r="E87">
            <v>0.59</v>
          </cell>
        </row>
        <row r="88">
          <cell r="B88">
            <v>2270007015</v>
          </cell>
          <cell r="C88" t="str">
            <v>Diesel Logging Equip Fell/Bunch/Skidders</v>
          </cell>
          <cell r="D88" t="str">
            <v>Hi</v>
          </cell>
          <cell r="E88">
            <v>0.59</v>
          </cell>
        </row>
        <row r="89">
          <cell r="B89">
            <v>2270007020</v>
          </cell>
          <cell r="C89" t="str">
            <v>Diesel Logging Equip Fell/Bunch (unused)</v>
          </cell>
          <cell r="D89">
            <v>0</v>
          </cell>
          <cell r="E89">
            <v>0.59</v>
          </cell>
        </row>
        <row r="90">
          <cell r="B90">
            <v>2270008005</v>
          </cell>
          <cell r="C90" t="str">
            <v>Diesel Airport Support Equipment</v>
          </cell>
          <cell r="D90" t="str">
            <v>Hi</v>
          </cell>
          <cell r="E90">
            <v>0.59</v>
          </cell>
        </row>
        <row r="91">
          <cell r="B91">
            <v>2270009010</v>
          </cell>
          <cell r="C91" t="str">
            <v>Diesel Other Underground Mining Equipmen</v>
          </cell>
          <cell r="D91" t="str">
            <v>Lo</v>
          </cell>
          <cell r="E91">
            <v>0.21</v>
          </cell>
        </row>
        <row r="92">
          <cell r="B92">
            <v>2270010010</v>
          </cell>
          <cell r="C92" t="str">
            <v>Diesel Other Oil Field Equipment</v>
          </cell>
          <cell r="D92" t="str">
            <v>None</v>
          </cell>
          <cell r="E92">
            <v>0.43</v>
          </cell>
        </row>
        <row r="93">
          <cell r="B93">
            <v>2260001030</v>
          </cell>
          <cell r="C93" t="str">
            <v>2-Stroke All Terrain Vehicles</v>
          </cell>
          <cell r="D93">
            <v>0</v>
          </cell>
          <cell r="E93">
            <v>1</v>
          </cell>
        </row>
        <row r="94">
          <cell r="B94">
            <v>2260002009</v>
          </cell>
          <cell r="C94" t="str">
            <v>2-Stroke Plate Compacts</v>
          </cell>
          <cell r="D94">
            <v>0</v>
          </cell>
          <cell r="E94">
            <v>0.55000000000000004</v>
          </cell>
        </row>
        <row r="95">
          <cell r="B95">
            <v>2260001020</v>
          </cell>
          <cell r="C95" t="str">
            <v>2-Stroke Snowblowers</v>
          </cell>
          <cell r="D95">
            <v>0</v>
          </cell>
          <cell r="E95">
            <v>0.34</v>
          </cell>
        </row>
        <row r="96">
          <cell r="B96">
            <v>2260001030</v>
          </cell>
          <cell r="C96" t="str">
            <v>2-Stroke All Terrain Vehicles</v>
          </cell>
          <cell r="D96">
            <v>0</v>
          </cell>
          <cell r="E96">
            <v>0.7</v>
          </cell>
        </row>
        <row r="97">
          <cell r="B97">
            <v>2260002015</v>
          </cell>
          <cell r="C97" t="str">
            <v>2-Stroke Rollers</v>
          </cell>
          <cell r="D97">
            <v>0</v>
          </cell>
          <cell r="E97">
            <v>0.69</v>
          </cell>
        </row>
        <row r="98">
          <cell r="B98">
            <v>2260002039</v>
          </cell>
          <cell r="C98" t="str">
            <v>2-Stroke Concrete/Industrial Saws</v>
          </cell>
          <cell r="D98">
            <v>0</v>
          </cell>
          <cell r="E98">
            <v>0.63</v>
          </cell>
        </row>
        <row r="99">
          <cell r="B99">
            <v>2260002042</v>
          </cell>
          <cell r="C99" t="str">
            <v>2-Stroke Cement &amp; Mortar Mixers</v>
          </cell>
          <cell r="D99">
            <v>0</v>
          </cell>
          <cell r="E99">
            <v>0.33</v>
          </cell>
        </row>
        <row r="100">
          <cell r="B100">
            <v>2265004011</v>
          </cell>
          <cell r="C100" t="str">
            <v>4-Stroke Lawn mowers (Commercial)</v>
          </cell>
          <cell r="D100">
            <v>0</v>
          </cell>
          <cell r="E100">
            <v>0.78</v>
          </cell>
        </row>
        <row r="101">
          <cell r="B101">
            <v>2260004021</v>
          </cell>
          <cell r="C101" t="str">
            <v>2-Stroke Chain Saws &lt; 6 HP (Commercial)</v>
          </cell>
          <cell r="D101">
            <v>0</v>
          </cell>
          <cell r="E101">
            <v>0.59</v>
          </cell>
        </row>
        <row r="102">
          <cell r="B102">
            <v>2265004066</v>
          </cell>
          <cell r="C102" t="str">
            <v>4-Stroke Chippers/Stump Grinders (Comm.)</v>
          </cell>
          <cell r="D102">
            <v>0</v>
          </cell>
          <cell r="E102">
            <v>0.78</v>
          </cell>
        </row>
        <row r="103">
          <cell r="B103">
            <v>2260006010</v>
          </cell>
          <cell r="C103" t="str">
            <v>2-Stroke Light Commercial Pumps</v>
          </cell>
          <cell r="D103">
            <v>0</v>
          </cell>
          <cell r="E103">
            <v>1</v>
          </cell>
        </row>
        <row r="104">
          <cell r="B104">
            <v>2265004036</v>
          </cell>
          <cell r="C104" t="str">
            <v>4-Stroke Snowblower</v>
          </cell>
          <cell r="D104">
            <v>0</v>
          </cell>
          <cell r="E104">
            <v>0.35</v>
          </cell>
        </row>
        <row r="105">
          <cell r="B105">
            <v>2265002057</v>
          </cell>
          <cell r="C105" t="str">
            <v>4-Stroke Rough Terrain Forklifts</v>
          </cell>
          <cell r="D105">
            <v>0</v>
          </cell>
          <cell r="E105">
            <v>0.63</v>
          </cell>
        </row>
        <row r="106">
          <cell r="B106">
            <v>2265003010</v>
          </cell>
          <cell r="C106" t="str">
            <v>4-Stroke Aerial Lifts</v>
          </cell>
          <cell r="D106">
            <v>0</v>
          </cell>
          <cell r="E106">
            <v>0.46</v>
          </cell>
        </row>
        <row r="107">
          <cell r="B107">
            <v>2265003020</v>
          </cell>
          <cell r="C107" t="str">
            <v>4-Stroke Forklifts</v>
          </cell>
          <cell r="D107">
            <v>0</v>
          </cell>
          <cell r="E107">
            <v>0.3</v>
          </cell>
        </row>
        <row r="108">
          <cell r="B108">
            <v>2265006010</v>
          </cell>
          <cell r="C108" t="str">
            <v>4-Stroke Pumps</v>
          </cell>
          <cell r="D108">
            <v>0</v>
          </cell>
          <cell r="E108">
            <v>0.69</v>
          </cell>
        </row>
        <row r="109">
          <cell r="B109">
            <v>2265002015</v>
          </cell>
          <cell r="C109" t="str">
            <v>4-Stroke Rollers</v>
          </cell>
          <cell r="D109">
            <v>0</v>
          </cell>
          <cell r="E109">
            <v>0.62</v>
          </cell>
        </row>
      </sheetData>
      <sheetData sheetId="12">
        <row r="6">
          <cell r="D6">
            <v>0.14492753623188404</v>
          </cell>
        </row>
        <row r="7">
          <cell r="D7">
            <v>3.6231884057971009E-2</v>
          </cell>
        </row>
        <row r="8">
          <cell r="D8">
            <v>2.4637681159420288E-3</v>
          </cell>
        </row>
        <row r="9">
          <cell r="D9">
            <v>2.3913043478260867E-2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Q39"/>
  <sheetViews>
    <sheetView showGridLines="0" zoomScale="70" zoomScaleNormal="70" workbookViewId="0">
      <selection activeCell="K47" sqref="K47"/>
    </sheetView>
  </sheetViews>
  <sheetFormatPr defaultRowHeight="15"/>
  <cols>
    <col min="1" max="1" width="11.5703125" customWidth="1"/>
    <col min="2" max="2" width="35.28515625" customWidth="1"/>
    <col min="3" max="3" width="16.28515625" customWidth="1"/>
    <col min="4" max="4" width="10.28515625" customWidth="1"/>
    <col min="5" max="7" width="9.7109375" customWidth="1"/>
    <col min="8" max="10" width="11.5703125" customWidth="1"/>
    <col min="11" max="18" width="8.7109375" customWidth="1"/>
    <col min="19" max="19" width="10.7109375" customWidth="1"/>
    <col min="20" max="38" width="11.5703125" customWidth="1"/>
  </cols>
  <sheetData>
    <row r="1" spans="1:43">
      <c r="A1" s="152"/>
      <c r="B1" s="152"/>
      <c r="C1" s="153"/>
      <c r="D1" s="601"/>
      <c r="E1" s="601"/>
      <c r="F1" s="601"/>
      <c r="G1" s="601"/>
      <c r="H1" s="601"/>
      <c r="I1" s="601"/>
      <c r="J1" s="601"/>
      <c r="K1" s="601"/>
      <c r="L1" s="601"/>
      <c r="M1" s="601"/>
      <c r="N1" s="601"/>
      <c r="O1" s="601"/>
      <c r="P1" s="601"/>
      <c r="Q1" s="601"/>
      <c r="R1" s="601"/>
      <c r="S1" s="601"/>
      <c r="T1" s="602" t="s">
        <v>286</v>
      </c>
      <c r="U1" s="603"/>
      <c r="V1" s="603"/>
      <c r="W1" s="603"/>
      <c r="X1" s="603"/>
      <c r="Y1" s="603"/>
      <c r="Z1" s="603"/>
      <c r="AA1" s="603"/>
      <c r="AB1" s="603"/>
      <c r="AC1" s="603"/>
      <c r="AD1" s="603"/>
      <c r="AE1" s="603"/>
      <c r="AF1" s="608" t="s">
        <v>287</v>
      </c>
      <c r="AG1" s="609"/>
      <c r="AH1" s="609"/>
      <c r="AI1" s="609"/>
      <c r="AJ1" s="609"/>
      <c r="AK1" s="609"/>
      <c r="AL1" s="610"/>
    </row>
    <row r="2" spans="1:43" ht="25.5">
      <c r="A2" s="611" t="s">
        <v>288</v>
      </c>
      <c r="B2" s="613" t="s">
        <v>289</v>
      </c>
      <c r="C2" s="615" t="s">
        <v>290</v>
      </c>
      <c r="D2" s="617" t="s">
        <v>374</v>
      </c>
      <c r="E2" s="618"/>
      <c r="F2" s="617" t="s">
        <v>986</v>
      </c>
      <c r="G2" s="618"/>
      <c r="H2" s="619" t="s">
        <v>291</v>
      </c>
      <c r="I2" s="620" t="s">
        <v>292</v>
      </c>
      <c r="J2" s="621"/>
      <c r="K2" s="620" t="s">
        <v>293</v>
      </c>
      <c r="L2" s="621"/>
      <c r="M2" s="620" t="s">
        <v>294</v>
      </c>
      <c r="N2" s="621"/>
      <c r="O2" s="620" t="s">
        <v>295</v>
      </c>
      <c r="P2" s="621"/>
      <c r="Q2" s="620" t="s">
        <v>296</v>
      </c>
      <c r="R2" s="621"/>
      <c r="S2" s="139" t="s">
        <v>297</v>
      </c>
      <c r="T2" s="602" t="s">
        <v>298</v>
      </c>
      <c r="U2" s="603"/>
      <c r="V2" s="624"/>
      <c r="W2" s="602" t="s">
        <v>35</v>
      </c>
      <c r="X2" s="603"/>
      <c r="Y2" s="602" t="s">
        <v>299</v>
      </c>
      <c r="Z2" s="624"/>
      <c r="AA2" s="602" t="s">
        <v>300</v>
      </c>
      <c r="AB2" s="624"/>
      <c r="AC2" s="602" t="s">
        <v>377</v>
      </c>
      <c r="AD2" s="603"/>
      <c r="AE2" s="624"/>
      <c r="AF2" s="625" t="s">
        <v>301</v>
      </c>
      <c r="AG2" s="622" t="s">
        <v>302</v>
      </c>
      <c r="AH2" s="148" t="s">
        <v>303</v>
      </c>
      <c r="AI2" s="148" t="s">
        <v>304</v>
      </c>
      <c r="AJ2" s="148" t="s">
        <v>305</v>
      </c>
      <c r="AK2" s="148" t="s">
        <v>306</v>
      </c>
      <c r="AL2" s="149" t="s">
        <v>307</v>
      </c>
    </row>
    <row r="3" spans="1:43">
      <c r="A3" s="612"/>
      <c r="B3" s="614"/>
      <c r="C3" s="616"/>
      <c r="D3" s="140" t="s">
        <v>308</v>
      </c>
      <c r="E3" s="140" t="s">
        <v>309</v>
      </c>
      <c r="F3" s="140" t="s">
        <v>308</v>
      </c>
      <c r="G3" s="140" t="s">
        <v>309</v>
      </c>
      <c r="H3" s="619"/>
      <c r="I3" s="141" t="s">
        <v>310</v>
      </c>
      <c r="J3" s="141" t="s">
        <v>311</v>
      </c>
      <c r="K3" s="141" t="s">
        <v>310</v>
      </c>
      <c r="L3" s="141" t="s">
        <v>311</v>
      </c>
      <c r="M3" s="141" t="s">
        <v>312</v>
      </c>
      <c r="N3" s="141" t="s">
        <v>313</v>
      </c>
      <c r="O3" s="141" t="s">
        <v>314</v>
      </c>
      <c r="P3" s="141" t="s">
        <v>315</v>
      </c>
      <c r="Q3" s="141" t="s">
        <v>310</v>
      </c>
      <c r="R3" s="141" t="s">
        <v>311</v>
      </c>
      <c r="S3" s="141" t="s">
        <v>316</v>
      </c>
      <c r="T3" s="118" t="s">
        <v>317</v>
      </c>
      <c r="U3" s="513" t="s">
        <v>319</v>
      </c>
      <c r="V3" s="118" t="s">
        <v>318</v>
      </c>
      <c r="W3" s="118" t="s">
        <v>317</v>
      </c>
      <c r="X3" s="131" t="s">
        <v>320</v>
      </c>
      <c r="Y3" s="118" t="s">
        <v>319</v>
      </c>
      <c r="Z3" s="118" t="s">
        <v>318</v>
      </c>
      <c r="AA3" s="118" t="s">
        <v>319</v>
      </c>
      <c r="AB3" s="118" t="s">
        <v>318</v>
      </c>
      <c r="AC3" s="118" t="s">
        <v>317</v>
      </c>
      <c r="AD3" s="119" t="s">
        <v>336</v>
      </c>
      <c r="AE3" s="118" t="s">
        <v>318</v>
      </c>
      <c r="AF3" s="626"/>
      <c r="AG3" s="623"/>
      <c r="AH3" s="131" t="s">
        <v>321</v>
      </c>
      <c r="AI3" s="150" t="s">
        <v>321</v>
      </c>
      <c r="AJ3" s="150" t="s">
        <v>321</v>
      </c>
      <c r="AK3" s="150" t="s">
        <v>321</v>
      </c>
      <c r="AL3" s="151" t="s">
        <v>321</v>
      </c>
      <c r="AO3" s="627" t="s">
        <v>64</v>
      </c>
      <c r="AP3" s="628"/>
      <c r="AQ3" s="629"/>
    </row>
    <row r="4" spans="1:43">
      <c r="A4" s="604" t="s">
        <v>322</v>
      </c>
      <c r="B4" s="605"/>
      <c r="C4" s="605"/>
      <c r="D4" s="605"/>
      <c r="E4" s="605"/>
      <c r="F4" s="606"/>
      <c r="G4" s="606"/>
      <c r="H4" s="605"/>
      <c r="I4" s="605"/>
      <c r="J4" s="605"/>
      <c r="K4" s="605"/>
      <c r="L4" s="605"/>
      <c r="M4" s="605"/>
      <c r="N4" s="605"/>
      <c r="O4" s="605"/>
      <c r="P4" s="605"/>
      <c r="Q4" s="605"/>
      <c r="R4" s="605"/>
      <c r="S4" s="607"/>
      <c r="T4" s="124"/>
      <c r="U4" s="124"/>
      <c r="V4" s="124"/>
      <c r="W4" s="124"/>
      <c r="X4" s="124"/>
      <c r="Y4" s="124"/>
      <c r="Z4" s="124"/>
      <c r="AA4" s="124"/>
      <c r="AB4" s="124"/>
      <c r="AC4" s="124"/>
      <c r="AD4" s="124"/>
      <c r="AE4" s="124"/>
      <c r="AF4" s="133"/>
      <c r="AG4" s="129"/>
      <c r="AH4" s="134"/>
      <c r="AI4" s="129"/>
      <c r="AJ4" s="129"/>
      <c r="AK4" s="129"/>
      <c r="AL4" s="135"/>
      <c r="AO4" s="45" t="s">
        <v>65</v>
      </c>
      <c r="AP4" s="45">
        <v>453.59</v>
      </c>
      <c r="AQ4" s="45" t="s">
        <v>66</v>
      </c>
    </row>
    <row r="5" spans="1:43">
      <c r="A5" s="120" t="s">
        <v>344</v>
      </c>
      <c r="B5" s="128" t="s">
        <v>345</v>
      </c>
      <c r="C5" s="125" t="s">
        <v>323</v>
      </c>
      <c r="D5" s="125">
        <v>589612.04099999997</v>
      </c>
      <c r="E5" s="125">
        <v>6726290.1050000004</v>
      </c>
      <c r="F5" s="553">
        <v>-19.778130020999999</v>
      </c>
      <c r="G5" s="553">
        <v>185.08667468900001</v>
      </c>
      <c r="H5" s="157">
        <v>38</v>
      </c>
      <c r="I5" s="121">
        <f>'LNG Turbines'!$C$67</f>
        <v>210</v>
      </c>
      <c r="J5" s="126">
        <f>CONVERT(I5,"ft","m")</f>
        <v>64.007999999999996</v>
      </c>
      <c r="K5" s="121">
        <f>I5</f>
        <v>210</v>
      </c>
      <c r="L5" s="126">
        <f>CONVERT(K5,"ft","m")</f>
        <v>64.007999999999996</v>
      </c>
      <c r="M5" s="121">
        <f>'LNG Turbines'!$C$70</f>
        <v>970</v>
      </c>
      <c r="N5" s="126">
        <f>CONVERT(M5,"F","K")</f>
        <v>794.26111111111106</v>
      </c>
      <c r="O5" s="121">
        <f>'LNG Turbines'!$C$73</f>
        <v>86</v>
      </c>
      <c r="P5" s="126">
        <f>CONVERT(O5,"ft","m")</f>
        <v>26.212800000000001</v>
      </c>
      <c r="Q5" s="121">
        <f>'LNG Turbines'!$C$74</f>
        <v>19</v>
      </c>
      <c r="R5" s="126">
        <f>CONVERT(Q5,"ft","m")</f>
        <v>5.7911999999999999</v>
      </c>
      <c r="S5" s="121">
        <f>'LNG Turbines'!$C$75</f>
        <v>0.5</v>
      </c>
      <c r="T5" s="145">
        <f>'LNG Turbines'!$C$45*$AP$4/$AP$5</f>
        <v>4.7424730871587597</v>
      </c>
      <c r="U5" s="145">
        <f>'LNG Turbines'!$C$45*$AP$4/$AP$5</f>
        <v>4.7424730871587597</v>
      </c>
      <c r="V5" s="145">
        <f>'LNG Turbines'!$D$45*$AP$4/$AP$5</f>
        <v>4.5087252539308293</v>
      </c>
      <c r="W5" s="145">
        <f>'LNG Turbines'!$C$46*$AP$4/$AP$5</f>
        <v>8.019794680583745</v>
      </c>
      <c r="X5" s="145">
        <f>'LNG Turbines'!$C$46*$AP$4/$AP$5</f>
        <v>8.019794680583745</v>
      </c>
      <c r="Y5" s="145">
        <f>'LNG Turbines'!$C$48*$AP$4/$AP$5</f>
        <v>1.0368600469117646</v>
      </c>
      <c r="Z5" s="145">
        <f>'LNG Turbines'!$D$48*$AP$4/$AP$5</f>
        <v>0.98634635231862744</v>
      </c>
      <c r="AA5" s="145">
        <f>'LNG Turbines'!$C$49*$AP$4/$AP$5</f>
        <v>1.0368600469117646</v>
      </c>
      <c r="AB5" s="145">
        <f>'LNG Turbines'!$D$49*$AP$4/$AP$5</f>
        <v>0.98634635231862744</v>
      </c>
      <c r="AC5" s="145">
        <f>'LNG Turbines'!$C$50*$AP$4/$AP$5</f>
        <v>0.3674877258425735</v>
      </c>
      <c r="AD5" s="145">
        <f>'LNG Turbines'!$C$50*$AP$4/$AP$5</f>
        <v>0.3674877258425735</v>
      </c>
      <c r="AE5" s="145">
        <f>'LNG Turbines'!$D$50*$AP$4/$AP$5</f>
        <v>0.34952782119990178</v>
      </c>
      <c r="AF5" s="136" t="s">
        <v>324</v>
      </c>
      <c r="AG5" s="127" t="s">
        <v>325</v>
      </c>
      <c r="AH5" s="127">
        <f>$Y5*(VLOOKUP($AF5 &amp;"|"&amp; $AG5,'AQRV Speciation'!$B$6:$G$21,2,FALSE))</f>
        <v>0</v>
      </c>
      <c r="AI5" s="127">
        <f>$AA5*(VLOOKUP($AF5 &amp;"|"&amp; $AG5,'AQRV Speciation'!$B$6:$G$21,3,FALSE))</f>
        <v>0.29849001350490195</v>
      </c>
      <c r="AJ5" s="127">
        <f>$Y5*(VLOOKUP($AF5 &amp;"|"&amp; $AG5,'AQRV Speciation'!$B$6:$G$21,4,FALSE))</f>
        <v>0.29849001350490195</v>
      </c>
      <c r="AK5" s="127">
        <f>$AA5*(VLOOKUP($AF5 &amp;"|"&amp; $AG5,'AQRV Speciation'!$B$6:$G$21,5,FALSE))</f>
        <v>0.73837003340686269</v>
      </c>
      <c r="AL5" s="155">
        <f>$Y5*(VLOOKUP($AF5 &amp;"|"&amp; $AG5,'AQRV Speciation'!$B$6:$G$21,6,FALSE))</f>
        <v>0.73837003340686269</v>
      </c>
      <c r="AO5" s="46" t="s">
        <v>71</v>
      </c>
      <c r="AP5" s="46">
        <v>3600</v>
      </c>
      <c r="AQ5" s="46" t="s">
        <v>76</v>
      </c>
    </row>
    <row r="6" spans="1:43">
      <c r="A6" s="120" t="s">
        <v>339</v>
      </c>
      <c r="B6" s="128" t="s">
        <v>346</v>
      </c>
      <c r="C6" s="125" t="s">
        <v>323</v>
      </c>
      <c r="D6" s="125">
        <v>589704.728</v>
      </c>
      <c r="E6" s="125">
        <v>6726354.0439999998</v>
      </c>
      <c r="F6" s="553">
        <v>-19.683233278399999</v>
      </c>
      <c r="G6" s="553">
        <v>185.14809412100001</v>
      </c>
      <c r="H6" s="157">
        <v>38</v>
      </c>
      <c r="I6" s="121">
        <f>'LNG Turbines'!$C$67</f>
        <v>210</v>
      </c>
      <c r="J6" s="126">
        <f t="shared" ref="J6:L16" si="0">CONVERT(I6,"ft","m")</f>
        <v>64.007999999999996</v>
      </c>
      <c r="K6" s="121">
        <f t="shared" ref="K6:K14" si="1">I6</f>
        <v>210</v>
      </c>
      <c r="L6" s="126">
        <f t="shared" si="0"/>
        <v>64.007999999999996</v>
      </c>
      <c r="M6" s="121">
        <f>'LNG Turbines'!$C$70</f>
        <v>970</v>
      </c>
      <c r="N6" s="126">
        <f t="shared" ref="N6:N17" si="2">CONVERT(M6,"F","K")</f>
        <v>794.26111111111106</v>
      </c>
      <c r="O6" s="121">
        <f>'LNG Turbines'!$C$73</f>
        <v>86</v>
      </c>
      <c r="P6" s="126">
        <f t="shared" ref="P6:P17" si="3">CONVERT(O6,"ft","m")</f>
        <v>26.212800000000001</v>
      </c>
      <c r="Q6" s="121">
        <f>'LNG Turbines'!$C$74</f>
        <v>19</v>
      </c>
      <c r="R6" s="126">
        <f t="shared" ref="R6:R17" si="4">CONVERT(Q6,"ft","m")</f>
        <v>5.7911999999999999</v>
      </c>
      <c r="S6" s="121">
        <f>'LNG Turbines'!$C$75</f>
        <v>0.5</v>
      </c>
      <c r="T6" s="145">
        <f>'LNG Turbines'!$C$45*$AP$4/$AP$5</f>
        <v>4.7424730871587597</v>
      </c>
      <c r="U6" s="145">
        <f>'LNG Turbines'!$C$45*$AP$4/$AP$5</f>
        <v>4.7424730871587597</v>
      </c>
      <c r="V6" s="145">
        <f>'LNG Turbines'!$D$45*$AP$4/$AP$5</f>
        <v>4.5087252539308293</v>
      </c>
      <c r="W6" s="145">
        <f>'LNG Turbines'!$C$46*$AP$4/$AP$5</f>
        <v>8.019794680583745</v>
      </c>
      <c r="X6" s="145">
        <f>'LNG Turbines'!$C$46*$AP$4/$AP$5</f>
        <v>8.019794680583745</v>
      </c>
      <c r="Y6" s="145">
        <f>'LNG Turbines'!$C$48*$AP$4/$AP$5</f>
        <v>1.0368600469117646</v>
      </c>
      <c r="Z6" s="145">
        <f>'LNG Turbines'!$D$48*$AP$4/$AP$5</f>
        <v>0.98634635231862744</v>
      </c>
      <c r="AA6" s="145">
        <f>'LNG Turbines'!$C$49*$AP$4/$AP$5</f>
        <v>1.0368600469117646</v>
      </c>
      <c r="AB6" s="145">
        <f>'LNG Turbines'!$D$49*$AP$4/$AP$5</f>
        <v>0.98634635231862744</v>
      </c>
      <c r="AC6" s="145">
        <f>'LNG Turbines'!$C$50*$AP$4/$AP$5</f>
        <v>0.3674877258425735</v>
      </c>
      <c r="AD6" s="145">
        <f>'LNG Turbines'!$C$50*$AP$4/$AP$5</f>
        <v>0.3674877258425735</v>
      </c>
      <c r="AE6" s="145">
        <f>'LNG Turbines'!$D$50*$AP$4/$AP$5</f>
        <v>0.34952782119990178</v>
      </c>
      <c r="AF6" s="136" t="s">
        <v>324</v>
      </c>
      <c r="AG6" s="127" t="s">
        <v>325</v>
      </c>
      <c r="AH6" s="127">
        <f>$Y6*(VLOOKUP($AF6 &amp;"|"&amp; $AG6,'AQRV Speciation'!$B$6:$G$21,2,FALSE))</f>
        <v>0</v>
      </c>
      <c r="AI6" s="127">
        <f>$AA6*(VLOOKUP($AF6 &amp;"|"&amp; $AG6,'AQRV Speciation'!$B$6:$G$21,3,FALSE))</f>
        <v>0.29849001350490195</v>
      </c>
      <c r="AJ6" s="127">
        <f>$Y6*(VLOOKUP($AF6 &amp;"|"&amp; $AG6,'AQRV Speciation'!$B$6:$G$21,4,FALSE))</f>
        <v>0.29849001350490195</v>
      </c>
      <c r="AK6" s="127">
        <f>$AA6*(VLOOKUP($AF6 &amp;"|"&amp; $AG6,'AQRV Speciation'!$B$6:$G$21,5,FALSE))</f>
        <v>0.73837003340686269</v>
      </c>
      <c r="AL6" s="155">
        <f>$Y6*(VLOOKUP($AF6 &amp;"|"&amp; $AG6,'AQRV Speciation'!$B$6:$G$21,6,FALSE))</f>
        <v>0.73837003340686269</v>
      </c>
    </row>
    <row r="7" spans="1:43">
      <c r="A7" s="120" t="s">
        <v>340</v>
      </c>
      <c r="B7" s="128" t="s">
        <v>347</v>
      </c>
      <c r="C7" s="125" t="s">
        <v>323</v>
      </c>
      <c r="D7" s="125">
        <v>589477.14899999998</v>
      </c>
      <c r="E7" s="125">
        <v>6726485.2869999995</v>
      </c>
      <c r="F7" s="553">
        <v>-19.907718684500001</v>
      </c>
      <c r="G7" s="553">
        <v>185.286517366</v>
      </c>
      <c r="H7" s="157">
        <v>38</v>
      </c>
      <c r="I7" s="121">
        <f>'LNG Turbines'!$C$67</f>
        <v>210</v>
      </c>
      <c r="J7" s="126">
        <f t="shared" si="0"/>
        <v>64.007999999999996</v>
      </c>
      <c r="K7" s="121">
        <f t="shared" si="1"/>
        <v>210</v>
      </c>
      <c r="L7" s="126">
        <f t="shared" si="0"/>
        <v>64.007999999999996</v>
      </c>
      <c r="M7" s="121">
        <f>'LNG Turbines'!$C$70</f>
        <v>970</v>
      </c>
      <c r="N7" s="126">
        <f t="shared" si="2"/>
        <v>794.26111111111106</v>
      </c>
      <c r="O7" s="121">
        <f>'LNG Turbines'!$C$73</f>
        <v>86</v>
      </c>
      <c r="P7" s="126">
        <f t="shared" si="3"/>
        <v>26.212800000000001</v>
      </c>
      <c r="Q7" s="121">
        <f>'LNG Turbines'!$C$74</f>
        <v>19</v>
      </c>
      <c r="R7" s="126">
        <f t="shared" si="4"/>
        <v>5.7911999999999999</v>
      </c>
      <c r="S7" s="121">
        <f>'LNG Turbines'!$C$75</f>
        <v>0.5</v>
      </c>
      <c r="T7" s="145">
        <f>'LNG Turbines'!$C$45*$AP$4/$AP$5</f>
        <v>4.7424730871587597</v>
      </c>
      <c r="U7" s="145">
        <f>'LNG Turbines'!$C$45*$AP$4/$AP$5</f>
        <v>4.7424730871587597</v>
      </c>
      <c r="V7" s="145">
        <f>'LNG Turbines'!$D$45*$AP$4/$AP$5</f>
        <v>4.5087252539308293</v>
      </c>
      <c r="W7" s="145">
        <f>'LNG Turbines'!$C$46*$AP$4/$AP$5</f>
        <v>8.019794680583745</v>
      </c>
      <c r="X7" s="145">
        <f>'LNG Turbines'!$C$46*$AP$4/$AP$5</f>
        <v>8.019794680583745</v>
      </c>
      <c r="Y7" s="145">
        <f>'LNG Turbines'!$C$48*$AP$4/$AP$5</f>
        <v>1.0368600469117646</v>
      </c>
      <c r="Z7" s="145">
        <f>'LNG Turbines'!$D$48*$AP$4/$AP$5</f>
        <v>0.98634635231862744</v>
      </c>
      <c r="AA7" s="145">
        <f>'LNG Turbines'!$C$49*$AP$4/$AP$5</f>
        <v>1.0368600469117646</v>
      </c>
      <c r="AB7" s="145">
        <f>'LNG Turbines'!$D$49*$AP$4/$AP$5</f>
        <v>0.98634635231862744</v>
      </c>
      <c r="AC7" s="145">
        <f>'LNG Turbines'!$C$50*$AP$4/$AP$5</f>
        <v>0.3674877258425735</v>
      </c>
      <c r="AD7" s="145">
        <f>'LNG Turbines'!$C$50*$AP$4/$AP$5</f>
        <v>0.3674877258425735</v>
      </c>
      <c r="AE7" s="145">
        <f>'LNG Turbines'!$D$50*$AP$4/$AP$5</f>
        <v>0.34952782119990178</v>
      </c>
      <c r="AF7" s="136" t="s">
        <v>324</v>
      </c>
      <c r="AG7" s="127" t="s">
        <v>325</v>
      </c>
      <c r="AH7" s="127">
        <f>$Y7*(VLOOKUP($AF7 &amp;"|"&amp; $AG7,'AQRV Speciation'!$B$6:$G$21,2,FALSE))</f>
        <v>0</v>
      </c>
      <c r="AI7" s="127">
        <f>$AA7*(VLOOKUP($AF7 &amp;"|"&amp; $AG7,'AQRV Speciation'!$B$6:$G$21,3,FALSE))</f>
        <v>0.29849001350490195</v>
      </c>
      <c r="AJ7" s="127">
        <f>$Y7*(VLOOKUP($AF7 &amp;"|"&amp; $AG7,'AQRV Speciation'!$B$6:$G$21,4,FALSE))</f>
        <v>0.29849001350490195</v>
      </c>
      <c r="AK7" s="127">
        <f>$AA7*(VLOOKUP($AF7 &amp;"|"&amp; $AG7,'AQRV Speciation'!$B$6:$G$21,5,FALSE))</f>
        <v>0.73837003340686269</v>
      </c>
      <c r="AL7" s="155">
        <f>$Y7*(VLOOKUP($AF7 &amp;"|"&amp; $AG7,'AQRV Speciation'!$B$6:$G$21,6,FALSE))</f>
        <v>0.73837003340686269</v>
      </c>
    </row>
    <row r="8" spans="1:43">
      <c r="A8" s="120" t="s">
        <v>341</v>
      </c>
      <c r="B8" s="128" t="s">
        <v>348</v>
      </c>
      <c r="C8" s="125" t="s">
        <v>323</v>
      </c>
      <c r="D8" s="125">
        <v>589570.15599999996</v>
      </c>
      <c r="E8" s="125">
        <v>6726549.3600000003</v>
      </c>
      <c r="F8" s="553">
        <v>-19.812496278699999</v>
      </c>
      <c r="G8" s="553">
        <v>185.348063002</v>
      </c>
      <c r="H8" s="157">
        <v>38</v>
      </c>
      <c r="I8" s="121">
        <f>'LNG Turbines'!$C$67</f>
        <v>210</v>
      </c>
      <c r="J8" s="126">
        <f t="shared" si="0"/>
        <v>64.007999999999996</v>
      </c>
      <c r="K8" s="121">
        <f t="shared" si="1"/>
        <v>210</v>
      </c>
      <c r="L8" s="126">
        <f t="shared" si="0"/>
        <v>64.007999999999996</v>
      </c>
      <c r="M8" s="121">
        <f>'LNG Turbines'!$C$70</f>
        <v>970</v>
      </c>
      <c r="N8" s="126">
        <f t="shared" si="2"/>
        <v>794.26111111111106</v>
      </c>
      <c r="O8" s="121">
        <f>'LNG Turbines'!$C$73</f>
        <v>86</v>
      </c>
      <c r="P8" s="126">
        <f t="shared" si="3"/>
        <v>26.212800000000001</v>
      </c>
      <c r="Q8" s="121">
        <f>'LNG Turbines'!$C$74</f>
        <v>19</v>
      </c>
      <c r="R8" s="126">
        <f t="shared" si="4"/>
        <v>5.7911999999999999</v>
      </c>
      <c r="S8" s="121">
        <f>'LNG Turbines'!$C$75</f>
        <v>0.5</v>
      </c>
      <c r="T8" s="145">
        <f>'LNG Turbines'!$C$45*$AP$4/$AP$5</f>
        <v>4.7424730871587597</v>
      </c>
      <c r="U8" s="145">
        <f>'LNG Turbines'!$C$45*$AP$4/$AP$5</f>
        <v>4.7424730871587597</v>
      </c>
      <c r="V8" s="145">
        <f>'LNG Turbines'!$D$45*$AP$4/$AP$5</f>
        <v>4.5087252539308293</v>
      </c>
      <c r="W8" s="145">
        <f>'LNG Turbines'!$C$46*$AP$4/$AP$5</f>
        <v>8.019794680583745</v>
      </c>
      <c r="X8" s="145">
        <f>'LNG Turbines'!$C$46*$AP$4/$AP$5</f>
        <v>8.019794680583745</v>
      </c>
      <c r="Y8" s="145">
        <f>'LNG Turbines'!$C$48*$AP$4/$AP$5</f>
        <v>1.0368600469117646</v>
      </c>
      <c r="Z8" s="145">
        <f>'LNG Turbines'!$D$48*$AP$4/$AP$5</f>
        <v>0.98634635231862744</v>
      </c>
      <c r="AA8" s="145">
        <f>'LNG Turbines'!$C$49*$AP$4/$AP$5</f>
        <v>1.0368600469117646</v>
      </c>
      <c r="AB8" s="145">
        <f>'LNG Turbines'!$D$49*$AP$4/$AP$5</f>
        <v>0.98634635231862744</v>
      </c>
      <c r="AC8" s="145">
        <f>'LNG Turbines'!$C$50*$AP$4/$AP$5</f>
        <v>0.3674877258425735</v>
      </c>
      <c r="AD8" s="145">
        <f>'LNG Turbines'!$C$50*$AP$4/$AP$5</f>
        <v>0.3674877258425735</v>
      </c>
      <c r="AE8" s="145">
        <f>'LNG Turbines'!$D$50*$AP$4/$AP$5</f>
        <v>0.34952782119990178</v>
      </c>
      <c r="AF8" s="136" t="s">
        <v>324</v>
      </c>
      <c r="AG8" s="127" t="s">
        <v>325</v>
      </c>
      <c r="AH8" s="127">
        <f>$Y8*(VLOOKUP($AF8 &amp;"|"&amp; $AG8,'AQRV Speciation'!$B$6:$G$21,2,FALSE))</f>
        <v>0</v>
      </c>
      <c r="AI8" s="127">
        <f>$AA8*(VLOOKUP($AF8 &amp;"|"&amp; $AG8,'AQRV Speciation'!$B$6:$G$21,3,FALSE))</f>
        <v>0.29849001350490195</v>
      </c>
      <c r="AJ8" s="127">
        <f>$Y8*(VLOOKUP($AF8 &amp;"|"&amp; $AG8,'AQRV Speciation'!$B$6:$G$21,4,FALSE))</f>
        <v>0.29849001350490195</v>
      </c>
      <c r="AK8" s="127">
        <f>$AA8*(VLOOKUP($AF8 &amp;"|"&amp; $AG8,'AQRV Speciation'!$B$6:$G$21,5,FALSE))</f>
        <v>0.73837003340686269</v>
      </c>
      <c r="AL8" s="155">
        <f>$Y8*(VLOOKUP($AF8 &amp;"|"&amp; $AG8,'AQRV Speciation'!$B$6:$G$21,6,FALSE))</f>
        <v>0.73837003340686269</v>
      </c>
    </row>
    <row r="9" spans="1:43">
      <c r="A9" s="120" t="s">
        <v>342</v>
      </c>
      <c r="B9" s="128" t="s">
        <v>349</v>
      </c>
      <c r="C9" s="125" t="s">
        <v>323</v>
      </c>
      <c r="D9" s="125">
        <v>589343.12899999996</v>
      </c>
      <c r="E9" s="125">
        <v>6726679.9170000004</v>
      </c>
      <c r="F9" s="553">
        <v>-20.036451164500001</v>
      </c>
      <c r="G9" s="553">
        <v>185.48578161399999</v>
      </c>
      <c r="H9" s="157">
        <v>38</v>
      </c>
      <c r="I9" s="121">
        <f>'LNG Turbines'!$C$67</f>
        <v>210</v>
      </c>
      <c r="J9" s="126">
        <f t="shared" si="0"/>
        <v>64.007999999999996</v>
      </c>
      <c r="K9" s="121">
        <f t="shared" si="1"/>
        <v>210</v>
      </c>
      <c r="L9" s="126">
        <f t="shared" si="0"/>
        <v>64.007999999999996</v>
      </c>
      <c r="M9" s="121">
        <f>'LNG Turbines'!$C$70</f>
        <v>970</v>
      </c>
      <c r="N9" s="126">
        <f t="shared" si="2"/>
        <v>794.26111111111106</v>
      </c>
      <c r="O9" s="121">
        <f>'LNG Turbines'!$C$73</f>
        <v>86</v>
      </c>
      <c r="P9" s="126">
        <f t="shared" si="3"/>
        <v>26.212800000000001</v>
      </c>
      <c r="Q9" s="121">
        <f>'LNG Turbines'!$C$74</f>
        <v>19</v>
      </c>
      <c r="R9" s="126">
        <f t="shared" si="4"/>
        <v>5.7911999999999999</v>
      </c>
      <c r="S9" s="121">
        <f>'LNG Turbines'!$C$75</f>
        <v>0.5</v>
      </c>
      <c r="T9" s="145">
        <f>'LNG Turbines'!$C$45*$AP$4/$AP$5</f>
        <v>4.7424730871587597</v>
      </c>
      <c r="U9" s="145">
        <f>'LNG Turbines'!$C$45*$AP$4/$AP$5</f>
        <v>4.7424730871587597</v>
      </c>
      <c r="V9" s="145">
        <f>'LNG Turbines'!$D$45*$AP$4/$AP$5</f>
        <v>4.5087252539308293</v>
      </c>
      <c r="W9" s="145">
        <f>'LNG Turbines'!$C$46*$AP$4/$AP$5</f>
        <v>8.019794680583745</v>
      </c>
      <c r="X9" s="145">
        <f>'LNG Turbines'!$C$46*$AP$4/$AP$5</f>
        <v>8.019794680583745</v>
      </c>
      <c r="Y9" s="145">
        <f>'LNG Turbines'!$C$48*$AP$4/$AP$5</f>
        <v>1.0368600469117646</v>
      </c>
      <c r="Z9" s="145">
        <f>'LNG Turbines'!$D$48*$AP$4/$AP$5</f>
        <v>0.98634635231862744</v>
      </c>
      <c r="AA9" s="145">
        <f>'LNG Turbines'!$C$49*$AP$4/$AP$5</f>
        <v>1.0368600469117646</v>
      </c>
      <c r="AB9" s="145">
        <f>'LNG Turbines'!$D$49*$AP$4/$AP$5</f>
        <v>0.98634635231862744</v>
      </c>
      <c r="AC9" s="145">
        <f>'LNG Turbines'!$C$50*$AP$4/$AP$5</f>
        <v>0.3674877258425735</v>
      </c>
      <c r="AD9" s="145">
        <f>'LNG Turbines'!$C$50*$AP$4/$AP$5</f>
        <v>0.3674877258425735</v>
      </c>
      <c r="AE9" s="145">
        <f>'LNG Turbines'!$D$50*$AP$4/$AP$5</f>
        <v>0.34952782119990178</v>
      </c>
      <c r="AF9" s="136" t="s">
        <v>324</v>
      </c>
      <c r="AG9" s="127" t="s">
        <v>325</v>
      </c>
      <c r="AH9" s="127">
        <f>$Y9*(VLOOKUP($AF9 &amp;"|"&amp; $AG9,'AQRV Speciation'!$B$6:$G$21,2,FALSE))</f>
        <v>0</v>
      </c>
      <c r="AI9" s="127">
        <f>$AA9*(VLOOKUP($AF9 &amp;"|"&amp; $AG9,'AQRV Speciation'!$B$6:$G$21,3,FALSE))</f>
        <v>0.29849001350490195</v>
      </c>
      <c r="AJ9" s="127">
        <f>$Y9*(VLOOKUP($AF9 &amp;"|"&amp; $AG9,'AQRV Speciation'!$B$6:$G$21,4,FALSE))</f>
        <v>0.29849001350490195</v>
      </c>
      <c r="AK9" s="127">
        <f>$AA9*(VLOOKUP($AF9 &amp;"|"&amp; $AG9,'AQRV Speciation'!$B$6:$G$21,5,FALSE))</f>
        <v>0.73837003340686269</v>
      </c>
      <c r="AL9" s="155">
        <f>$Y9*(VLOOKUP($AF9 &amp;"|"&amp; $AG9,'AQRV Speciation'!$B$6:$G$21,6,FALSE))</f>
        <v>0.73837003340686269</v>
      </c>
    </row>
    <row r="10" spans="1:43">
      <c r="A10" s="120" t="s">
        <v>343</v>
      </c>
      <c r="B10" s="128" t="s">
        <v>350</v>
      </c>
      <c r="C10" s="125" t="s">
        <v>323</v>
      </c>
      <c r="D10" s="125">
        <v>589435.87600000005</v>
      </c>
      <c r="E10" s="125">
        <v>6726744.2199999997</v>
      </c>
      <c r="F10" s="553">
        <v>-19.9414822663</v>
      </c>
      <c r="G10" s="553">
        <v>185.54756692999999</v>
      </c>
      <c r="H10" s="157">
        <v>38</v>
      </c>
      <c r="I10" s="121">
        <f>'LNG Turbines'!$C$67</f>
        <v>210</v>
      </c>
      <c r="J10" s="126">
        <f t="shared" si="0"/>
        <v>64.007999999999996</v>
      </c>
      <c r="K10" s="121">
        <f t="shared" si="1"/>
        <v>210</v>
      </c>
      <c r="L10" s="126">
        <f t="shared" si="0"/>
        <v>64.007999999999996</v>
      </c>
      <c r="M10" s="121">
        <f>'LNG Turbines'!$C$70</f>
        <v>970</v>
      </c>
      <c r="N10" s="126">
        <f t="shared" si="2"/>
        <v>794.26111111111106</v>
      </c>
      <c r="O10" s="121">
        <f>'LNG Turbines'!$C$73</f>
        <v>86</v>
      </c>
      <c r="P10" s="126">
        <f t="shared" si="3"/>
        <v>26.212800000000001</v>
      </c>
      <c r="Q10" s="121">
        <f>'LNG Turbines'!$C$74</f>
        <v>19</v>
      </c>
      <c r="R10" s="126">
        <f t="shared" si="4"/>
        <v>5.7911999999999999</v>
      </c>
      <c r="S10" s="121">
        <f>'LNG Turbines'!$C$75</f>
        <v>0.5</v>
      </c>
      <c r="T10" s="145">
        <f>'LNG Turbines'!$C$45*$AP$4/$AP$5</f>
        <v>4.7424730871587597</v>
      </c>
      <c r="U10" s="145">
        <f>'LNG Turbines'!$C$45*$AP$4/$AP$5</f>
        <v>4.7424730871587597</v>
      </c>
      <c r="V10" s="145">
        <f>'LNG Turbines'!$D$45*$AP$4/$AP$5</f>
        <v>4.5087252539308293</v>
      </c>
      <c r="W10" s="145">
        <f>'LNG Turbines'!$C$46*$AP$4/$AP$5</f>
        <v>8.019794680583745</v>
      </c>
      <c r="X10" s="145">
        <f>'LNG Turbines'!$C$46*$AP$4/$AP$5</f>
        <v>8.019794680583745</v>
      </c>
      <c r="Y10" s="145">
        <f>'LNG Turbines'!$C$48*$AP$4/$AP$5</f>
        <v>1.0368600469117646</v>
      </c>
      <c r="Z10" s="145">
        <f>'LNG Turbines'!$D$48*$AP$4/$AP$5</f>
        <v>0.98634635231862744</v>
      </c>
      <c r="AA10" s="145">
        <f>'LNG Turbines'!$C$49*$AP$4/$AP$5</f>
        <v>1.0368600469117646</v>
      </c>
      <c r="AB10" s="145">
        <f>'LNG Turbines'!$D$49*$AP$4/$AP$5</f>
        <v>0.98634635231862744</v>
      </c>
      <c r="AC10" s="145">
        <f>'LNG Turbines'!$C$50*$AP$4/$AP$5</f>
        <v>0.3674877258425735</v>
      </c>
      <c r="AD10" s="145">
        <f>'LNG Turbines'!$C$50*$AP$4/$AP$5</f>
        <v>0.3674877258425735</v>
      </c>
      <c r="AE10" s="145">
        <f>'LNG Turbines'!$D$50*$AP$4/$AP$5</f>
        <v>0.34952782119990178</v>
      </c>
      <c r="AF10" s="136" t="s">
        <v>324</v>
      </c>
      <c r="AG10" s="127" t="s">
        <v>325</v>
      </c>
      <c r="AH10" s="127">
        <f>$Y10*(VLOOKUP($AF10 &amp;"|"&amp; $AG10,'AQRV Speciation'!$B$6:$G$21,2,FALSE))</f>
        <v>0</v>
      </c>
      <c r="AI10" s="127">
        <f>$AA10*(VLOOKUP($AF10 &amp;"|"&amp; $AG10,'AQRV Speciation'!$B$6:$G$21,3,FALSE))</f>
        <v>0.29849001350490195</v>
      </c>
      <c r="AJ10" s="127">
        <f>$Y10*(VLOOKUP($AF10 &amp;"|"&amp; $AG10,'AQRV Speciation'!$B$6:$G$21,4,FALSE))</f>
        <v>0.29849001350490195</v>
      </c>
      <c r="AK10" s="127">
        <f>$AA10*(VLOOKUP($AF10 &amp;"|"&amp; $AG10,'AQRV Speciation'!$B$6:$G$21,5,FALSE))</f>
        <v>0.73837003340686269</v>
      </c>
      <c r="AL10" s="155">
        <f>$Y10*(VLOOKUP($AF10 &amp;"|"&amp; $AG10,'AQRV Speciation'!$B$6:$G$21,6,FALSE))</f>
        <v>0.73837003340686269</v>
      </c>
    </row>
    <row r="11" spans="1:43">
      <c r="A11" s="120" t="s">
        <v>351</v>
      </c>
      <c r="B11" s="128" t="s">
        <v>335</v>
      </c>
      <c r="C11" s="125" t="s">
        <v>323</v>
      </c>
      <c r="D11" s="125">
        <v>589851.08499999996</v>
      </c>
      <c r="E11" s="125">
        <v>6726009.5499999998</v>
      </c>
      <c r="F11" s="553">
        <v>-19.5465585482</v>
      </c>
      <c r="G11" s="553">
        <v>184.798087576</v>
      </c>
      <c r="H11" s="157">
        <v>38</v>
      </c>
      <c r="I11" s="121">
        <f>'LNG Turbines'!$E$67</f>
        <v>150</v>
      </c>
      <c r="J11" s="126">
        <f t="shared" si="0"/>
        <v>45.72</v>
      </c>
      <c r="K11" s="121">
        <f t="shared" si="1"/>
        <v>150</v>
      </c>
      <c r="L11" s="126">
        <f t="shared" si="0"/>
        <v>45.72</v>
      </c>
      <c r="M11" s="121">
        <f>'LNG Turbines'!$E$70</f>
        <v>341</v>
      </c>
      <c r="N11" s="126">
        <f t="shared" si="2"/>
        <v>444.81666666666661</v>
      </c>
      <c r="O11" s="121">
        <f>'LNG Turbines'!$E$73</f>
        <v>48</v>
      </c>
      <c r="P11" s="126">
        <f t="shared" si="3"/>
        <v>14.6304</v>
      </c>
      <c r="Q11" s="121">
        <f>'LNG Turbines'!$E$74</f>
        <v>10</v>
      </c>
      <c r="R11" s="126">
        <f t="shared" si="4"/>
        <v>3.048</v>
      </c>
      <c r="S11" s="121">
        <f>'LNG Turbines'!$E$75</f>
        <v>0.5</v>
      </c>
      <c r="T11" s="145">
        <f>'LNG Turbines'!$E$45*$AP$4/$AP$5</f>
        <v>1.8413259296437237</v>
      </c>
      <c r="U11" s="145">
        <f>'LNG Turbines'!$E$45*$AP$4/$AP$5</f>
        <v>1.8413259296437237</v>
      </c>
      <c r="V11" s="145">
        <f>'LNG Turbines'!$F$45*$AP$4/$AP$5</f>
        <v>1.5215162785930081</v>
      </c>
      <c r="W11" s="145">
        <f>'LNG Turbines'!$E$46*$AP$4/$AP$5</f>
        <v>0.99641216719690306</v>
      </c>
      <c r="X11" s="145">
        <f>'LNG Turbines'!$E$46*$AP$4/$AP$5</f>
        <v>0.99641216719690306</v>
      </c>
      <c r="Y11" s="145">
        <f>'LNG Turbines'!$E$48*$AP$4/$AP$5</f>
        <v>0.38372683787418294</v>
      </c>
      <c r="Z11" s="145">
        <f>'LNG Turbines'!$F$48*$AP$4/$AP$5</f>
        <v>0.34030278462745095</v>
      </c>
      <c r="AA11" s="145">
        <f>'LNG Turbines'!$E$49*$AP$4/$AP$5</f>
        <v>0.38372683787418294</v>
      </c>
      <c r="AB11" s="145">
        <f>'LNG Turbines'!$F$49*$AP$4/$AP$5</f>
        <v>0.34030278462745095</v>
      </c>
      <c r="AC11" s="145">
        <f>'LNG Turbines'!$E$50*$AP$4/$AP$5</f>
        <v>0.1358601678492663</v>
      </c>
      <c r="AD11" s="145">
        <f>'LNG Turbines'!$E$50*$AP$4/$AP$5</f>
        <v>0.1358601678492663</v>
      </c>
      <c r="AE11" s="145">
        <f>'LNG Turbines'!$F$50*$AP$4/$AP$5</f>
        <v>0.12051003199188023</v>
      </c>
      <c r="AF11" s="136" t="s">
        <v>324</v>
      </c>
      <c r="AG11" s="127" t="s">
        <v>325</v>
      </c>
      <c r="AH11" s="127">
        <f>$Y11*(VLOOKUP($AF11 &amp;"|"&amp; $AG11,'AQRV Speciation'!$B$6:$G$21,2,FALSE))</f>
        <v>0</v>
      </c>
      <c r="AI11" s="127">
        <f>$AA11*(VLOOKUP($AF11 &amp;"|"&amp; $AG11,'AQRV Speciation'!$B$6:$G$21,3,FALSE))</f>
        <v>0.11046681696377994</v>
      </c>
      <c r="AJ11" s="127">
        <f>$Y11*(VLOOKUP($AF11 &amp;"|"&amp; $AG11,'AQRV Speciation'!$B$6:$G$21,4,FALSE))</f>
        <v>0.11046681696377994</v>
      </c>
      <c r="AK11" s="127">
        <f>$AA11*(VLOOKUP($AF11 &amp;"|"&amp; $AG11,'AQRV Speciation'!$B$6:$G$21,5,FALSE))</f>
        <v>0.27326002091040302</v>
      </c>
      <c r="AL11" s="155">
        <f>$Y11*(VLOOKUP($AF11 &amp;"|"&amp; $AG11,'AQRV Speciation'!$B$6:$G$21,6,FALSE))</f>
        <v>0.27326002091040302</v>
      </c>
    </row>
    <row r="12" spans="1:43">
      <c r="A12" s="120" t="s">
        <v>352</v>
      </c>
      <c r="B12" s="128" t="s">
        <v>335</v>
      </c>
      <c r="C12" s="125" t="s">
        <v>323</v>
      </c>
      <c r="D12" s="125">
        <v>589931.33799999999</v>
      </c>
      <c r="E12" s="125">
        <v>6726064.9419999998</v>
      </c>
      <c r="F12" s="553">
        <v>-19.464392010299999</v>
      </c>
      <c r="G12" s="553">
        <v>184.85129644400001</v>
      </c>
      <c r="H12" s="157">
        <v>38</v>
      </c>
      <c r="I12" s="121">
        <f>'LNG Turbines'!$E$67</f>
        <v>150</v>
      </c>
      <c r="J12" s="126">
        <f t="shared" si="0"/>
        <v>45.72</v>
      </c>
      <c r="K12" s="121">
        <f t="shared" si="1"/>
        <v>150</v>
      </c>
      <c r="L12" s="126">
        <f t="shared" si="0"/>
        <v>45.72</v>
      </c>
      <c r="M12" s="121">
        <f>'LNG Turbines'!$E$70</f>
        <v>341</v>
      </c>
      <c r="N12" s="126">
        <f t="shared" si="2"/>
        <v>444.81666666666661</v>
      </c>
      <c r="O12" s="121">
        <f>'LNG Turbines'!$E$73</f>
        <v>48</v>
      </c>
      <c r="P12" s="126">
        <f t="shared" si="3"/>
        <v>14.6304</v>
      </c>
      <c r="Q12" s="121">
        <f>'LNG Turbines'!$E$74</f>
        <v>10</v>
      </c>
      <c r="R12" s="126">
        <f t="shared" si="4"/>
        <v>3.048</v>
      </c>
      <c r="S12" s="121">
        <f>'LNG Turbines'!$E$75</f>
        <v>0.5</v>
      </c>
      <c r="T12" s="145">
        <f>'LNG Turbines'!$E$45*$AP$4/$AP$5</f>
        <v>1.8413259296437237</v>
      </c>
      <c r="U12" s="145">
        <f>'LNG Turbines'!$E$45*$AP$4/$AP$5</f>
        <v>1.8413259296437237</v>
      </c>
      <c r="V12" s="145">
        <f>'LNG Turbines'!$F$45*$AP$4/$AP$5</f>
        <v>1.5215162785930081</v>
      </c>
      <c r="W12" s="145">
        <f>'LNG Turbines'!$E$46*$AP$4/$AP$5</f>
        <v>0.99641216719690306</v>
      </c>
      <c r="X12" s="145">
        <f>'LNG Turbines'!$E$46*$AP$4/$AP$5</f>
        <v>0.99641216719690306</v>
      </c>
      <c r="Y12" s="145">
        <f>'LNG Turbines'!$E$48*$AP$4/$AP$5</f>
        <v>0.38372683787418294</v>
      </c>
      <c r="Z12" s="145">
        <f>'LNG Turbines'!$F$48*$AP$4/$AP$5</f>
        <v>0.34030278462745095</v>
      </c>
      <c r="AA12" s="145">
        <f>'LNG Turbines'!$E$49*$AP$4/$AP$5</f>
        <v>0.38372683787418294</v>
      </c>
      <c r="AB12" s="145">
        <f>'LNG Turbines'!$F$49*$AP$4/$AP$5</f>
        <v>0.34030278462745095</v>
      </c>
      <c r="AC12" s="145">
        <f>'LNG Turbines'!$E$50*$AP$4/$AP$5</f>
        <v>0.1358601678492663</v>
      </c>
      <c r="AD12" s="145">
        <f>'LNG Turbines'!$E$50*$AP$4/$AP$5</f>
        <v>0.1358601678492663</v>
      </c>
      <c r="AE12" s="145">
        <f>'LNG Turbines'!$F$50*$AP$4/$AP$5</f>
        <v>0.12051003199188023</v>
      </c>
      <c r="AF12" s="136" t="s">
        <v>324</v>
      </c>
      <c r="AG12" s="127" t="s">
        <v>325</v>
      </c>
      <c r="AH12" s="127">
        <f>$Y12*(VLOOKUP($AF12 &amp;"|"&amp; $AG12,'AQRV Speciation'!$B$6:$G$21,2,FALSE))</f>
        <v>0</v>
      </c>
      <c r="AI12" s="127">
        <f>$AA12*(VLOOKUP($AF12 &amp;"|"&amp; $AG12,'AQRV Speciation'!$B$6:$G$21,3,FALSE))</f>
        <v>0.11046681696377994</v>
      </c>
      <c r="AJ12" s="127">
        <f>$Y12*(VLOOKUP($AF12 &amp;"|"&amp; $AG12,'AQRV Speciation'!$B$6:$G$21,4,FALSE))</f>
        <v>0.11046681696377994</v>
      </c>
      <c r="AK12" s="127">
        <f>$AA12*(VLOOKUP($AF12 &amp;"|"&amp; $AG12,'AQRV Speciation'!$B$6:$G$21,5,FALSE))</f>
        <v>0.27326002091040302</v>
      </c>
      <c r="AL12" s="155">
        <f>$Y12*(VLOOKUP($AF12 &amp;"|"&amp; $AG12,'AQRV Speciation'!$B$6:$G$21,6,FALSE))</f>
        <v>0.27326002091040302</v>
      </c>
    </row>
    <row r="13" spans="1:43">
      <c r="A13" s="120" t="s">
        <v>353</v>
      </c>
      <c r="B13" s="128" t="s">
        <v>335</v>
      </c>
      <c r="C13" s="125" t="s">
        <v>323</v>
      </c>
      <c r="D13" s="125">
        <v>590011.59199999995</v>
      </c>
      <c r="E13" s="125">
        <v>6726120.3389999997</v>
      </c>
      <c r="F13" s="553">
        <v>-19.382223894399999</v>
      </c>
      <c r="G13" s="553">
        <v>184.90451008700001</v>
      </c>
      <c r="H13" s="157">
        <v>38</v>
      </c>
      <c r="I13" s="121">
        <f>'LNG Turbines'!$E$67</f>
        <v>150</v>
      </c>
      <c r="J13" s="126">
        <f t="shared" si="0"/>
        <v>45.72</v>
      </c>
      <c r="K13" s="121">
        <f t="shared" si="1"/>
        <v>150</v>
      </c>
      <c r="L13" s="126">
        <f t="shared" si="0"/>
        <v>45.72</v>
      </c>
      <c r="M13" s="121">
        <f>'LNG Turbines'!$E$70</f>
        <v>341</v>
      </c>
      <c r="N13" s="126">
        <f t="shared" si="2"/>
        <v>444.81666666666661</v>
      </c>
      <c r="O13" s="121">
        <f>'LNG Turbines'!$E$73</f>
        <v>48</v>
      </c>
      <c r="P13" s="126">
        <f t="shared" si="3"/>
        <v>14.6304</v>
      </c>
      <c r="Q13" s="121">
        <f>'LNG Turbines'!$E$74</f>
        <v>10</v>
      </c>
      <c r="R13" s="126">
        <f t="shared" si="4"/>
        <v>3.048</v>
      </c>
      <c r="S13" s="121">
        <f>'LNG Turbines'!$E$75</f>
        <v>0.5</v>
      </c>
      <c r="T13" s="145">
        <f>'LNG Turbines'!$E$45*$AP$4/$AP$5</f>
        <v>1.8413259296437237</v>
      </c>
      <c r="U13" s="145">
        <f>'LNG Turbines'!$E$45*$AP$4/$AP$5</f>
        <v>1.8413259296437237</v>
      </c>
      <c r="V13" s="145">
        <f>'LNG Turbines'!$F$45*$AP$4/$AP$5</f>
        <v>1.5215162785930081</v>
      </c>
      <c r="W13" s="145">
        <f>'LNG Turbines'!$E$46*$AP$4/$AP$5</f>
        <v>0.99641216719690306</v>
      </c>
      <c r="X13" s="145">
        <f>'LNG Turbines'!$E$46*$AP$4/$AP$5</f>
        <v>0.99641216719690306</v>
      </c>
      <c r="Y13" s="145">
        <f>'LNG Turbines'!$E$48*$AP$4/$AP$5</f>
        <v>0.38372683787418294</v>
      </c>
      <c r="Z13" s="145">
        <f>'LNG Turbines'!$F$48*$AP$4/$AP$5</f>
        <v>0.34030278462745095</v>
      </c>
      <c r="AA13" s="145">
        <f>'LNG Turbines'!$E$49*$AP$4/$AP$5</f>
        <v>0.38372683787418294</v>
      </c>
      <c r="AB13" s="145">
        <f>'LNG Turbines'!$F$49*$AP$4/$AP$5</f>
        <v>0.34030278462745095</v>
      </c>
      <c r="AC13" s="145">
        <f>'LNG Turbines'!$E$50*$AP$4/$AP$5</f>
        <v>0.1358601678492663</v>
      </c>
      <c r="AD13" s="145">
        <f>'LNG Turbines'!$E$50*$AP$4/$AP$5</f>
        <v>0.1358601678492663</v>
      </c>
      <c r="AE13" s="145">
        <f>'LNG Turbines'!$F$50*$AP$4/$AP$5</f>
        <v>0.12051003199188023</v>
      </c>
      <c r="AF13" s="136" t="s">
        <v>324</v>
      </c>
      <c r="AG13" s="127" t="s">
        <v>325</v>
      </c>
      <c r="AH13" s="127">
        <f>$Y13*(VLOOKUP($AF13 &amp;"|"&amp; $AG13,'AQRV Speciation'!$B$6:$G$21,2,FALSE))</f>
        <v>0</v>
      </c>
      <c r="AI13" s="127">
        <f>$AA13*(VLOOKUP($AF13 &amp;"|"&amp; $AG13,'AQRV Speciation'!$B$6:$G$21,3,FALSE))</f>
        <v>0.11046681696377994</v>
      </c>
      <c r="AJ13" s="127">
        <f>$Y13*(VLOOKUP($AF13 &amp;"|"&amp; $AG13,'AQRV Speciation'!$B$6:$G$21,4,FALSE))</f>
        <v>0.11046681696377994</v>
      </c>
      <c r="AK13" s="127">
        <f>$AA13*(VLOOKUP($AF13 &amp;"|"&amp; $AG13,'AQRV Speciation'!$B$6:$G$21,5,FALSE))</f>
        <v>0.27326002091040302</v>
      </c>
      <c r="AL13" s="155">
        <f>$Y13*(VLOOKUP($AF13 &amp;"|"&amp; $AG13,'AQRV Speciation'!$B$6:$G$21,6,FALSE))</f>
        <v>0.27326002091040302</v>
      </c>
    </row>
    <row r="14" spans="1:43" ht="15.75" customHeight="1">
      <c r="A14" s="120" t="s">
        <v>354</v>
      </c>
      <c r="B14" s="128" t="s">
        <v>335</v>
      </c>
      <c r="C14" s="125" t="s">
        <v>323</v>
      </c>
      <c r="D14" s="125">
        <v>590091.82999999996</v>
      </c>
      <c r="E14" s="125">
        <v>6726175.75</v>
      </c>
      <c r="F14" s="553">
        <v>-19.300070992399998</v>
      </c>
      <c r="G14" s="553">
        <v>184.95773803899999</v>
      </c>
      <c r="H14" s="157">
        <v>38</v>
      </c>
      <c r="I14" s="121">
        <f>'LNG Turbines'!$E$67</f>
        <v>150</v>
      </c>
      <c r="J14" s="126">
        <f t="shared" si="0"/>
        <v>45.72</v>
      </c>
      <c r="K14" s="121">
        <f t="shared" si="1"/>
        <v>150</v>
      </c>
      <c r="L14" s="126">
        <f t="shared" si="0"/>
        <v>45.72</v>
      </c>
      <c r="M14" s="121">
        <f>'LNG Turbines'!$E$70</f>
        <v>341</v>
      </c>
      <c r="N14" s="126">
        <f t="shared" si="2"/>
        <v>444.81666666666661</v>
      </c>
      <c r="O14" s="121">
        <f>'LNG Turbines'!$E$73</f>
        <v>48</v>
      </c>
      <c r="P14" s="126">
        <f t="shared" si="3"/>
        <v>14.6304</v>
      </c>
      <c r="Q14" s="121">
        <f>'LNG Turbines'!$E$74</f>
        <v>10</v>
      </c>
      <c r="R14" s="126">
        <f t="shared" si="4"/>
        <v>3.048</v>
      </c>
      <c r="S14" s="121">
        <f>'LNG Turbines'!$E$75</f>
        <v>0.5</v>
      </c>
      <c r="T14" s="145">
        <f>'LNG Turbines'!$E$45*$AP$4/$AP$5</f>
        <v>1.8413259296437237</v>
      </c>
      <c r="U14" s="145">
        <f>'LNG Turbines'!$E$45*$AP$4/$AP$5</f>
        <v>1.8413259296437237</v>
      </c>
      <c r="V14" s="145">
        <f>'LNG Turbines'!$F$45*$AP$4/$AP$5</f>
        <v>1.5215162785930081</v>
      </c>
      <c r="W14" s="145">
        <f>'LNG Turbines'!$E$46*$AP$4/$AP$5</f>
        <v>0.99641216719690306</v>
      </c>
      <c r="X14" s="145">
        <f>'LNG Turbines'!$E$46*$AP$4/$AP$5</f>
        <v>0.99641216719690306</v>
      </c>
      <c r="Y14" s="145">
        <f>'LNG Turbines'!$E$48*$AP$4/$AP$5</f>
        <v>0.38372683787418294</v>
      </c>
      <c r="Z14" s="145">
        <f>'LNG Turbines'!$F$48*$AP$4/$AP$5</f>
        <v>0.34030278462745095</v>
      </c>
      <c r="AA14" s="145">
        <f>'LNG Turbines'!$E$49*$AP$4/$AP$5</f>
        <v>0.38372683787418294</v>
      </c>
      <c r="AB14" s="145">
        <f>'LNG Turbines'!$F$49*$AP$4/$AP$5</f>
        <v>0.34030278462745095</v>
      </c>
      <c r="AC14" s="145">
        <f>'LNG Turbines'!$E$50*$AP$4/$AP$5</f>
        <v>0.1358601678492663</v>
      </c>
      <c r="AD14" s="145">
        <f>'LNG Turbines'!$E$50*$AP$4/$AP$5</f>
        <v>0.1358601678492663</v>
      </c>
      <c r="AE14" s="145">
        <f>'LNG Turbines'!$F$50*$AP$4/$AP$5</f>
        <v>0.12051003199188023</v>
      </c>
      <c r="AF14" s="136" t="s">
        <v>324</v>
      </c>
      <c r="AG14" s="127" t="s">
        <v>325</v>
      </c>
      <c r="AH14" s="127">
        <f>$Y14*(VLOOKUP($AF14 &amp;"|"&amp; $AG14,'AQRV Speciation'!$B$6:$G$21,2,FALSE))</f>
        <v>0</v>
      </c>
      <c r="AI14" s="127">
        <f>$AA14*(VLOOKUP($AF14 &amp;"|"&amp; $AG14,'AQRV Speciation'!$B$6:$G$21,3,FALSE))</f>
        <v>0.11046681696377994</v>
      </c>
      <c r="AJ14" s="127">
        <f>$Y14*(VLOOKUP($AF14 &amp;"|"&amp; $AG14,'AQRV Speciation'!$B$6:$G$21,4,FALSE))</f>
        <v>0.11046681696377994</v>
      </c>
      <c r="AK14" s="127">
        <f>$AA14*(VLOOKUP($AF14 &amp;"|"&amp; $AG14,'AQRV Speciation'!$B$6:$G$21,5,FALSE))</f>
        <v>0.27326002091040302</v>
      </c>
      <c r="AL14" s="155">
        <f>$Y14*(VLOOKUP($AF14 &amp;"|"&amp; $AG14,'AQRV Speciation'!$B$6:$G$21,6,FALSE))</f>
        <v>0.27326002091040302</v>
      </c>
    </row>
    <row r="15" spans="1:43">
      <c r="A15" s="132" t="s">
        <v>326</v>
      </c>
      <c r="B15" s="143"/>
      <c r="C15" s="143"/>
      <c r="D15" s="125"/>
      <c r="E15" s="125"/>
      <c r="F15" s="553"/>
      <c r="G15" s="553"/>
      <c r="H15" s="143"/>
      <c r="I15" s="143"/>
      <c r="J15" s="143"/>
      <c r="K15" s="143"/>
      <c r="L15" s="143"/>
      <c r="M15" s="143"/>
      <c r="N15" s="143"/>
      <c r="O15" s="143"/>
      <c r="P15" s="143"/>
      <c r="Q15" s="143"/>
      <c r="R15" s="143"/>
      <c r="S15" s="143"/>
      <c r="T15" s="146"/>
      <c r="U15" s="146"/>
      <c r="V15" s="146"/>
      <c r="W15" s="146"/>
      <c r="X15" s="147"/>
      <c r="Y15" s="146"/>
      <c r="Z15" s="146"/>
      <c r="AA15" s="146"/>
      <c r="AB15" s="146"/>
      <c r="AC15" s="146"/>
      <c r="AD15" s="146"/>
      <c r="AE15" s="146"/>
      <c r="AF15" s="137"/>
      <c r="AG15" s="130"/>
      <c r="AH15" s="130"/>
      <c r="AI15" s="130"/>
      <c r="AJ15" s="130"/>
      <c r="AK15" s="130"/>
      <c r="AL15" s="138"/>
    </row>
    <row r="16" spans="1:43">
      <c r="A16" s="120" t="s">
        <v>355</v>
      </c>
      <c r="B16" s="128" t="s">
        <v>384</v>
      </c>
      <c r="C16" s="125" t="s">
        <v>323</v>
      </c>
      <c r="D16" s="125">
        <v>589576.44099999999</v>
      </c>
      <c r="E16" s="125">
        <v>6726013.4780000001</v>
      </c>
      <c r="F16" s="553">
        <v>-19.822029028900001</v>
      </c>
      <c r="G16" s="553">
        <v>184.810148446</v>
      </c>
      <c r="H16" s="157">
        <v>38</v>
      </c>
      <c r="I16" s="121">
        <f>'LNG Diesel Equip'!$C$60</f>
        <v>10</v>
      </c>
      <c r="J16" s="126">
        <f t="shared" si="0"/>
        <v>3.048</v>
      </c>
      <c r="K16" s="121">
        <f>I16</f>
        <v>10</v>
      </c>
      <c r="L16" s="126">
        <f t="shared" si="0"/>
        <v>3.048</v>
      </c>
      <c r="M16" s="121">
        <f>'LNG Diesel Equip'!$C$61</f>
        <v>883</v>
      </c>
      <c r="N16" s="126">
        <f t="shared" si="2"/>
        <v>745.92777777777769</v>
      </c>
      <c r="O16" s="121">
        <f>'LNG Diesel Equip'!$C$62</f>
        <v>115</v>
      </c>
      <c r="P16" s="126">
        <f t="shared" si="3"/>
        <v>35.052</v>
      </c>
      <c r="Q16" s="121">
        <f>'LNG Diesel Equip'!$C$63</f>
        <v>0.66500000000000004</v>
      </c>
      <c r="R16" s="126">
        <f t="shared" si="4"/>
        <v>0.20269200000000001</v>
      </c>
      <c r="S16" s="121">
        <f>'LNG Diesel Equip'!$C$64</f>
        <v>0.5</v>
      </c>
      <c r="T16" s="145">
        <f>'LNG Diesel Equip'!$C$38*$AP$4/$AP$5*$A$33/$A$36</f>
        <v>1.7734493911719944E-3</v>
      </c>
      <c r="U16" s="145">
        <f>'LNG Diesel Equip'!$C$38*$AP$4/$AP$5</f>
        <v>3.1070833333333339E-2</v>
      </c>
      <c r="V16" s="145">
        <f>'LNG Diesel Equip'!$C$38*$AP$4/$AP$5*$A$33/$A$36</f>
        <v>1.7734493911719944E-3</v>
      </c>
      <c r="W16" s="145">
        <f>'LNG Diesel Equip'!$C$39*$AP$4/$AP$5</f>
        <v>0.27186979166666664</v>
      </c>
      <c r="X16" s="145">
        <f>'LNG Diesel Equip'!$C$39*$AP$4/$AP$5</f>
        <v>0.27186979166666664</v>
      </c>
      <c r="Y16" s="145">
        <f>'LNG Diesel Equip'!$C$41*$AP$4/$AP$5</f>
        <v>1.5535416666666666E-3</v>
      </c>
      <c r="Z16" s="145">
        <f>'LNG Diesel Equip'!$C$41*$AP$4/$AP$5*$A$33/$A$36</f>
        <v>8.8672469558599693E-5</v>
      </c>
      <c r="AA16" s="145">
        <f>'LNG Diesel Equip'!$C$42*$AP$4/$AP$5</f>
        <v>1.5535416666666666E-3</v>
      </c>
      <c r="AB16" s="145">
        <f>'LNG Diesel Equip'!$C$42*$AP$4/$AP$5*$A$33/$A$36</f>
        <v>8.8672469558599693E-5</v>
      </c>
      <c r="AC16" s="145">
        <f>'LNG Diesel Equip'!$C$43*$AP$4/$AP$5*$A$33/$A$36</f>
        <v>2.1079682491767934E-5</v>
      </c>
      <c r="AD16" s="145">
        <f>'LNG Diesel Equip'!$C$43*$AP$4/$AP$5</f>
        <v>3.6931603725577422E-4</v>
      </c>
      <c r="AE16" s="145">
        <f>'LNG Diesel Equip'!$C$43*$AP$4/$AP$5*$A$33/$A$36</f>
        <v>2.1079682491767934E-5</v>
      </c>
      <c r="AF16" s="136" t="s">
        <v>380</v>
      </c>
      <c r="AG16" s="127" t="s">
        <v>327</v>
      </c>
      <c r="AH16" s="127">
        <f>$Y16*(VLOOKUP($AF16 &amp;"|"&amp; $AG16,'AQRV Speciation'!$B$6:$G$21,2,FALSE))</f>
        <v>0</v>
      </c>
      <c r="AI16" s="127">
        <f>$AA16*(VLOOKUP($AF16 &amp;"|"&amp; $AG16,'AQRV Speciation'!$B$6:$G$21,3,FALSE))</f>
        <v>1.3383929106714628E-3</v>
      </c>
      <c r="AJ16" s="127">
        <f>$Y16*(VLOOKUP($AF16 &amp;"|"&amp; $AG16,'AQRV Speciation'!$B$6:$G$21,4,FALSE))</f>
        <v>1.3447760325770797E-3</v>
      </c>
      <c r="AK16" s="127">
        <f>$AA16*(VLOOKUP($AF16 &amp;"|"&amp; $AG16,'AQRV Speciation'!$B$6:$G$21,5,FALSE))</f>
        <v>2.1514875599520382E-4</v>
      </c>
      <c r="AL16" s="155">
        <f>$Y16*(VLOOKUP($AF16 &amp;"|"&amp; $AG16,'AQRV Speciation'!$B$6:$G$21,6,FALSE))</f>
        <v>2.0876563408958699E-4</v>
      </c>
    </row>
    <row r="17" spans="1:38">
      <c r="A17" s="120" t="s">
        <v>356</v>
      </c>
      <c r="B17" s="128" t="s">
        <v>385</v>
      </c>
      <c r="C17" s="125" t="s">
        <v>323</v>
      </c>
      <c r="D17" s="125">
        <v>590146.72699999996</v>
      </c>
      <c r="E17" s="125">
        <v>6726056.2240000004</v>
      </c>
      <c r="F17" s="553">
        <v>-19.248521469100002</v>
      </c>
      <c r="G17" s="553">
        <v>184.836177354</v>
      </c>
      <c r="H17" s="157">
        <v>38</v>
      </c>
      <c r="I17" s="121">
        <f>'LNG Diesel Equip'!$D$60</f>
        <v>10</v>
      </c>
      <c r="J17" s="126">
        <f>CONVERT(I17,"ft","m")</f>
        <v>3.048</v>
      </c>
      <c r="K17" s="121">
        <f>I17</f>
        <v>10</v>
      </c>
      <c r="L17" s="126">
        <f>CONVERT(K17,"ft","m")</f>
        <v>3.048</v>
      </c>
      <c r="M17" s="121">
        <f>'LNG Diesel Equip'!$D$61</f>
        <v>908</v>
      </c>
      <c r="N17" s="126">
        <f t="shared" si="2"/>
        <v>759.81666666666661</v>
      </c>
      <c r="O17" s="121">
        <f>'LNG Diesel Equip'!$D$62</f>
        <v>157</v>
      </c>
      <c r="P17" s="126">
        <f t="shared" si="3"/>
        <v>47.8536</v>
      </c>
      <c r="Q17" s="121">
        <f>'LNG Diesel Equip'!$D$63</f>
        <v>0.66500000000000004</v>
      </c>
      <c r="R17" s="126">
        <f t="shared" si="4"/>
        <v>0.20269200000000001</v>
      </c>
      <c r="S17" s="121">
        <f>'LNG Diesel Equip'!$D$64</f>
        <v>0.5</v>
      </c>
      <c r="T17" s="145">
        <f>'LNG Diesel Equip'!$D$38*$AP$4/$AP$5*$A$33/$A$36</f>
        <v>3.2477763508371379E-2</v>
      </c>
      <c r="U17" s="145">
        <f>'LNG Diesel Equip'!$D$38*$AP$4/$AP$5</f>
        <v>0.56901041666666652</v>
      </c>
      <c r="V17" s="145">
        <f>'LNG Diesel Equip'!$D$38*$AP$4/$AP$5*$A$33/$A$36</f>
        <v>3.2477763508371379E-2</v>
      </c>
      <c r="W17" s="145">
        <f>'LNG Diesel Equip'!$D$39*$AP$4/$AP$5</f>
        <v>0.51909722222222232</v>
      </c>
      <c r="X17" s="145">
        <f>'LNG Diesel Equip'!$D$39*$AP$4/$AP$5</f>
        <v>0.51909722222222232</v>
      </c>
      <c r="Y17" s="145">
        <f>'LNG Diesel Equip'!$D$41*$AP$4/$AP$5</f>
        <v>2.9947916666666668E-2</v>
      </c>
      <c r="Z17" s="145">
        <f>'LNG Diesel Equip'!$D$41*$AP$4/$AP$5*$A$33/$A$36</f>
        <v>1.7093559741248098E-3</v>
      </c>
      <c r="AA17" s="145">
        <f>'LNG Diesel Equip'!$D$42*$AP$4/$AP$5</f>
        <v>2.9947916666666668E-2</v>
      </c>
      <c r="AB17" s="145">
        <f>'LNG Diesel Equip'!$D$42*$AP$4/$AP$5*$A$33/$A$36</f>
        <v>1.7093559741248098E-3</v>
      </c>
      <c r="AC17" s="145">
        <f>'LNG Diesel Equip'!$D$43*$AP$4/$AP$5*$A$33/$A$36</f>
        <v>4.0402724775888547E-5</v>
      </c>
      <c r="AD17" s="145">
        <f>'LNG Diesel Equip'!$D$43*$AP$4/$AP$5</f>
        <v>7.078557380735674E-4</v>
      </c>
      <c r="AE17" s="145">
        <f>'LNG Diesel Equip'!$D$43*$AP$4/$AP$5*$A$33/$A$36</f>
        <v>4.0402724775888547E-5</v>
      </c>
      <c r="AF17" s="136" t="s">
        <v>328</v>
      </c>
      <c r="AG17" s="127" t="s">
        <v>327</v>
      </c>
      <c r="AH17" s="127">
        <f>$Y17*(VLOOKUP($AF17 &amp;"|"&amp; $AG17,'AQRV Speciation'!$B$6:$G$21,2,FALSE))</f>
        <v>0</v>
      </c>
      <c r="AI17" s="127">
        <f>$AA17*(VLOOKUP($AF17 &amp;"|"&amp; $AG17,'AQRV Speciation'!$B$6:$G$21,3,FALSE))</f>
        <v>2.580045338729017E-2</v>
      </c>
      <c r="AJ17" s="127">
        <f>$Y17*(VLOOKUP($AF17 &amp;"|"&amp; $AG17,'AQRV Speciation'!$B$6:$G$21,4,FALSE))</f>
        <v>2.5923502036067483E-2</v>
      </c>
      <c r="AK17" s="127">
        <f>$AA17*(VLOOKUP($AF17 &amp;"|"&amp; $AG17,'AQRV Speciation'!$B$6:$G$21,5,FALSE))</f>
        <v>4.147463279376499E-3</v>
      </c>
      <c r="AL17" s="155">
        <f>$Y17*(VLOOKUP($AF17 &amp;"|"&amp; $AG17,'AQRV Speciation'!$B$6:$G$21,6,FALSE))</f>
        <v>4.0244146305991862E-3</v>
      </c>
    </row>
    <row r="18" spans="1:38">
      <c r="A18" s="132" t="s">
        <v>329</v>
      </c>
      <c r="B18" s="143"/>
      <c r="C18" s="143"/>
      <c r="D18" s="125"/>
      <c r="E18" s="125"/>
      <c r="F18" s="553"/>
      <c r="G18" s="553"/>
      <c r="H18" s="143"/>
      <c r="I18" s="143"/>
      <c r="J18" s="143"/>
      <c r="K18" s="143"/>
      <c r="L18" s="143"/>
      <c r="M18" s="143"/>
      <c r="N18" s="143"/>
      <c r="O18" s="143"/>
      <c r="P18" s="143"/>
      <c r="Q18" s="143"/>
      <c r="R18" s="143"/>
      <c r="S18" s="144"/>
      <c r="T18" s="146"/>
      <c r="U18" s="146"/>
      <c r="V18" s="146"/>
      <c r="W18" s="146"/>
      <c r="X18" s="147"/>
      <c r="Y18" s="146"/>
      <c r="Z18" s="146"/>
      <c r="AA18" s="146"/>
      <c r="AB18" s="146"/>
      <c r="AC18" s="146"/>
      <c r="AD18" s="146"/>
      <c r="AE18" s="146"/>
      <c r="AF18" s="137"/>
      <c r="AG18" s="130"/>
      <c r="AH18" s="130"/>
      <c r="AI18" s="130"/>
      <c r="AJ18" s="130"/>
      <c r="AK18" s="130"/>
      <c r="AL18" s="138"/>
    </row>
    <row r="19" spans="1:38" s="498" customFormat="1">
      <c r="A19" s="160" t="s">
        <v>357</v>
      </c>
      <c r="B19" s="128" t="s">
        <v>366</v>
      </c>
      <c r="C19" s="125" t="s">
        <v>323</v>
      </c>
      <c r="D19" s="125">
        <v>589999.68599999999</v>
      </c>
      <c r="E19" s="125">
        <v>6725837.0700000003</v>
      </c>
      <c r="F19" s="553">
        <v>-19.402549170699999</v>
      </c>
      <c r="G19" s="553">
        <v>184.620621903</v>
      </c>
      <c r="H19" s="157">
        <v>38</v>
      </c>
      <c r="I19" s="121">
        <f>CONVERT(J19,"m","ft")</f>
        <v>0</v>
      </c>
      <c r="J19" s="121">
        <f>'LNG Flares'!$C$33</f>
        <v>0</v>
      </c>
      <c r="K19" s="121">
        <f>CONVERT(L19,"m","ft")</f>
        <v>7.5555379231414017</v>
      </c>
      <c r="L19" s="121">
        <f>'LNG Flares'!$C$83</f>
        <v>2.3029279589734992</v>
      </c>
      <c r="M19" s="126">
        <f>CONVERT(N19,"K","F")</f>
        <v>1831.73</v>
      </c>
      <c r="N19" s="121">
        <f>'LNG Flares'!$C$84</f>
        <v>1273</v>
      </c>
      <c r="O19" s="126">
        <f>CONVERT(P19,"m","ft")</f>
        <v>65.616797900262469</v>
      </c>
      <c r="P19" s="121">
        <f>'LNG Flares'!$C$85</f>
        <v>20</v>
      </c>
      <c r="Q19" s="126">
        <f>CONVERT(R19,"m","ft")</f>
        <v>1.4635124589393471</v>
      </c>
      <c r="R19" s="121">
        <f>'LNG Flares'!$C$86</f>
        <v>0.44607859748471296</v>
      </c>
      <c r="S19" s="121">
        <f>'LNG Flares'!$C$87</f>
        <v>0.5</v>
      </c>
      <c r="T19" s="145">
        <f>'LNG Flares'!$C$61*$AP$4/$AP$5</f>
        <v>6.1259849444444452E-2</v>
      </c>
      <c r="U19" s="145">
        <f>'LNG Flares'!$C$61*$AP$4/$AP$5</f>
        <v>6.1259849444444452E-2</v>
      </c>
      <c r="V19" s="145">
        <f>'LNG Flares'!$C$61*$AP$4/$AP$5</f>
        <v>6.1259849444444452E-2</v>
      </c>
      <c r="W19" s="145">
        <f>'LNG Flares'!$C$62*$AP$4/$AP$5</f>
        <v>0.27927284305555555</v>
      </c>
      <c r="X19" s="145">
        <f>'LNG Flares'!$C$62*$AP$4/$AP$5</f>
        <v>0.27927284305555555</v>
      </c>
      <c r="Y19" s="145">
        <f>'LNG Flares'!$C$64*$AP$4/$AP$5</f>
        <v>2.5422934707221189E-2</v>
      </c>
      <c r="Z19" s="145">
        <f>'LNG Flares'!$C$64*$AP$4/$AP$5</f>
        <v>2.5422934707221189E-2</v>
      </c>
      <c r="AA19" s="145">
        <f>'LNG Flares'!$C$65*$AP$4/$AP$5</f>
        <v>2.5422934707221189E-2</v>
      </c>
      <c r="AB19" s="145">
        <f>'LNG Flares'!$C$65*$AP$4/$AP$5</f>
        <v>2.5422934707221189E-2</v>
      </c>
      <c r="AC19" s="145">
        <f>'LNG Flares'!$C$66*$AP$4/$AP$5</f>
        <v>2.1746935759185773E-3</v>
      </c>
      <c r="AD19" s="145">
        <f>'LNG Flares'!$C$66*$AP$4/$AP$5</f>
        <v>2.1746935759185773E-3</v>
      </c>
      <c r="AE19" s="145">
        <f>'LNG Flares'!$C$66*$AP$4/$AP$5</f>
        <v>2.1746935759185773E-3</v>
      </c>
      <c r="AF19" s="136" t="s">
        <v>330</v>
      </c>
      <c r="AG19" s="127" t="s">
        <v>325</v>
      </c>
      <c r="AH19" s="127">
        <f>$Y19*(VLOOKUP($AF19 &amp;"|"&amp; $AG19,'AQRV Speciation'!$B$6:$G$21,2,FALSE))</f>
        <v>0</v>
      </c>
      <c r="AI19" s="127">
        <f>$AA19*(VLOOKUP($AF19 &amp;"|"&amp; $AG19,'AQRV Speciation'!$B$6:$G$21,3,FALSE))</f>
        <v>6.3557336768052973E-3</v>
      </c>
      <c r="AJ19" s="127">
        <f>$Y19*(VLOOKUP($AF19 &amp;"|"&amp; $AG19,'AQRV Speciation'!$B$6:$G$21,4,FALSE))</f>
        <v>6.3557336768052973E-3</v>
      </c>
      <c r="AK19" s="127">
        <f>$AA19*(VLOOKUP($AF19 &amp;"|"&amp; $AG19,'AQRV Speciation'!$B$6:$G$21,5,FALSE))</f>
        <v>1.9067201030415894E-2</v>
      </c>
      <c r="AL19" s="155">
        <f>$Y19*(VLOOKUP($AF19 &amp;"|"&amp; $AG19,'AQRV Speciation'!$B$6:$G$21,6,FALSE))</f>
        <v>1.9067201030415894E-2</v>
      </c>
    </row>
    <row r="20" spans="1:38">
      <c r="A20" s="120" t="s">
        <v>360</v>
      </c>
      <c r="B20" s="128" t="s">
        <v>366</v>
      </c>
      <c r="C20" s="125" t="s">
        <v>323</v>
      </c>
      <c r="D20" s="125">
        <v>590097.73800000001</v>
      </c>
      <c r="E20" s="125">
        <v>6725906.2939999998</v>
      </c>
      <c r="F20" s="553">
        <v>-19.3021138923</v>
      </c>
      <c r="G20" s="553">
        <v>184.68718257699999</v>
      </c>
      <c r="H20" s="157">
        <v>38</v>
      </c>
      <c r="I20" s="121">
        <f>CONVERT(J20,"m","ft")</f>
        <v>0</v>
      </c>
      <c r="J20" s="121">
        <f>'LNG Flares'!$C$33</f>
        <v>0</v>
      </c>
      <c r="K20" s="121">
        <f>CONVERT(L20,"m","ft")</f>
        <v>7.5555379231414017</v>
      </c>
      <c r="L20" s="121">
        <f>'LNG Flares'!$C$83</f>
        <v>2.3029279589734992</v>
      </c>
      <c r="M20" s="126">
        <f>CONVERT(N20,"K","F")</f>
        <v>1831.73</v>
      </c>
      <c r="N20" s="121">
        <f>'LNG Flares'!$C$84</f>
        <v>1273</v>
      </c>
      <c r="O20" s="126">
        <f>CONVERT(P20,"m","ft")</f>
        <v>65.616797900262469</v>
      </c>
      <c r="P20" s="121">
        <f>'LNG Flares'!$C$85</f>
        <v>20</v>
      </c>
      <c r="Q20" s="126">
        <f>CONVERT(R20,"m","ft")</f>
        <v>1.4635124589393471</v>
      </c>
      <c r="R20" s="121">
        <f>'LNG Flares'!$C$86</f>
        <v>0.44607859748471296</v>
      </c>
      <c r="S20" s="121">
        <f>'LNG Flares'!$C$87</f>
        <v>0.5</v>
      </c>
      <c r="T20" s="145">
        <f>'LNG Flares'!$C$61*$AP$4/$AP$5</f>
        <v>6.1259849444444452E-2</v>
      </c>
      <c r="U20" s="145">
        <f>'LNG Flares'!$C$61*$AP$4/$AP$5</f>
        <v>6.1259849444444452E-2</v>
      </c>
      <c r="V20" s="145">
        <f>'LNG Flares'!$C$61*$AP$4/$AP$5</f>
        <v>6.1259849444444452E-2</v>
      </c>
      <c r="W20" s="145">
        <f>'LNG Flares'!$C$62*$AP$4/$AP$5</f>
        <v>0.27927284305555555</v>
      </c>
      <c r="X20" s="145">
        <f>'LNG Flares'!$C$62*$AP$4/$AP$5</f>
        <v>0.27927284305555555</v>
      </c>
      <c r="Y20" s="145">
        <f>'LNG Flares'!$C$64*$AP$4/$AP$5</f>
        <v>2.5422934707221189E-2</v>
      </c>
      <c r="Z20" s="145">
        <f>'LNG Flares'!$C$64*$AP$4/$AP$5</f>
        <v>2.5422934707221189E-2</v>
      </c>
      <c r="AA20" s="145">
        <f>'LNG Flares'!$C$65*$AP$4/$AP$5</f>
        <v>2.5422934707221189E-2</v>
      </c>
      <c r="AB20" s="145">
        <f>'LNG Flares'!$C$65*$AP$4/$AP$5</f>
        <v>2.5422934707221189E-2</v>
      </c>
      <c r="AC20" s="145">
        <f>'LNG Flares'!$C$66*$AP$4/$AP$5</f>
        <v>2.1746935759185773E-3</v>
      </c>
      <c r="AD20" s="145">
        <f>'LNG Flares'!$C$66*$AP$4/$AP$5</f>
        <v>2.1746935759185773E-3</v>
      </c>
      <c r="AE20" s="145">
        <f>'LNG Flares'!$C$66*$AP$4/$AP$5</f>
        <v>2.1746935759185773E-3</v>
      </c>
      <c r="AF20" s="136" t="s">
        <v>330</v>
      </c>
      <c r="AG20" s="127" t="s">
        <v>325</v>
      </c>
      <c r="AH20" s="127">
        <f>$Y20*(VLOOKUP($AF20 &amp;"|"&amp; $AG20,'AQRV Speciation'!$B$6:$G$21,2,FALSE))</f>
        <v>0</v>
      </c>
      <c r="AI20" s="127">
        <f>$AA20*(VLOOKUP($AF20 &amp;"|"&amp; $AG20,'AQRV Speciation'!$B$6:$G$21,3,FALSE))</f>
        <v>6.3557336768052973E-3</v>
      </c>
      <c r="AJ20" s="127">
        <f>$Y20*(VLOOKUP($AF20 &amp;"|"&amp; $AG20,'AQRV Speciation'!$B$6:$G$21,4,FALSE))</f>
        <v>6.3557336768052973E-3</v>
      </c>
      <c r="AK20" s="127">
        <f>$AA20*(VLOOKUP($AF20 &amp;"|"&amp; $AG20,'AQRV Speciation'!$B$6:$G$21,5,FALSE))</f>
        <v>1.9067201030415894E-2</v>
      </c>
      <c r="AL20" s="155">
        <f>$Y20*(VLOOKUP($AF20 &amp;"|"&amp; $AG20,'AQRV Speciation'!$B$6:$G$21,6,FALSE))</f>
        <v>1.9067201030415894E-2</v>
      </c>
    </row>
    <row r="21" spans="1:38" s="498" customFormat="1">
      <c r="A21" s="160" t="s">
        <v>358</v>
      </c>
      <c r="B21" s="128" t="s">
        <v>367</v>
      </c>
      <c r="C21" s="125" t="s">
        <v>323</v>
      </c>
      <c r="D21" s="125">
        <v>589999.68599999999</v>
      </c>
      <c r="E21" s="125">
        <v>6725837.0700000003</v>
      </c>
      <c r="F21" s="553">
        <v>-19.402549170699999</v>
      </c>
      <c r="G21" s="553">
        <v>184.620621903</v>
      </c>
      <c r="H21" s="157">
        <v>38</v>
      </c>
      <c r="I21" s="121">
        <f t="shared" ref="I21:I28" si="5">CONVERT(J21,"m","ft")</f>
        <v>0</v>
      </c>
      <c r="J21" s="121">
        <f>'LNG Flares'!$D$33</f>
        <v>0</v>
      </c>
      <c r="K21" s="121">
        <f t="shared" ref="K21:K28" si="6">CONVERT(L21,"m","ft")</f>
        <v>4.3451056308208278</v>
      </c>
      <c r="L21" s="121">
        <f>'LNG Flares'!$D$83</f>
        <v>1.3243881962741884</v>
      </c>
      <c r="M21" s="126">
        <f t="shared" ref="M21:M28" si="7">CONVERT(N21,"K","F")</f>
        <v>1831.73</v>
      </c>
      <c r="N21" s="121">
        <f>'LNG Flares'!$D$84</f>
        <v>1273</v>
      </c>
      <c r="O21" s="126">
        <f t="shared" ref="O21:O28" si="8">CONVERT(P21,"m","ft")</f>
        <v>65.616797900262469</v>
      </c>
      <c r="P21" s="121">
        <f>'LNG Flares'!$D$85</f>
        <v>20</v>
      </c>
      <c r="Q21" s="126">
        <f t="shared" ref="Q21:Q28" si="9">CONVERT(R21,"m","ft")</f>
        <v>0.82048972894326799</v>
      </c>
      <c r="R21" s="121">
        <f>'LNG Flares'!$D$86</f>
        <v>0.25008526938190806</v>
      </c>
      <c r="S21" s="121">
        <f>'LNG Flares'!$D$87</f>
        <v>0.5</v>
      </c>
      <c r="T21" s="145">
        <f>'LNG Flares'!$D$61*$AP$4/$AP$5</f>
        <v>1.9277575000000002E-2</v>
      </c>
      <c r="U21" s="145">
        <f>'LNG Flares'!$D$61*$AP$4/$AP$5</f>
        <v>1.9277575000000002E-2</v>
      </c>
      <c r="V21" s="145">
        <f>'LNG Flares'!$D$61*$AP$4/$AP$5</f>
        <v>1.9277575000000002E-2</v>
      </c>
      <c r="W21" s="145">
        <f>'LNG Flares'!$D$62*$AP$4/$AP$5</f>
        <v>8.7883062499999998E-2</v>
      </c>
      <c r="X21" s="145">
        <f>'LNG Flares'!$D$62*$AP$4/$AP$5</f>
        <v>8.7883062499999998E-2</v>
      </c>
      <c r="Y21" s="145">
        <f>'LNG Flares'!$D$64*$AP$4/$AP$5</f>
        <v>8.0002242085661073E-3</v>
      </c>
      <c r="Z21" s="145">
        <f>'LNG Flares'!$D$64*$AP$4/$AP$5</f>
        <v>8.0002242085661073E-3</v>
      </c>
      <c r="AA21" s="145">
        <f>'LNG Flares'!$D$65*$AP$4/$AP$5</f>
        <v>8.0002242085661073E-3</v>
      </c>
      <c r="AB21" s="145">
        <f>'LNG Flares'!$D$65*$AP$4/$AP$5</f>
        <v>8.0002242085661073E-3</v>
      </c>
      <c r="AC21" s="145">
        <f>'LNG Flares'!$D$66*$AP$4/$AP$5</f>
        <v>7.0874604694537652E-4</v>
      </c>
      <c r="AD21" s="145">
        <f>'LNG Flares'!$D$66*$AP$4/$AP$5</f>
        <v>7.0874604694537652E-4</v>
      </c>
      <c r="AE21" s="145">
        <f>'LNG Flares'!$D$66*$AP$4/$AP$5</f>
        <v>7.0874604694537652E-4</v>
      </c>
      <c r="AF21" s="136" t="s">
        <v>330</v>
      </c>
      <c r="AG21" s="127" t="s">
        <v>325</v>
      </c>
      <c r="AH21" s="127">
        <f>$Y21*(VLOOKUP($AF21 &amp;"|"&amp; $AG21,'AQRV Speciation'!$B$6:$G$21,2,FALSE))</f>
        <v>0</v>
      </c>
      <c r="AI21" s="127">
        <f>$AA21*(VLOOKUP($AF21 &amp;"|"&amp; $AG21,'AQRV Speciation'!$B$6:$G$21,3,FALSE))</f>
        <v>2.0000560521415268E-3</v>
      </c>
      <c r="AJ21" s="127">
        <f>$Y21*(VLOOKUP($AF21 &amp;"|"&amp; $AG21,'AQRV Speciation'!$B$6:$G$21,4,FALSE))</f>
        <v>2.0000560521415268E-3</v>
      </c>
      <c r="AK21" s="127">
        <f>$AA21*(VLOOKUP($AF21 &amp;"|"&amp; $AG21,'AQRV Speciation'!$B$6:$G$21,5,FALSE))</f>
        <v>6.0001681564245818E-3</v>
      </c>
      <c r="AL21" s="155">
        <f>$Y21*(VLOOKUP($AF21 &amp;"|"&amp; $AG21,'AQRV Speciation'!$B$6:$G$21,6,FALSE))</f>
        <v>6.0001681564245818E-3</v>
      </c>
    </row>
    <row r="22" spans="1:38">
      <c r="A22" s="120" t="s">
        <v>361</v>
      </c>
      <c r="B22" s="128" t="s">
        <v>367</v>
      </c>
      <c r="C22" s="125" t="s">
        <v>323</v>
      </c>
      <c r="D22" s="125">
        <v>590097.73800000001</v>
      </c>
      <c r="E22" s="125">
        <v>6725906.2939999998</v>
      </c>
      <c r="F22" s="553">
        <v>-19.3021138923</v>
      </c>
      <c r="G22" s="553">
        <v>184.68718257699999</v>
      </c>
      <c r="H22" s="157">
        <v>38</v>
      </c>
      <c r="I22" s="121">
        <f>CONVERT(J22,"m","ft")</f>
        <v>0</v>
      </c>
      <c r="J22" s="121">
        <f>'LNG Flares'!$D$33</f>
        <v>0</v>
      </c>
      <c r="K22" s="121">
        <f>CONVERT(L22,"m","ft")</f>
        <v>4.3451056308208278</v>
      </c>
      <c r="L22" s="121">
        <f>'LNG Flares'!$D$83</f>
        <v>1.3243881962741884</v>
      </c>
      <c r="M22" s="126">
        <f>CONVERT(N22,"K","F")</f>
        <v>1831.73</v>
      </c>
      <c r="N22" s="121">
        <f>'LNG Flares'!$D$84</f>
        <v>1273</v>
      </c>
      <c r="O22" s="126">
        <f>CONVERT(P22,"m","ft")</f>
        <v>65.616797900262469</v>
      </c>
      <c r="P22" s="121">
        <f>'LNG Flares'!$D$85</f>
        <v>20</v>
      </c>
      <c r="Q22" s="126">
        <f>CONVERT(R22,"m","ft")</f>
        <v>0.82048972894326799</v>
      </c>
      <c r="R22" s="121">
        <f>'LNG Flares'!$D$86</f>
        <v>0.25008526938190806</v>
      </c>
      <c r="S22" s="121">
        <f>'LNG Flares'!$D$87</f>
        <v>0.5</v>
      </c>
      <c r="T22" s="145">
        <f>'LNG Flares'!$D$61*$AP$4/$AP$5</f>
        <v>1.9277575000000002E-2</v>
      </c>
      <c r="U22" s="145">
        <f>'LNG Flares'!$D$61*$AP$4/$AP$5</f>
        <v>1.9277575000000002E-2</v>
      </c>
      <c r="V22" s="145">
        <f>'LNG Flares'!$D$61*$AP$4/$AP$5</f>
        <v>1.9277575000000002E-2</v>
      </c>
      <c r="W22" s="145">
        <f>'LNG Flares'!$D$62*$AP$4/$AP$5</f>
        <v>8.7883062499999998E-2</v>
      </c>
      <c r="X22" s="145">
        <f>'LNG Flares'!$D$62*$AP$4/$AP$5</f>
        <v>8.7883062499999998E-2</v>
      </c>
      <c r="Y22" s="145">
        <f>'LNG Flares'!$D$64*$AP$4/$AP$5</f>
        <v>8.0002242085661073E-3</v>
      </c>
      <c r="Z22" s="145">
        <f>'LNG Flares'!$D$64*$AP$4/$AP$5</f>
        <v>8.0002242085661073E-3</v>
      </c>
      <c r="AA22" s="145">
        <f>'LNG Flares'!$D$65*$AP$4/$AP$5</f>
        <v>8.0002242085661073E-3</v>
      </c>
      <c r="AB22" s="145">
        <f>'LNG Flares'!$D$65*$AP$4/$AP$5</f>
        <v>8.0002242085661073E-3</v>
      </c>
      <c r="AC22" s="145">
        <f>'LNG Flares'!$D$66*$AP$4/$AP$5</f>
        <v>7.0874604694537652E-4</v>
      </c>
      <c r="AD22" s="145">
        <f>'LNG Flares'!$D$66*$AP$4/$AP$5</f>
        <v>7.0874604694537652E-4</v>
      </c>
      <c r="AE22" s="145">
        <f>'LNG Flares'!$D$66*$AP$4/$AP$5</f>
        <v>7.0874604694537652E-4</v>
      </c>
      <c r="AF22" s="136" t="s">
        <v>330</v>
      </c>
      <c r="AG22" s="127" t="s">
        <v>325</v>
      </c>
      <c r="AH22" s="127">
        <f>$Y22*(VLOOKUP($AF22 &amp;"|"&amp; $AG22,'AQRV Speciation'!$B$6:$G$21,2,FALSE))</f>
        <v>0</v>
      </c>
      <c r="AI22" s="127">
        <f>$AA22*(VLOOKUP($AF22 &amp;"|"&amp; $AG22,'AQRV Speciation'!$B$6:$G$21,3,FALSE))</f>
        <v>2.0000560521415268E-3</v>
      </c>
      <c r="AJ22" s="127">
        <f>$Y22*(VLOOKUP($AF22 &amp;"|"&amp; $AG22,'AQRV Speciation'!$B$6:$G$21,4,FALSE))</f>
        <v>2.0000560521415268E-3</v>
      </c>
      <c r="AK22" s="127">
        <f>$AA22*(VLOOKUP($AF22 &amp;"|"&amp; $AG22,'AQRV Speciation'!$B$6:$G$21,5,FALSE))</f>
        <v>6.0001681564245818E-3</v>
      </c>
      <c r="AL22" s="155">
        <f>$Y22*(VLOOKUP($AF22 &amp;"|"&amp; $AG22,'AQRV Speciation'!$B$6:$G$21,6,FALSE))</f>
        <v>6.0001681564245818E-3</v>
      </c>
    </row>
    <row r="23" spans="1:38" s="498" customFormat="1">
      <c r="A23" s="160" t="s">
        <v>359</v>
      </c>
      <c r="B23" s="128" t="s">
        <v>382</v>
      </c>
      <c r="C23" s="125" t="s">
        <v>323</v>
      </c>
      <c r="D23" s="125">
        <v>589999.68599999999</v>
      </c>
      <c r="E23" s="125">
        <v>6725837.0700000003</v>
      </c>
      <c r="F23" s="553">
        <v>-19.402549170699999</v>
      </c>
      <c r="G23" s="553">
        <v>184.620621903</v>
      </c>
      <c r="H23" s="157">
        <v>38</v>
      </c>
      <c r="I23" s="121">
        <f t="shared" si="5"/>
        <v>0</v>
      </c>
      <c r="J23" s="121">
        <f>'LNG Flares'!$F$33</f>
        <v>0</v>
      </c>
      <c r="K23" s="121">
        <f t="shared" si="6"/>
        <v>567.00346366989515</v>
      </c>
      <c r="L23" s="121">
        <f>'LNG Flares'!$F$83</f>
        <v>172.82265572658403</v>
      </c>
      <c r="M23" s="126">
        <f t="shared" si="7"/>
        <v>1831.73</v>
      </c>
      <c r="N23" s="121">
        <f>'LNG Flares'!$F$84</f>
        <v>1273</v>
      </c>
      <c r="O23" s="126">
        <f t="shared" si="8"/>
        <v>65.616797900262469</v>
      </c>
      <c r="P23" s="121">
        <f>'LNG Flares'!$F$85</f>
        <v>20</v>
      </c>
      <c r="Q23" s="126">
        <f t="shared" si="9"/>
        <v>133.97647901515552</v>
      </c>
      <c r="R23" s="121">
        <f>'LNG Flares'!$F$86</f>
        <v>40.836030803819405</v>
      </c>
      <c r="S23" s="121">
        <f>'LNG Flares'!$F$87</f>
        <v>0.5</v>
      </c>
      <c r="T23" s="145">
        <f>'LNG Flares'!$F$61*$AP$4/$AP$5*$A$34/$A$36</f>
        <v>29.337906631151704</v>
      </c>
      <c r="U23" s="145">
        <f>'LNG Flares'!$F$61*$AP$4/$AP$5*$A$37/24</f>
        <v>10.708335920370372</v>
      </c>
      <c r="V23" s="145">
        <f>'LNG Flares'!$F$61*$AP$4/$AP$5*$A$34/$A$36</f>
        <v>29.337906631151704</v>
      </c>
      <c r="W23" s="145">
        <f>'LNG Flares'!$F$62*$AP$4/$AP$5*$A$37/1</f>
        <v>1171.617930111111</v>
      </c>
      <c r="X23" s="145">
        <f>'LNG Flares'!$F$62*$AP$4/$AP$5*$A$37/8</f>
        <v>146.45224126388888</v>
      </c>
      <c r="Y23" s="145">
        <f>'LNG Flares'!$F$64*$AP$4/$AP$5*$A$37/24</f>
        <v>4.4439763955583151</v>
      </c>
      <c r="Z23" s="145">
        <f>'LNG Flares'!$F$64*$AP$4/$AP$5*$A$34/$A$36</f>
        <v>12.175277796050178</v>
      </c>
      <c r="AA23" s="145">
        <f>'LNG Flares'!$F$65*$AP$4/$AP$5*$A$37/24</f>
        <v>4.4439763955583151</v>
      </c>
      <c r="AB23" s="145">
        <f>'LNG Flares'!$F$65*$AP$4/$AP$5*$A$34/$A$36</f>
        <v>12.175277796050178</v>
      </c>
      <c r="AC23" s="145">
        <f>'LNG Flares'!$F$66*$AP$4/$AP$5*$A$34/$A$36</f>
        <v>1.075160338746143</v>
      </c>
      <c r="AD23" s="145">
        <f>'LNG Flares'!$F$66*$AP$4/$AP$5*$A$37/3</f>
        <v>3.1394681891387379</v>
      </c>
      <c r="AE23" s="145">
        <f>'LNG Flares'!$F$66*$AP$4/$AP$5*$A$34/$A$36</f>
        <v>1.075160338746143</v>
      </c>
      <c r="AF23" s="136" t="s">
        <v>330</v>
      </c>
      <c r="AG23" s="127" t="s">
        <v>325</v>
      </c>
      <c r="AH23" s="127">
        <f>$Y23*(VLOOKUP($AF23 &amp;"|"&amp; $AG23,'AQRV Speciation'!$B$6:$G$21,2,FALSE))</f>
        <v>0</v>
      </c>
      <c r="AI23" s="127">
        <f>$AA23*(VLOOKUP($AF23 &amp;"|"&amp; $AG23,'AQRV Speciation'!$B$6:$G$21,3,FALSE))</f>
        <v>1.1109940988895788</v>
      </c>
      <c r="AJ23" s="127">
        <f>$Y23*(VLOOKUP($AF23 &amp;"|"&amp; $AG23,'AQRV Speciation'!$B$6:$G$21,4,FALSE))</f>
        <v>1.1109940988895788</v>
      </c>
      <c r="AK23" s="127">
        <f>$AA23*(VLOOKUP($AF23 &amp;"|"&amp; $AG23,'AQRV Speciation'!$B$6:$G$21,5,FALSE))</f>
        <v>3.332982296668737</v>
      </c>
      <c r="AL23" s="155">
        <f>$Y23*(VLOOKUP($AF23 &amp;"|"&amp; $AG23,'AQRV Speciation'!$B$6:$G$21,6,FALSE))</f>
        <v>3.332982296668737</v>
      </c>
    </row>
    <row r="24" spans="1:38">
      <c r="A24" s="120" t="s">
        <v>362</v>
      </c>
      <c r="B24" s="128" t="s">
        <v>382</v>
      </c>
      <c r="C24" s="125" t="s">
        <v>323</v>
      </c>
      <c r="D24" s="125">
        <v>590097.73800000001</v>
      </c>
      <c r="E24" s="125">
        <v>6725906.2939999998</v>
      </c>
      <c r="F24" s="553">
        <v>-19.3021138923</v>
      </c>
      <c r="G24" s="553">
        <v>184.68718257699999</v>
      </c>
      <c r="H24" s="157">
        <v>38</v>
      </c>
      <c r="I24" s="121">
        <f>CONVERT(J24,"m","ft")</f>
        <v>0</v>
      </c>
      <c r="J24" s="121">
        <f>'LNG Flares'!$F$33</f>
        <v>0</v>
      </c>
      <c r="K24" s="121">
        <f>CONVERT(L24,"m","ft")</f>
        <v>567.00346366989515</v>
      </c>
      <c r="L24" s="121">
        <f>'LNG Flares'!$F$83</f>
        <v>172.82265572658403</v>
      </c>
      <c r="M24" s="126">
        <f>CONVERT(N24,"K","F")</f>
        <v>1831.73</v>
      </c>
      <c r="N24" s="121">
        <f>'LNG Flares'!$F$84</f>
        <v>1273</v>
      </c>
      <c r="O24" s="126">
        <f>CONVERT(P24,"m","ft")</f>
        <v>65.616797900262469</v>
      </c>
      <c r="P24" s="121">
        <f>'LNG Flares'!$F$85</f>
        <v>20</v>
      </c>
      <c r="Q24" s="126">
        <f>CONVERT(R24,"m","ft")</f>
        <v>133.97647901515552</v>
      </c>
      <c r="R24" s="121">
        <f>'LNG Flares'!$F$86</f>
        <v>40.836030803819405</v>
      </c>
      <c r="S24" s="121">
        <f>'LNG Flares'!$F$87</f>
        <v>0.5</v>
      </c>
      <c r="T24" s="145">
        <f>'LNG Flares'!$F$61*$AP$4/$AP$5*$A$34/$A$36</f>
        <v>29.337906631151704</v>
      </c>
      <c r="U24" s="145">
        <f>'LNG Flares'!$F$61*$AP$4/$AP$5*$A$37/24</f>
        <v>10.708335920370372</v>
      </c>
      <c r="V24" s="145">
        <f>'LNG Flares'!$F$61*$AP$4/$AP$5*$A$34/$A$36</f>
        <v>29.337906631151704</v>
      </c>
      <c r="W24" s="145">
        <f>'LNG Flares'!$F$62*$AP$4/$AP$5*$A$37/1</f>
        <v>1171.617930111111</v>
      </c>
      <c r="X24" s="145">
        <f>'LNG Flares'!$F$62*$AP$4/$AP$5*$A$37/8</f>
        <v>146.45224126388888</v>
      </c>
      <c r="Y24" s="145">
        <f>'LNG Flares'!$F$64*$AP$4/$AP$5*$A$37/24</f>
        <v>4.4439763955583151</v>
      </c>
      <c r="Z24" s="145">
        <f>'LNG Flares'!$F$64*$AP$4/$AP$5*$A$34/$A$36</f>
        <v>12.175277796050178</v>
      </c>
      <c r="AA24" s="145">
        <f>'LNG Flares'!$F$65*$AP$4/$AP$5*$A$37/24</f>
        <v>4.4439763955583151</v>
      </c>
      <c r="AB24" s="145">
        <f>'LNG Flares'!$F$65*$AP$4/$AP$5*$A$34/$A$36</f>
        <v>12.175277796050178</v>
      </c>
      <c r="AC24" s="145">
        <f>'LNG Flares'!$F$66*$AP$4/$AP$5*$A$34/$A$36</f>
        <v>1.075160338746143</v>
      </c>
      <c r="AD24" s="145">
        <f>'LNG Flares'!$F$66*$AP$4/$AP$5*$A$37/3</f>
        <v>3.1394681891387379</v>
      </c>
      <c r="AE24" s="145">
        <f>'LNG Flares'!$F$66*$AP$4/$AP$5*$A$34/$A$36</f>
        <v>1.075160338746143</v>
      </c>
      <c r="AF24" s="136" t="s">
        <v>330</v>
      </c>
      <c r="AG24" s="127" t="s">
        <v>325</v>
      </c>
      <c r="AH24" s="127">
        <f>$Y24*(VLOOKUP($AF24 &amp;"|"&amp; $AG24,'AQRV Speciation'!$B$6:$G$21,2,FALSE))</f>
        <v>0</v>
      </c>
      <c r="AI24" s="127">
        <f>$AA24*(VLOOKUP($AF24 &amp;"|"&amp; $AG24,'AQRV Speciation'!$B$6:$G$21,3,FALSE))</f>
        <v>1.1109940988895788</v>
      </c>
      <c r="AJ24" s="127">
        <f>$Y24*(VLOOKUP($AF24 &amp;"|"&amp; $AG24,'AQRV Speciation'!$B$6:$G$21,4,FALSE))</f>
        <v>1.1109940988895788</v>
      </c>
      <c r="AK24" s="127">
        <f>$AA24*(VLOOKUP($AF24 &amp;"|"&amp; $AG24,'AQRV Speciation'!$B$6:$G$21,5,FALSE))</f>
        <v>3.332982296668737</v>
      </c>
      <c r="AL24" s="155">
        <f>$Y24*(VLOOKUP($AF24 &amp;"|"&amp; $AG24,'AQRV Speciation'!$B$6:$G$21,6,FALSE))</f>
        <v>3.332982296668737</v>
      </c>
    </row>
    <row r="25" spans="1:38">
      <c r="A25" s="569" t="s">
        <v>371</v>
      </c>
      <c r="B25" s="162" t="s">
        <v>383</v>
      </c>
      <c r="C25" s="125" t="s">
        <v>323</v>
      </c>
      <c r="D25" s="125">
        <v>589999.68599999999</v>
      </c>
      <c r="E25" s="125">
        <v>6725837.0700000003</v>
      </c>
      <c r="F25" s="553">
        <v>-19.402549170699999</v>
      </c>
      <c r="G25" s="553">
        <v>184.620621903</v>
      </c>
      <c r="H25" s="157">
        <v>38</v>
      </c>
      <c r="I25" s="121">
        <f t="shared" si="5"/>
        <v>0</v>
      </c>
      <c r="J25" s="121">
        <f>'LNG Flares'!$G$33</f>
        <v>0</v>
      </c>
      <c r="K25" s="121">
        <f t="shared" si="6"/>
        <v>283.13509961502535</v>
      </c>
      <c r="L25" s="121">
        <f>'LNG Flares'!$G$83</f>
        <v>86.29957836265973</v>
      </c>
      <c r="M25" s="126">
        <f t="shared" si="7"/>
        <v>1831.73</v>
      </c>
      <c r="N25" s="121">
        <f>'LNG Flares'!$G$84</f>
        <v>1273</v>
      </c>
      <c r="O25" s="126">
        <f t="shared" si="8"/>
        <v>65.616797900262469</v>
      </c>
      <c r="P25" s="121">
        <f>'LNG Flares'!$G$85</f>
        <v>20</v>
      </c>
      <c r="Q25" s="126">
        <f t="shared" si="9"/>
        <v>64.797127840280922</v>
      </c>
      <c r="R25" s="121">
        <f>'LNG Flares'!$G$86</f>
        <v>19.750164565717625</v>
      </c>
      <c r="S25" s="121">
        <f>'LNG Flares'!$G$87</f>
        <v>0.5</v>
      </c>
      <c r="T25" s="145">
        <f>'LNG Flares'!$G$61*$AP$4/$AP$5*$A$34/$A$36</f>
        <v>6.856205010147133</v>
      </c>
      <c r="U25" s="145">
        <f>'LNG Flares'!$G$61*$AP$4/$AP$5*$A$37/24</f>
        <v>2.5025148287037036</v>
      </c>
      <c r="V25" s="145">
        <f>'LNG Flares'!$G$61*$AP$4/$AP$5*$A$34/$A$36</f>
        <v>6.856205010147133</v>
      </c>
      <c r="W25" s="145">
        <f>'LNG Flares'!$G$62*$AP$4/$AP$5*$A$37/1</f>
        <v>273.80456361111106</v>
      </c>
      <c r="X25" s="145">
        <f>'LNG Flares'!$G$62*$AP$4/$AP$5*$A$37/8</f>
        <v>34.225570451388883</v>
      </c>
      <c r="Y25" s="145">
        <f>'LNG Flares'!$G$64*$AP$4/$AP$5*$A$37/24</f>
        <v>1.0385476241120075</v>
      </c>
      <c r="Z25" s="145">
        <f>'LNG Flares'!$G$64*$AP$4/$AP$5*$A$34/$A$36</f>
        <v>2.8453359564712537</v>
      </c>
      <c r="AA25" s="145">
        <f>'LNG Flares'!$G$65*$AP$4/$AP$5*$A$37/24</f>
        <v>1.0385476241120075</v>
      </c>
      <c r="AB25" s="145">
        <f>'LNG Flares'!$G$65*$AP$4/$AP$5*$A$34/$A$36</f>
        <v>2.8453359564712537</v>
      </c>
      <c r="AC25" s="145">
        <f>'LNG Flares'!$G$66*$AP$4/$AP$5*$A$34/$A$36</f>
        <v>0.25135045485234941</v>
      </c>
      <c r="AD25" s="145">
        <f>'LNG Flares'!$G$66*$AP$4/$AP$5*$A$37/3</f>
        <v>0.73394332816886021</v>
      </c>
      <c r="AE25" s="145">
        <f>'LNG Flares'!$G$66*$AP$4/$AP$5*$A$34/$A$36</f>
        <v>0.25135045485234941</v>
      </c>
      <c r="AF25" s="136" t="s">
        <v>330</v>
      </c>
      <c r="AG25" s="127" t="s">
        <v>325</v>
      </c>
      <c r="AH25" s="127">
        <f>$Y25*(VLOOKUP($AF25 &amp;"|"&amp; $AG25,'AQRV Speciation'!$B$6:$G$21,2,FALSE))</f>
        <v>0</v>
      </c>
      <c r="AI25" s="127">
        <f>$AA25*(VLOOKUP($AF25 &amp;"|"&amp; $AG25,'AQRV Speciation'!$B$6:$G$21,3,FALSE))</f>
        <v>0.25963690602800188</v>
      </c>
      <c r="AJ25" s="127">
        <f>$Y25*(VLOOKUP($AF25 &amp;"|"&amp; $AG25,'AQRV Speciation'!$B$6:$G$21,4,FALSE))</f>
        <v>0.25963690602800188</v>
      </c>
      <c r="AK25" s="127">
        <f>$AA25*(VLOOKUP($AF25 &amp;"|"&amp; $AG25,'AQRV Speciation'!$B$6:$G$21,5,FALSE))</f>
        <v>0.7789107180840058</v>
      </c>
      <c r="AL25" s="155">
        <f>$Y25*(VLOOKUP($AF25 &amp;"|"&amp; $AG25,'AQRV Speciation'!$B$6:$G$21,6,FALSE))</f>
        <v>0.7789107180840058</v>
      </c>
    </row>
    <row r="26" spans="1:38">
      <c r="A26" s="569" t="s">
        <v>370</v>
      </c>
      <c r="B26" s="162" t="s">
        <v>383</v>
      </c>
      <c r="C26" s="125" t="s">
        <v>323</v>
      </c>
      <c r="D26" s="125">
        <v>590097.73800000001</v>
      </c>
      <c r="E26" s="125">
        <v>6725906.2939999998</v>
      </c>
      <c r="F26" s="553">
        <v>-19.3021138923</v>
      </c>
      <c r="G26" s="553">
        <v>184.68718257699999</v>
      </c>
      <c r="H26" s="157">
        <v>38</v>
      </c>
      <c r="I26" s="121">
        <f>CONVERT(J26,"m","ft")</f>
        <v>0</v>
      </c>
      <c r="J26" s="121">
        <f>'LNG Flares'!$G$33</f>
        <v>0</v>
      </c>
      <c r="K26" s="121">
        <f>CONVERT(L26,"m","ft")</f>
        <v>283.13509961502535</v>
      </c>
      <c r="L26" s="121">
        <f>'LNG Flares'!$G$83</f>
        <v>86.29957836265973</v>
      </c>
      <c r="M26" s="126">
        <f>CONVERT(N26,"K","F")</f>
        <v>1831.73</v>
      </c>
      <c r="N26" s="121">
        <f>'LNG Flares'!$G$84</f>
        <v>1273</v>
      </c>
      <c r="O26" s="126">
        <f>CONVERT(P26,"m","ft")</f>
        <v>65.616797900262469</v>
      </c>
      <c r="P26" s="121">
        <f>'LNG Flares'!$G$85</f>
        <v>20</v>
      </c>
      <c r="Q26" s="126">
        <f>CONVERT(R26,"m","ft")</f>
        <v>64.797127840280922</v>
      </c>
      <c r="R26" s="121">
        <f>'LNG Flares'!$G$86</f>
        <v>19.750164565717625</v>
      </c>
      <c r="S26" s="121">
        <f>'LNG Flares'!$G$87</f>
        <v>0.5</v>
      </c>
      <c r="T26" s="145">
        <f>'LNG Flares'!$G$61*$AP$4/$AP$5*$A$34/$A$36</f>
        <v>6.856205010147133</v>
      </c>
      <c r="U26" s="145">
        <f>'LNG Flares'!$G$61*$AP$4/$AP$5*$A$37/24</f>
        <v>2.5025148287037036</v>
      </c>
      <c r="V26" s="145">
        <f>'LNG Flares'!$G$61*$AP$4/$AP$5*$A$34/$A$36</f>
        <v>6.856205010147133</v>
      </c>
      <c r="W26" s="145">
        <f>'LNG Flares'!$G$62*$AP$4/$AP$5*$A$37/1</f>
        <v>273.80456361111106</v>
      </c>
      <c r="X26" s="145">
        <f>'LNG Flares'!$G$62*$AP$4/$AP$5*$A$37/8</f>
        <v>34.225570451388883</v>
      </c>
      <c r="Y26" s="145">
        <f>'LNG Flares'!$G$64*$AP$4/$AP$5*$A$37/24</f>
        <v>1.0385476241120075</v>
      </c>
      <c r="Z26" s="145">
        <f>'LNG Flares'!$G$64*$AP$4/$AP$5*$A$34/$A$36</f>
        <v>2.8453359564712537</v>
      </c>
      <c r="AA26" s="145">
        <f>'LNG Flares'!$G$65*$AP$4/$AP$5*$A$37/24</f>
        <v>1.0385476241120075</v>
      </c>
      <c r="AB26" s="145">
        <f>'LNG Flares'!$G$65*$AP$4/$AP$5*$A$34/$A$36</f>
        <v>2.8453359564712537</v>
      </c>
      <c r="AC26" s="145">
        <f>'LNG Flares'!$G$66*$AP$4/$AP$5*$A$34/$A$36</f>
        <v>0.25135045485234941</v>
      </c>
      <c r="AD26" s="145">
        <f>'LNG Flares'!$G$66*$AP$4/$AP$5*$A$37/3</f>
        <v>0.73394332816886021</v>
      </c>
      <c r="AE26" s="145">
        <f>'LNG Flares'!$G$66*$AP$4/$AP$5*$A$34/$A$36</f>
        <v>0.25135045485234941</v>
      </c>
      <c r="AF26" s="136" t="s">
        <v>330</v>
      </c>
      <c r="AG26" s="127" t="s">
        <v>325</v>
      </c>
      <c r="AH26" s="127">
        <f>$Y26*(VLOOKUP($AF26 &amp;"|"&amp; $AG26,'AQRV Speciation'!$B$6:$G$21,2,FALSE))</f>
        <v>0</v>
      </c>
      <c r="AI26" s="127">
        <f>$AA26*(VLOOKUP($AF26 &amp;"|"&amp; $AG26,'AQRV Speciation'!$B$6:$G$21,3,FALSE))</f>
        <v>0.25963690602800188</v>
      </c>
      <c r="AJ26" s="127">
        <f>$Y26*(VLOOKUP($AF26 &amp;"|"&amp; $AG26,'AQRV Speciation'!$B$6:$G$21,4,FALSE))</f>
        <v>0.25963690602800188</v>
      </c>
      <c r="AK26" s="127">
        <f>$AA26*(VLOOKUP($AF26 &amp;"|"&amp; $AG26,'AQRV Speciation'!$B$6:$G$21,5,FALSE))</f>
        <v>0.7789107180840058</v>
      </c>
      <c r="AL26" s="155">
        <f>$Y26*(VLOOKUP($AF26 &amp;"|"&amp; $AG26,'AQRV Speciation'!$B$6:$G$21,6,FALSE))</f>
        <v>0.7789107180840058</v>
      </c>
    </row>
    <row r="27" spans="1:38" s="498" customFormat="1">
      <c r="A27" s="160" t="s">
        <v>363</v>
      </c>
      <c r="B27" s="128" t="s">
        <v>368</v>
      </c>
      <c r="C27" s="125" t="s">
        <v>323</v>
      </c>
      <c r="D27" s="125">
        <v>589339.79700000002</v>
      </c>
      <c r="E27" s="125">
        <v>6726051.7709999997</v>
      </c>
      <c r="F27" s="553">
        <v>-20.0583541775</v>
      </c>
      <c r="G27" s="553">
        <v>184.85556595</v>
      </c>
      <c r="H27" s="157">
        <v>38</v>
      </c>
      <c r="I27" s="121">
        <f t="shared" si="5"/>
        <v>199</v>
      </c>
      <c r="J27" s="121">
        <f>'LNG Flares'!$E$33</f>
        <v>60.655200000000001</v>
      </c>
      <c r="K27" s="121">
        <f t="shared" si="6"/>
        <v>208.08141670223193</v>
      </c>
      <c r="L27" s="121">
        <f>'LNG Flares'!$E$83</f>
        <v>63.42321581084029</v>
      </c>
      <c r="M27" s="126">
        <f t="shared" si="7"/>
        <v>1831.73</v>
      </c>
      <c r="N27" s="121">
        <f>'LNG Flares'!$E$84</f>
        <v>1273</v>
      </c>
      <c r="O27" s="126">
        <f t="shared" si="8"/>
        <v>65.616797900262469</v>
      </c>
      <c r="P27" s="121">
        <f>'LNG Flares'!$E$85</f>
        <v>20</v>
      </c>
      <c r="Q27" s="126">
        <f t="shared" si="9"/>
        <v>1.7740322125723873</v>
      </c>
      <c r="R27" s="121">
        <f>'LNG Flares'!$E$86</f>
        <v>0.54072501839206366</v>
      </c>
      <c r="S27" s="121">
        <f>'LNG Flares'!$E$87</f>
        <v>0.5</v>
      </c>
      <c r="T27" s="145">
        <f>'LNG Flares'!$E$61*$AP$4/$AP$5</f>
        <v>8.9962016666666672E-2</v>
      </c>
      <c r="U27" s="145">
        <f>'LNG Flares'!$E$61*$AP$4/$AP$5</f>
        <v>8.9962016666666672E-2</v>
      </c>
      <c r="V27" s="145">
        <f>'LNG Flares'!$E$61*$AP$4/$AP$5</f>
        <v>8.9962016666666672E-2</v>
      </c>
      <c r="W27" s="145">
        <f>'LNG Flares'!$E$62*$AP$4/$AP$5</f>
        <v>0.41012095833333334</v>
      </c>
      <c r="X27" s="145">
        <f>'LNG Flares'!$E$62*$AP$4/$AP$5</f>
        <v>0.41012095833333334</v>
      </c>
      <c r="Y27" s="145">
        <f>'LNG Flares'!$E$64*$AP$4/$AP$5</f>
        <v>3.7334379639975178E-2</v>
      </c>
      <c r="Z27" s="145">
        <f>'LNG Flares'!$E$64*$AP$4/$AP$5</f>
        <v>3.7334379639975178E-2</v>
      </c>
      <c r="AA27" s="145">
        <f>'LNG Flares'!$E$65*$AP$4/$AP$5</f>
        <v>3.7334379639975178E-2</v>
      </c>
      <c r="AB27" s="145">
        <f>'LNG Flares'!$E$65*$AP$4/$AP$5</f>
        <v>3.7334379639975178E-2</v>
      </c>
      <c r="AC27" s="145">
        <f>'LNG Flares'!$E$66*$AP$4/$AP$5</f>
        <v>6.3585815304670907E-3</v>
      </c>
      <c r="AD27" s="145">
        <f>'LNG Flares'!$E$66*$AP$4/$AP$5</f>
        <v>6.3585815304670907E-3</v>
      </c>
      <c r="AE27" s="145">
        <f>'LNG Flares'!$E$66*$AP$4/$AP$5</f>
        <v>6.3585815304670907E-3</v>
      </c>
      <c r="AF27" s="136" t="s">
        <v>330</v>
      </c>
      <c r="AG27" s="127" t="s">
        <v>325</v>
      </c>
      <c r="AH27" s="127">
        <f>$Y27*(VLOOKUP($AF27 &amp;"|"&amp; $AG27,'AQRV Speciation'!$B$6:$G$21,2,FALSE))</f>
        <v>0</v>
      </c>
      <c r="AI27" s="127">
        <f>$AA27*(VLOOKUP($AF27 &amp;"|"&amp; $AG27,'AQRV Speciation'!$B$6:$G$21,3,FALSE))</f>
        <v>9.3335949099937945E-3</v>
      </c>
      <c r="AJ27" s="127">
        <f>$Y27*(VLOOKUP($AF27 &amp;"|"&amp; $AG27,'AQRV Speciation'!$B$6:$G$21,4,FALSE))</f>
        <v>9.3335949099937945E-3</v>
      </c>
      <c r="AK27" s="127">
        <f>$AA27*(VLOOKUP($AF27 &amp;"|"&amp; $AG27,'AQRV Speciation'!$B$6:$G$21,5,FALSE))</f>
        <v>2.8000784729981389E-2</v>
      </c>
      <c r="AL27" s="155">
        <f>$Y27*(VLOOKUP($AF27 &amp;"|"&amp; $AG27,'AQRV Speciation'!$B$6:$G$21,6,FALSE))</f>
        <v>2.8000784729981389E-2</v>
      </c>
    </row>
    <row r="28" spans="1:38" s="498" customFormat="1" ht="15.75" customHeight="1">
      <c r="A28" s="160" t="s">
        <v>364</v>
      </c>
      <c r="B28" s="128" t="s">
        <v>915</v>
      </c>
      <c r="C28" s="125" t="s">
        <v>323</v>
      </c>
      <c r="D28" s="125">
        <v>589339.79700000002</v>
      </c>
      <c r="E28" s="125">
        <v>6726051.7709999997</v>
      </c>
      <c r="F28" s="553">
        <v>-20.0583541775</v>
      </c>
      <c r="G28" s="553">
        <v>184.85556595</v>
      </c>
      <c r="H28" s="157">
        <v>38</v>
      </c>
      <c r="I28" s="121">
        <f t="shared" si="5"/>
        <v>199</v>
      </c>
      <c r="J28" s="121">
        <f>'LNG Flares'!$H$33</f>
        <v>60.655200000000001</v>
      </c>
      <c r="K28" s="121">
        <f t="shared" si="6"/>
        <v>278.94163309767464</v>
      </c>
      <c r="L28" s="121">
        <f>'LNG Flares'!$H$83</f>
        <v>85.021409768171225</v>
      </c>
      <c r="M28" s="126">
        <f t="shared" si="7"/>
        <v>1831.73</v>
      </c>
      <c r="N28" s="121">
        <f>'LNG Flares'!$H$84</f>
        <v>1273</v>
      </c>
      <c r="O28" s="126">
        <f t="shared" si="8"/>
        <v>65.616797900262469</v>
      </c>
      <c r="P28" s="121">
        <f>'LNG Flares'!$H$85</f>
        <v>20</v>
      </c>
      <c r="Q28" s="126">
        <f t="shared" si="9"/>
        <v>17.260648990928694</v>
      </c>
      <c r="R28" s="121">
        <f>'LNG Flares'!$H$86</f>
        <v>5.2610458124350652</v>
      </c>
      <c r="S28" s="121">
        <f>'LNG Flares'!$H$87</f>
        <v>0.5</v>
      </c>
      <c r="T28" s="145">
        <f>'LNG Flares'!$H$61*$AP$4/$AP$5*$A$35/$A$36</f>
        <v>0.14782408348554035</v>
      </c>
      <c r="U28" s="145">
        <f>'LNG Flares'!$H$61*$AP$4/$AP$5</f>
        <v>8.992631745370371</v>
      </c>
      <c r="V28" s="145">
        <f>'LNG Flares'!$H$61*$AP$4/$AP$5*$A$35/$A$36</f>
        <v>0.14782408348554035</v>
      </c>
      <c r="W28" s="145">
        <f>'LNG Flares'!$H$62*$AP$4/$AP$5</f>
        <v>39.232735061728398</v>
      </c>
      <c r="X28" s="145">
        <f>'LNG Flares'!$H$62*$AP$4/$AP$5</f>
        <v>39.232735061728398</v>
      </c>
      <c r="Y28" s="145">
        <f>'LNG Flares'!$H$64*$AP$4/$AP$5</f>
        <v>3.546766065797641</v>
      </c>
      <c r="Z28" s="145">
        <f>'LNG Flares'!$H$64*$AP$4/$AP$5*$A$35/$A$36</f>
        <v>5.8303003821331086E-2</v>
      </c>
      <c r="AA28" s="145">
        <f>'LNG Flares'!$H$65*$AP$4/$AP$5</f>
        <v>3.546766065797641</v>
      </c>
      <c r="AB28" s="145">
        <f>'LNG Flares'!$H$65*$AP$4/$AP$5*$A$35/$A$36</f>
        <v>5.8303003821331086E-2</v>
      </c>
      <c r="AC28" s="145">
        <f>'LNG Flares'!$H$66*$AP$4/$AP$5*$A$35/$A$36</f>
        <v>5.6720192609901006E-3</v>
      </c>
      <c r="AD28" s="145">
        <f>'LNG Flares'!$H$66*$AP$4/$AP$5</f>
        <v>0.34504783837689779</v>
      </c>
      <c r="AE28" s="145">
        <f>'LNG Flares'!$H$66*$AP$4/$AP$5*$A$35/$A$36</f>
        <v>5.6720192609901006E-3</v>
      </c>
      <c r="AF28" s="136" t="s">
        <v>330</v>
      </c>
      <c r="AG28" s="127" t="s">
        <v>325</v>
      </c>
      <c r="AH28" s="127">
        <f>$Y28*(VLOOKUP($AF28 &amp;"|"&amp; $AG28,'AQRV Speciation'!$B$6:$G$21,2,FALSE))</f>
        <v>0</v>
      </c>
      <c r="AI28" s="127">
        <f>$AA28*(VLOOKUP($AF28 &amp;"|"&amp; $AG28,'AQRV Speciation'!$B$6:$G$21,3,FALSE))</f>
        <v>0.88669151644941024</v>
      </c>
      <c r="AJ28" s="127">
        <f>$Y28*(VLOOKUP($AF28 &amp;"|"&amp; $AG28,'AQRV Speciation'!$B$6:$G$21,4,FALSE))</f>
        <v>0.88669151644941024</v>
      </c>
      <c r="AK28" s="127">
        <f>$AA28*(VLOOKUP($AF28 &amp;"|"&amp; $AG28,'AQRV Speciation'!$B$6:$G$21,5,FALSE))</f>
        <v>2.6600745493482312</v>
      </c>
      <c r="AL28" s="155">
        <f>$Y28*(VLOOKUP($AF28 &amp;"|"&amp; $AG28,'AQRV Speciation'!$B$6:$G$21,6,FALSE))</f>
        <v>2.6600745493482312</v>
      </c>
    </row>
    <row r="29" spans="1:38">
      <c r="A29" s="120" t="s">
        <v>365</v>
      </c>
      <c r="B29" s="128" t="s">
        <v>369</v>
      </c>
      <c r="C29" s="125" t="s">
        <v>323</v>
      </c>
      <c r="D29" s="125">
        <v>589545.88600000006</v>
      </c>
      <c r="E29" s="125">
        <v>6725947.8859999999</v>
      </c>
      <c r="F29" s="553">
        <v>-19.8546274809</v>
      </c>
      <c r="G29" s="553">
        <v>184.74523445</v>
      </c>
      <c r="H29" s="157">
        <v>38</v>
      </c>
      <c r="I29" s="121">
        <f>'LNG Thermal Oxidizer'!$C$56</f>
        <v>47</v>
      </c>
      <c r="J29" s="126">
        <f t="shared" ref="J29" si="10">CONVERT(I29,"ft","m")</f>
        <v>14.3256</v>
      </c>
      <c r="K29" s="121">
        <f>I29</f>
        <v>47</v>
      </c>
      <c r="L29" s="126">
        <f t="shared" ref="L29" si="11">CONVERT(K29,"ft","m")</f>
        <v>14.3256</v>
      </c>
      <c r="M29" s="121">
        <f>'LNG Thermal Oxidizer'!$C$57</f>
        <v>1800</v>
      </c>
      <c r="N29" s="126">
        <f t="shared" ref="N29" si="12">CONVERT(M29,"F","K")</f>
        <v>1255.3722222222223</v>
      </c>
      <c r="O29" s="121">
        <f>'LNG Thermal Oxidizer'!$C$58</f>
        <v>8.9</v>
      </c>
      <c r="P29" s="126">
        <f t="shared" ref="P29" si="13">CONVERT(O29,"ft","m")</f>
        <v>2.71272</v>
      </c>
      <c r="Q29" s="121">
        <f>'LNG Thermal Oxidizer'!$C$59</f>
        <v>5</v>
      </c>
      <c r="R29" s="126">
        <f t="shared" ref="R29" si="14">CONVERT(Q29,"ft","m")</f>
        <v>1.524</v>
      </c>
      <c r="S29" s="121">
        <f>'LNG Thermal Oxidizer'!$C$60</f>
        <v>0.5</v>
      </c>
      <c r="T29" s="145">
        <f>'LNG Thermal Oxidizer'!$C$34*$AP$4/$AP$5</f>
        <v>7.5724330555555538E-2</v>
      </c>
      <c r="U29" s="145">
        <f>'LNG Thermal Oxidizer'!$C$34*$AP$4/$AP$5</f>
        <v>7.5724330555555538E-2</v>
      </c>
      <c r="V29" s="145">
        <f>'LNG Thermal Oxidizer'!$C$34*$AP$4/$AP$5</f>
        <v>7.5724330555555538E-2</v>
      </c>
      <c r="W29" s="145">
        <f>'LNG Thermal Oxidizer'!$C$35*$AP$4/$AP$5</f>
        <v>6.2361213398692807E-2</v>
      </c>
      <c r="X29" s="145">
        <f>'LNG Thermal Oxidizer'!$C$35*$AP$4/$AP$5</f>
        <v>6.2361213398692807E-2</v>
      </c>
      <c r="Y29" s="145">
        <f>'LNG Thermal Oxidizer'!$C$37*$AP$4/$AP$5</f>
        <v>5.642205021786491E-3</v>
      </c>
      <c r="Z29" s="145">
        <f>'LNG Thermal Oxidizer'!$C$37*$AP$4/$AP$5</f>
        <v>5.642205021786491E-3</v>
      </c>
      <c r="AA29" s="145">
        <f>'LNG Thermal Oxidizer'!$C$38*$AP$4/$AP$5</f>
        <v>5.642205021786491E-3</v>
      </c>
      <c r="AB29" s="145">
        <f>'LNG Thermal Oxidizer'!$C$38*$AP$4/$AP$5</f>
        <v>5.642205021786491E-3</v>
      </c>
      <c r="AC29" s="145">
        <f>'LNG Thermal Oxidizer'!$C$39*$AP$4/$AP$5</f>
        <v>2.0664673379555557E-3</v>
      </c>
      <c r="AD29" s="145">
        <f>'LNG Thermal Oxidizer'!$C$39*$AP$4/$AP$5</f>
        <v>2.0664673379555557E-3</v>
      </c>
      <c r="AE29" s="145">
        <f>'LNG Thermal Oxidizer'!$C$39*$AP$4/$AP$5</f>
        <v>2.0664673379555557E-3</v>
      </c>
      <c r="AF29" s="500" t="s">
        <v>331</v>
      </c>
      <c r="AG29" s="127" t="s">
        <v>325</v>
      </c>
      <c r="AH29" s="127">
        <f>$Y29*(VLOOKUP($AF29 &amp;"|"&amp; $AG29,'AQRV Speciation'!$B$6:$G$21,2,FALSE))</f>
        <v>0</v>
      </c>
      <c r="AI29" s="127">
        <f>$AA29*(VLOOKUP($AF29 &amp;"|"&amp; $AG29,'AQRV Speciation'!$B$6:$G$21,3,FALSE))</f>
        <v>1.4105512554466227E-3</v>
      </c>
      <c r="AJ29" s="127">
        <f>$Y29*(VLOOKUP($AF29 &amp;"|"&amp; $AG29,'AQRV Speciation'!$B$6:$G$21,4,FALSE))</f>
        <v>1.4105512554466227E-3</v>
      </c>
      <c r="AK29" s="127">
        <f>$AA29*(VLOOKUP($AF29 &amp;"|"&amp; $AG29,'AQRV Speciation'!$B$6:$G$21,5,FALSE))</f>
        <v>4.2316537663398684E-3</v>
      </c>
      <c r="AL29" s="155">
        <f>$Y29*(VLOOKUP($AF29 &amp;"|"&amp; $AG29,'AQRV Speciation'!$B$6:$G$21,6,FALSE))</f>
        <v>4.2316537663398684E-3</v>
      </c>
    </row>
    <row r="30" spans="1:38">
      <c r="A30" s="600" t="s">
        <v>420</v>
      </c>
      <c r="B30" s="600"/>
      <c r="C30" s="600"/>
      <c r="D30" s="600"/>
      <c r="E30" s="600"/>
      <c r="F30" s="600"/>
      <c r="G30" s="600"/>
      <c r="H30" s="600"/>
      <c r="I30" s="600"/>
      <c r="J30" s="600"/>
      <c r="K30" s="600"/>
      <c r="L30" s="600"/>
      <c r="M30" s="600"/>
      <c r="N30" s="600"/>
      <c r="O30" s="600"/>
      <c r="P30" s="600"/>
      <c r="Q30" s="600"/>
      <c r="R30" s="600"/>
      <c r="S30" s="600"/>
      <c r="T30" s="509">
        <f>SUM(T5:T14,T16:T17,T19:T22,T27:T29)</f>
        <v>36.328978734023657</v>
      </c>
      <c r="U30" s="509">
        <f>SUM(U5:U14,U16:U17,U19:U22,U27:U29)</f>
        <v>45.739616433008933</v>
      </c>
      <c r="V30" s="509">
        <f t="shared" ref="V30:AE30" si="15">SUM(V5:V14,V16:V17,V19:V22,V27:V29)</f>
        <v>33.647253130453208</v>
      </c>
      <c r="W30" s="509">
        <f t="shared" si="15"/>
        <v>93.334912810750481</v>
      </c>
      <c r="X30" s="509">
        <f t="shared" si="15"/>
        <v>93.334912810750481</v>
      </c>
      <c r="Y30" s="509">
        <f t="shared" si="15"/>
        <v>11.444158059591627</v>
      </c>
      <c r="Z30" s="509">
        <f t="shared" si="15"/>
        <v>7.4492131871799208</v>
      </c>
      <c r="AA30" s="509">
        <f t="shared" si="15"/>
        <v>11.444158059591627</v>
      </c>
      <c r="AB30" s="509">
        <f t="shared" si="15"/>
        <v>7.4492131871799208</v>
      </c>
      <c r="AC30" s="509">
        <f t="shared" si="15"/>
        <v>2.7682924562349145</v>
      </c>
      <c r="AD30" s="509">
        <f t="shared" si="15"/>
        <v>3.1086839647188835</v>
      </c>
      <c r="AE30" s="509">
        <f t="shared" si="15"/>
        <v>2.5991324849493402</v>
      </c>
      <c r="AF30" s="117"/>
      <c r="AG30" s="117"/>
      <c r="AH30" s="117"/>
      <c r="AI30" s="117"/>
      <c r="AJ30" s="117"/>
      <c r="AK30" s="117"/>
      <c r="AL30" s="117"/>
    </row>
    <row r="31" spans="1:38">
      <c r="A31" s="600" t="s">
        <v>421</v>
      </c>
      <c r="B31" s="600"/>
      <c r="C31" s="600"/>
      <c r="D31" s="600"/>
      <c r="E31" s="600"/>
      <c r="F31" s="600"/>
      <c r="G31" s="600"/>
      <c r="H31" s="600"/>
      <c r="I31" s="600"/>
      <c r="J31" s="600"/>
      <c r="K31" s="600"/>
      <c r="L31" s="600"/>
      <c r="M31" s="600"/>
      <c r="N31" s="600"/>
      <c r="O31" s="600"/>
      <c r="P31" s="600"/>
      <c r="Q31" s="600"/>
      <c r="R31" s="600"/>
      <c r="S31" s="600"/>
      <c r="T31" s="509">
        <f t="shared" ref="T31:AE31" si="16">SUM(T5:T29)</f>
        <v>108.71720201662134</v>
      </c>
      <c r="U31" s="509">
        <f t="shared" si="16"/>
        <v>72.161317931157086</v>
      </c>
      <c r="V31" s="509">
        <f t="shared" si="16"/>
        <v>106.03547641305089</v>
      </c>
      <c r="W31" s="509">
        <f t="shared" si="16"/>
        <v>2984.1799002551943</v>
      </c>
      <c r="X31" s="509">
        <f t="shared" si="16"/>
        <v>454.69053624130601</v>
      </c>
      <c r="Y31" s="509">
        <f t="shared" si="16"/>
        <v>22.40920609893227</v>
      </c>
      <c r="Z31" s="509">
        <f t="shared" si="16"/>
        <v>37.490440692222784</v>
      </c>
      <c r="AA31" s="509">
        <f t="shared" si="16"/>
        <v>22.40920609893227</v>
      </c>
      <c r="AB31" s="509">
        <f t="shared" si="16"/>
        <v>37.490440692222784</v>
      </c>
      <c r="AC31" s="509">
        <f t="shared" si="16"/>
        <v>5.4213140434318978</v>
      </c>
      <c r="AD31" s="509">
        <f t="shared" si="16"/>
        <v>10.855506999334082</v>
      </c>
      <c r="AE31" s="509">
        <f t="shared" si="16"/>
        <v>5.2521540721463236</v>
      </c>
      <c r="AF31" s="117"/>
      <c r="AG31" s="117"/>
      <c r="AH31" s="117"/>
      <c r="AI31" s="117"/>
      <c r="AJ31" s="117"/>
      <c r="AK31" s="117"/>
      <c r="AL31" s="117"/>
    </row>
    <row r="32" spans="1:38">
      <c r="A32" s="142"/>
      <c r="B32" s="123" t="s">
        <v>332</v>
      </c>
      <c r="C32" s="142"/>
      <c r="D32" s="142"/>
      <c r="E32" s="142"/>
      <c r="F32" s="554"/>
      <c r="G32" s="554"/>
      <c r="H32" s="142"/>
      <c r="I32" s="142"/>
      <c r="J32" s="142"/>
      <c r="K32" s="142"/>
      <c r="L32" s="142"/>
      <c r="M32" s="142"/>
      <c r="N32" s="142"/>
      <c r="O32" s="142"/>
      <c r="P32" s="142"/>
      <c r="Q32" s="142"/>
      <c r="R32" s="142"/>
      <c r="S32" s="142"/>
      <c r="T32" s="117"/>
      <c r="U32" s="117"/>
      <c r="V32" s="117"/>
      <c r="W32" s="117"/>
      <c r="X32" s="117"/>
      <c r="Y32" s="117"/>
      <c r="Z32" s="117"/>
      <c r="AA32" s="117"/>
      <c r="AB32" s="117"/>
      <c r="AC32" s="117"/>
      <c r="AD32" s="117"/>
      <c r="AE32" s="117"/>
      <c r="AF32" s="117"/>
      <c r="AG32" s="117"/>
      <c r="AH32" s="117"/>
      <c r="AI32" s="117"/>
      <c r="AJ32" s="117"/>
      <c r="AK32" s="117"/>
      <c r="AL32" s="117"/>
    </row>
    <row r="33" spans="1:41">
      <c r="A33" s="142">
        <v>500</v>
      </c>
      <c r="B33" s="123" t="s">
        <v>333</v>
      </c>
      <c r="C33" s="142"/>
      <c r="D33" s="142"/>
      <c r="E33" s="142"/>
      <c r="F33" s="554"/>
      <c r="G33" s="554"/>
      <c r="H33" s="142"/>
      <c r="I33" s="142"/>
      <c r="J33" s="142"/>
      <c r="K33" s="142"/>
      <c r="L33" s="142"/>
      <c r="M33" s="142"/>
      <c r="N33" s="142"/>
      <c r="O33" s="142"/>
      <c r="P33" s="142"/>
      <c r="Q33" s="511"/>
      <c r="R33" s="142"/>
      <c r="S33" s="142"/>
      <c r="T33" s="117"/>
      <c r="U33" s="117"/>
      <c r="V33" s="117"/>
      <c r="W33" s="117"/>
      <c r="X33" s="117"/>
      <c r="Y33" s="117"/>
      <c r="Z33" s="117"/>
      <c r="AA33" s="117"/>
      <c r="AB33" s="117"/>
      <c r="AC33" s="117"/>
      <c r="AD33" s="117"/>
      <c r="AE33" s="117"/>
      <c r="AF33" s="117"/>
      <c r="AG33" s="117"/>
      <c r="AH33" s="117"/>
      <c r="AI33" s="117"/>
      <c r="AJ33" s="117"/>
      <c r="AK33" s="117"/>
      <c r="AL33" s="117"/>
    </row>
    <row r="34" spans="1:41">
      <c r="A34" s="142">
        <v>500</v>
      </c>
      <c r="B34" s="123" t="s">
        <v>334</v>
      </c>
      <c r="C34" s="142"/>
      <c r="D34" s="142"/>
      <c r="E34" s="142"/>
      <c r="F34" s="554"/>
      <c r="G34" s="554"/>
      <c r="H34" s="142"/>
      <c r="I34" s="142"/>
      <c r="J34" s="142"/>
      <c r="K34" s="142"/>
      <c r="L34" s="142"/>
      <c r="M34" s="142"/>
      <c r="N34" s="142"/>
      <c r="O34" s="142"/>
      <c r="P34" s="142"/>
      <c r="Q34" s="142"/>
      <c r="R34" s="142"/>
      <c r="S34" s="142"/>
      <c r="T34" s="117"/>
      <c r="U34" s="117"/>
      <c r="V34" s="117"/>
      <c r="W34" s="117"/>
      <c r="X34" s="117"/>
      <c r="Y34" s="117"/>
      <c r="Z34" s="117"/>
      <c r="AA34" s="117"/>
      <c r="AB34" s="117"/>
      <c r="AC34" s="117"/>
      <c r="AD34" s="117"/>
      <c r="AE34" s="117"/>
      <c r="AF34" s="117"/>
      <c r="AG34" s="117"/>
      <c r="AH34" s="117"/>
      <c r="AI34" s="117"/>
      <c r="AJ34" s="117"/>
      <c r="AK34" s="117"/>
      <c r="AL34" s="117"/>
    </row>
    <row r="35" spans="1:41">
      <c r="A35" s="142">
        <v>144</v>
      </c>
      <c r="B35" s="123" t="s">
        <v>941</v>
      </c>
      <c r="C35" s="142"/>
      <c r="D35" s="142"/>
      <c r="E35" s="142"/>
      <c r="F35" s="554"/>
      <c r="G35" s="554"/>
      <c r="H35" s="142"/>
      <c r="I35" s="142"/>
      <c r="J35" s="142"/>
      <c r="K35" s="142"/>
      <c r="L35" s="142"/>
      <c r="M35" s="142"/>
      <c r="N35" s="142"/>
      <c r="O35" s="142"/>
      <c r="P35" s="142"/>
      <c r="Q35" s="142"/>
      <c r="R35" s="142"/>
      <c r="S35" s="142"/>
      <c r="T35" s="117"/>
      <c r="U35" s="117"/>
      <c r="V35" s="117"/>
      <c r="W35" s="117"/>
      <c r="X35" s="117"/>
      <c r="Y35" s="117"/>
      <c r="Z35" s="117"/>
      <c r="AA35" s="117"/>
      <c r="AB35" s="117"/>
      <c r="AC35" s="117"/>
      <c r="AD35" s="117"/>
      <c r="AE35" s="117"/>
      <c r="AF35" s="117"/>
      <c r="AG35" s="117"/>
      <c r="AH35" s="117"/>
      <c r="AI35" s="117"/>
      <c r="AJ35" s="117"/>
      <c r="AK35" s="117"/>
      <c r="AL35" s="117"/>
    </row>
    <row r="36" spans="1:41">
      <c r="A36" s="154">
        <v>8760</v>
      </c>
      <c r="B36" s="142" t="s">
        <v>337</v>
      </c>
      <c r="C36" s="142"/>
      <c r="D36" s="142"/>
      <c r="E36" s="142"/>
      <c r="F36" s="554"/>
      <c r="G36" s="554"/>
      <c r="H36" s="142"/>
      <c r="I36" s="142"/>
      <c r="J36" s="142"/>
      <c r="K36" s="142"/>
      <c r="L36" s="142"/>
      <c r="M36" s="142"/>
      <c r="N36" s="142"/>
      <c r="O36" s="142"/>
      <c r="P36" s="142"/>
      <c r="Q36" s="142"/>
      <c r="R36" s="142"/>
      <c r="S36" s="142"/>
      <c r="T36" s="117"/>
      <c r="U36" s="117"/>
      <c r="V36" s="117"/>
      <c r="W36" s="117"/>
      <c r="X36" s="117"/>
      <c r="Y36" s="117"/>
      <c r="Z36" s="117"/>
      <c r="AA36" s="117"/>
      <c r="AB36" s="117"/>
      <c r="AC36" s="117"/>
      <c r="AD36" s="117"/>
      <c r="AE36" s="117"/>
      <c r="AF36" s="117"/>
      <c r="AG36" s="117"/>
      <c r="AH36" s="117"/>
      <c r="AI36" s="117"/>
      <c r="AJ36" s="117"/>
      <c r="AK36" s="117"/>
      <c r="AL36" s="117"/>
    </row>
    <row r="37" spans="1:41">
      <c r="A37" s="510">
        <v>0.5</v>
      </c>
      <c r="B37" s="511" t="s">
        <v>939</v>
      </c>
      <c r="C37" s="142"/>
      <c r="D37" s="142"/>
      <c r="E37" s="142"/>
      <c r="F37" s="554"/>
      <c r="G37" s="554"/>
      <c r="H37" s="142"/>
      <c r="I37" s="142"/>
      <c r="J37" s="142"/>
      <c r="K37" s="142"/>
      <c r="L37" s="142"/>
      <c r="M37" s="142"/>
      <c r="N37" s="142"/>
      <c r="O37" s="142"/>
      <c r="P37" s="142"/>
      <c r="Q37" s="142"/>
      <c r="R37" s="142"/>
      <c r="S37" s="142"/>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row>
    <row r="38" spans="1:41">
      <c r="A38" s="142"/>
      <c r="B38" s="142"/>
      <c r="C38" s="142"/>
      <c r="D38" s="142"/>
      <c r="E38" s="142"/>
      <c r="F38" s="554"/>
      <c r="G38" s="554"/>
      <c r="H38" s="142"/>
      <c r="I38" s="142"/>
      <c r="J38" s="142"/>
      <c r="K38" s="142"/>
      <c r="L38" s="142"/>
      <c r="M38" s="142"/>
      <c r="N38" s="142"/>
      <c r="O38" s="142"/>
      <c r="P38" s="142"/>
      <c r="Q38" s="142"/>
      <c r="R38" s="142"/>
      <c r="S38" s="142"/>
      <c r="T38" s="117"/>
      <c r="U38" s="117"/>
      <c r="V38" s="117"/>
      <c r="W38" s="117"/>
      <c r="X38" s="117"/>
      <c r="Y38" s="117"/>
      <c r="Z38" s="117"/>
      <c r="AA38" s="117"/>
      <c r="AB38" s="117"/>
      <c r="AC38" s="117"/>
      <c r="AD38" s="117"/>
      <c r="AE38" s="117"/>
      <c r="AF38" s="117"/>
      <c r="AG38" s="117"/>
      <c r="AH38" s="117"/>
      <c r="AI38" s="117"/>
      <c r="AJ38" s="117"/>
      <c r="AK38" s="117"/>
      <c r="AL38" s="117"/>
    </row>
    <row r="39" spans="1:41">
      <c r="A39" s="156">
        <v>1</v>
      </c>
      <c r="B39" s="117" t="s">
        <v>338</v>
      </c>
      <c r="C39" s="117"/>
      <c r="D39" s="117"/>
      <c r="E39" s="117"/>
      <c r="F39" s="555"/>
      <c r="G39" s="555"/>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row>
  </sheetData>
  <mergeCells count="25">
    <mergeCell ref="AO3:AQ3"/>
    <mergeCell ref="M2:N2"/>
    <mergeCell ref="O2:P2"/>
    <mergeCell ref="Q2:R2"/>
    <mergeCell ref="T2:V2"/>
    <mergeCell ref="W2:X2"/>
    <mergeCell ref="Y2:Z2"/>
    <mergeCell ref="AF1:AL1"/>
    <mergeCell ref="A2:A3"/>
    <mergeCell ref="B2:B3"/>
    <mergeCell ref="C2:C3"/>
    <mergeCell ref="D2:E2"/>
    <mergeCell ref="H2:H3"/>
    <mergeCell ref="I2:J2"/>
    <mergeCell ref="K2:L2"/>
    <mergeCell ref="AG2:AG3"/>
    <mergeCell ref="AA2:AB2"/>
    <mergeCell ref="AC2:AE2"/>
    <mergeCell ref="AF2:AF3"/>
    <mergeCell ref="F2:G2"/>
    <mergeCell ref="A30:S30"/>
    <mergeCell ref="A31:S31"/>
    <mergeCell ref="D1:S1"/>
    <mergeCell ref="T1:AE1"/>
    <mergeCell ref="A4:S4"/>
  </mergeCells>
  <pageMargins left="0.7" right="0.7" top="0.75" bottom="0.75" header="0.3" footer="0.3"/>
  <pageSetup paperSize="17" scale="55" orientation="landscape" r:id="rId1"/>
  <ignoredErrors>
    <ignoredError sqref="K5:K29 Q5:AD29 P19:P2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88"/>
  <sheetViews>
    <sheetView zoomScale="85" zoomScaleNormal="85" workbookViewId="0">
      <pane xSplit="2" ySplit="10" topLeftCell="N65" activePane="bottomRight" state="frozen"/>
      <selection activeCell="H1" sqref="H1"/>
      <selection pane="topRight" activeCell="H1" sqref="H1"/>
      <selection pane="bottomLeft" activeCell="H1" sqref="H1"/>
      <selection pane="bottomRight" activeCell="AB77" activeCellId="1" sqref="U77:Z77 AB77"/>
    </sheetView>
  </sheetViews>
  <sheetFormatPr defaultRowHeight="12.75"/>
  <cols>
    <col min="1" max="1" width="3.7109375" style="190" customWidth="1"/>
    <col min="2" max="2" width="34" style="190" customWidth="1"/>
    <col min="3" max="3" width="16.7109375" style="260" bestFit="1" customWidth="1"/>
    <col min="4" max="5" width="16.85546875" style="260" bestFit="1" customWidth="1"/>
    <col min="6" max="7" width="16.85546875" style="260" customWidth="1"/>
    <col min="8" max="8" width="15.85546875" style="260" customWidth="1"/>
    <col min="9" max="9" width="15.85546875" style="435" customWidth="1"/>
    <col min="10" max="11" width="14.5703125" style="260" bestFit="1" customWidth="1"/>
    <col min="12" max="13" width="14.5703125" style="260" customWidth="1"/>
    <col min="14" max="14" width="16.85546875" style="435" customWidth="1"/>
    <col min="15" max="15" width="16.28515625" style="260" customWidth="1"/>
    <col min="16" max="17" width="16" style="260" customWidth="1"/>
    <col min="18" max="29" width="18.42578125" style="260" customWidth="1"/>
    <col min="30" max="30" width="14" style="260" customWidth="1"/>
    <col min="31" max="31" width="9.140625" style="260"/>
    <col min="32" max="232" width="9.140625" style="190"/>
    <col min="233" max="233" width="3.7109375" style="190" customWidth="1"/>
    <col min="234" max="234" width="34" style="190" customWidth="1"/>
    <col min="235" max="235" width="16.7109375" style="190" bestFit="1" customWidth="1"/>
    <col min="236" max="237" width="16.85546875" style="190" bestFit="1" customWidth="1"/>
    <col min="238" max="239" width="16.85546875" style="190" customWidth="1"/>
    <col min="240" max="241" width="15.85546875" style="190" customWidth="1"/>
    <col min="242" max="243" width="14.5703125" style="190" bestFit="1" customWidth="1"/>
    <col min="244" max="245" width="14.5703125" style="190" customWidth="1"/>
    <col min="246" max="246" width="16.85546875" style="190" customWidth="1"/>
    <col min="247" max="247" width="16.28515625" style="190" customWidth="1"/>
    <col min="248" max="249" width="16" style="190" customWidth="1"/>
    <col min="250" max="285" width="18.42578125" style="190" customWidth="1"/>
    <col min="286" max="286" width="14" style="190" customWidth="1"/>
    <col min="287" max="488" width="9.140625" style="190"/>
    <col min="489" max="489" width="3.7109375" style="190" customWidth="1"/>
    <col min="490" max="490" width="34" style="190" customWidth="1"/>
    <col min="491" max="491" width="16.7109375" style="190" bestFit="1" customWidth="1"/>
    <col min="492" max="493" width="16.85546875" style="190" bestFit="1" customWidth="1"/>
    <col min="494" max="495" width="16.85546875" style="190" customWidth="1"/>
    <col min="496" max="497" width="15.85546875" style="190" customWidth="1"/>
    <col min="498" max="499" width="14.5703125" style="190" bestFit="1" customWidth="1"/>
    <col min="500" max="501" width="14.5703125" style="190" customWidth="1"/>
    <col min="502" max="502" width="16.85546875" style="190" customWidth="1"/>
    <col min="503" max="503" width="16.28515625" style="190" customWidth="1"/>
    <col min="504" max="505" width="16" style="190" customWidth="1"/>
    <col min="506" max="541" width="18.42578125" style="190" customWidth="1"/>
    <col min="542" max="542" width="14" style="190" customWidth="1"/>
    <col min="543" max="744" width="9.140625" style="190"/>
    <col min="745" max="745" width="3.7109375" style="190" customWidth="1"/>
    <col min="746" max="746" width="34" style="190" customWidth="1"/>
    <col min="747" max="747" width="16.7109375" style="190" bestFit="1" customWidth="1"/>
    <col min="748" max="749" width="16.85546875" style="190" bestFit="1" customWidth="1"/>
    <col min="750" max="751" width="16.85546875" style="190" customWidth="1"/>
    <col min="752" max="753" width="15.85546875" style="190" customWidth="1"/>
    <col min="754" max="755" width="14.5703125" style="190" bestFit="1" customWidth="1"/>
    <col min="756" max="757" width="14.5703125" style="190" customWidth="1"/>
    <col min="758" max="758" width="16.85546875" style="190" customWidth="1"/>
    <col min="759" max="759" width="16.28515625" style="190" customWidth="1"/>
    <col min="760" max="761" width="16" style="190" customWidth="1"/>
    <col min="762" max="797" width="18.42578125" style="190" customWidth="1"/>
    <col min="798" max="798" width="14" style="190" customWidth="1"/>
    <col min="799" max="1000" width="9.140625" style="190"/>
    <col min="1001" max="1001" width="3.7109375" style="190" customWidth="1"/>
    <col min="1002" max="1002" width="34" style="190" customWidth="1"/>
    <col min="1003" max="1003" width="16.7109375" style="190" bestFit="1" customWidth="1"/>
    <col min="1004" max="1005" width="16.85546875" style="190" bestFit="1" customWidth="1"/>
    <col min="1006" max="1007" width="16.85546875" style="190" customWidth="1"/>
    <col min="1008" max="1009" width="15.85546875" style="190" customWidth="1"/>
    <col min="1010" max="1011" width="14.5703125" style="190" bestFit="1" customWidth="1"/>
    <col min="1012" max="1013" width="14.5703125" style="190" customWidth="1"/>
    <col min="1014" max="1014" width="16.85546875" style="190" customWidth="1"/>
    <col min="1015" max="1015" width="16.28515625" style="190" customWidth="1"/>
    <col min="1016" max="1017" width="16" style="190" customWidth="1"/>
    <col min="1018" max="1053" width="18.42578125" style="190" customWidth="1"/>
    <col min="1054" max="1054" width="14" style="190" customWidth="1"/>
    <col min="1055" max="1256" width="9.140625" style="190"/>
    <col min="1257" max="1257" width="3.7109375" style="190" customWidth="1"/>
    <col min="1258" max="1258" width="34" style="190" customWidth="1"/>
    <col min="1259" max="1259" width="16.7109375" style="190" bestFit="1" customWidth="1"/>
    <col min="1260" max="1261" width="16.85546875" style="190" bestFit="1" customWidth="1"/>
    <col min="1262" max="1263" width="16.85546875" style="190" customWidth="1"/>
    <col min="1264" max="1265" width="15.85546875" style="190" customWidth="1"/>
    <col min="1266" max="1267" width="14.5703125" style="190" bestFit="1" customWidth="1"/>
    <col min="1268" max="1269" width="14.5703125" style="190" customWidth="1"/>
    <col min="1270" max="1270" width="16.85546875" style="190" customWidth="1"/>
    <col min="1271" max="1271" width="16.28515625" style="190" customWidth="1"/>
    <col min="1272" max="1273" width="16" style="190" customWidth="1"/>
    <col min="1274" max="1309" width="18.42578125" style="190" customWidth="1"/>
    <col min="1310" max="1310" width="14" style="190" customWidth="1"/>
    <col min="1311" max="1512" width="9.140625" style="190"/>
    <col min="1513" max="1513" width="3.7109375" style="190" customWidth="1"/>
    <col min="1514" max="1514" width="34" style="190" customWidth="1"/>
    <col min="1515" max="1515" width="16.7109375" style="190" bestFit="1" customWidth="1"/>
    <col min="1516" max="1517" width="16.85546875" style="190" bestFit="1" customWidth="1"/>
    <col min="1518" max="1519" width="16.85546875" style="190" customWidth="1"/>
    <col min="1520" max="1521" width="15.85546875" style="190" customWidth="1"/>
    <col min="1522" max="1523" width="14.5703125" style="190" bestFit="1" customWidth="1"/>
    <col min="1524" max="1525" width="14.5703125" style="190" customWidth="1"/>
    <col min="1526" max="1526" width="16.85546875" style="190" customWidth="1"/>
    <col min="1527" max="1527" width="16.28515625" style="190" customWidth="1"/>
    <col min="1528" max="1529" width="16" style="190" customWidth="1"/>
    <col min="1530" max="1565" width="18.42578125" style="190" customWidth="1"/>
    <col min="1566" max="1566" width="14" style="190" customWidth="1"/>
    <col min="1567" max="1768" width="9.140625" style="190"/>
    <col min="1769" max="1769" width="3.7109375" style="190" customWidth="1"/>
    <col min="1770" max="1770" width="34" style="190" customWidth="1"/>
    <col min="1771" max="1771" width="16.7109375" style="190" bestFit="1" customWidth="1"/>
    <col min="1772" max="1773" width="16.85546875" style="190" bestFit="1" customWidth="1"/>
    <col min="1774" max="1775" width="16.85546875" style="190" customWidth="1"/>
    <col min="1776" max="1777" width="15.85546875" style="190" customWidth="1"/>
    <col min="1778" max="1779" width="14.5703125" style="190" bestFit="1" customWidth="1"/>
    <col min="1780" max="1781" width="14.5703125" style="190" customWidth="1"/>
    <col min="1782" max="1782" width="16.85546875" style="190" customWidth="1"/>
    <col min="1783" max="1783" width="16.28515625" style="190" customWidth="1"/>
    <col min="1784" max="1785" width="16" style="190" customWidth="1"/>
    <col min="1786" max="1821" width="18.42578125" style="190" customWidth="1"/>
    <col min="1822" max="1822" width="14" style="190" customWidth="1"/>
    <col min="1823" max="2024" width="9.140625" style="190"/>
    <col min="2025" max="2025" width="3.7109375" style="190" customWidth="1"/>
    <col min="2026" max="2026" width="34" style="190" customWidth="1"/>
    <col min="2027" max="2027" width="16.7109375" style="190" bestFit="1" customWidth="1"/>
    <col min="2028" max="2029" width="16.85546875" style="190" bestFit="1" customWidth="1"/>
    <col min="2030" max="2031" width="16.85546875" style="190" customWidth="1"/>
    <col min="2032" max="2033" width="15.85546875" style="190" customWidth="1"/>
    <col min="2034" max="2035" width="14.5703125" style="190" bestFit="1" customWidth="1"/>
    <col min="2036" max="2037" width="14.5703125" style="190" customWidth="1"/>
    <col min="2038" max="2038" width="16.85546875" style="190" customWidth="1"/>
    <col min="2039" max="2039" width="16.28515625" style="190" customWidth="1"/>
    <col min="2040" max="2041" width="16" style="190" customWidth="1"/>
    <col min="2042" max="2077" width="18.42578125" style="190" customWidth="1"/>
    <col min="2078" max="2078" width="14" style="190" customWidth="1"/>
    <col min="2079" max="2280" width="9.140625" style="190"/>
    <col min="2281" max="2281" width="3.7109375" style="190" customWidth="1"/>
    <col min="2282" max="2282" width="34" style="190" customWidth="1"/>
    <col min="2283" max="2283" width="16.7109375" style="190" bestFit="1" customWidth="1"/>
    <col min="2284" max="2285" width="16.85546875" style="190" bestFit="1" customWidth="1"/>
    <col min="2286" max="2287" width="16.85546875" style="190" customWidth="1"/>
    <col min="2288" max="2289" width="15.85546875" style="190" customWidth="1"/>
    <col min="2290" max="2291" width="14.5703125" style="190" bestFit="1" customWidth="1"/>
    <col min="2292" max="2293" width="14.5703125" style="190" customWidth="1"/>
    <col min="2294" max="2294" width="16.85546875" style="190" customWidth="1"/>
    <col min="2295" max="2295" width="16.28515625" style="190" customWidth="1"/>
    <col min="2296" max="2297" width="16" style="190" customWidth="1"/>
    <col min="2298" max="2333" width="18.42578125" style="190" customWidth="1"/>
    <col min="2334" max="2334" width="14" style="190" customWidth="1"/>
    <col min="2335" max="2536" width="9.140625" style="190"/>
    <col min="2537" max="2537" width="3.7109375" style="190" customWidth="1"/>
    <col min="2538" max="2538" width="34" style="190" customWidth="1"/>
    <col min="2539" max="2539" width="16.7109375" style="190" bestFit="1" customWidth="1"/>
    <col min="2540" max="2541" width="16.85546875" style="190" bestFit="1" customWidth="1"/>
    <col min="2542" max="2543" width="16.85546875" style="190" customWidth="1"/>
    <col min="2544" max="2545" width="15.85546875" style="190" customWidth="1"/>
    <col min="2546" max="2547" width="14.5703125" style="190" bestFit="1" customWidth="1"/>
    <col min="2548" max="2549" width="14.5703125" style="190" customWidth="1"/>
    <col min="2550" max="2550" width="16.85546875" style="190" customWidth="1"/>
    <col min="2551" max="2551" width="16.28515625" style="190" customWidth="1"/>
    <col min="2552" max="2553" width="16" style="190" customWidth="1"/>
    <col min="2554" max="2589" width="18.42578125" style="190" customWidth="1"/>
    <col min="2590" max="2590" width="14" style="190" customWidth="1"/>
    <col min="2591" max="2792" width="9.140625" style="190"/>
    <col min="2793" max="2793" width="3.7109375" style="190" customWidth="1"/>
    <col min="2794" max="2794" width="34" style="190" customWidth="1"/>
    <col min="2795" max="2795" width="16.7109375" style="190" bestFit="1" customWidth="1"/>
    <col min="2796" max="2797" width="16.85546875" style="190" bestFit="1" customWidth="1"/>
    <col min="2798" max="2799" width="16.85546875" style="190" customWidth="1"/>
    <col min="2800" max="2801" width="15.85546875" style="190" customWidth="1"/>
    <col min="2802" max="2803" width="14.5703125" style="190" bestFit="1" customWidth="1"/>
    <col min="2804" max="2805" width="14.5703125" style="190" customWidth="1"/>
    <col min="2806" max="2806" width="16.85546875" style="190" customWidth="1"/>
    <col min="2807" max="2807" width="16.28515625" style="190" customWidth="1"/>
    <col min="2808" max="2809" width="16" style="190" customWidth="1"/>
    <col min="2810" max="2845" width="18.42578125" style="190" customWidth="1"/>
    <col min="2846" max="2846" width="14" style="190" customWidth="1"/>
    <col min="2847" max="3048" width="9.140625" style="190"/>
    <col min="3049" max="3049" width="3.7109375" style="190" customWidth="1"/>
    <col min="3050" max="3050" width="34" style="190" customWidth="1"/>
    <col min="3051" max="3051" width="16.7109375" style="190" bestFit="1" customWidth="1"/>
    <col min="3052" max="3053" width="16.85546875" style="190" bestFit="1" customWidth="1"/>
    <col min="3054" max="3055" width="16.85546875" style="190" customWidth="1"/>
    <col min="3056" max="3057" width="15.85546875" style="190" customWidth="1"/>
    <col min="3058" max="3059" width="14.5703125" style="190" bestFit="1" customWidth="1"/>
    <col min="3060" max="3061" width="14.5703125" style="190" customWidth="1"/>
    <col min="3062" max="3062" width="16.85546875" style="190" customWidth="1"/>
    <col min="3063" max="3063" width="16.28515625" style="190" customWidth="1"/>
    <col min="3064" max="3065" width="16" style="190" customWidth="1"/>
    <col min="3066" max="3101" width="18.42578125" style="190" customWidth="1"/>
    <col min="3102" max="3102" width="14" style="190" customWidth="1"/>
    <col min="3103" max="3304" width="9.140625" style="190"/>
    <col min="3305" max="3305" width="3.7109375" style="190" customWidth="1"/>
    <col min="3306" max="3306" width="34" style="190" customWidth="1"/>
    <col min="3307" max="3307" width="16.7109375" style="190" bestFit="1" customWidth="1"/>
    <col min="3308" max="3309" width="16.85546875" style="190" bestFit="1" customWidth="1"/>
    <col min="3310" max="3311" width="16.85546875" style="190" customWidth="1"/>
    <col min="3312" max="3313" width="15.85546875" style="190" customWidth="1"/>
    <col min="3314" max="3315" width="14.5703125" style="190" bestFit="1" customWidth="1"/>
    <col min="3316" max="3317" width="14.5703125" style="190" customWidth="1"/>
    <col min="3318" max="3318" width="16.85546875" style="190" customWidth="1"/>
    <col min="3319" max="3319" width="16.28515625" style="190" customWidth="1"/>
    <col min="3320" max="3321" width="16" style="190" customWidth="1"/>
    <col min="3322" max="3357" width="18.42578125" style="190" customWidth="1"/>
    <col min="3358" max="3358" width="14" style="190" customWidth="1"/>
    <col min="3359" max="3560" width="9.140625" style="190"/>
    <col min="3561" max="3561" width="3.7109375" style="190" customWidth="1"/>
    <col min="3562" max="3562" width="34" style="190" customWidth="1"/>
    <col min="3563" max="3563" width="16.7109375" style="190" bestFit="1" customWidth="1"/>
    <col min="3564" max="3565" width="16.85546875" style="190" bestFit="1" customWidth="1"/>
    <col min="3566" max="3567" width="16.85546875" style="190" customWidth="1"/>
    <col min="3568" max="3569" width="15.85546875" style="190" customWidth="1"/>
    <col min="3570" max="3571" width="14.5703125" style="190" bestFit="1" customWidth="1"/>
    <col min="3572" max="3573" width="14.5703125" style="190" customWidth="1"/>
    <col min="3574" max="3574" width="16.85546875" style="190" customWidth="1"/>
    <col min="3575" max="3575" width="16.28515625" style="190" customWidth="1"/>
    <col min="3576" max="3577" width="16" style="190" customWidth="1"/>
    <col min="3578" max="3613" width="18.42578125" style="190" customWidth="1"/>
    <col min="3614" max="3614" width="14" style="190" customWidth="1"/>
    <col min="3615" max="3816" width="9.140625" style="190"/>
    <col min="3817" max="3817" width="3.7109375" style="190" customWidth="1"/>
    <col min="3818" max="3818" width="34" style="190" customWidth="1"/>
    <col min="3819" max="3819" width="16.7109375" style="190" bestFit="1" customWidth="1"/>
    <col min="3820" max="3821" width="16.85546875" style="190" bestFit="1" customWidth="1"/>
    <col min="3822" max="3823" width="16.85546875" style="190" customWidth="1"/>
    <col min="3824" max="3825" width="15.85546875" style="190" customWidth="1"/>
    <col min="3826" max="3827" width="14.5703125" style="190" bestFit="1" customWidth="1"/>
    <col min="3828" max="3829" width="14.5703125" style="190" customWidth="1"/>
    <col min="3830" max="3830" width="16.85546875" style="190" customWidth="1"/>
    <col min="3831" max="3831" width="16.28515625" style="190" customWidth="1"/>
    <col min="3832" max="3833" width="16" style="190" customWidth="1"/>
    <col min="3834" max="3869" width="18.42578125" style="190" customWidth="1"/>
    <col min="3870" max="3870" width="14" style="190" customWidth="1"/>
    <col min="3871" max="4072" width="9.140625" style="190"/>
    <col min="4073" max="4073" width="3.7109375" style="190" customWidth="1"/>
    <col min="4074" max="4074" width="34" style="190" customWidth="1"/>
    <col min="4075" max="4075" width="16.7109375" style="190" bestFit="1" customWidth="1"/>
    <col min="4076" max="4077" width="16.85546875" style="190" bestFit="1" customWidth="1"/>
    <col min="4078" max="4079" width="16.85546875" style="190" customWidth="1"/>
    <col min="4080" max="4081" width="15.85546875" style="190" customWidth="1"/>
    <col min="4082" max="4083" width="14.5703125" style="190" bestFit="1" customWidth="1"/>
    <col min="4084" max="4085" width="14.5703125" style="190" customWidth="1"/>
    <col min="4086" max="4086" width="16.85546875" style="190" customWidth="1"/>
    <col min="4087" max="4087" width="16.28515625" style="190" customWidth="1"/>
    <col min="4088" max="4089" width="16" style="190" customWidth="1"/>
    <col min="4090" max="4125" width="18.42578125" style="190" customWidth="1"/>
    <col min="4126" max="4126" width="14" style="190" customWidth="1"/>
    <col min="4127" max="4328" width="9.140625" style="190"/>
    <col min="4329" max="4329" width="3.7109375" style="190" customWidth="1"/>
    <col min="4330" max="4330" width="34" style="190" customWidth="1"/>
    <col min="4331" max="4331" width="16.7109375" style="190" bestFit="1" customWidth="1"/>
    <col min="4332" max="4333" width="16.85546875" style="190" bestFit="1" customWidth="1"/>
    <col min="4334" max="4335" width="16.85546875" style="190" customWidth="1"/>
    <col min="4336" max="4337" width="15.85546875" style="190" customWidth="1"/>
    <col min="4338" max="4339" width="14.5703125" style="190" bestFit="1" customWidth="1"/>
    <col min="4340" max="4341" width="14.5703125" style="190" customWidth="1"/>
    <col min="4342" max="4342" width="16.85546875" style="190" customWidth="1"/>
    <col min="4343" max="4343" width="16.28515625" style="190" customWidth="1"/>
    <col min="4344" max="4345" width="16" style="190" customWidth="1"/>
    <col min="4346" max="4381" width="18.42578125" style="190" customWidth="1"/>
    <col min="4382" max="4382" width="14" style="190" customWidth="1"/>
    <col min="4383" max="4584" width="9.140625" style="190"/>
    <col min="4585" max="4585" width="3.7109375" style="190" customWidth="1"/>
    <col min="4586" max="4586" width="34" style="190" customWidth="1"/>
    <col min="4587" max="4587" width="16.7109375" style="190" bestFit="1" customWidth="1"/>
    <col min="4588" max="4589" width="16.85546875" style="190" bestFit="1" customWidth="1"/>
    <col min="4590" max="4591" width="16.85546875" style="190" customWidth="1"/>
    <col min="4592" max="4593" width="15.85546875" style="190" customWidth="1"/>
    <col min="4594" max="4595" width="14.5703125" style="190" bestFit="1" customWidth="1"/>
    <col min="4596" max="4597" width="14.5703125" style="190" customWidth="1"/>
    <col min="4598" max="4598" width="16.85546875" style="190" customWidth="1"/>
    <col min="4599" max="4599" width="16.28515625" style="190" customWidth="1"/>
    <col min="4600" max="4601" width="16" style="190" customWidth="1"/>
    <col min="4602" max="4637" width="18.42578125" style="190" customWidth="1"/>
    <col min="4638" max="4638" width="14" style="190" customWidth="1"/>
    <col min="4639" max="4840" width="9.140625" style="190"/>
    <col min="4841" max="4841" width="3.7109375" style="190" customWidth="1"/>
    <col min="4842" max="4842" width="34" style="190" customWidth="1"/>
    <col min="4843" max="4843" width="16.7109375" style="190" bestFit="1" customWidth="1"/>
    <col min="4844" max="4845" width="16.85546875" style="190" bestFit="1" customWidth="1"/>
    <col min="4846" max="4847" width="16.85546875" style="190" customWidth="1"/>
    <col min="4848" max="4849" width="15.85546875" style="190" customWidth="1"/>
    <col min="4850" max="4851" width="14.5703125" style="190" bestFit="1" customWidth="1"/>
    <col min="4852" max="4853" width="14.5703125" style="190" customWidth="1"/>
    <col min="4854" max="4854" width="16.85546875" style="190" customWidth="1"/>
    <col min="4855" max="4855" width="16.28515625" style="190" customWidth="1"/>
    <col min="4856" max="4857" width="16" style="190" customWidth="1"/>
    <col min="4858" max="4893" width="18.42578125" style="190" customWidth="1"/>
    <col min="4894" max="4894" width="14" style="190" customWidth="1"/>
    <col min="4895" max="5096" width="9.140625" style="190"/>
    <col min="5097" max="5097" width="3.7109375" style="190" customWidth="1"/>
    <col min="5098" max="5098" width="34" style="190" customWidth="1"/>
    <col min="5099" max="5099" width="16.7109375" style="190" bestFit="1" customWidth="1"/>
    <col min="5100" max="5101" width="16.85546875" style="190" bestFit="1" customWidth="1"/>
    <col min="5102" max="5103" width="16.85546875" style="190" customWidth="1"/>
    <col min="5104" max="5105" width="15.85546875" style="190" customWidth="1"/>
    <col min="5106" max="5107" width="14.5703125" style="190" bestFit="1" customWidth="1"/>
    <col min="5108" max="5109" width="14.5703125" style="190" customWidth="1"/>
    <col min="5110" max="5110" width="16.85546875" style="190" customWidth="1"/>
    <col min="5111" max="5111" width="16.28515625" style="190" customWidth="1"/>
    <col min="5112" max="5113" width="16" style="190" customWidth="1"/>
    <col min="5114" max="5149" width="18.42578125" style="190" customWidth="1"/>
    <col min="5150" max="5150" width="14" style="190" customWidth="1"/>
    <col min="5151" max="5352" width="9.140625" style="190"/>
    <col min="5353" max="5353" width="3.7109375" style="190" customWidth="1"/>
    <col min="5354" max="5354" width="34" style="190" customWidth="1"/>
    <col min="5355" max="5355" width="16.7109375" style="190" bestFit="1" customWidth="1"/>
    <col min="5356" max="5357" width="16.85546875" style="190" bestFit="1" customWidth="1"/>
    <col min="5358" max="5359" width="16.85546875" style="190" customWidth="1"/>
    <col min="5360" max="5361" width="15.85546875" style="190" customWidth="1"/>
    <col min="5362" max="5363" width="14.5703125" style="190" bestFit="1" customWidth="1"/>
    <col min="5364" max="5365" width="14.5703125" style="190" customWidth="1"/>
    <col min="5366" max="5366" width="16.85546875" style="190" customWidth="1"/>
    <col min="5367" max="5367" width="16.28515625" style="190" customWidth="1"/>
    <col min="5368" max="5369" width="16" style="190" customWidth="1"/>
    <col min="5370" max="5405" width="18.42578125" style="190" customWidth="1"/>
    <col min="5406" max="5406" width="14" style="190" customWidth="1"/>
    <col min="5407" max="5608" width="9.140625" style="190"/>
    <col min="5609" max="5609" width="3.7109375" style="190" customWidth="1"/>
    <col min="5610" max="5610" width="34" style="190" customWidth="1"/>
    <col min="5611" max="5611" width="16.7109375" style="190" bestFit="1" customWidth="1"/>
    <col min="5612" max="5613" width="16.85546875" style="190" bestFit="1" customWidth="1"/>
    <col min="5614" max="5615" width="16.85546875" style="190" customWidth="1"/>
    <col min="5616" max="5617" width="15.85546875" style="190" customWidth="1"/>
    <col min="5618" max="5619" width="14.5703125" style="190" bestFit="1" customWidth="1"/>
    <col min="5620" max="5621" width="14.5703125" style="190" customWidth="1"/>
    <col min="5622" max="5622" width="16.85546875" style="190" customWidth="1"/>
    <col min="5623" max="5623" width="16.28515625" style="190" customWidth="1"/>
    <col min="5624" max="5625" width="16" style="190" customWidth="1"/>
    <col min="5626" max="5661" width="18.42578125" style="190" customWidth="1"/>
    <col min="5662" max="5662" width="14" style="190" customWidth="1"/>
    <col min="5663" max="5864" width="9.140625" style="190"/>
    <col min="5865" max="5865" width="3.7109375" style="190" customWidth="1"/>
    <col min="5866" max="5866" width="34" style="190" customWidth="1"/>
    <col min="5867" max="5867" width="16.7109375" style="190" bestFit="1" customWidth="1"/>
    <col min="5868" max="5869" width="16.85546875" style="190" bestFit="1" customWidth="1"/>
    <col min="5870" max="5871" width="16.85546875" style="190" customWidth="1"/>
    <col min="5872" max="5873" width="15.85546875" style="190" customWidth="1"/>
    <col min="5874" max="5875" width="14.5703125" style="190" bestFit="1" customWidth="1"/>
    <col min="5876" max="5877" width="14.5703125" style="190" customWidth="1"/>
    <col min="5878" max="5878" width="16.85546875" style="190" customWidth="1"/>
    <col min="5879" max="5879" width="16.28515625" style="190" customWidth="1"/>
    <col min="5880" max="5881" width="16" style="190" customWidth="1"/>
    <col min="5882" max="5917" width="18.42578125" style="190" customWidth="1"/>
    <col min="5918" max="5918" width="14" style="190" customWidth="1"/>
    <col min="5919" max="6120" width="9.140625" style="190"/>
    <col min="6121" max="6121" width="3.7109375" style="190" customWidth="1"/>
    <col min="6122" max="6122" width="34" style="190" customWidth="1"/>
    <col min="6123" max="6123" width="16.7109375" style="190" bestFit="1" customWidth="1"/>
    <col min="6124" max="6125" width="16.85546875" style="190" bestFit="1" customWidth="1"/>
    <col min="6126" max="6127" width="16.85546875" style="190" customWidth="1"/>
    <col min="6128" max="6129" width="15.85546875" style="190" customWidth="1"/>
    <col min="6130" max="6131" width="14.5703125" style="190" bestFit="1" customWidth="1"/>
    <col min="6132" max="6133" width="14.5703125" style="190" customWidth="1"/>
    <col min="6134" max="6134" width="16.85546875" style="190" customWidth="1"/>
    <col min="6135" max="6135" width="16.28515625" style="190" customWidth="1"/>
    <col min="6136" max="6137" width="16" style="190" customWidth="1"/>
    <col min="6138" max="6173" width="18.42578125" style="190" customWidth="1"/>
    <col min="6174" max="6174" width="14" style="190" customWidth="1"/>
    <col min="6175" max="6376" width="9.140625" style="190"/>
    <col min="6377" max="6377" width="3.7109375" style="190" customWidth="1"/>
    <col min="6378" max="6378" width="34" style="190" customWidth="1"/>
    <col min="6379" max="6379" width="16.7109375" style="190" bestFit="1" customWidth="1"/>
    <col min="6380" max="6381" width="16.85546875" style="190" bestFit="1" customWidth="1"/>
    <col min="6382" max="6383" width="16.85546875" style="190" customWidth="1"/>
    <col min="6384" max="6385" width="15.85546875" style="190" customWidth="1"/>
    <col min="6386" max="6387" width="14.5703125" style="190" bestFit="1" customWidth="1"/>
    <col min="6388" max="6389" width="14.5703125" style="190" customWidth="1"/>
    <col min="6390" max="6390" width="16.85546875" style="190" customWidth="1"/>
    <col min="6391" max="6391" width="16.28515625" style="190" customWidth="1"/>
    <col min="6392" max="6393" width="16" style="190" customWidth="1"/>
    <col min="6394" max="6429" width="18.42578125" style="190" customWidth="1"/>
    <col min="6430" max="6430" width="14" style="190" customWidth="1"/>
    <col min="6431" max="6632" width="9.140625" style="190"/>
    <col min="6633" max="6633" width="3.7109375" style="190" customWidth="1"/>
    <col min="6634" max="6634" width="34" style="190" customWidth="1"/>
    <col min="6635" max="6635" width="16.7109375" style="190" bestFit="1" customWidth="1"/>
    <col min="6636" max="6637" width="16.85546875" style="190" bestFit="1" customWidth="1"/>
    <col min="6638" max="6639" width="16.85546875" style="190" customWidth="1"/>
    <col min="6640" max="6641" width="15.85546875" style="190" customWidth="1"/>
    <col min="6642" max="6643" width="14.5703125" style="190" bestFit="1" customWidth="1"/>
    <col min="6644" max="6645" width="14.5703125" style="190" customWidth="1"/>
    <col min="6646" max="6646" width="16.85546875" style="190" customWidth="1"/>
    <col min="6647" max="6647" width="16.28515625" style="190" customWidth="1"/>
    <col min="6648" max="6649" width="16" style="190" customWidth="1"/>
    <col min="6650" max="6685" width="18.42578125" style="190" customWidth="1"/>
    <col min="6686" max="6686" width="14" style="190" customWidth="1"/>
    <col min="6687" max="6888" width="9.140625" style="190"/>
    <col min="6889" max="6889" width="3.7109375" style="190" customWidth="1"/>
    <col min="6890" max="6890" width="34" style="190" customWidth="1"/>
    <col min="6891" max="6891" width="16.7109375" style="190" bestFit="1" customWidth="1"/>
    <col min="6892" max="6893" width="16.85546875" style="190" bestFit="1" customWidth="1"/>
    <col min="6894" max="6895" width="16.85546875" style="190" customWidth="1"/>
    <col min="6896" max="6897" width="15.85546875" style="190" customWidth="1"/>
    <col min="6898" max="6899" width="14.5703125" style="190" bestFit="1" customWidth="1"/>
    <col min="6900" max="6901" width="14.5703125" style="190" customWidth="1"/>
    <col min="6902" max="6902" width="16.85546875" style="190" customWidth="1"/>
    <col min="6903" max="6903" width="16.28515625" style="190" customWidth="1"/>
    <col min="6904" max="6905" width="16" style="190" customWidth="1"/>
    <col min="6906" max="6941" width="18.42578125" style="190" customWidth="1"/>
    <col min="6942" max="6942" width="14" style="190" customWidth="1"/>
    <col min="6943" max="7144" width="9.140625" style="190"/>
    <col min="7145" max="7145" width="3.7109375" style="190" customWidth="1"/>
    <col min="7146" max="7146" width="34" style="190" customWidth="1"/>
    <col min="7147" max="7147" width="16.7109375" style="190" bestFit="1" customWidth="1"/>
    <col min="7148" max="7149" width="16.85546875" style="190" bestFit="1" customWidth="1"/>
    <col min="7150" max="7151" width="16.85546875" style="190" customWidth="1"/>
    <col min="7152" max="7153" width="15.85546875" style="190" customWidth="1"/>
    <col min="7154" max="7155" width="14.5703125" style="190" bestFit="1" customWidth="1"/>
    <col min="7156" max="7157" width="14.5703125" style="190" customWidth="1"/>
    <col min="7158" max="7158" width="16.85546875" style="190" customWidth="1"/>
    <col min="7159" max="7159" width="16.28515625" style="190" customWidth="1"/>
    <col min="7160" max="7161" width="16" style="190" customWidth="1"/>
    <col min="7162" max="7197" width="18.42578125" style="190" customWidth="1"/>
    <col min="7198" max="7198" width="14" style="190" customWidth="1"/>
    <col min="7199" max="7400" width="9.140625" style="190"/>
    <col min="7401" max="7401" width="3.7109375" style="190" customWidth="1"/>
    <col min="7402" max="7402" width="34" style="190" customWidth="1"/>
    <col min="7403" max="7403" width="16.7109375" style="190" bestFit="1" customWidth="1"/>
    <col min="7404" max="7405" width="16.85546875" style="190" bestFit="1" customWidth="1"/>
    <col min="7406" max="7407" width="16.85546875" style="190" customWidth="1"/>
    <col min="7408" max="7409" width="15.85546875" style="190" customWidth="1"/>
    <col min="7410" max="7411" width="14.5703125" style="190" bestFit="1" customWidth="1"/>
    <col min="7412" max="7413" width="14.5703125" style="190" customWidth="1"/>
    <col min="7414" max="7414" width="16.85546875" style="190" customWidth="1"/>
    <col min="7415" max="7415" width="16.28515625" style="190" customWidth="1"/>
    <col min="7416" max="7417" width="16" style="190" customWidth="1"/>
    <col min="7418" max="7453" width="18.42578125" style="190" customWidth="1"/>
    <col min="7454" max="7454" width="14" style="190" customWidth="1"/>
    <col min="7455" max="7656" width="9.140625" style="190"/>
    <col min="7657" max="7657" width="3.7109375" style="190" customWidth="1"/>
    <col min="7658" max="7658" width="34" style="190" customWidth="1"/>
    <col min="7659" max="7659" width="16.7109375" style="190" bestFit="1" customWidth="1"/>
    <col min="7660" max="7661" width="16.85546875" style="190" bestFit="1" customWidth="1"/>
    <col min="7662" max="7663" width="16.85546875" style="190" customWidth="1"/>
    <col min="7664" max="7665" width="15.85546875" style="190" customWidth="1"/>
    <col min="7666" max="7667" width="14.5703125" style="190" bestFit="1" customWidth="1"/>
    <col min="7668" max="7669" width="14.5703125" style="190" customWidth="1"/>
    <col min="7670" max="7670" width="16.85546875" style="190" customWidth="1"/>
    <col min="7671" max="7671" width="16.28515625" style="190" customWidth="1"/>
    <col min="7672" max="7673" width="16" style="190" customWidth="1"/>
    <col min="7674" max="7709" width="18.42578125" style="190" customWidth="1"/>
    <col min="7710" max="7710" width="14" style="190" customWidth="1"/>
    <col min="7711" max="7912" width="9.140625" style="190"/>
    <col min="7913" max="7913" width="3.7109375" style="190" customWidth="1"/>
    <col min="7914" max="7914" width="34" style="190" customWidth="1"/>
    <col min="7915" max="7915" width="16.7109375" style="190" bestFit="1" customWidth="1"/>
    <col min="7916" max="7917" width="16.85546875" style="190" bestFit="1" customWidth="1"/>
    <col min="7918" max="7919" width="16.85546875" style="190" customWidth="1"/>
    <col min="7920" max="7921" width="15.85546875" style="190" customWidth="1"/>
    <col min="7922" max="7923" width="14.5703125" style="190" bestFit="1" customWidth="1"/>
    <col min="7924" max="7925" width="14.5703125" style="190" customWidth="1"/>
    <col min="7926" max="7926" width="16.85546875" style="190" customWidth="1"/>
    <col min="7927" max="7927" width="16.28515625" style="190" customWidth="1"/>
    <col min="7928" max="7929" width="16" style="190" customWidth="1"/>
    <col min="7930" max="7965" width="18.42578125" style="190" customWidth="1"/>
    <col min="7966" max="7966" width="14" style="190" customWidth="1"/>
    <col min="7967" max="8168" width="9.140625" style="190"/>
    <col min="8169" max="8169" width="3.7109375" style="190" customWidth="1"/>
    <col min="8170" max="8170" width="34" style="190" customWidth="1"/>
    <col min="8171" max="8171" width="16.7109375" style="190" bestFit="1" customWidth="1"/>
    <col min="8172" max="8173" width="16.85546875" style="190" bestFit="1" customWidth="1"/>
    <col min="8174" max="8175" width="16.85546875" style="190" customWidth="1"/>
    <col min="8176" max="8177" width="15.85546875" style="190" customWidth="1"/>
    <col min="8178" max="8179" width="14.5703125" style="190" bestFit="1" customWidth="1"/>
    <col min="8180" max="8181" width="14.5703125" style="190" customWidth="1"/>
    <col min="8182" max="8182" width="16.85546875" style="190" customWidth="1"/>
    <col min="8183" max="8183" width="16.28515625" style="190" customWidth="1"/>
    <col min="8184" max="8185" width="16" style="190" customWidth="1"/>
    <col min="8186" max="8221" width="18.42578125" style="190" customWidth="1"/>
    <col min="8222" max="8222" width="14" style="190" customWidth="1"/>
    <col min="8223" max="8424" width="9.140625" style="190"/>
    <col min="8425" max="8425" width="3.7109375" style="190" customWidth="1"/>
    <col min="8426" max="8426" width="34" style="190" customWidth="1"/>
    <col min="8427" max="8427" width="16.7109375" style="190" bestFit="1" customWidth="1"/>
    <col min="8428" max="8429" width="16.85546875" style="190" bestFit="1" customWidth="1"/>
    <col min="8430" max="8431" width="16.85546875" style="190" customWidth="1"/>
    <col min="8432" max="8433" width="15.85546875" style="190" customWidth="1"/>
    <col min="8434" max="8435" width="14.5703125" style="190" bestFit="1" customWidth="1"/>
    <col min="8436" max="8437" width="14.5703125" style="190" customWidth="1"/>
    <col min="8438" max="8438" width="16.85546875" style="190" customWidth="1"/>
    <col min="8439" max="8439" width="16.28515625" style="190" customWidth="1"/>
    <col min="8440" max="8441" width="16" style="190" customWidth="1"/>
    <col min="8442" max="8477" width="18.42578125" style="190" customWidth="1"/>
    <col min="8478" max="8478" width="14" style="190" customWidth="1"/>
    <col min="8479" max="8680" width="9.140625" style="190"/>
    <col min="8681" max="8681" width="3.7109375" style="190" customWidth="1"/>
    <col min="8682" max="8682" width="34" style="190" customWidth="1"/>
    <col min="8683" max="8683" width="16.7109375" style="190" bestFit="1" customWidth="1"/>
    <col min="8684" max="8685" width="16.85546875" style="190" bestFit="1" customWidth="1"/>
    <col min="8686" max="8687" width="16.85546875" style="190" customWidth="1"/>
    <col min="8688" max="8689" width="15.85546875" style="190" customWidth="1"/>
    <col min="8690" max="8691" width="14.5703125" style="190" bestFit="1" customWidth="1"/>
    <col min="8692" max="8693" width="14.5703125" style="190" customWidth="1"/>
    <col min="8694" max="8694" width="16.85546875" style="190" customWidth="1"/>
    <col min="8695" max="8695" width="16.28515625" style="190" customWidth="1"/>
    <col min="8696" max="8697" width="16" style="190" customWidth="1"/>
    <col min="8698" max="8733" width="18.42578125" style="190" customWidth="1"/>
    <col min="8734" max="8734" width="14" style="190" customWidth="1"/>
    <col min="8735" max="8936" width="9.140625" style="190"/>
    <col min="8937" max="8937" width="3.7109375" style="190" customWidth="1"/>
    <col min="8938" max="8938" width="34" style="190" customWidth="1"/>
    <col min="8939" max="8939" width="16.7109375" style="190" bestFit="1" customWidth="1"/>
    <col min="8940" max="8941" width="16.85546875" style="190" bestFit="1" customWidth="1"/>
    <col min="8942" max="8943" width="16.85546875" style="190" customWidth="1"/>
    <col min="8944" max="8945" width="15.85546875" style="190" customWidth="1"/>
    <col min="8946" max="8947" width="14.5703125" style="190" bestFit="1" customWidth="1"/>
    <col min="8948" max="8949" width="14.5703125" style="190" customWidth="1"/>
    <col min="8950" max="8950" width="16.85546875" style="190" customWidth="1"/>
    <col min="8951" max="8951" width="16.28515625" style="190" customWidth="1"/>
    <col min="8952" max="8953" width="16" style="190" customWidth="1"/>
    <col min="8954" max="8989" width="18.42578125" style="190" customWidth="1"/>
    <col min="8990" max="8990" width="14" style="190" customWidth="1"/>
    <col min="8991" max="9192" width="9.140625" style="190"/>
    <col min="9193" max="9193" width="3.7109375" style="190" customWidth="1"/>
    <col min="9194" max="9194" width="34" style="190" customWidth="1"/>
    <col min="9195" max="9195" width="16.7109375" style="190" bestFit="1" customWidth="1"/>
    <col min="9196" max="9197" width="16.85546875" style="190" bestFit="1" customWidth="1"/>
    <col min="9198" max="9199" width="16.85546875" style="190" customWidth="1"/>
    <col min="9200" max="9201" width="15.85546875" style="190" customWidth="1"/>
    <col min="9202" max="9203" width="14.5703125" style="190" bestFit="1" customWidth="1"/>
    <col min="9204" max="9205" width="14.5703125" style="190" customWidth="1"/>
    <col min="9206" max="9206" width="16.85546875" style="190" customWidth="1"/>
    <col min="9207" max="9207" width="16.28515625" style="190" customWidth="1"/>
    <col min="9208" max="9209" width="16" style="190" customWidth="1"/>
    <col min="9210" max="9245" width="18.42578125" style="190" customWidth="1"/>
    <col min="9246" max="9246" width="14" style="190" customWidth="1"/>
    <col min="9247" max="9448" width="9.140625" style="190"/>
    <col min="9449" max="9449" width="3.7109375" style="190" customWidth="1"/>
    <col min="9450" max="9450" width="34" style="190" customWidth="1"/>
    <col min="9451" max="9451" width="16.7109375" style="190" bestFit="1" customWidth="1"/>
    <col min="9452" max="9453" width="16.85546875" style="190" bestFit="1" customWidth="1"/>
    <col min="9454" max="9455" width="16.85546875" style="190" customWidth="1"/>
    <col min="9456" max="9457" width="15.85546875" style="190" customWidth="1"/>
    <col min="9458" max="9459" width="14.5703125" style="190" bestFit="1" customWidth="1"/>
    <col min="9460" max="9461" width="14.5703125" style="190" customWidth="1"/>
    <col min="9462" max="9462" width="16.85546875" style="190" customWidth="1"/>
    <col min="9463" max="9463" width="16.28515625" style="190" customWidth="1"/>
    <col min="9464" max="9465" width="16" style="190" customWidth="1"/>
    <col min="9466" max="9501" width="18.42578125" style="190" customWidth="1"/>
    <col min="9502" max="9502" width="14" style="190" customWidth="1"/>
    <col min="9503" max="9704" width="9.140625" style="190"/>
    <col min="9705" max="9705" width="3.7109375" style="190" customWidth="1"/>
    <col min="9706" max="9706" width="34" style="190" customWidth="1"/>
    <col min="9707" max="9707" width="16.7109375" style="190" bestFit="1" customWidth="1"/>
    <col min="9708" max="9709" width="16.85546875" style="190" bestFit="1" customWidth="1"/>
    <col min="9710" max="9711" width="16.85546875" style="190" customWidth="1"/>
    <col min="9712" max="9713" width="15.85546875" style="190" customWidth="1"/>
    <col min="9714" max="9715" width="14.5703125" style="190" bestFit="1" customWidth="1"/>
    <col min="9716" max="9717" width="14.5703125" style="190" customWidth="1"/>
    <col min="9718" max="9718" width="16.85546875" style="190" customWidth="1"/>
    <col min="9719" max="9719" width="16.28515625" style="190" customWidth="1"/>
    <col min="9720" max="9721" width="16" style="190" customWidth="1"/>
    <col min="9722" max="9757" width="18.42578125" style="190" customWidth="1"/>
    <col min="9758" max="9758" width="14" style="190" customWidth="1"/>
    <col min="9759" max="9960" width="9.140625" style="190"/>
    <col min="9961" max="9961" width="3.7109375" style="190" customWidth="1"/>
    <col min="9962" max="9962" width="34" style="190" customWidth="1"/>
    <col min="9963" max="9963" width="16.7109375" style="190" bestFit="1" customWidth="1"/>
    <col min="9964" max="9965" width="16.85546875" style="190" bestFit="1" customWidth="1"/>
    <col min="9966" max="9967" width="16.85546875" style="190" customWidth="1"/>
    <col min="9968" max="9969" width="15.85546875" style="190" customWidth="1"/>
    <col min="9970" max="9971" width="14.5703125" style="190" bestFit="1" customWidth="1"/>
    <col min="9972" max="9973" width="14.5703125" style="190" customWidth="1"/>
    <col min="9974" max="9974" width="16.85546875" style="190" customWidth="1"/>
    <col min="9975" max="9975" width="16.28515625" style="190" customWidth="1"/>
    <col min="9976" max="9977" width="16" style="190" customWidth="1"/>
    <col min="9978" max="10013" width="18.42578125" style="190" customWidth="1"/>
    <col min="10014" max="10014" width="14" style="190" customWidth="1"/>
    <col min="10015" max="10216" width="9.140625" style="190"/>
    <col min="10217" max="10217" width="3.7109375" style="190" customWidth="1"/>
    <col min="10218" max="10218" width="34" style="190" customWidth="1"/>
    <col min="10219" max="10219" width="16.7109375" style="190" bestFit="1" customWidth="1"/>
    <col min="10220" max="10221" width="16.85546875" style="190" bestFit="1" customWidth="1"/>
    <col min="10222" max="10223" width="16.85546875" style="190" customWidth="1"/>
    <col min="10224" max="10225" width="15.85546875" style="190" customWidth="1"/>
    <col min="10226" max="10227" width="14.5703125" style="190" bestFit="1" customWidth="1"/>
    <col min="10228" max="10229" width="14.5703125" style="190" customWidth="1"/>
    <col min="10230" max="10230" width="16.85546875" style="190" customWidth="1"/>
    <col min="10231" max="10231" width="16.28515625" style="190" customWidth="1"/>
    <col min="10232" max="10233" width="16" style="190" customWidth="1"/>
    <col min="10234" max="10269" width="18.42578125" style="190" customWidth="1"/>
    <col min="10270" max="10270" width="14" style="190" customWidth="1"/>
    <col min="10271" max="10472" width="9.140625" style="190"/>
    <col min="10473" max="10473" width="3.7109375" style="190" customWidth="1"/>
    <col min="10474" max="10474" width="34" style="190" customWidth="1"/>
    <col min="10475" max="10475" width="16.7109375" style="190" bestFit="1" customWidth="1"/>
    <col min="10476" max="10477" width="16.85546875" style="190" bestFit="1" customWidth="1"/>
    <col min="10478" max="10479" width="16.85546875" style="190" customWidth="1"/>
    <col min="10480" max="10481" width="15.85546875" style="190" customWidth="1"/>
    <col min="10482" max="10483" width="14.5703125" style="190" bestFit="1" customWidth="1"/>
    <col min="10484" max="10485" width="14.5703125" style="190" customWidth="1"/>
    <col min="10486" max="10486" width="16.85546875" style="190" customWidth="1"/>
    <col min="10487" max="10487" width="16.28515625" style="190" customWidth="1"/>
    <col min="10488" max="10489" width="16" style="190" customWidth="1"/>
    <col min="10490" max="10525" width="18.42578125" style="190" customWidth="1"/>
    <col min="10526" max="10526" width="14" style="190" customWidth="1"/>
    <col min="10527" max="10728" width="9.140625" style="190"/>
    <col min="10729" max="10729" width="3.7109375" style="190" customWidth="1"/>
    <col min="10730" max="10730" width="34" style="190" customWidth="1"/>
    <col min="10731" max="10731" width="16.7109375" style="190" bestFit="1" customWidth="1"/>
    <col min="10732" max="10733" width="16.85546875" style="190" bestFit="1" customWidth="1"/>
    <col min="10734" max="10735" width="16.85546875" style="190" customWidth="1"/>
    <col min="10736" max="10737" width="15.85546875" style="190" customWidth="1"/>
    <col min="10738" max="10739" width="14.5703125" style="190" bestFit="1" customWidth="1"/>
    <col min="10740" max="10741" width="14.5703125" style="190" customWidth="1"/>
    <col min="10742" max="10742" width="16.85546875" style="190" customWidth="1"/>
    <col min="10743" max="10743" width="16.28515625" style="190" customWidth="1"/>
    <col min="10744" max="10745" width="16" style="190" customWidth="1"/>
    <col min="10746" max="10781" width="18.42578125" style="190" customWidth="1"/>
    <col min="10782" max="10782" width="14" style="190" customWidth="1"/>
    <col min="10783" max="10984" width="9.140625" style="190"/>
    <col min="10985" max="10985" width="3.7109375" style="190" customWidth="1"/>
    <col min="10986" max="10986" width="34" style="190" customWidth="1"/>
    <col min="10987" max="10987" width="16.7109375" style="190" bestFit="1" customWidth="1"/>
    <col min="10988" max="10989" width="16.85546875" style="190" bestFit="1" customWidth="1"/>
    <col min="10990" max="10991" width="16.85546875" style="190" customWidth="1"/>
    <col min="10992" max="10993" width="15.85546875" style="190" customWidth="1"/>
    <col min="10994" max="10995" width="14.5703125" style="190" bestFit="1" customWidth="1"/>
    <col min="10996" max="10997" width="14.5703125" style="190" customWidth="1"/>
    <col min="10998" max="10998" width="16.85546875" style="190" customWidth="1"/>
    <col min="10999" max="10999" width="16.28515625" style="190" customWidth="1"/>
    <col min="11000" max="11001" width="16" style="190" customWidth="1"/>
    <col min="11002" max="11037" width="18.42578125" style="190" customWidth="1"/>
    <col min="11038" max="11038" width="14" style="190" customWidth="1"/>
    <col min="11039" max="11240" width="9.140625" style="190"/>
    <col min="11241" max="11241" width="3.7109375" style="190" customWidth="1"/>
    <col min="11242" max="11242" width="34" style="190" customWidth="1"/>
    <col min="11243" max="11243" width="16.7109375" style="190" bestFit="1" customWidth="1"/>
    <col min="11244" max="11245" width="16.85546875" style="190" bestFit="1" customWidth="1"/>
    <col min="11246" max="11247" width="16.85546875" style="190" customWidth="1"/>
    <col min="11248" max="11249" width="15.85546875" style="190" customWidth="1"/>
    <col min="11250" max="11251" width="14.5703125" style="190" bestFit="1" customWidth="1"/>
    <col min="11252" max="11253" width="14.5703125" style="190" customWidth="1"/>
    <col min="11254" max="11254" width="16.85546875" style="190" customWidth="1"/>
    <col min="11255" max="11255" width="16.28515625" style="190" customWidth="1"/>
    <col min="11256" max="11257" width="16" style="190" customWidth="1"/>
    <col min="11258" max="11293" width="18.42578125" style="190" customWidth="1"/>
    <col min="11294" max="11294" width="14" style="190" customWidth="1"/>
    <col min="11295" max="11496" width="9.140625" style="190"/>
    <col min="11497" max="11497" width="3.7109375" style="190" customWidth="1"/>
    <col min="11498" max="11498" width="34" style="190" customWidth="1"/>
    <col min="11499" max="11499" width="16.7109375" style="190" bestFit="1" customWidth="1"/>
    <col min="11500" max="11501" width="16.85546875" style="190" bestFit="1" customWidth="1"/>
    <col min="11502" max="11503" width="16.85546875" style="190" customWidth="1"/>
    <col min="11504" max="11505" width="15.85546875" style="190" customWidth="1"/>
    <col min="11506" max="11507" width="14.5703125" style="190" bestFit="1" customWidth="1"/>
    <col min="11508" max="11509" width="14.5703125" style="190" customWidth="1"/>
    <col min="11510" max="11510" width="16.85546875" style="190" customWidth="1"/>
    <col min="11511" max="11511" width="16.28515625" style="190" customWidth="1"/>
    <col min="11512" max="11513" width="16" style="190" customWidth="1"/>
    <col min="11514" max="11549" width="18.42578125" style="190" customWidth="1"/>
    <col min="11550" max="11550" width="14" style="190" customWidth="1"/>
    <col min="11551" max="11752" width="9.140625" style="190"/>
    <col min="11753" max="11753" width="3.7109375" style="190" customWidth="1"/>
    <col min="11754" max="11754" width="34" style="190" customWidth="1"/>
    <col min="11755" max="11755" width="16.7109375" style="190" bestFit="1" customWidth="1"/>
    <col min="11756" max="11757" width="16.85546875" style="190" bestFit="1" customWidth="1"/>
    <col min="11758" max="11759" width="16.85546875" style="190" customWidth="1"/>
    <col min="11760" max="11761" width="15.85546875" style="190" customWidth="1"/>
    <col min="11762" max="11763" width="14.5703125" style="190" bestFit="1" customWidth="1"/>
    <col min="11764" max="11765" width="14.5703125" style="190" customWidth="1"/>
    <col min="11766" max="11766" width="16.85546875" style="190" customWidth="1"/>
    <col min="11767" max="11767" width="16.28515625" style="190" customWidth="1"/>
    <col min="11768" max="11769" width="16" style="190" customWidth="1"/>
    <col min="11770" max="11805" width="18.42578125" style="190" customWidth="1"/>
    <col min="11806" max="11806" width="14" style="190" customWidth="1"/>
    <col min="11807" max="12008" width="9.140625" style="190"/>
    <col min="12009" max="12009" width="3.7109375" style="190" customWidth="1"/>
    <col min="12010" max="12010" width="34" style="190" customWidth="1"/>
    <col min="12011" max="12011" width="16.7109375" style="190" bestFit="1" customWidth="1"/>
    <col min="12012" max="12013" width="16.85546875" style="190" bestFit="1" customWidth="1"/>
    <col min="12014" max="12015" width="16.85546875" style="190" customWidth="1"/>
    <col min="12016" max="12017" width="15.85546875" style="190" customWidth="1"/>
    <col min="12018" max="12019" width="14.5703125" style="190" bestFit="1" customWidth="1"/>
    <col min="12020" max="12021" width="14.5703125" style="190" customWidth="1"/>
    <col min="12022" max="12022" width="16.85546875" style="190" customWidth="1"/>
    <col min="12023" max="12023" width="16.28515625" style="190" customWidth="1"/>
    <col min="12024" max="12025" width="16" style="190" customWidth="1"/>
    <col min="12026" max="12061" width="18.42578125" style="190" customWidth="1"/>
    <col min="12062" max="12062" width="14" style="190" customWidth="1"/>
    <col min="12063" max="12264" width="9.140625" style="190"/>
    <col min="12265" max="12265" width="3.7109375" style="190" customWidth="1"/>
    <col min="12266" max="12266" width="34" style="190" customWidth="1"/>
    <col min="12267" max="12267" width="16.7109375" style="190" bestFit="1" customWidth="1"/>
    <col min="12268" max="12269" width="16.85546875" style="190" bestFit="1" customWidth="1"/>
    <col min="12270" max="12271" width="16.85546875" style="190" customWidth="1"/>
    <col min="12272" max="12273" width="15.85546875" style="190" customWidth="1"/>
    <col min="12274" max="12275" width="14.5703125" style="190" bestFit="1" customWidth="1"/>
    <col min="12276" max="12277" width="14.5703125" style="190" customWidth="1"/>
    <col min="12278" max="12278" width="16.85546875" style="190" customWidth="1"/>
    <col min="12279" max="12279" width="16.28515625" style="190" customWidth="1"/>
    <col min="12280" max="12281" width="16" style="190" customWidth="1"/>
    <col min="12282" max="12317" width="18.42578125" style="190" customWidth="1"/>
    <col min="12318" max="12318" width="14" style="190" customWidth="1"/>
    <col min="12319" max="12520" width="9.140625" style="190"/>
    <col min="12521" max="12521" width="3.7109375" style="190" customWidth="1"/>
    <col min="12522" max="12522" width="34" style="190" customWidth="1"/>
    <col min="12523" max="12523" width="16.7109375" style="190" bestFit="1" customWidth="1"/>
    <col min="12524" max="12525" width="16.85546875" style="190" bestFit="1" customWidth="1"/>
    <col min="12526" max="12527" width="16.85546875" style="190" customWidth="1"/>
    <col min="12528" max="12529" width="15.85546875" style="190" customWidth="1"/>
    <col min="12530" max="12531" width="14.5703125" style="190" bestFit="1" customWidth="1"/>
    <col min="12532" max="12533" width="14.5703125" style="190" customWidth="1"/>
    <col min="12534" max="12534" width="16.85546875" style="190" customWidth="1"/>
    <col min="12535" max="12535" width="16.28515625" style="190" customWidth="1"/>
    <col min="12536" max="12537" width="16" style="190" customWidth="1"/>
    <col min="12538" max="12573" width="18.42578125" style="190" customWidth="1"/>
    <col min="12574" max="12574" width="14" style="190" customWidth="1"/>
    <col min="12575" max="12776" width="9.140625" style="190"/>
    <col min="12777" max="12777" width="3.7109375" style="190" customWidth="1"/>
    <col min="12778" max="12778" width="34" style="190" customWidth="1"/>
    <col min="12779" max="12779" width="16.7109375" style="190" bestFit="1" customWidth="1"/>
    <col min="12780" max="12781" width="16.85546875" style="190" bestFit="1" customWidth="1"/>
    <col min="12782" max="12783" width="16.85546875" style="190" customWidth="1"/>
    <col min="12784" max="12785" width="15.85546875" style="190" customWidth="1"/>
    <col min="12786" max="12787" width="14.5703125" style="190" bestFit="1" customWidth="1"/>
    <col min="12788" max="12789" width="14.5703125" style="190" customWidth="1"/>
    <col min="12790" max="12790" width="16.85546875" style="190" customWidth="1"/>
    <col min="12791" max="12791" width="16.28515625" style="190" customWidth="1"/>
    <col min="12792" max="12793" width="16" style="190" customWidth="1"/>
    <col min="12794" max="12829" width="18.42578125" style="190" customWidth="1"/>
    <col min="12830" max="12830" width="14" style="190" customWidth="1"/>
    <col min="12831" max="13032" width="9.140625" style="190"/>
    <col min="13033" max="13033" width="3.7109375" style="190" customWidth="1"/>
    <col min="13034" max="13034" width="34" style="190" customWidth="1"/>
    <col min="13035" max="13035" width="16.7109375" style="190" bestFit="1" customWidth="1"/>
    <col min="13036" max="13037" width="16.85546875" style="190" bestFit="1" customWidth="1"/>
    <col min="13038" max="13039" width="16.85546875" style="190" customWidth="1"/>
    <col min="13040" max="13041" width="15.85546875" style="190" customWidth="1"/>
    <col min="13042" max="13043" width="14.5703125" style="190" bestFit="1" customWidth="1"/>
    <col min="13044" max="13045" width="14.5703125" style="190" customWidth="1"/>
    <col min="13046" max="13046" width="16.85546875" style="190" customWidth="1"/>
    <col min="13047" max="13047" width="16.28515625" style="190" customWidth="1"/>
    <col min="13048" max="13049" width="16" style="190" customWidth="1"/>
    <col min="13050" max="13085" width="18.42578125" style="190" customWidth="1"/>
    <col min="13086" max="13086" width="14" style="190" customWidth="1"/>
    <col min="13087" max="13288" width="9.140625" style="190"/>
    <col min="13289" max="13289" width="3.7109375" style="190" customWidth="1"/>
    <col min="13290" max="13290" width="34" style="190" customWidth="1"/>
    <col min="13291" max="13291" width="16.7109375" style="190" bestFit="1" customWidth="1"/>
    <col min="13292" max="13293" width="16.85546875" style="190" bestFit="1" customWidth="1"/>
    <col min="13294" max="13295" width="16.85546875" style="190" customWidth="1"/>
    <col min="13296" max="13297" width="15.85546875" style="190" customWidth="1"/>
    <col min="13298" max="13299" width="14.5703125" style="190" bestFit="1" customWidth="1"/>
    <col min="13300" max="13301" width="14.5703125" style="190" customWidth="1"/>
    <col min="13302" max="13302" width="16.85546875" style="190" customWidth="1"/>
    <col min="13303" max="13303" width="16.28515625" style="190" customWidth="1"/>
    <col min="13304" max="13305" width="16" style="190" customWidth="1"/>
    <col min="13306" max="13341" width="18.42578125" style="190" customWidth="1"/>
    <col min="13342" max="13342" width="14" style="190" customWidth="1"/>
    <col min="13343" max="13544" width="9.140625" style="190"/>
    <col min="13545" max="13545" width="3.7109375" style="190" customWidth="1"/>
    <col min="13546" max="13546" width="34" style="190" customWidth="1"/>
    <col min="13547" max="13547" width="16.7109375" style="190" bestFit="1" customWidth="1"/>
    <col min="13548" max="13549" width="16.85546875" style="190" bestFit="1" customWidth="1"/>
    <col min="13550" max="13551" width="16.85546875" style="190" customWidth="1"/>
    <col min="13552" max="13553" width="15.85546875" style="190" customWidth="1"/>
    <col min="13554" max="13555" width="14.5703125" style="190" bestFit="1" customWidth="1"/>
    <col min="13556" max="13557" width="14.5703125" style="190" customWidth="1"/>
    <col min="13558" max="13558" width="16.85546875" style="190" customWidth="1"/>
    <col min="13559" max="13559" width="16.28515625" style="190" customWidth="1"/>
    <col min="13560" max="13561" width="16" style="190" customWidth="1"/>
    <col min="13562" max="13597" width="18.42578125" style="190" customWidth="1"/>
    <col min="13598" max="13598" width="14" style="190" customWidth="1"/>
    <col min="13599" max="13800" width="9.140625" style="190"/>
    <col min="13801" max="13801" width="3.7109375" style="190" customWidth="1"/>
    <col min="13802" max="13802" width="34" style="190" customWidth="1"/>
    <col min="13803" max="13803" width="16.7109375" style="190" bestFit="1" customWidth="1"/>
    <col min="13804" max="13805" width="16.85546875" style="190" bestFit="1" customWidth="1"/>
    <col min="13806" max="13807" width="16.85546875" style="190" customWidth="1"/>
    <col min="13808" max="13809" width="15.85546875" style="190" customWidth="1"/>
    <col min="13810" max="13811" width="14.5703125" style="190" bestFit="1" customWidth="1"/>
    <col min="13812" max="13813" width="14.5703125" style="190" customWidth="1"/>
    <col min="13814" max="13814" width="16.85546875" style="190" customWidth="1"/>
    <col min="13815" max="13815" width="16.28515625" style="190" customWidth="1"/>
    <col min="13816" max="13817" width="16" style="190" customWidth="1"/>
    <col min="13818" max="13853" width="18.42578125" style="190" customWidth="1"/>
    <col min="13854" max="13854" width="14" style="190" customWidth="1"/>
    <col min="13855" max="14056" width="9.140625" style="190"/>
    <col min="14057" max="14057" width="3.7109375" style="190" customWidth="1"/>
    <col min="14058" max="14058" width="34" style="190" customWidth="1"/>
    <col min="14059" max="14059" width="16.7109375" style="190" bestFit="1" customWidth="1"/>
    <col min="14060" max="14061" width="16.85546875" style="190" bestFit="1" customWidth="1"/>
    <col min="14062" max="14063" width="16.85546875" style="190" customWidth="1"/>
    <col min="14064" max="14065" width="15.85546875" style="190" customWidth="1"/>
    <col min="14066" max="14067" width="14.5703125" style="190" bestFit="1" customWidth="1"/>
    <col min="14068" max="14069" width="14.5703125" style="190" customWidth="1"/>
    <col min="14070" max="14070" width="16.85546875" style="190" customWidth="1"/>
    <col min="14071" max="14071" width="16.28515625" style="190" customWidth="1"/>
    <col min="14072" max="14073" width="16" style="190" customWidth="1"/>
    <col min="14074" max="14109" width="18.42578125" style="190" customWidth="1"/>
    <col min="14110" max="14110" width="14" style="190" customWidth="1"/>
    <col min="14111" max="14312" width="9.140625" style="190"/>
    <col min="14313" max="14313" width="3.7109375" style="190" customWidth="1"/>
    <col min="14314" max="14314" width="34" style="190" customWidth="1"/>
    <col min="14315" max="14315" width="16.7109375" style="190" bestFit="1" customWidth="1"/>
    <col min="14316" max="14317" width="16.85546875" style="190" bestFit="1" customWidth="1"/>
    <col min="14318" max="14319" width="16.85546875" style="190" customWidth="1"/>
    <col min="14320" max="14321" width="15.85546875" style="190" customWidth="1"/>
    <col min="14322" max="14323" width="14.5703125" style="190" bestFit="1" customWidth="1"/>
    <col min="14324" max="14325" width="14.5703125" style="190" customWidth="1"/>
    <col min="14326" max="14326" width="16.85546875" style="190" customWidth="1"/>
    <col min="14327" max="14327" width="16.28515625" style="190" customWidth="1"/>
    <col min="14328" max="14329" width="16" style="190" customWidth="1"/>
    <col min="14330" max="14365" width="18.42578125" style="190" customWidth="1"/>
    <col min="14366" max="14366" width="14" style="190" customWidth="1"/>
    <col min="14367" max="14568" width="9.140625" style="190"/>
    <col min="14569" max="14569" width="3.7109375" style="190" customWidth="1"/>
    <col min="14570" max="14570" width="34" style="190" customWidth="1"/>
    <col min="14571" max="14571" width="16.7109375" style="190" bestFit="1" customWidth="1"/>
    <col min="14572" max="14573" width="16.85546875" style="190" bestFit="1" customWidth="1"/>
    <col min="14574" max="14575" width="16.85546875" style="190" customWidth="1"/>
    <col min="14576" max="14577" width="15.85546875" style="190" customWidth="1"/>
    <col min="14578" max="14579" width="14.5703125" style="190" bestFit="1" customWidth="1"/>
    <col min="14580" max="14581" width="14.5703125" style="190" customWidth="1"/>
    <col min="14582" max="14582" width="16.85546875" style="190" customWidth="1"/>
    <col min="14583" max="14583" width="16.28515625" style="190" customWidth="1"/>
    <col min="14584" max="14585" width="16" style="190" customWidth="1"/>
    <col min="14586" max="14621" width="18.42578125" style="190" customWidth="1"/>
    <col min="14622" max="14622" width="14" style="190" customWidth="1"/>
    <col min="14623" max="14824" width="9.140625" style="190"/>
    <col min="14825" max="14825" width="3.7109375" style="190" customWidth="1"/>
    <col min="14826" max="14826" width="34" style="190" customWidth="1"/>
    <col min="14827" max="14827" width="16.7109375" style="190" bestFit="1" customWidth="1"/>
    <col min="14828" max="14829" width="16.85546875" style="190" bestFit="1" customWidth="1"/>
    <col min="14830" max="14831" width="16.85546875" style="190" customWidth="1"/>
    <col min="14832" max="14833" width="15.85546875" style="190" customWidth="1"/>
    <col min="14834" max="14835" width="14.5703125" style="190" bestFit="1" customWidth="1"/>
    <col min="14836" max="14837" width="14.5703125" style="190" customWidth="1"/>
    <col min="14838" max="14838" width="16.85546875" style="190" customWidth="1"/>
    <col min="14839" max="14839" width="16.28515625" style="190" customWidth="1"/>
    <col min="14840" max="14841" width="16" style="190" customWidth="1"/>
    <col min="14842" max="14877" width="18.42578125" style="190" customWidth="1"/>
    <col min="14878" max="14878" width="14" style="190" customWidth="1"/>
    <col min="14879" max="15080" width="9.140625" style="190"/>
    <col min="15081" max="15081" width="3.7109375" style="190" customWidth="1"/>
    <col min="15082" max="15082" width="34" style="190" customWidth="1"/>
    <col min="15083" max="15083" width="16.7109375" style="190" bestFit="1" customWidth="1"/>
    <col min="15084" max="15085" width="16.85546875" style="190" bestFit="1" customWidth="1"/>
    <col min="15086" max="15087" width="16.85546875" style="190" customWidth="1"/>
    <col min="15088" max="15089" width="15.85546875" style="190" customWidth="1"/>
    <col min="15090" max="15091" width="14.5703125" style="190" bestFit="1" customWidth="1"/>
    <col min="15092" max="15093" width="14.5703125" style="190" customWidth="1"/>
    <col min="15094" max="15094" width="16.85546875" style="190" customWidth="1"/>
    <col min="15095" max="15095" width="16.28515625" style="190" customWidth="1"/>
    <col min="15096" max="15097" width="16" style="190" customWidth="1"/>
    <col min="15098" max="15133" width="18.42578125" style="190" customWidth="1"/>
    <col min="15134" max="15134" width="14" style="190" customWidth="1"/>
    <col min="15135" max="15336" width="9.140625" style="190"/>
    <col min="15337" max="15337" width="3.7109375" style="190" customWidth="1"/>
    <col min="15338" max="15338" width="34" style="190" customWidth="1"/>
    <col min="15339" max="15339" width="16.7109375" style="190" bestFit="1" customWidth="1"/>
    <col min="15340" max="15341" width="16.85546875" style="190" bestFit="1" customWidth="1"/>
    <col min="15342" max="15343" width="16.85546875" style="190" customWidth="1"/>
    <col min="15344" max="15345" width="15.85546875" style="190" customWidth="1"/>
    <col min="15346" max="15347" width="14.5703125" style="190" bestFit="1" customWidth="1"/>
    <col min="15348" max="15349" width="14.5703125" style="190" customWidth="1"/>
    <col min="15350" max="15350" width="16.85546875" style="190" customWidth="1"/>
    <col min="15351" max="15351" width="16.28515625" style="190" customWidth="1"/>
    <col min="15352" max="15353" width="16" style="190" customWidth="1"/>
    <col min="15354" max="15389" width="18.42578125" style="190" customWidth="1"/>
    <col min="15390" max="15390" width="14" style="190" customWidth="1"/>
    <col min="15391" max="15592" width="9.140625" style="190"/>
    <col min="15593" max="15593" width="3.7109375" style="190" customWidth="1"/>
    <col min="15594" max="15594" width="34" style="190" customWidth="1"/>
    <col min="15595" max="15595" width="16.7109375" style="190" bestFit="1" customWidth="1"/>
    <col min="15596" max="15597" width="16.85546875" style="190" bestFit="1" customWidth="1"/>
    <col min="15598" max="15599" width="16.85546875" style="190" customWidth="1"/>
    <col min="15600" max="15601" width="15.85546875" style="190" customWidth="1"/>
    <col min="15602" max="15603" width="14.5703125" style="190" bestFit="1" customWidth="1"/>
    <col min="15604" max="15605" width="14.5703125" style="190" customWidth="1"/>
    <col min="15606" max="15606" width="16.85546875" style="190" customWidth="1"/>
    <col min="15607" max="15607" width="16.28515625" style="190" customWidth="1"/>
    <col min="15608" max="15609" width="16" style="190" customWidth="1"/>
    <col min="15610" max="15645" width="18.42578125" style="190" customWidth="1"/>
    <col min="15646" max="15646" width="14" style="190" customWidth="1"/>
    <col min="15647" max="15848" width="9.140625" style="190"/>
    <col min="15849" max="15849" width="3.7109375" style="190" customWidth="1"/>
    <col min="15850" max="15850" width="34" style="190" customWidth="1"/>
    <col min="15851" max="15851" width="16.7109375" style="190" bestFit="1" customWidth="1"/>
    <col min="15852" max="15853" width="16.85546875" style="190" bestFit="1" customWidth="1"/>
    <col min="15854" max="15855" width="16.85546875" style="190" customWidth="1"/>
    <col min="15856" max="15857" width="15.85546875" style="190" customWidth="1"/>
    <col min="15858" max="15859" width="14.5703125" style="190" bestFit="1" customWidth="1"/>
    <col min="15860" max="15861" width="14.5703125" style="190" customWidth="1"/>
    <col min="15862" max="15862" width="16.85546875" style="190" customWidth="1"/>
    <col min="15863" max="15863" width="16.28515625" style="190" customWidth="1"/>
    <col min="15864" max="15865" width="16" style="190" customWidth="1"/>
    <col min="15866" max="15901" width="18.42578125" style="190" customWidth="1"/>
    <col min="15902" max="15902" width="14" style="190" customWidth="1"/>
    <col min="15903" max="16104" width="9.140625" style="190"/>
    <col min="16105" max="16105" width="3.7109375" style="190" customWidth="1"/>
    <col min="16106" max="16106" width="34" style="190" customWidth="1"/>
    <col min="16107" max="16107" width="16.7109375" style="190" bestFit="1" customWidth="1"/>
    <col min="16108" max="16109" width="16.85546875" style="190" bestFit="1" customWidth="1"/>
    <col min="16110" max="16111" width="16.85546875" style="190" customWidth="1"/>
    <col min="16112" max="16113" width="15.85546875" style="190" customWidth="1"/>
    <col min="16114" max="16115" width="14.5703125" style="190" bestFit="1" customWidth="1"/>
    <col min="16116" max="16117" width="14.5703125" style="190" customWidth="1"/>
    <col min="16118" max="16118" width="16.85546875" style="190" customWidth="1"/>
    <col min="16119" max="16119" width="16.28515625" style="190" customWidth="1"/>
    <col min="16120" max="16121" width="16" style="190" customWidth="1"/>
    <col min="16122" max="16157" width="18.42578125" style="190" customWidth="1"/>
    <col min="16158" max="16158" width="14" style="190" customWidth="1"/>
    <col min="16159" max="16384" width="9.140625" style="190"/>
  </cols>
  <sheetData>
    <row r="1" spans="1:30" ht="12.75" customHeight="1">
      <c r="B1" s="417" t="s">
        <v>740</v>
      </c>
      <c r="C1" s="418">
        <f>'LNG HAP Emission Unit Inventory'!$B$2</f>
        <v>0</v>
      </c>
      <c r="D1" s="418">
        <f>'LNG HAP Emission Unit Inventory'!$B$3</f>
        <v>0</v>
      </c>
      <c r="E1" s="418">
        <f>'LNG HAP Emission Unit Inventory'!$B$4</f>
        <v>0</v>
      </c>
      <c r="F1" s="418">
        <f>'LNG HAP Emission Unit Inventory'!$B$5</f>
        <v>0</v>
      </c>
      <c r="G1" s="418">
        <f>'LNG HAP Emission Unit Inventory'!$B$6</f>
        <v>0</v>
      </c>
      <c r="H1" s="418">
        <f>'LNG HAP Emission Unit Inventory'!$B$7</f>
        <v>0</v>
      </c>
      <c r="I1" s="418">
        <f>'LNG HAP Emission Unit Inventory'!$B$8</f>
        <v>0</v>
      </c>
      <c r="J1" s="418">
        <f>'LNG HAP Emission Unit Inventory'!$B$9</f>
        <v>0</v>
      </c>
      <c r="K1" s="418">
        <f>'LNG HAP Emission Unit Inventory'!$B$10</f>
        <v>0</v>
      </c>
      <c r="L1" s="418">
        <f>'LNG HAP Emission Unit Inventory'!$B$11</f>
        <v>0</v>
      </c>
      <c r="M1" s="418">
        <f>'LNG HAP Emission Unit Inventory'!$B$12</f>
        <v>0</v>
      </c>
      <c r="N1" s="418">
        <f>'LNG HAP Emission Unit Inventory'!$B$13</f>
        <v>0</v>
      </c>
      <c r="O1" s="418">
        <f>'LNG HAP Emission Unit Inventory'!$B$14</f>
        <v>0</v>
      </c>
      <c r="P1" s="418">
        <f>'LNG HAP Emission Unit Inventory'!$B$15</f>
        <v>0</v>
      </c>
      <c r="Q1" s="418">
        <f>'LNG HAP Emission Unit Inventory'!$B$16</f>
        <v>0</v>
      </c>
      <c r="R1" s="418">
        <f>'LNG HAP Emission Unit Inventory'!$B$17</f>
        <v>0</v>
      </c>
      <c r="S1" s="418">
        <f>'LNG HAP Emission Unit Inventory'!$B$18</f>
        <v>0</v>
      </c>
      <c r="T1" s="418">
        <f>'LNG HAP Emission Unit Inventory'!$B$19</f>
        <v>0</v>
      </c>
      <c r="U1" s="418">
        <f>'LNG HAP Emission Unit Inventory'!$B$20</f>
        <v>0</v>
      </c>
      <c r="V1" s="418">
        <f>'LNG HAP Emission Unit Inventory'!$B$21</f>
        <v>0</v>
      </c>
      <c r="W1" s="418">
        <f>'LNG HAP Emission Unit Inventory'!$B$22</f>
        <v>0</v>
      </c>
      <c r="X1" s="418">
        <f>'LNG HAP Emission Unit Inventory'!$B$23</f>
        <v>0</v>
      </c>
      <c r="Y1" s="418">
        <f>'LNG HAP Emission Unit Inventory'!$B$24</f>
        <v>0</v>
      </c>
      <c r="Z1" s="418">
        <f>'LNG HAP Emission Unit Inventory'!$B$25</f>
        <v>0</v>
      </c>
      <c r="AA1" s="418">
        <f>'LNG HAP Emission Unit Inventory'!$B$26</f>
        <v>0</v>
      </c>
      <c r="AB1" s="583">
        <f>'LNG HAP Emission Unit Inventory'!$B$27</f>
        <v>0</v>
      </c>
      <c r="AC1" s="583">
        <f>'LNG HAP Emission Unit Inventory'!$B$28</f>
        <v>0</v>
      </c>
      <c r="AD1" s="682" t="s">
        <v>622</v>
      </c>
    </row>
    <row r="2" spans="1:30">
      <c r="B2" s="420" t="s">
        <v>739</v>
      </c>
      <c r="C2" s="418" t="str">
        <f>'LNG HAP Emission Unit Inventory'!$A$2</f>
        <v>TURB1</v>
      </c>
      <c r="D2" s="418" t="str">
        <f>'LNG HAP Emission Unit Inventory'!$A$3</f>
        <v>TURB2</v>
      </c>
      <c r="E2" s="418" t="str">
        <f>'LNG HAP Emission Unit Inventory'!$A$4</f>
        <v>TURB3</v>
      </c>
      <c r="F2" s="418" t="str">
        <f>'LNG HAP Emission Unit Inventory'!$A$5</f>
        <v>TURB4</v>
      </c>
      <c r="G2" s="418" t="str">
        <f>'LNG HAP Emission Unit Inventory'!$A$6</f>
        <v>TURB5</v>
      </c>
      <c r="H2" s="418" t="str">
        <f>'LNG HAP Emission Unit Inventory'!$A$7</f>
        <v>TURB6</v>
      </c>
      <c r="I2" s="418" t="str">
        <f>'LNG HAP Emission Unit Inventory'!$A$8</f>
        <v>TRB_GEN1</v>
      </c>
      <c r="J2" s="418" t="str">
        <f>'LNG HAP Emission Unit Inventory'!$A$9</f>
        <v>TRB_GEN2</v>
      </c>
      <c r="K2" s="418" t="str">
        <f>'LNG HAP Emission Unit Inventory'!$A$10</f>
        <v>TRB_GEN3</v>
      </c>
      <c r="L2" s="418" t="str">
        <f>'LNG HAP Emission Unit Inventory'!$A$11</f>
        <v>TRB_GEN4</v>
      </c>
      <c r="M2" s="418" t="str">
        <f>'LNG HAP Emission Unit Inventory'!$A$12</f>
        <v>Aux_COMP</v>
      </c>
      <c r="N2" s="418" t="str">
        <f>'LNG HAP Emission Unit Inventory'!$A$13</f>
        <v>FPUMP</v>
      </c>
      <c r="O2" s="418" t="str">
        <f>'LNG HAP Emission Unit Inventory'!$A$14</f>
        <v>FLARE_1D</v>
      </c>
      <c r="P2" s="418" t="str">
        <f>'LNG HAP Emission Unit Inventory'!$A$15</f>
        <v>FLARE_2D</v>
      </c>
      <c r="Q2" s="418">
        <f>'LNG HAP Emission Unit Inventory'!$A$16</f>
        <v>0</v>
      </c>
      <c r="R2" s="418" t="str">
        <f>'LNG HAP Emission Unit Inventory'!$A$17</f>
        <v>FLARE_1W</v>
      </c>
      <c r="S2" s="418" t="str">
        <f>'LNG HAP Emission Unit Inventory'!$A$18</f>
        <v>FLARE_2W</v>
      </c>
      <c r="T2" s="418">
        <f>'LNG HAP Emission Unit Inventory'!$A$19</f>
        <v>0</v>
      </c>
      <c r="U2" s="418" t="str">
        <f>'LNG HAP Emission Unit Inventory'!$A$20</f>
        <v>DRY_MAX1</v>
      </c>
      <c r="V2" s="418" t="str">
        <f>'LNG HAP Emission Unit Inventory'!$A$21</f>
        <v>DRY_MAX2</v>
      </c>
      <c r="W2" s="418">
        <f>'LNG HAP Emission Unit Inventory'!$A$22</f>
        <v>0</v>
      </c>
      <c r="X2" s="418" t="str">
        <f>'LNG HAP Emission Unit Inventory'!$A$23</f>
        <v>WET_MAX1</v>
      </c>
      <c r="Y2" s="418" t="str">
        <f>'LNG HAP Emission Unit Inventory'!$A$24</f>
        <v>WET_MAX2</v>
      </c>
      <c r="Z2" s="418">
        <f>'LNG HAP Emission Unit Inventory'!$A$25</f>
        <v>0</v>
      </c>
      <c r="AA2" s="418" t="str">
        <f>'LNG HAP Emission Unit Inventory'!$A$26</f>
        <v>LP_FLARE</v>
      </c>
      <c r="AB2" s="419" t="str">
        <f>'LNG HAP Emission Unit Inventory'!$A$27</f>
        <v>LP_MAX</v>
      </c>
      <c r="AC2" s="419" t="str">
        <f>'LNG HAP Emission Unit Inventory'!$A$28</f>
        <v>TH_OX</v>
      </c>
      <c r="AD2" s="683"/>
    </row>
    <row r="3" spans="1:30" ht="50.25" customHeight="1">
      <c r="B3" s="420" t="s">
        <v>758</v>
      </c>
      <c r="C3" s="291" t="str">
        <f>'LNG HAP Emission Unit Inventory'!$C$2</f>
        <v>Train 1a Compression Turbine Stack</v>
      </c>
      <c r="D3" s="291" t="str">
        <f>'LNG HAP Emission Unit Inventory'!$C$3</f>
        <v>Train 1b Compression Turbine Stack</v>
      </c>
      <c r="E3" s="291" t="str">
        <f>'LNG HAP Emission Unit Inventory'!$C$4</f>
        <v>Train 2a Compression Turbine Stack</v>
      </c>
      <c r="F3" s="291" t="str">
        <f>'LNG HAP Emission Unit Inventory'!$C$5</f>
        <v>Train 2b Compression Turbine Stack</v>
      </c>
      <c r="G3" s="291" t="str">
        <f>'LNG HAP Emission Unit Inventory'!$C$6</f>
        <v>Train 3a Compression Turbine Stack</v>
      </c>
      <c r="H3" s="291" t="str">
        <f>'LNG HAP Emission Unit Inventory'!$C$7</f>
        <v>Train 3b Compression Turbine Stack</v>
      </c>
      <c r="I3" s="291" t="str">
        <f>'LNG HAP Emission Unit Inventory'!$C$8</f>
        <v>Power Generator Turbines</v>
      </c>
      <c r="J3" s="291" t="str">
        <f>'LNG HAP Emission Unit Inventory'!$C$9</f>
        <v>Power Generator Turbines</v>
      </c>
      <c r="K3" s="291" t="str">
        <f>'LNG HAP Emission Unit Inventory'!$C$10</f>
        <v>Power Generator Turbines</v>
      </c>
      <c r="L3" s="291" t="str">
        <f>'LNG HAP Emission Unit Inventory'!$C$11</f>
        <v>Power Generator Turbines</v>
      </c>
      <c r="M3" s="291" t="str">
        <f>'LNG HAP Emission Unit Inventory'!$C$12</f>
        <v>Auxiliary Air Compressor (224 kW)</v>
      </c>
      <c r="N3" s="291" t="str">
        <f>'LNG HAP Emission Unit Inventory'!$C$13</f>
        <v>Firewater Pump (429 kW)</v>
      </c>
      <c r="O3" s="291" t="str">
        <f>'LNG HAP Emission Unit Inventory'!$C$14</f>
        <v>Dry Flare Pilot/Purge</v>
      </c>
      <c r="P3" s="291" t="str">
        <f>'LNG HAP Emission Unit Inventory'!$C$15</f>
        <v>Dry Flare Pilot/Purge</v>
      </c>
      <c r="Q3" s="291" t="str">
        <f>'LNG HAP Emission Unit Inventory'!$C$16</f>
        <v>Dry Flare Pilot/Purge (Not Modeled)</v>
      </c>
      <c r="R3" s="291" t="str">
        <f>'LNG HAP Emission Unit Inventory'!$C$17</f>
        <v>Wet Flare Pilot/Purge</v>
      </c>
      <c r="S3" s="291" t="str">
        <f>'LNG HAP Emission Unit Inventory'!$C$18</f>
        <v>Wet Flare Pilot/Purge</v>
      </c>
      <c r="T3" s="291" t="str">
        <f>'LNG HAP Emission Unit Inventory'!$C$19</f>
        <v>Wet Flare Pilot/Purge (Not Modeled)</v>
      </c>
      <c r="U3" s="291" t="str">
        <f>'LNG HAP Emission Unit Inventory'!$C$20</f>
        <v>Dry Flare Maximum Case</v>
      </c>
      <c r="V3" s="291" t="str">
        <f>'LNG HAP Emission Unit Inventory'!$C$21</f>
        <v>Dry Flare Maximum Case</v>
      </c>
      <c r="W3" s="291" t="str">
        <f>'LNG HAP Emission Unit Inventory'!$C$22</f>
        <v>Dry Flare Maximum Case (Not Modeled)</v>
      </c>
      <c r="X3" s="291" t="str">
        <f>'LNG HAP Emission Unit Inventory'!$C$23</f>
        <v>Wet Flare Maximum Case</v>
      </c>
      <c r="Y3" s="291" t="str">
        <f>'LNG HAP Emission Unit Inventory'!$C$24</f>
        <v>Wet Flare Maximum Case</v>
      </c>
      <c r="Z3" s="291" t="str">
        <f>'LNG HAP Emission Unit Inventory'!$C$25</f>
        <v>Wet Flare Maximum Case (Not Modeled)</v>
      </c>
      <c r="AA3" s="291" t="str">
        <f>'LNG HAP Emission Unit Inventory'!$C$26</f>
        <v>LP Flare Pilot/Purge</v>
      </c>
      <c r="AB3" s="489" t="str">
        <f>'LNG HAP Emission Unit Inventory'!$C$27</f>
        <v>LP Flare Maximum Flow</v>
      </c>
      <c r="AC3" s="489" t="str">
        <f>'LNG HAP Emission Unit Inventory'!$C$28</f>
        <v>Thermal Oxidizer</v>
      </c>
      <c r="AD3" s="683"/>
    </row>
    <row r="4" spans="1:30">
      <c r="B4" s="420" t="s">
        <v>742</v>
      </c>
      <c r="C4" s="418" t="str">
        <f>'LNG HAP Emission Unit Inventory'!$D$2</f>
        <v>CT</v>
      </c>
      <c r="D4" s="418" t="str">
        <f>'LNG HAP Emission Unit Inventory'!$D$3</f>
        <v>CT</v>
      </c>
      <c r="E4" s="418" t="str">
        <f>'LNG HAP Emission Unit Inventory'!$D$4</f>
        <v>CT</v>
      </c>
      <c r="F4" s="418" t="str">
        <f>'LNG HAP Emission Unit Inventory'!$D$5</f>
        <v>CT</v>
      </c>
      <c r="G4" s="418" t="str">
        <f>'LNG HAP Emission Unit Inventory'!$D$6</f>
        <v>CT</v>
      </c>
      <c r="H4" s="418" t="str">
        <f>'LNG HAP Emission Unit Inventory'!$D$7</f>
        <v>CT</v>
      </c>
      <c r="I4" s="418" t="str">
        <f>'LNG HAP Emission Unit Inventory'!$D$8</f>
        <v>CT</v>
      </c>
      <c r="J4" s="418" t="str">
        <f>'LNG HAP Emission Unit Inventory'!$D$9</f>
        <v>CT</v>
      </c>
      <c r="K4" s="418" t="str">
        <f>'LNG HAP Emission Unit Inventory'!$D$10</f>
        <v>CT</v>
      </c>
      <c r="L4" s="418" t="str">
        <f>'LNG HAP Emission Unit Inventory'!$D$11</f>
        <v>CT</v>
      </c>
      <c r="M4" s="418" t="str">
        <f>'LNG HAP Emission Unit Inventory'!$D$12</f>
        <v>ICE</v>
      </c>
      <c r="N4" s="418" t="str">
        <f>'LNG HAP Emission Unit Inventory'!$D$13</f>
        <v>ICE</v>
      </c>
      <c r="O4" s="418" t="str">
        <f>'LNG HAP Emission Unit Inventory'!$D$14</f>
        <v>Flare</v>
      </c>
      <c r="P4" s="418" t="str">
        <f>'LNG HAP Emission Unit Inventory'!$D$15</f>
        <v>Flare</v>
      </c>
      <c r="Q4" s="418" t="str">
        <f>'LNG HAP Emission Unit Inventory'!$D$16</f>
        <v>Flare</v>
      </c>
      <c r="R4" s="418" t="str">
        <f>'LNG HAP Emission Unit Inventory'!$D$17</f>
        <v>Flare</v>
      </c>
      <c r="S4" s="418" t="str">
        <f>'LNG HAP Emission Unit Inventory'!$D$18</f>
        <v>Flare</v>
      </c>
      <c r="T4" s="418" t="str">
        <f>'LNG HAP Emission Unit Inventory'!$D$19</f>
        <v>Flare</v>
      </c>
      <c r="U4" s="418" t="str">
        <f>'LNG HAP Emission Unit Inventory'!$D$20</f>
        <v>Flare</v>
      </c>
      <c r="V4" s="418" t="str">
        <f>'LNG HAP Emission Unit Inventory'!$D$21</f>
        <v>Flare</v>
      </c>
      <c r="W4" s="418" t="str">
        <f>'LNG HAP Emission Unit Inventory'!$D$22</f>
        <v>Flare</v>
      </c>
      <c r="X4" s="418" t="str">
        <f>'LNG HAP Emission Unit Inventory'!$D$23</f>
        <v>Flare</v>
      </c>
      <c r="Y4" s="418" t="str">
        <f>'LNG HAP Emission Unit Inventory'!$D$24</f>
        <v>Flare</v>
      </c>
      <c r="Z4" s="418" t="str">
        <f>'LNG HAP Emission Unit Inventory'!$D$25</f>
        <v>Flare</v>
      </c>
      <c r="AA4" s="418" t="str">
        <f>'LNG HAP Emission Unit Inventory'!$D$26</f>
        <v>Flare</v>
      </c>
      <c r="AB4" s="418" t="str">
        <f>'LNG HAP Emission Unit Inventory'!$D$27</f>
        <v>Flare</v>
      </c>
      <c r="AC4" s="418" t="str">
        <f>'LNG HAP Emission Unit Inventory'!$D$28</f>
        <v>Heater</v>
      </c>
      <c r="AD4" s="683"/>
    </row>
    <row r="5" spans="1:30">
      <c r="B5" s="420" t="s">
        <v>759</v>
      </c>
      <c r="C5" s="418">
        <f>'LNG HAP Emission Unit Inventory'!$E$2</f>
        <v>0</v>
      </c>
      <c r="D5" s="418">
        <f>'LNG HAP Emission Unit Inventory'!$E$3</f>
        <v>0</v>
      </c>
      <c r="E5" s="418">
        <f>'LNG HAP Emission Unit Inventory'!$E$4</f>
        <v>0</v>
      </c>
      <c r="F5" s="418">
        <f>'LNG HAP Emission Unit Inventory'!$E$5</f>
        <v>0</v>
      </c>
      <c r="G5" s="418">
        <f>'LNG HAP Emission Unit Inventory'!$E$6</f>
        <v>0</v>
      </c>
      <c r="H5" s="418">
        <f>'LNG HAP Emission Unit Inventory'!$E$7</f>
        <v>0</v>
      </c>
      <c r="I5" s="418">
        <f>'LNG HAP Emission Unit Inventory'!$E$8</f>
        <v>0</v>
      </c>
      <c r="J5" s="418">
        <f>'LNG HAP Emission Unit Inventory'!$E$9</f>
        <v>0</v>
      </c>
      <c r="K5" s="418">
        <f>'LNG HAP Emission Unit Inventory'!$E$10</f>
        <v>0</v>
      </c>
      <c r="L5" s="418">
        <f>'LNG HAP Emission Unit Inventory'!$E$11</f>
        <v>0</v>
      </c>
      <c r="M5" s="418">
        <f>'LNG HAP Emission Unit Inventory'!$E$12</f>
        <v>0</v>
      </c>
      <c r="N5" s="418">
        <f>'LNG HAP Emission Unit Inventory'!$E$13</f>
        <v>0</v>
      </c>
      <c r="O5" s="418">
        <f>'LNG HAP Emission Unit Inventory'!$E$14</f>
        <v>0</v>
      </c>
      <c r="P5" s="418">
        <f>'LNG HAP Emission Unit Inventory'!$E$15</f>
        <v>0</v>
      </c>
      <c r="Q5" s="418">
        <f>'LNG HAP Emission Unit Inventory'!$E$16</f>
        <v>0</v>
      </c>
      <c r="R5" s="418">
        <f>'LNG HAP Emission Unit Inventory'!$E$17</f>
        <v>0</v>
      </c>
      <c r="S5" s="418">
        <f>'LNG HAP Emission Unit Inventory'!$E$18</f>
        <v>0</v>
      </c>
      <c r="T5" s="418">
        <f>'LNG HAP Emission Unit Inventory'!$E$19</f>
        <v>0</v>
      </c>
      <c r="U5" s="418">
        <f>'LNG HAP Emission Unit Inventory'!$E$20</f>
        <v>0</v>
      </c>
      <c r="V5" s="418">
        <f>'LNG HAP Emission Unit Inventory'!$E$21</f>
        <v>0</v>
      </c>
      <c r="W5" s="418">
        <f>'LNG HAP Emission Unit Inventory'!$E$22</f>
        <v>0</v>
      </c>
      <c r="X5" s="418">
        <f>'LNG HAP Emission Unit Inventory'!$E$23</f>
        <v>0</v>
      </c>
      <c r="Y5" s="418">
        <f>'LNG HAP Emission Unit Inventory'!$E$24</f>
        <v>0</v>
      </c>
      <c r="Z5" s="418">
        <f>'LNG HAP Emission Unit Inventory'!$E$25</f>
        <v>0</v>
      </c>
      <c r="AA5" s="418">
        <f>'LNG HAP Emission Unit Inventory'!$E$26</f>
        <v>0</v>
      </c>
      <c r="AB5" s="418">
        <f>'LNG HAP Emission Unit Inventory'!$E$27</f>
        <v>0</v>
      </c>
      <c r="AC5" s="418">
        <f>'LNG HAP Emission Unit Inventory'!$E$28</f>
        <v>0</v>
      </c>
      <c r="AD5" s="683"/>
    </row>
    <row r="6" spans="1:30">
      <c r="B6" s="420" t="s">
        <v>760</v>
      </c>
      <c r="C6" s="418">
        <f>'LNG HAP Emission Unit Inventory'!$F$2</f>
        <v>0</v>
      </c>
      <c r="D6" s="418">
        <f>'LNG HAP Emission Unit Inventory'!$F$3</f>
        <v>0</v>
      </c>
      <c r="E6" s="418">
        <f>'LNG HAP Emission Unit Inventory'!$F$4</f>
        <v>0</v>
      </c>
      <c r="F6" s="418">
        <f>'LNG HAP Emission Unit Inventory'!$F$5</f>
        <v>0</v>
      </c>
      <c r="G6" s="418">
        <f>'LNG HAP Emission Unit Inventory'!$F$6</f>
        <v>0</v>
      </c>
      <c r="H6" s="418">
        <f>'LNG HAP Emission Unit Inventory'!$F$7</f>
        <v>0</v>
      </c>
      <c r="I6" s="418">
        <f>'LNG HAP Emission Unit Inventory'!$F$8</f>
        <v>0</v>
      </c>
      <c r="J6" s="418">
        <f>'LNG HAP Emission Unit Inventory'!$F$9</f>
        <v>0</v>
      </c>
      <c r="K6" s="418">
        <f>'LNG HAP Emission Unit Inventory'!$F$10</f>
        <v>0</v>
      </c>
      <c r="L6" s="418">
        <f>'LNG HAP Emission Unit Inventory'!$F$11</f>
        <v>0</v>
      </c>
      <c r="M6" s="418">
        <f>'LNG HAP Emission Unit Inventory'!$F$12</f>
        <v>0</v>
      </c>
      <c r="N6" s="418">
        <f>'LNG HAP Emission Unit Inventory'!$F$13</f>
        <v>0</v>
      </c>
      <c r="O6" s="418">
        <f>'LNG HAP Emission Unit Inventory'!$F$14</f>
        <v>0</v>
      </c>
      <c r="P6" s="418">
        <f>'LNG HAP Emission Unit Inventory'!$F$15</f>
        <v>0</v>
      </c>
      <c r="Q6" s="418">
        <f>'LNG HAP Emission Unit Inventory'!$F$16</f>
        <v>0</v>
      </c>
      <c r="R6" s="418">
        <f>'LNG HAP Emission Unit Inventory'!$F$17</f>
        <v>0</v>
      </c>
      <c r="S6" s="418">
        <f>'LNG HAP Emission Unit Inventory'!$F$18</f>
        <v>0</v>
      </c>
      <c r="T6" s="418">
        <f>'LNG HAP Emission Unit Inventory'!$F$19</f>
        <v>0</v>
      </c>
      <c r="U6" s="418">
        <f>'LNG HAP Emission Unit Inventory'!$F$20</f>
        <v>0</v>
      </c>
      <c r="V6" s="418">
        <f>'LNG HAP Emission Unit Inventory'!$F$21</f>
        <v>0</v>
      </c>
      <c r="W6" s="418">
        <f>'LNG HAP Emission Unit Inventory'!$F$22</f>
        <v>0</v>
      </c>
      <c r="X6" s="418">
        <f>'LNG HAP Emission Unit Inventory'!$F$23</f>
        <v>0</v>
      </c>
      <c r="Y6" s="418">
        <f>'LNG HAP Emission Unit Inventory'!$F$24</f>
        <v>0</v>
      </c>
      <c r="Z6" s="418">
        <f>'LNG HAP Emission Unit Inventory'!$F$25</f>
        <v>0</v>
      </c>
      <c r="AA6" s="418">
        <f>'LNG HAP Emission Unit Inventory'!$F$26</f>
        <v>0</v>
      </c>
      <c r="AB6" s="418">
        <f>'LNG HAP Emission Unit Inventory'!$F$27</f>
        <v>0</v>
      </c>
      <c r="AC6" s="418">
        <f>'LNG HAP Emission Unit Inventory'!$F$28</f>
        <v>0</v>
      </c>
      <c r="AD6" s="683"/>
    </row>
    <row r="7" spans="1:30" ht="14.25">
      <c r="B7" s="420" t="s">
        <v>761</v>
      </c>
      <c r="C7" s="418">
        <f>'LNG HAP Emission Unit Inventory'!$G$2</f>
        <v>1113</v>
      </c>
      <c r="D7" s="418">
        <f>'LNG HAP Emission Unit Inventory'!$G$3</f>
        <v>1113</v>
      </c>
      <c r="E7" s="418">
        <f>'LNG HAP Emission Unit Inventory'!$G$4</f>
        <v>1113</v>
      </c>
      <c r="F7" s="418">
        <f>'LNG HAP Emission Unit Inventory'!$G$5</f>
        <v>1113</v>
      </c>
      <c r="G7" s="418">
        <f>'LNG HAP Emission Unit Inventory'!$G$6</f>
        <v>1113</v>
      </c>
      <c r="H7" s="418">
        <f>'LNG HAP Emission Unit Inventory'!$G$7</f>
        <v>1113</v>
      </c>
      <c r="I7" s="418">
        <f>'LNG HAP Emission Unit Inventory'!$G$8</f>
        <v>384</v>
      </c>
      <c r="J7" s="418">
        <f>'LNG HAP Emission Unit Inventory'!$G$9</f>
        <v>384</v>
      </c>
      <c r="K7" s="418">
        <f>'LNG HAP Emission Unit Inventory'!$G$10</f>
        <v>384</v>
      </c>
      <c r="L7" s="418">
        <f>'LNG HAP Emission Unit Inventory'!$G$11</f>
        <v>384</v>
      </c>
      <c r="M7" s="418">
        <f>'LNG HAP Emission Unit Inventory'!$G$12</f>
        <v>2.1</v>
      </c>
      <c r="N7" s="418">
        <f>'LNG HAP Emission Unit Inventory'!$G$13</f>
        <v>4.0250000000000004</v>
      </c>
      <c r="O7" s="418">
        <f>'LNG HAP Emission Unit Inventory'!$G$14</f>
        <v>7.15</v>
      </c>
      <c r="P7" s="418">
        <f>'LNG HAP Emission Unit Inventory'!$G$15</f>
        <v>7.15</v>
      </c>
      <c r="Q7" s="418">
        <f>'LNG HAP Emission Unit Inventory'!$G$16</f>
        <v>0</v>
      </c>
      <c r="R7" s="418">
        <f>'LNG HAP Emission Unit Inventory'!$G$17</f>
        <v>2.25</v>
      </c>
      <c r="S7" s="418">
        <f>'LNG HAP Emission Unit Inventory'!$G$18</f>
        <v>2.25</v>
      </c>
      <c r="T7" s="418">
        <f>'LNG HAP Emission Unit Inventory'!$G$19</f>
        <v>0</v>
      </c>
      <c r="U7" s="418">
        <f>'LNG HAP Emission Unit Inventory'!$G$20</f>
        <v>59992</v>
      </c>
      <c r="V7" s="418">
        <f>'LNG HAP Emission Unit Inventory'!$G$21</f>
        <v>59992</v>
      </c>
      <c r="W7" s="418">
        <f>'LNG HAP Emission Unit Inventory'!$G$22</f>
        <v>0</v>
      </c>
      <c r="X7" s="418">
        <f>'LNG HAP Emission Unit Inventory'!$G$23</f>
        <v>14020</v>
      </c>
      <c r="Y7" s="419">
        <f>'LNG HAP Emission Unit Inventory'!$G$24</f>
        <v>14020</v>
      </c>
      <c r="Z7" s="419">
        <f>'LNG HAP Emission Unit Inventory'!$G$25</f>
        <v>0</v>
      </c>
      <c r="AA7" s="419">
        <f>'LNG HAP Emission Unit Inventory'!$G$26</f>
        <v>10.5</v>
      </c>
      <c r="AB7" s="419">
        <f>'LNG HAP Emission Unit Inventory'!$G$27</f>
        <v>997.5</v>
      </c>
      <c r="AC7" s="419">
        <f>'LNG HAP Emission Unit Inventory'!$G$28</f>
        <v>6.01</v>
      </c>
      <c r="AD7" s="683"/>
    </row>
    <row r="8" spans="1:30">
      <c r="B8" s="421" t="s">
        <v>746</v>
      </c>
      <c r="C8" s="418" t="str">
        <f>'LNG HAP Emission Unit Inventory'!$H$2</f>
        <v>&gt;80%</v>
      </c>
      <c r="D8" s="418" t="str">
        <f>'LNG HAP Emission Unit Inventory'!$H$3</f>
        <v>&gt;80%</v>
      </c>
      <c r="E8" s="418" t="str">
        <f>'LNG HAP Emission Unit Inventory'!$H$4</f>
        <v>&gt;80%</v>
      </c>
      <c r="F8" s="418" t="str">
        <f>'LNG HAP Emission Unit Inventory'!$H$5</f>
        <v>&gt;80%</v>
      </c>
      <c r="G8" s="418" t="str">
        <f>'LNG HAP Emission Unit Inventory'!$H$6</f>
        <v>&gt;80%</v>
      </c>
      <c r="H8" s="418" t="str">
        <f>'LNG HAP Emission Unit Inventory'!$H$7</f>
        <v>&gt;80%</v>
      </c>
      <c r="I8" s="418" t="str">
        <f>'LNG HAP Emission Unit Inventory'!$H$8</f>
        <v>&gt;80%</v>
      </c>
      <c r="J8" s="418" t="str">
        <f>'LNG HAP Emission Unit Inventory'!$H$9</f>
        <v>&gt;80%</v>
      </c>
      <c r="K8" s="418" t="str">
        <f>'LNG HAP Emission Unit Inventory'!$H$10</f>
        <v>&gt;80%</v>
      </c>
      <c r="L8" s="418" t="str">
        <f>'LNG HAP Emission Unit Inventory'!$H$11</f>
        <v>&gt;80%</v>
      </c>
      <c r="M8" s="418" t="str">
        <f>'LNG HAP Emission Unit Inventory'!$H$12</f>
        <v>&lt;600hp</v>
      </c>
      <c r="N8" s="418" t="str">
        <f>'LNG HAP Emission Unit Inventory'!$H$13</f>
        <v>&lt;600hp</v>
      </c>
      <c r="O8" s="418">
        <f>'LNG HAP Emission Unit Inventory'!$H$14</f>
        <v>0</v>
      </c>
      <c r="P8" s="418">
        <f>'LNG HAP Emission Unit Inventory'!$H$15</f>
        <v>0</v>
      </c>
      <c r="Q8" s="418">
        <f>'LNG HAP Emission Unit Inventory'!$H$16</f>
        <v>0</v>
      </c>
      <c r="R8" s="418">
        <f>'LNG HAP Emission Unit Inventory'!$H$17</f>
        <v>0</v>
      </c>
      <c r="S8" s="418">
        <f>'LNG HAP Emission Unit Inventory'!$H$18</f>
        <v>0</v>
      </c>
      <c r="T8" s="418">
        <f>'LNG HAP Emission Unit Inventory'!$H$19</f>
        <v>0</v>
      </c>
      <c r="U8" s="418">
        <f>'LNG HAP Emission Unit Inventory'!$H$20</f>
        <v>0</v>
      </c>
      <c r="V8" s="418">
        <f>'LNG HAP Emission Unit Inventory'!$H$21</f>
        <v>0</v>
      </c>
      <c r="W8" s="418">
        <f>'LNG HAP Emission Unit Inventory'!$H$22</f>
        <v>0</v>
      </c>
      <c r="X8" s="418">
        <f>'LNG HAP Emission Unit Inventory'!$H$23</f>
        <v>0</v>
      </c>
      <c r="Y8" s="418">
        <f>'LNG HAP Emission Unit Inventory'!$H$24</f>
        <v>0</v>
      </c>
      <c r="Z8" s="418">
        <f>'LNG HAP Emission Unit Inventory'!$H$25</f>
        <v>0</v>
      </c>
      <c r="AA8" s="418">
        <f>'LNG HAP Emission Unit Inventory'!$H$26</f>
        <v>0</v>
      </c>
      <c r="AB8" s="419">
        <f>'LNG HAP Emission Unit Inventory'!$H$27</f>
        <v>0</v>
      </c>
      <c r="AC8" s="419">
        <f>'LNG HAP Emission Unit Inventory'!$H$28</f>
        <v>0</v>
      </c>
      <c r="AD8" s="683"/>
    </row>
    <row r="9" spans="1:30">
      <c r="B9" s="420" t="s">
        <v>762</v>
      </c>
      <c r="C9" s="418" t="str">
        <f>'LNG HAP Emission Unit Inventory'!$I$2</f>
        <v>NG</v>
      </c>
      <c r="D9" s="418" t="str">
        <f>'LNG HAP Emission Unit Inventory'!$I$3</f>
        <v>NG</v>
      </c>
      <c r="E9" s="418" t="str">
        <f>'LNG HAP Emission Unit Inventory'!$I$4</f>
        <v>NG</v>
      </c>
      <c r="F9" s="418" t="str">
        <f>'LNG HAP Emission Unit Inventory'!$I$5</f>
        <v>NG</v>
      </c>
      <c r="G9" s="418" t="str">
        <f>'LNG HAP Emission Unit Inventory'!$I$6</f>
        <v>NG</v>
      </c>
      <c r="H9" s="418" t="str">
        <f>'LNG HAP Emission Unit Inventory'!$I$7</f>
        <v>NG</v>
      </c>
      <c r="I9" s="418" t="str">
        <f>'LNG HAP Emission Unit Inventory'!$I$8</f>
        <v>NG</v>
      </c>
      <c r="J9" s="418" t="str">
        <f>'LNG HAP Emission Unit Inventory'!$I$9</f>
        <v>NG</v>
      </c>
      <c r="K9" s="418" t="str">
        <f>'LNG HAP Emission Unit Inventory'!$I$10</f>
        <v>NG</v>
      </c>
      <c r="L9" s="418" t="str">
        <f>'LNG HAP Emission Unit Inventory'!$I$11</f>
        <v>NG</v>
      </c>
      <c r="M9" s="418" t="str">
        <f>'LNG HAP Emission Unit Inventory'!$I$12</f>
        <v>D</v>
      </c>
      <c r="N9" s="418" t="str">
        <f>'LNG HAP Emission Unit Inventory'!$I$13</f>
        <v>D</v>
      </c>
      <c r="O9" s="418" t="str">
        <f>'LNG HAP Emission Unit Inventory'!$I$14</f>
        <v>NG</v>
      </c>
      <c r="P9" s="418" t="str">
        <f>'LNG HAP Emission Unit Inventory'!$I$15</f>
        <v>NG</v>
      </c>
      <c r="Q9" s="418" t="str">
        <f>'LNG HAP Emission Unit Inventory'!$I$16</f>
        <v>NG</v>
      </c>
      <c r="R9" s="418" t="str">
        <f>'LNG HAP Emission Unit Inventory'!$I$17</f>
        <v>NG</v>
      </c>
      <c r="S9" s="418" t="str">
        <f>'LNG HAP Emission Unit Inventory'!$I$18</f>
        <v>NG</v>
      </c>
      <c r="T9" s="418" t="str">
        <f>'LNG HAP Emission Unit Inventory'!$I$19</f>
        <v>NG</v>
      </c>
      <c r="U9" s="418" t="str">
        <f>'LNG HAP Emission Unit Inventory'!$I$20</f>
        <v>NG</v>
      </c>
      <c r="V9" s="418" t="str">
        <f>'LNG HAP Emission Unit Inventory'!$I$21</f>
        <v>NG</v>
      </c>
      <c r="W9" s="418" t="str">
        <f>'LNG HAP Emission Unit Inventory'!$I$22</f>
        <v>NG</v>
      </c>
      <c r="X9" s="418" t="str">
        <f>'LNG HAP Emission Unit Inventory'!$I$23</f>
        <v>NG</v>
      </c>
      <c r="Y9" s="418" t="str">
        <f>'LNG HAP Emission Unit Inventory'!$I$24</f>
        <v>NG</v>
      </c>
      <c r="Z9" s="418" t="str">
        <f>'LNG HAP Emission Unit Inventory'!$I$25</f>
        <v>NG</v>
      </c>
      <c r="AA9" s="418" t="str">
        <f>'LNG HAP Emission Unit Inventory'!$I$26</f>
        <v>NG</v>
      </c>
      <c r="AB9" s="419" t="str">
        <f>'LNG HAP Emission Unit Inventory'!$I$27</f>
        <v>NG</v>
      </c>
      <c r="AC9" s="419" t="str">
        <f>'LNG HAP Emission Unit Inventory'!$I$28</f>
        <v>NG</v>
      </c>
      <c r="AD9" s="683"/>
    </row>
    <row r="10" spans="1:30" ht="13.5" thickBot="1">
      <c r="B10" s="422" t="s">
        <v>750</v>
      </c>
      <c r="C10" s="423">
        <f>'LNG HAP Emission Unit Inventory'!$L$2</f>
        <v>8760</v>
      </c>
      <c r="D10" s="423">
        <f>'LNG HAP Emission Unit Inventory'!$L$3</f>
        <v>8760</v>
      </c>
      <c r="E10" s="423">
        <f>'LNG HAP Emission Unit Inventory'!$L$4</f>
        <v>8760</v>
      </c>
      <c r="F10" s="423">
        <f>'LNG HAP Emission Unit Inventory'!$L$5</f>
        <v>8760</v>
      </c>
      <c r="G10" s="423">
        <f>'LNG HAP Emission Unit Inventory'!$L$6</f>
        <v>8760</v>
      </c>
      <c r="H10" s="423">
        <f>'LNG HAP Emission Unit Inventory'!$L$7</f>
        <v>8760</v>
      </c>
      <c r="I10" s="423">
        <f>'LNG HAP Emission Unit Inventory'!$L$8</f>
        <v>8760</v>
      </c>
      <c r="J10" s="423">
        <f>'LNG HAP Emission Unit Inventory'!$L$9</f>
        <v>8760</v>
      </c>
      <c r="K10" s="423">
        <f>'LNG HAP Emission Unit Inventory'!$L$10</f>
        <v>8760</v>
      </c>
      <c r="L10" s="423">
        <f>'LNG HAP Emission Unit Inventory'!$L$11</f>
        <v>8760</v>
      </c>
      <c r="M10" s="423">
        <f>'LNG HAP Emission Unit Inventory'!$L$12</f>
        <v>500</v>
      </c>
      <c r="N10" s="423">
        <f>'LNG HAP Emission Unit Inventory'!$L$13</f>
        <v>500</v>
      </c>
      <c r="O10" s="423">
        <f>'LNG HAP Emission Unit Inventory'!$L$14</f>
        <v>8760</v>
      </c>
      <c r="P10" s="423">
        <f>'LNG HAP Emission Unit Inventory'!$L$15</f>
        <v>8760</v>
      </c>
      <c r="Q10" s="423">
        <f>'LNG HAP Emission Unit Inventory'!$L$16</f>
        <v>0</v>
      </c>
      <c r="R10" s="423">
        <f>'LNG HAP Emission Unit Inventory'!$L$17</f>
        <v>8760</v>
      </c>
      <c r="S10" s="423">
        <f>'LNG HAP Emission Unit Inventory'!$L$18</f>
        <v>8760</v>
      </c>
      <c r="T10" s="423">
        <f>'LNG HAP Emission Unit Inventory'!$L$19</f>
        <v>0</v>
      </c>
      <c r="U10" s="423">
        <f>'LNG HAP Emission Unit Inventory'!$L$20</f>
        <v>500</v>
      </c>
      <c r="V10" s="423">
        <f>'LNG HAP Emission Unit Inventory'!$L$21</f>
        <v>500</v>
      </c>
      <c r="W10" s="423">
        <f>'LNG HAP Emission Unit Inventory'!$L$22</f>
        <v>0</v>
      </c>
      <c r="X10" s="423">
        <f>'LNG HAP Emission Unit Inventory'!$L$23</f>
        <v>500</v>
      </c>
      <c r="Y10" s="423">
        <f>'LNG HAP Emission Unit Inventory'!$L$24</f>
        <v>500</v>
      </c>
      <c r="Z10" s="423">
        <f>'LNG HAP Emission Unit Inventory'!$L$25</f>
        <v>0</v>
      </c>
      <c r="AA10" s="423">
        <f>'LNG HAP Emission Unit Inventory'!$L$26</f>
        <v>8760</v>
      </c>
      <c r="AB10" s="424">
        <f>'LNG HAP Emission Unit Inventory'!$L$27</f>
        <v>144</v>
      </c>
      <c r="AC10" s="424">
        <f>'LNG HAP Emission Unit Inventory'!$L$28</f>
        <v>8760</v>
      </c>
      <c r="AD10" s="683"/>
    </row>
    <row r="11" spans="1:30">
      <c r="A11" s="190">
        <v>2</v>
      </c>
      <c r="B11" s="425" t="str">
        <f>'Emission Factors'!A4</f>
        <v>1,1,2,2-Tetrachloroethane</v>
      </c>
      <c r="C11" s="426">
        <f>VLOOKUP($C$4 &amp;"|"&amp; $C$8 &amp;"|"&amp; $C$9,'Emission Factor Look Up'!$A$1:$BO$16,$A11,FALSE)*$C$7/2000*$C$10</f>
        <v>0</v>
      </c>
      <c r="D11" s="426">
        <f>VLOOKUP($D$4 &amp;"|"&amp; $D$8 &amp;"|"&amp; $D$9,'Emission Factor Look Up'!$A$1:$BO$16,$A11,FALSE)*$D$7/2000*$D$10</f>
        <v>0</v>
      </c>
      <c r="E11" s="426">
        <f>VLOOKUP($E$4 &amp;"|"&amp; $E$8 &amp;"|"&amp; $E$9,'Emission Factor Look Up'!$A$1:$BO$16,$A11,FALSE)*$E$7/2000*$E$10</f>
        <v>0</v>
      </c>
      <c r="F11" s="426">
        <f>VLOOKUP($F$4 &amp;"|"&amp; $F$8 &amp;"|"&amp; $F$9,'Emission Factor Look Up'!$A$1:$BO$16,$A11,FALSE)*$F$7/2000*$F$10</f>
        <v>0</v>
      </c>
      <c r="G11" s="426">
        <f>VLOOKUP($G$4 &amp;"|"&amp; $G$8 &amp;"|"&amp; $G$9,'Emission Factor Look Up'!$A$1:$BO$16,$A11,FALSE)*$G$7/2000*$G$10</f>
        <v>0</v>
      </c>
      <c r="H11" s="426">
        <f>VLOOKUP($H$4 &amp;"|"&amp; $H$8 &amp;"|"&amp; $H$9,'Emission Factor Look Up'!$A$1:$BO$16,$A11,FALSE)*$H$7/2000*$H$10</f>
        <v>0</v>
      </c>
      <c r="I11" s="426">
        <f>VLOOKUP($I$4 &amp;"|"&amp; $I$8 &amp;"|"&amp; $I$9,'Emission Factor Look Up'!$A$1:$BO$16,$A11,FALSE)*$I$7/2000*$I$10</f>
        <v>0</v>
      </c>
      <c r="J11" s="426">
        <f>VLOOKUP($J$4 &amp;"|"&amp; $J$8 &amp;"|"&amp; $J$9,'Emission Factor Look Up'!$A$1:$BO$16,$A11,FALSE)*$J$7/2000*$J$10</f>
        <v>0</v>
      </c>
      <c r="K11" s="426">
        <f>VLOOKUP($K$4 &amp;"|"&amp; $K$8 &amp;"|"&amp; $K$9,'Emission Factor Look Up'!$A$1:$BO$16,$A11,FALSE)*$K$7/2000*$K$10</f>
        <v>0</v>
      </c>
      <c r="L11" s="426">
        <f>VLOOKUP($L$4 &amp;"|"&amp; $L$8 &amp;"|"&amp; $L$9,'Emission Factor Look Up'!$A$1:$BO$16,$A11,FALSE)*$L$7/2000*$L$10</f>
        <v>0</v>
      </c>
      <c r="M11" s="426">
        <f>VLOOKUP($M$4 &amp;"|"&amp; $M$8 &amp;"|"&amp; $M$9,'Emission Factor Look Up'!$A$1:$BO$16,$A11,FALSE)*$M$7/2000*$M$10</f>
        <v>0</v>
      </c>
      <c r="N11" s="426">
        <f>VLOOKUP($N$4 &amp;"|"&amp; $N$8 &amp;"|"&amp; $N$9,'Emission Factor Look Up'!$A$1:$BO$16,$A11,FALSE)*$N$7/2000*$N$10</f>
        <v>0</v>
      </c>
      <c r="O11" s="426">
        <f>VLOOKUP($O$4 &amp;"|"&amp; $O$8 &amp;"|"&amp; $O$9,'Emission Factor Look Up'!$A$1:$BO$16,$A11,FALSE)*$O$7/2000*$O$10</f>
        <v>0</v>
      </c>
      <c r="P11" s="426">
        <f>VLOOKUP($P$4 &amp;"|"&amp; $P$8 &amp;"|"&amp; $P$9,'Emission Factor Look Up'!$A$1:$BO$16,$A11,FALSE)*$P$7/2000*$P$10</f>
        <v>0</v>
      </c>
      <c r="Q11" s="426">
        <f>VLOOKUP($Q$4 &amp;"|"&amp; $Q$8 &amp;"|"&amp; $Q$9,'Emission Factor Look Up'!$A$1:$BO$16,$A11,FALSE)*$Q$7/2000*$Q$10</f>
        <v>0</v>
      </c>
      <c r="R11" s="426">
        <f>VLOOKUP($R$4 &amp;"|"&amp; $R$8 &amp;"|"&amp; $R$9,'Emission Factor Look Up'!$A$1:$BO$16,$A11,FALSE)*$R$7/2000*$R$10</f>
        <v>0</v>
      </c>
      <c r="S11" s="426">
        <f>VLOOKUP($S$4 &amp;"|"&amp; $S$8 &amp;"|"&amp; $S$9,'Emission Factor Look Up'!$A$1:$BO$16,$A11,FALSE)*$S$7/2000*$S$10</f>
        <v>0</v>
      </c>
      <c r="T11" s="426">
        <f>VLOOKUP($T$4 &amp;"|"&amp; $T$8 &amp;"|"&amp; $T$9,'Emission Factor Look Up'!$A$1:$BO$16,$A11,FALSE)*$T$7/2000*$T$10</f>
        <v>0</v>
      </c>
      <c r="U11" s="426">
        <f>VLOOKUP($U$4 &amp;"|"&amp; $U$8 &amp;"|"&amp; $U$9,'Emission Factor Look Up'!$A$1:$BO$16,$A11,FALSE)*$U$7/2000*$U$10</f>
        <v>0</v>
      </c>
      <c r="V11" s="426">
        <f>VLOOKUP($V$4 &amp;"|"&amp; $V$8 &amp;"|"&amp; $V$9,'Emission Factor Look Up'!$A$1:$BO$16,$A11,FALSE)*$V$7/2000*$V$10</f>
        <v>0</v>
      </c>
      <c r="W11" s="426">
        <f>VLOOKUP($W$4 &amp;"|"&amp; $W$8 &amp;"|"&amp; $W$9,'Emission Factor Look Up'!$A$1:$BO$16,$A11,FALSE)*$W$7/2000*$W$10</f>
        <v>0</v>
      </c>
      <c r="X11" s="426">
        <f>VLOOKUP($X$4 &amp;"|"&amp; $X$8 &amp;"|"&amp; $X$9,'Emission Factor Look Up'!$A$1:$BO$16,$A11,FALSE)*$X$7/2000*$X$10</f>
        <v>0</v>
      </c>
      <c r="Y11" s="426">
        <f>VLOOKUP($Y$4 &amp;"|"&amp; $Y$8 &amp;"|"&amp; $Y$9,'Emission Factor Look Up'!$A$1:$BO$16,$A11,FALSE)*$Y$7/2000*$Y$10</f>
        <v>0</v>
      </c>
      <c r="Z11" s="426">
        <f>VLOOKUP($Z$4 &amp;"|"&amp; $Z$8 &amp;"|"&amp; $Z$9,'Emission Factor Look Up'!$A$1:$BO$16,$A11,FALSE)*$Z$7/2000*$Z$10</f>
        <v>0</v>
      </c>
      <c r="AA11" s="426">
        <f>VLOOKUP($AA$4 &amp;"|"&amp; $AA$8 &amp;"|"&amp; $AA$9,'Emission Factor Look Up'!$A$1:$BO$16,$A11,FALSE)*$AA$7/2000*$AA$10</f>
        <v>0</v>
      </c>
      <c r="AB11" s="426">
        <f>VLOOKUP($AB$4 &amp;"|"&amp; $AB$8 &amp;"|"&amp; $AB$9,'Emission Factor Look Up'!$A$1:$BO$16,$A11,FALSE)*$AB$7/2000*$AB$10</f>
        <v>0</v>
      </c>
      <c r="AC11" s="426">
        <f>VLOOKUP($AC$4 &amp;"|"&amp; $AC$8 &amp;"|"&amp; $AC$9,'Emission Factor Look Up'!$A$1:$BO$16,$A11,FALSE)*$AC$7/2000*$AC$10</f>
        <v>0</v>
      </c>
      <c r="AD11" s="427">
        <f t="shared" ref="AD11:AD42" si="0">SUM(C11:AC11)</f>
        <v>0</v>
      </c>
    </row>
    <row r="12" spans="1:30">
      <c r="A12" s="190">
        <v>3</v>
      </c>
      <c r="B12" s="428" t="str">
        <f>'Emission Factors'!A5</f>
        <v>1,1,2-Trichloroethane</v>
      </c>
      <c r="C12" s="426">
        <f>VLOOKUP($C$4 &amp;"|"&amp; $C$8 &amp;"|"&amp; $C$9,'Emission Factor Look Up'!$A$1:$BO$16,$A12,FALSE)*$C$7/2000*$C$10</f>
        <v>0</v>
      </c>
      <c r="D12" s="426">
        <f>VLOOKUP($D$4 &amp;"|"&amp; $D$8 &amp;"|"&amp; $D$9,'Emission Factor Look Up'!$A$1:$BO$16,$A12,FALSE)*$D$7/2000*$D$10</f>
        <v>0</v>
      </c>
      <c r="E12" s="426">
        <f>VLOOKUP($E$4 &amp;"|"&amp; $E$8 &amp;"|"&amp; $E$9,'Emission Factor Look Up'!$A$1:$BO$16,$A12,FALSE)*$E$7/2000*$E$10</f>
        <v>0</v>
      </c>
      <c r="F12" s="426">
        <f>VLOOKUP($F$4 &amp;"|"&amp; $F$8 &amp;"|"&amp; $F$9,'Emission Factor Look Up'!$A$1:$BO$16,$A12,FALSE)*$F$7/2000*$F$10</f>
        <v>0</v>
      </c>
      <c r="G12" s="426">
        <f>VLOOKUP($G$4 &amp;"|"&amp; $G$8 &amp;"|"&amp; $G$9,'Emission Factor Look Up'!$A$1:$BO$16,$A12,FALSE)*$G$7/2000*$G$10</f>
        <v>0</v>
      </c>
      <c r="H12" s="426">
        <f>VLOOKUP($H$4 &amp;"|"&amp; $H$8 &amp;"|"&amp; $H$9,'Emission Factor Look Up'!$A$1:$BO$16,$A12,FALSE)*$H$7/2000*$H$10</f>
        <v>0</v>
      </c>
      <c r="I12" s="426">
        <f>VLOOKUP($I$4 &amp;"|"&amp; $I$8 &amp;"|"&amp; $I$9,'Emission Factor Look Up'!$A$1:$BO$16,$A12,FALSE)*$I$7/2000*$I$10</f>
        <v>0</v>
      </c>
      <c r="J12" s="426">
        <f>VLOOKUP($J$4 &amp;"|"&amp; $J$8 &amp;"|"&amp; $J$9,'Emission Factor Look Up'!$A$1:$BO$16,$A12,FALSE)*$J$7/2000*$J$10</f>
        <v>0</v>
      </c>
      <c r="K12" s="426">
        <f>VLOOKUP($K$4 &amp;"|"&amp; $K$8 &amp;"|"&amp; $K$9,'Emission Factor Look Up'!$A$1:$BO$16,$A12,FALSE)*$K$7/2000*$K$10</f>
        <v>0</v>
      </c>
      <c r="L12" s="426">
        <f>VLOOKUP($L$4 &amp;"|"&amp; $L$8 &amp;"|"&amp; $L$9,'Emission Factor Look Up'!$A$1:$BO$16,$A12,FALSE)*$L$7/2000*$L$10</f>
        <v>0</v>
      </c>
      <c r="M12" s="426">
        <f>VLOOKUP($M$4 &amp;"|"&amp; $M$8 &amp;"|"&amp; $M$9,'Emission Factor Look Up'!$A$1:$BO$16,$A12,FALSE)*$M$7/2000*$M$10</f>
        <v>0</v>
      </c>
      <c r="N12" s="426">
        <f>VLOOKUP($N$4 &amp;"|"&amp; $N$8 &amp;"|"&amp; $N$9,'Emission Factor Look Up'!$A$1:$BO$16,$A12,FALSE)*$N$7/2000*$N$10</f>
        <v>0</v>
      </c>
      <c r="O12" s="426">
        <f>VLOOKUP($O$4 &amp;"|"&amp; $O$8 &amp;"|"&amp; $O$9,'Emission Factor Look Up'!$A$1:$BO$16,$A12,FALSE)*$O$7/2000*$O$10</f>
        <v>0</v>
      </c>
      <c r="P12" s="426">
        <f>VLOOKUP($P$4 &amp;"|"&amp; $P$8 &amp;"|"&amp; $P$9,'Emission Factor Look Up'!$A$1:$BO$16,$A12,FALSE)*$P$7/2000*$P$10</f>
        <v>0</v>
      </c>
      <c r="Q12" s="426">
        <f>VLOOKUP($Q$4 &amp;"|"&amp; $Q$8 &amp;"|"&amp; $Q$9,'Emission Factor Look Up'!$A$1:$BO$16,$A12,FALSE)*$Q$7/2000*$Q$10</f>
        <v>0</v>
      </c>
      <c r="R12" s="426">
        <f>VLOOKUP($R$4 &amp;"|"&amp; $R$8 &amp;"|"&amp; $R$9,'Emission Factor Look Up'!$A$1:$BO$16,$A12,FALSE)*$R$7/2000*$R$10</f>
        <v>0</v>
      </c>
      <c r="S12" s="426">
        <f>VLOOKUP($S$4 &amp;"|"&amp; $S$8 &amp;"|"&amp; $S$9,'Emission Factor Look Up'!$A$1:$BO$16,$A12,FALSE)*$S$7/2000*$S$10</f>
        <v>0</v>
      </c>
      <c r="T12" s="426">
        <f>VLOOKUP($T$4 &amp;"|"&amp; $T$8 &amp;"|"&amp; $T$9,'Emission Factor Look Up'!$A$1:$BO$16,$A12,FALSE)*$T$7/2000*$T$10</f>
        <v>0</v>
      </c>
      <c r="U12" s="426">
        <f>VLOOKUP($U$4 &amp;"|"&amp; $U$8 &amp;"|"&amp; $U$9,'Emission Factor Look Up'!$A$1:$BO$16,$A12,FALSE)*$U$7/2000*$U$10</f>
        <v>0</v>
      </c>
      <c r="V12" s="426">
        <f>VLOOKUP($V$4 &amp;"|"&amp; $V$8 &amp;"|"&amp; $V$9,'Emission Factor Look Up'!$A$1:$BO$16,$A12,FALSE)*$V$7/2000*$V$10</f>
        <v>0</v>
      </c>
      <c r="W12" s="426">
        <f>VLOOKUP($W$4 &amp;"|"&amp; $W$8 &amp;"|"&amp; $W$9,'Emission Factor Look Up'!$A$1:$BO$16,$A12,FALSE)*$W$7/2000*$W$10</f>
        <v>0</v>
      </c>
      <c r="X12" s="426">
        <f>VLOOKUP($X$4 &amp;"|"&amp; $X$8 &amp;"|"&amp; $X$9,'Emission Factor Look Up'!$A$1:$BO$16,$A12,FALSE)*$X$7/2000*$X$10</f>
        <v>0</v>
      </c>
      <c r="Y12" s="426">
        <f>VLOOKUP($Y$4 &amp;"|"&amp; $Y$8 &amp;"|"&amp; $Y$9,'Emission Factor Look Up'!$A$1:$BO$16,$A12,FALSE)*$Y$7/2000*$Y$10</f>
        <v>0</v>
      </c>
      <c r="Z12" s="426">
        <f>VLOOKUP($Z$4 &amp;"|"&amp; $Z$8 &amp;"|"&amp; $Z$9,'Emission Factor Look Up'!$A$1:$BO$16,$A12,FALSE)*$Z$7/2000*$Z$10</f>
        <v>0</v>
      </c>
      <c r="AA12" s="426">
        <f>VLOOKUP($AA$4 &amp;"|"&amp; $AA$8 &amp;"|"&amp; $AA$9,'Emission Factor Look Up'!$A$1:$BO$16,$A12,FALSE)*$AA$7/2000*$AA$10</f>
        <v>0</v>
      </c>
      <c r="AB12" s="426">
        <f>VLOOKUP($AB$4 &amp;"|"&amp; $AB$8 &amp;"|"&amp; $AB$9,'Emission Factor Look Up'!$A$1:$BO$16,$A12,FALSE)*$AB$7/2000*$AB$10</f>
        <v>0</v>
      </c>
      <c r="AC12" s="426">
        <f>VLOOKUP($AC$4 &amp;"|"&amp; $AC$8 &amp;"|"&amp; $AC$9,'Emission Factor Look Up'!$A$1:$BO$16,$A12,FALSE)*$AC$7/2000*$AC$10</f>
        <v>0</v>
      </c>
      <c r="AD12" s="427">
        <f t="shared" si="0"/>
        <v>0</v>
      </c>
    </row>
    <row r="13" spans="1:30">
      <c r="A13" s="190">
        <v>4</v>
      </c>
      <c r="B13" s="428" t="str">
        <f>'Emission Factors'!A6</f>
        <v>1,3-Butadiene</v>
      </c>
      <c r="C13" s="426">
        <f>VLOOKUP($C$4 &amp;"|"&amp; $C$8 &amp;"|"&amp; $C$9,'Emission Factor Look Up'!$A$1:$BO$16,$A13,FALSE)*$C$7/2000*$C$10</f>
        <v>2.0962241999999999E-3</v>
      </c>
      <c r="D13" s="426">
        <f>VLOOKUP($D$4 &amp;"|"&amp; $D$8 &amp;"|"&amp; $D$9,'Emission Factor Look Up'!$A$1:$BO$16,$A13,FALSE)*$D$7/2000*$D$10</f>
        <v>2.0962241999999999E-3</v>
      </c>
      <c r="E13" s="426">
        <f>VLOOKUP($E$4 &amp;"|"&amp; $E$8 &amp;"|"&amp; $E$9,'Emission Factor Look Up'!$A$1:$BO$16,$A13,FALSE)*$E$7/2000*$E$10</f>
        <v>2.0962241999999999E-3</v>
      </c>
      <c r="F13" s="426">
        <f>VLOOKUP($F$4 &amp;"|"&amp; $F$8 &amp;"|"&amp; $F$9,'Emission Factor Look Up'!$A$1:$BO$16,$A13,FALSE)*$F$7/2000*$F$10</f>
        <v>2.0962241999999999E-3</v>
      </c>
      <c r="G13" s="426">
        <f>VLOOKUP($G$4 &amp;"|"&amp; $G$8 &amp;"|"&amp; $G$9,'Emission Factor Look Up'!$A$1:$BO$16,$A13,FALSE)*$G$7/2000*$G$10</f>
        <v>2.0962241999999999E-3</v>
      </c>
      <c r="H13" s="426">
        <f>VLOOKUP($H$4 &amp;"|"&amp; $H$8 &amp;"|"&amp; $H$9,'Emission Factor Look Up'!$A$1:$BO$16,$A13,FALSE)*$H$7/2000*$H$10</f>
        <v>2.0962241999999999E-3</v>
      </c>
      <c r="I13" s="426">
        <f>VLOOKUP($I$4 &amp;"|"&amp; $I$8 &amp;"|"&amp; $I$9,'Emission Factor Look Up'!$A$1:$BO$16,$A13,FALSE)*$I$7/2000*$I$10</f>
        <v>7.2322559999999996E-4</v>
      </c>
      <c r="J13" s="426">
        <f>VLOOKUP($J$4 &amp;"|"&amp; $J$8 &amp;"|"&amp; $J$9,'Emission Factor Look Up'!$A$1:$BO$16,$A13,FALSE)*$J$7/2000*$J$10</f>
        <v>7.2322559999999996E-4</v>
      </c>
      <c r="K13" s="426">
        <f>VLOOKUP($K$4 &amp;"|"&amp; $K$8 &amp;"|"&amp; $K$9,'Emission Factor Look Up'!$A$1:$BO$16,$A13,FALSE)*$K$7/2000*$K$10</f>
        <v>7.2322559999999996E-4</v>
      </c>
      <c r="L13" s="426">
        <f>VLOOKUP($L$4 &amp;"|"&amp; $L$8 &amp;"|"&amp; $L$9,'Emission Factor Look Up'!$A$1:$BO$16,$A13,FALSE)*$L$7/2000*$L$10</f>
        <v>7.2322559999999996E-4</v>
      </c>
      <c r="M13" s="426">
        <f>VLOOKUP($M$4 &amp;"|"&amp; $M$8 &amp;"|"&amp; $M$9,'Emission Factor Look Up'!$A$1:$BO$16,$A13,FALSE)*$M$7/2000*$M$10</f>
        <v>2.0527500000000003E-5</v>
      </c>
      <c r="N13" s="426">
        <f>VLOOKUP($N$4 &amp;"|"&amp; $N$8 &amp;"|"&amp; $N$9,'Emission Factor Look Up'!$A$1:$BO$16,$A13,FALSE)*$N$7/2000*$N$10</f>
        <v>3.9344375000000007E-5</v>
      </c>
      <c r="O13" s="426">
        <f>VLOOKUP($O$4 &amp;"|"&amp; $O$8 &amp;"|"&amp; $O$9,'Emission Factor Look Up'!$A$1:$BO$16,$A13,FALSE)*$O$7/2000*$O$10</f>
        <v>0</v>
      </c>
      <c r="P13" s="426">
        <f>VLOOKUP($P$4 &amp;"|"&amp; $P$8 &amp;"|"&amp; $P$9,'Emission Factor Look Up'!$A$1:$BO$16,$A13,FALSE)*$P$7/2000*$P$10</f>
        <v>0</v>
      </c>
      <c r="Q13" s="426">
        <f>VLOOKUP($Q$4 &amp;"|"&amp; $Q$8 &amp;"|"&amp; $Q$9,'Emission Factor Look Up'!$A$1:$BO$16,$A13,FALSE)*$Q$7/2000*$Q$10</f>
        <v>0</v>
      </c>
      <c r="R13" s="426">
        <f>VLOOKUP($R$4 &amp;"|"&amp; $R$8 &amp;"|"&amp; $R$9,'Emission Factor Look Up'!$A$1:$BO$16,$A13,FALSE)*$R$7/2000*$R$10</f>
        <v>0</v>
      </c>
      <c r="S13" s="426">
        <f>VLOOKUP($S$4 &amp;"|"&amp; $S$8 &amp;"|"&amp; $S$9,'Emission Factor Look Up'!$A$1:$BO$16,$A13,FALSE)*$S$7/2000*$S$10</f>
        <v>0</v>
      </c>
      <c r="T13" s="426">
        <f>VLOOKUP($T$4 &amp;"|"&amp; $T$8 &amp;"|"&amp; $T$9,'Emission Factor Look Up'!$A$1:$BO$16,$A13,FALSE)*$T$7/2000*$T$10</f>
        <v>0</v>
      </c>
      <c r="U13" s="426">
        <f>VLOOKUP($U$4 &amp;"|"&amp; $U$8 &amp;"|"&amp; $U$9,'Emission Factor Look Up'!$A$1:$BO$16,$A13,FALSE)*$U$7/2000*$U$10</f>
        <v>0</v>
      </c>
      <c r="V13" s="426">
        <f>VLOOKUP($V$4 &amp;"|"&amp; $V$8 &amp;"|"&amp; $V$9,'Emission Factor Look Up'!$A$1:$BO$16,$A13,FALSE)*$V$7/2000*$V$10</f>
        <v>0</v>
      </c>
      <c r="W13" s="426">
        <f>VLOOKUP($W$4 &amp;"|"&amp; $W$8 &amp;"|"&amp; $W$9,'Emission Factor Look Up'!$A$1:$BO$16,$A13,FALSE)*$W$7/2000*$W$10</f>
        <v>0</v>
      </c>
      <c r="X13" s="426">
        <f>VLOOKUP($X$4 &amp;"|"&amp; $X$8 &amp;"|"&amp; $X$9,'Emission Factor Look Up'!$A$1:$BO$16,$A13,FALSE)*$X$7/2000*$X$10</f>
        <v>0</v>
      </c>
      <c r="Y13" s="426">
        <f>VLOOKUP($Y$4 &amp;"|"&amp; $Y$8 &amp;"|"&amp; $Y$9,'Emission Factor Look Up'!$A$1:$BO$16,$A13,FALSE)*$Y$7/2000*$Y$10</f>
        <v>0</v>
      </c>
      <c r="Z13" s="426">
        <f>VLOOKUP($Z$4 &amp;"|"&amp; $Z$8 &amp;"|"&amp; $Z$9,'Emission Factor Look Up'!$A$1:$BO$16,$A13,FALSE)*$Z$7/2000*$Z$10</f>
        <v>0</v>
      </c>
      <c r="AA13" s="426">
        <f>VLOOKUP($AA$4 &amp;"|"&amp; $AA$8 &amp;"|"&amp; $AA$9,'Emission Factor Look Up'!$A$1:$BO$16,$A13,FALSE)*$AA$7/2000*$AA$10</f>
        <v>0</v>
      </c>
      <c r="AB13" s="426">
        <f>VLOOKUP($AB$4 &amp;"|"&amp; $AB$8 &amp;"|"&amp; $AB$9,'Emission Factor Look Up'!$A$1:$BO$16,$A13,FALSE)*$AB$7/2000*$AB$10</f>
        <v>0</v>
      </c>
      <c r="AC13" s="426">
        <f>VLOOKUP($AC$4 &amp;"|"&amp; $AC$8 &amp;"|"&amp; $AC$9,'Emission Factor Look Up'!$A$1:$BO$16,$A13,FALSE)*$AC$7/2000*$AC$10</f>
        <v>0</v>
      </c>
      <c r="AD13" s="427">
        <f t="shared" si="0"/>
        <v>1.5530119475000001E-2</v>
      </c>
    </row>
    <row r="14" spans="1:30">
      <c r="A14" s="190">
        <v>5</v>
      </c>
      <c r="B14" s="428" t="str">
        <f>'Emission Factors'!A7</f>
        <v>1,3-Dichloropropene</v>
      </c>
      <c r="C14" s="426">
        <f>VLOOKUP($C$4 &amp;"|"&amp; $C$8 &amp;"|"&amp; $C$9,'Emission Factor Look Up'!$A$1:$BO$16,$A14,FALSE)*$C$7/2000*$C$10</f>
        <v>0</v>
      </c>
      <c r="D14" s="426">
        <f>VLOOKUP($D$4 &amp;"|"&amp; $D$8 &amp;"|"&amp; $D$9,'Emission Factor Look Up'!$A$1:$BO$16,$A14,FALSE)*$D$7/2000*$D$10</f>
        <v>0</v>
      </c>
      <c r="E14" s="426">
        <f>VLOOKUP($E$4 &amp;"|"&amp; $E$8 &amp;"|"&amp; $E$9,'Emission Factor Look Up'!$A$1:$BO$16,$A14,FALSE)*$E$7/2000*$E$10</f>
        <v>0</v>
      </c>
      <c r="F14" s="426">
        <f>VLOOKUP($F$4 &amp;"|"&amp; $F$8 &amp;"|"&amp; $F$9,'Emission Factor Look Up'!$A$1:$BO$16,$A14,FALSE)*$F$7/2000*$F$10</f>
        <v>0</v>
      </c>
      <c r="G14" s="426">
        <f>VLOOKUP($G$4 &amp;"|"&amp; $G$8 &amp;"|"&amp; $G$9,'Emission Factor Look Up'!$A$1:$BO$16,$A14,FALSE)*$G$7/2000*$G$10</f>
        <v>0</v>
      </c>
      <c r="H14" s="426">
        <f>VLOOKUP($H$4 &amp;"|"&amp; $H$8 &amp;"|"&amp; $H$9,'Emission Factor Look Up'!$A$1:$BO$16,$A14,FALSE)*$H$7/2000*$H$10</f>
        <v>0</v>
      </c>
      <c r="I14" s="426">
        <f>VLOOKUP($I$4 &amp;"|"&amp; $I$8 &amp;"|"&amp; $I$9,'Emission Factor Look Up'!$A$1:$BO$16,$A14,FALSE)*$I$7/2000*$I$10</f>
        <v>0</v>
      </c>
      <c r="J14" s="426">
        <f>VLOOKUP($J$4 &amp;"|"&amp; $J$8 &amp;"|"&amp; $J$9,'Emission Factor Look Up'!$A$1:$BO$16,$A14,FALSE)*$J$7/2000*$J$10</f>
        <v>0</v>
      </c>
      <c r="K14" s="426">
        <f>VLOOKUP($K$4 &amp;"|"&amp; $K$8 &amp;"|"&amp; $K$9,'Emission Factor Look Up'!$A$1:$BO$16,$A14,FALSE)*$K$7/2000*$K$10</f>
        <v>0</v>
      </c>
      <c r="L14" s="426">
        <f>VLOOKUP($L$4 &amp;"|"&amp; $L$8 &amp;"|"&amp; $L$9,'Emission Factor Look Up'!$A$1:$BO$16,$A14,FALSE)*$L$7/2000*$L$10</f>
        <v>0</v>
      </c>
      <c r="M14" s="426">
        <f>VLOOKUP($M$4 &amp;"|"&amp; $M$8 &amp;"|"&amp; $M$9,'Emission Factor Look Up'!$A$1:$BO$16,$A14,FALSE)*$M$7/2000*$M$10</f>
        <v>0</v>
      </c>
      <c r="N14" s="426">
        <f>VLOOKUP($N$4 &amp;"|"&amp; $N$8 &amp;"|"&amp; $N$9,'Emission Factor Look Up'!$A$1:$BO$16,$A14,FALSE)*$N$7/2000*$N$10</f>
        <v>0</v>
      </c>
      <c r="O14" s="426">
        <f>VLOOKUP($O$4 &amp;"|"&amp; $O$8 &amp;"|"&amp; $O$9,'Emission Factor Look Up'!$A$1:$BO$16,$A14,FALSE)*$O$7/2000*$O$10</f>
        <v>0</v>
      </c>
      <c r="P14" s="426">
        <f>VLOOKUP($P$4 &amp;"|"&amp; $P$8 &amp;"|"&amp; $P$9,'Emission Factor Look Up'!$A$1:$BO$16,$A14,FALSE)*$P$7/2000*$P$10</f>
        <v>0</v>
      </c>
      <c r="Q14" s="426">
        <f>VLOOKUP($Q$4 &amp;"|"&amp; $Q$8 &amp;"|"&amp; $Q$9,'Emission Factor Look Up'!$A$1:$BO$16,$A14,FALSE)*$Q$7/2000*$Q$10</f>
        <v>0</v>
      </c>
      <c r="R14" s="426">
        <f>VLOOKUP($R$4 &amp;"|"&amp; $R$8 &amp;"|"&amp; $R$9,'Emission Factor Look Up'!$A$1:$BO$16,$A14,FALSE)*$R$7/2000*$R$10</f>
        <v>0</v>
      </c>
      <c r="S14" s="426">
        <f>VLOOKUP($S$4 &amp;"|"&amp; $S$8 &amp;"|"&amp; $S$9,'Emission Factor Look Up'!$A$1:$BO$16,$A14,FALSE)*$S$7/2000*$S$10</f>
        <v>0</v>
      </c>
      <c r="T14" s="426">
        <f>VLOOKUP($T$4 &amp;"|"&amp; $T$8 &amp;"|"&amp; $T$9,'Emission Factor Look Up'!$A$1:$BO$16,$A14,FALSE)*$T$7/2000*$T$10</f>
        <v>0</v>
      </c>
      <c r="U14" s="426">
        <f>VLOOKUP($U$4 &amp;"|"&amp; $U$8 &amp;"|"&amp; $U$9,'Emission Factor Look Up'!$A$1:$BO$16,$A14,FALSE)*$U$7/2000*$U$10</f>
        <v>0</v>
      </c>
      <c r="V14" s="426">
        <f>VLOOKUP($V$4 &amp;"|"&amp; $V$8 &amp;"|"&amp; $V$9,'Emission Factor Look Up'!$A$1:$BO$16,$A14,FALSE)*$V$7/2000*$V$10</f>
        <v>0</v>
      </c>
      <c r="W14" s="426">
        <f>VLOOKUP($W$4 &amp;"|"&amp; $W$8 &amp;"|"&amp; $W$9,'Emission Factor Look Up'!$A$1:$BO$16,$A14,FALSE)*$W$7/2000*$W$10</f>
        <v>0</v>
      </c>
      <c r="X14" s="426">
        <f>VLOOKUP($X$4 &amp;"|"&amp; $X$8 &amp;"|"&amp; $X$9,'Emission Factor Look Up'!$A$1:$BO$16,$A14,FALSE)*$X$7/2000*$X$10</f>
        <v>0</v>
      </c>
      <c r="Y14" s="426">
        <f>VLOOKUP($Y$4 &amp;"|"&amp; $Y$8 &amp;"|"&amp; $Y$9,'Emission Factor Look Up'!$A$1:$BO$16,$A14,FALSE)*$Y$7/2000*$Y$10</f>
        <v>0</v>
      </c>
      <c r="Z14" s="426">
        <f>VLOOKUP($Z$4 &amp;"|"&amp; $Z$8 &amp;"|"&amp; $Z$9,'Emission Factor Look Up'!$A$1:$BO$16,$A14,FALSE)*$Z$7/2000*$Z$10</f>
        <v>0</v>
      </c>
      <c r="AA14" s="426">
        <f>VLOOKUP($AA$4 &amp;"|"&amp; $AA$8 &amp;"|"&amp; $AA$9,'Emission Factor Look Up'!$A$1:$BO$16,$A14,FALSE)*$AA$7/2000*$AA$10</f>
        <v>0</v>
      </c>
      <c r="AB14" s="426">
        <f>VLOOKUP($AB$4 &amp;"|"&amp; $AB$8 &amp;"|"&amp; $AB$9,'Emission Factor Look Up'!$A$1:$BO$16,$A14,FALSE)*$AB$7/2000*$AB$10</f>
        <v>0</v>
      </c>
      <c r="AC14" s="426">
        <f>VLOOKUP($AC$4 &amp;"|"&amp; $AC$8 &amp;"|"&amp; $AC$9,'Emission Factor Look Up'!$A$1:$BO$16,$A14,FALSE)*$AC$7/2000*$AC$10</f>
        <v>0</v>
      </c>
      <c r="AD14" s="427">
        <f t="shared" si="0"/>
        <v>0</v>
      </c>
    </row>
    <row r="15" spans="1:30">
      <c r="A15" s="190">
        <v>6</v>
      </c>
      <c r="B15" s="428" t="str">
        <f>'Emission Factors'!A8</f>
        <v>1,4-Dichlorobenzene</v>
      </c>
      <c r="C15" s="426">
        <f>VLOOKUP($C$4 &amp;"|"&amp; $C$8 &amp;"|"&amp; $C$9,'Emission Factor Look Up'!$A$1:$BO$16,$A15,FALSE)*$C$7/2000*$C$10</f>
        <v>0</v>
      </c>
      <c r="D15" s="426">
        <f>VLOOKUP($D$4 &amp;"|"&amp; $D$8 &amp;"|"&amp; $D$9,'Emission Factor Look Up'!$A$1:$BO$16,$A15,FALSE)*$D$7/2000*$D$10</f>
        <v>0</v>
      </c>
      <c r="E15" s="426">
        <f>VLOOKUP($E$4 &amp;"|"&amp; $E$8 &amp;"|"&amp; $E$9,'Emission Factor Look Up'!$A$1:$BO$16,$A15,FALSE)*$E$7/2000*$E$10</f>
        <v>0</v>
      </c>
      <c r="F15" s="426">
        <f>VLOOKUP($F$4 &amp;"|"&amp; $F$8 &amp;"|"&amp; $F$9,'Emission Factor Look Up'!$A$1:$BO$16,$A15,FALSE)*$F$7/2000*$F$10</f>
        <v>0</v>
      </c>
      <c r="G15" s="426">
        <f>VLOOKUP($G$4 &amp;"|"&amp; $G$8 &amp;"|"&amp; $G$9,'Emission Factor Look Up'!$A$1:$BO$16,$A15,FALSE)*$G$7/2000*$G$10</f>
        <v>0</v>
      </c>
      <c r="H15" s="426">
        <f>VLOOKUP($H$4 &amp;"|"&amp; $H$8 &amp;"|"&amp; $H$9,'Emission Factor Look Up'!$A$1:$BO$16,$A15,FALSE)*$H$7/2000*$H$10</f>
        <v>0</v>
      </c>
      <c r="I15" s="426">
        <f>VLOOKUP($I$4 &amp;"|"&amp; $I$8 &amp;"|"&amp; $I$9,'Emission Factor Look Up'!$A$1:$BO$16,$A15,FALSE)*$I$7/2000*$I$10</f>
        <v>0</v>
      </c>
      <c r="J15" s="426">
        <f>VLOOKUP($J$4 &amp;"|"&amp; $J$8 &amp;"|"&amp; $J$9,'Emission Factor Look Up'!$A$1:$BO$16,$A15,FALSE)*$J$7/2000*$J$10</f>
        <v>0</v>
      </c>
      <c r="K15" s="426">
        <f>VLOOKUP($K$4 &amp;"|"&amp; $K$8 &amp;"|"&amp; $K$9,'Emission Factor Look Up'!$A$1:$BO$16,$A15,FALSE)*$K$7/2000*$K$10</f>
        <v>0</v>
      </c>
      <c r="L15" s="426">
        <f>VLOOKUP($L$4 &amp;"|"&amp; $L$8 &amp;"|"&amp; $L$9,'Emission Factor Look Up'!$A$1:$BO$16,$A15,FALSE)*$L$7/2000*$L$10</f>
        <v>0</v>
      </c>
      <c r="M15" s="426">
        <f>VLOOKUP($M$4 &amp;"|"&amp; $M$8 &amp;"|"&amp; $M$9,'Emission Factor Look Up'!$A$1:$BO$16,$A15,FALSE)*$M$7/2000*$M$10</f>
        <v>0</v>
      </c>
      <c r="N15" s="426">
        <f>VLOOKUP($N$4 &amp;"|"&amp; $N$8 &amp;"|"&amp; $N$9,'Emission Factor Look Up'!$A$1:$BO$16,$A15,FALSE)*$N$7/2000*$N$10</f>
        <v>0</v>
      </c>
      <c r="O15" s="426">
        <f>VLOOKUP($O$4 &amp;"|"&amp; $O$8 &amp;"|"&amp; $O$9,'Emission Factor Look Up'!$A$1:$BO$16,$A15,FALSE)*$O$7/2000*$O$10</f>
        <v>0</v>
      </c>
      <c r="P15" s="426">
        <f>VLOOKUP($P$4 &amp;"|"&amp; $P$8 &amp;"|"&amp; $P$9,'Emission Factor Look Up'!$A$1:$BO$16,$A15,FALSE)*$P$7/2000*$P$10</f>
        <v>0</v>
      </c>
      <c r="Q15" s="426">
        <f>VLOOKUP($Q$4 &amp;"|"&amp; $Q$8 &amp;"|"&amp; $Q$9,'Emission Factor Look Up'!$A$1:$BO$16,$A15,FALSE)*$Q$7/2000*$Q$10</f>
        <v>0</v>
      </c>
      <c r="R15" s="426">
        <f>VLOOKUP($R$4 &amp;"|"&amp; $R$8 &amp;"|"&amp; $R$9,'Emission Factor Look Up'!$A$1:$BO$16,$A15,FALSE)*$R$7/2000*$R$10</f>
        <v>0</v>
      </c>
      <c r="S15" s="426">
        <f>VLOOKUP($S$4 &amp;"|"&amp; $S$8 &amp;"|"&amp; $S$9,'Emission Factor Look Up'!$A$1:$BO$16,$A15,FALSE)*$S$7/2000*$S$10</f>
        <v>0</v>
      </c>
      <c r="T15" s="426">
        <f>VLOOKUP($T$4 &amp;"|"&amp; $T$8 &amp;"|"&amp; $T$9,'Emission Factor Look Up'!$A$1:$BO$16,$A15,FALSE)*$T$7/2000*$T$10</f>
        <v>0</v>
      </c>
      <c r="U15" s="426">
        <f>VLOOKUP($U$4 &amp;"|"&amp; $U$8 &amp;"|"&amp; $U$9,'Emission Factor Look Up'!$A$1:$BO$16,$A15,FALSE)*$U$7/2000*$U$10</f>
        <v>0</v>
      </c>
      <c r="V15" s="426">
        <f>VLOOKUP($V$4 &amp;"|"&amp; $V$8 &amp;"|"&amp; $V$9,'Emission Factor Look Up'!$A$1:$BO$16,$A15,FALSE)*$V$7/2000*$V$10</f>
        <v>0</v>
      </c>
      <c r="W15" s="426">
        <f>VLOOKUP($W$4 &amp;"|"&amp; $W$8 &amp;"|"&amp; $W$9,'Emission Factor Look Up'!$A$1:$BO$16,$A15,FALSE)*$W$7/2000*$W$10</f>
        <v>0</v>
      </c>
      <c r="X15" s="426">
        <f>VLOOKUP($X$4 &amp;"|"&amp; $X$8 &amp;"|"&amp; $X$9,'Emission Factor Look Up'!$A$1:$BO$16,$A15,FALSE)*$X$7/2000*$X$10</f>
        <v>0</v>
      </c>
      <c r="Y15" s="426">
        <f>VLOOKUP($Y$4 &amp;"|"&amp; $Y$8 &amp;"|"&amp; $Y$9,'Emission Factor Look Up'!$A$1:$BO$16,$A15,FALSE)*$Y$7/2000*$Y$10</f>
        <v>0</v>
      </c>
      <c r="Z15" s="426">
        <f>VLOOKUP($Z$4 &amp;"|"&amp; $Z$8 &amp;"|"&amp; $Z$9,'Emission Factor Look Up'!$A$1:$BO$16,$A15,FALSE)*$Z$7/2000*$Z$10</f>
        <v>0</v>
      </c>
      <c r="AA15" s="426">
        <f>VLOOKUP($AA$4 &amp;"|"&amp; $AA$8 &amp;"|"&amp; $AA$9,'Emission Factor Look Up'!$A$1:$BO$16,$A15,FALSE)*$AA$7/2000*$AA$10</f>
        <v>0</v>
      </c>
      <c r="AB15" s="426">
        <f>VLOOKUP($AB$4 &amp;"|"&amp; $AB$8 &amp;"|"&amp; $AB$9,'Emission Factor Look Up'!$A$1:$BO$16,$A15,FALSE)*$AB$7/2000*$AB$10</f>
        <v>0</v>
      </c>
      <c r="AC15" s="426">
        <f>VLOOKUP($AC$4 &amp;"|"&amp; $AC$8 &amp;"|"&amp; $AC$9,'Emission Factor Look Up'!$A$1:$BO$16,$A15,FALSE)*$AC$7/2000*$AC$10</f>
        <v>0</v>
      </c>
      <c r="AD15" s="427">
        <f t="shared" si="0"/>
        <v>0</v>
      </c>
    </row>
    <row r="16" spans="1:30">
      <c r="A16" s="190">
        <v>7</v>
      </c>
      <c r="B16" s="428" t="str">
        <f>'Emission Factors'!A9</f>
        <v>2,2,4-Trimethylpentane</v>
      </c>
      <c r="C16" s="426">
        <f>VLOOKUP($C$4 &amp;"|"&amp; $C$8 &amp;"|"&amp; $C$9,'Emission Factor Look Up'!$A$1:$BO$16,$A16,FALSE)*$C$7/2000*$C$10</f>
        <v>0</v>
      </c>
      <c r="D16" s="426">
        <f>VLOOKUP($D$4 &amp;"|"&amp; $D$8 &amp;"|"&amp; $D$9,'Emission Factor Look Up'!$A$1:$BO$16,$A16,FALSE)*$D$7/2000*$D$10</f>
        <v>0</v>
      </c>
      <c r="E16" s="426">
        <f>VLOOKUP($E$4 &amp;"|"&amp; $E$8 &amp;"|"&amp; $E$9,'Emission Factor Look Up'!$A$1:$BO$16,$A16,FALSE)*$E$7/2000*$E$10</f>
        <v>0</v>
      </c>
      <c r="F16" s="426">
        <f>VLOOKUP($F$4 &amp;"|"&amp; $F$8 &amp;"|"&amp; $F$9,'Emission Factor Look Up'!$A$1:$BO$16,$A16,FALSE)*$F$7/2000*$F$10</f>
        <v>0</v>
      </c>
      <c r="G16" s="426">
        <f>VLOOKUP($G$4 &amp;"|"&amp; $G$8 &amp;"|"&amp; $G$9,'Emission Factor Look Up'!$A$1:$BO$16,$A16,FALSE)*$G$7/2000*$G$10</f>
        <v>0</v>
      </c>
      <c r="H16" s="426">
        <f>VLOOKUP($H$4 &amp;"|"&amp; $H$8 &amp;"|"&amp; $H$9,'Emission Factor Look Up'!$A$1:$BO$16,$A16,FALSE)*$H$7/2000*$H$10</f>
        <v>0</v>
      </c>
      <c r="I16" s="426">
        <f>VLOOKUP($I$4 &amp;"|"&amp; $I$8 &amp;"|"&amp; $I$9,'Emission Factor Look Up'!$A$1:$BO$16,$A16,FALSE)*$I$7/2000*$I$10</f>
        <v>0</v>
      </c>
      <c r="J16" s="426">
        <f>VLOOKUP($J$4 &amp;"|"&amp; $J$8 &amp;"|"&amp; $J$9,'Emission Factor Look Up'!$A$1:$BO$16,$A16,FALSE)*$J$7/2000*$J$10</f>
        <v>0</v>
      </c>
      <c r="K16" s="426">
        <f>VLOOKUP($K$4 &amp;"|"&amp; $K$8 &amp;"|"&amp; $K$9,'Emission Factor Look Up'!$A$1:$BO$16,$A16,FALSE)*$K$7/2000*$K$10</f>
        <v>0</v>
      </c>
      <c r="L16" s="426">
        <f>VLOOKUP($L$4 &amp;"|"&amp; $L$8 &amp;"|"&amp; $L$9,'Emission Factor Look Up'!$A$1:$BO$16,$A16,FALSE)*$L$7/2000*$L$10</f>
        <v>0</v>
      </c>
      <c r="M16" s="426">
        <f>VLOOKUP($M$4 &amp;"|"&amp; $M$8 &amp;"|"&amp; $M$9,'Emission Factor Look Up'!$A$1:$BO$16,$A16,FALSE)*$M$7/2000*$M$10</f>
        <v>0</v>
      </c>
      <c r="N16" s="426">
        <f>VLOOKUP($N$4 &amp;"|"&amp; $N$8 &amp;"|"&amp; $N$9,'Emission Factor Look Up'!$A$1:$BO$16,$A16,FALSE)*$N$7/2000*$N$10</f>
        <v>0</v>
      </c>
      <c r="O16" s="426">
        <f>VLOOKUP($O$4 &amp;"|"&amp; $O$8 &amp;"|"&amp; $O$9,'Emission Factor Look Up'!$A$1:$BO$16,$A16,FALSE)*$O$7/2000*$O$10</f>
        <v>0</v>
      </c>
      <c r="P16" s="426">
        <f>VLOOKUP($P$4 &amp;"|"&amp; $P$8 &amp;"|"&amp; $P$9,'Emission Factor Look Up'!$A$1:$BO$16,$A16,FALSE)*$P$7/2000*$P$10</f>
        <v>0</v>
      </c>
      <c r="Q16" s="426">
        <f>VLOOKUP($Q$4 &amp;"|"&amp; $Q$8 &amp;"|"&amp; $Q$9,'Emission Factor Look Up'!$A$1:$BO$16,$A16,FALSE)*$Q$7/2000*$Q$10</f>
        <v>0</v>
      </c>
      <c r="R16" s="426">
        <f>VLOOKUP($R$4 &amp;"|"&amp; $R$8 &amp;"|"&amp; $R$9,'Emission Factor Look Up'!$A$1:$BO$16,$A16,FALSE)*$R$7/2000*$R$10</f>
        <v>0</v>
      </c>
      <c r="S16" s="426">
        <f>VLOOKUP($S$4 &amp;"|"&amp; $S$8 &amp;"|"&amp; $S$9,'Emission Factor Look Up'!$A$1:$BO$16,$A16,FALSE)*$S$7/2000*$S$10</f>
        <v>0</v>
      </c>
      <c r="T16" s="426">
        <f>VLOOKUP($T$4 &amp;"|"&amp; $T$8 &amp;"|"&amp; $T$9,'Emission Factor Look Up'!$A$1:$BO$16,$A16,FALSE)*$T$7/2000*$T$10</f>
        <v>0</v>
      </c>
      <c r="U16" s="426">
        <f>VLOOKUP($U$4 &amp;"|"&amp; $U$8 &amp;"|"&amp; $U$9,'Emission Factor Look Up'!$A$1:$BO$16,$A16,FALSE)*$U$7/2000*$U$10</f>
        <v>0</v>
      </c>
      <c r="V16" s="426">
        <f>VLOOKUP($V$4 &amp;"|"&amp; $V$8 &amp;"|"&amp; $V$9,'Emission Factor Look Up'!$A$1:$BO$16,$A16,FALSE)*$V$7/2000*$V$10</f>
        <v>0</v>
      </c>
      <c r="W16" s="426">
        <f>VLOOKUP($W$4 &amp;"|"&amp; $W$8 &amp;"|"&amp; $W$9,'Emission Factor Look Up'!$A$1:$BO$16,$A16,FALSE)*$W$7/2000*$W$10</f>
        <v>0</v>
      </c>
      <c r="X16" s="426">
        <f>VLOOKUP($X$4 &amp;"|"&amp; $X$8 &amp;"|"&amp; $X$9,'Emission Factor Look Up'!$A$1:$BO$16,$A16,FALSE)*$X$7/2000*$X$10</f>
        <v>0</v>
      </c>
      <c r="Y16" s="426">
        <f>VLOOKUP($Y$4 &amp;"|"&amp; $Y$8 &amp;"|"&amp; $Y$9,'Emission Factor Look Up'!$A$1:$BO$16,$A16,FALSE)*$Y$7/2000*$Y$10</f>
        <v>0</v>
      </c>
      <c r="Z16" s="426">
        <f>VLOOKUP($Z$4 &amp;"|"&amp; $Z$8 &amp;"|"&amp; $Z$9,'Emission Factor Look Up'!$A$1:$BO$16,$A16,FALSE)*$Z$7/2000*$Z$10</f>
        <v>0</v>
      </c>
      <c r="AA16" s="426">
        <f>VLOOKUP($AA$4 &amp;"|"&amp; $AA$8 &amp;"|"&amp; $AA$9,'Emission Factor Look Up'!$A$1:$BO$16,$A16,FALSE)*$AA$7/2000*$AA$10</f>
        <v>0</v>
      </c>
      <c r="AB16" s="426">
        <f>VLOOKUP($AB$4 &amp;"|"&amp; $AB$8 &amp;"|"&amp; $AB$9,'Emission Factor Look Up'!$A$1:$BO$16,$A16,FALSE)*$AB$7/2000*$AB$10</f>
        <v>0</v>
      </c>
      <c r="AC16" s="426">
        <f>VLOOKUP($AC$4 &amp;"|"&amp; $AC$8 &amp;"|"&amp; $AC$9,'Emission Factor Look Up'!$A$1:$BO$16,$A16,FALSE)*$AC$7/2000*$AC$10</f>
        <v>0</v>
      </c>
      <c r="AD16" s="427">
        <f t="shared" si="0"/>
        <v>0</v>
      </c>
    </row>
    <row r="17" spans="1:30">
      <c r="A17" s="190">
        <v>8</v>
      </c>
      <c r="B17" s="428" t="str">
        <f>'Emission Factors'!A10</f>
        <v>Acetaldehyde</v>
      </c>
      <c r="C17" s="426">
        <f>VLOOKUP($C$4 &amp;"|"&amp; $C$8 &amp;"|"&amp; $C$9,'Emission Factor Look Up'!$A$1:$BO$16,$A17,FALSE)*$C$7/2000*$C$10</f>
        <v>0.19499759999999999</v>
      </c>
      <c r="D17" s="426">
        <f>VLOOKUP($D$4 &amp;"|"&amp; $D$8 &amp;"|"&amp; $D$9,'Emission Factor Look Up'!$A$1:$BO$16,$A17,FALSE)*$D$7/2000*$D$10</f>
        <v>0.19499759999999999</v>
      </c>
      <c r="E17" s="426">
        <f>VLOOKUP($E$4 &amp;"|"&amp; $E$8 &amp;"|"&amp; $E$9,'Emission Factor Look Up'!$A$1:$BO$16,$A17,FALSE)*$E$7/2000*$E$10</f>
        <v>0.19499759999999999</v>
      </c>
      <c r="F17" s="426">
        <f>VLOOKUP($F$4 &amp;"|"&amp; $F$8 &amp;"|"&amp; $F$9,'Emission Factor Look Up'!$A$1:$BO$16,$A17,FALSE)*$F$7/2000*$F$10</f>
        <v>0.19499759999999999</v>
      </c>
      <c r="G17" s="426">
        <f>VLOOKUP($G$4 &amp;"|"&amp; $G$8 &amp;"|"&amp; $G$9,'Emission Factor Look Up'!$A$1:$BO$16,$A17,FALSE)*$G$7/2000*$G$10</f>
        <v>0.19499759999999999</v>
      </c>
      <c r="H17" s="426">
        <f>VLOOKUP($H$4 &amp;"|"&amp; $H$8 &amp;"|"&amp; $H$9,'Emission Factor Look Up'!$A$1:$BO$16,$A17,FALSE)*$H$7/2000*$H$10</f>
        <v>0.19499759999999999</v>
      </c>
      <c r="I17" s="426">
        <f>VLOOKUP($I$4 &amp;"|"&amp; $I$8 &amp;"|"&amp; $I$9,'Emission Factor Look Up'!$A$1:$BO$16,$A17,FALSE)*$I$7/2000*$I$10</f>
        <v>6.7276800000000012E-2</v>
      </c>
      <c r="J17" s="426">
        <f>VLOOKUP($J$4 &amp;"|"&amp; $J$8 &amp;"|"&amp; $J$9,'Emission Factor Look Up'!$A$1:$BO$16,$A17,FALSE)*$J$7/2000*$J$10</f>
        <v>6.7276800000000012E-2</v>
      </c>
      <c r="K17" s="426">
        <f>VLOOKUP($K$4 &amp;"|"&amp; $K$8 &amp;"|"&amp; $K$9,'Emission Factor Look Up'!$A$1:$BO$16,$A17,FALSE)*$K$7/2000*$K$10</f>
        <v>6.7276800000000012E-2</v>
      </c>
      <c r="L17" s="426">
        <f>VLOOKUP($L$4 &amp;"|"&amp; $L$8 &amp;"|"&amp; $L$9,'Emission Factor Look Up'!$A$1:$BO$16,$A17,FALSE)*$L$7/2000*$L$10</f>
        <v>6.7276800000000012E-2</v>
      </c>
      <c r="M17" s="426">
        <f>VLOOKUP($M$4 &amp;"|"&amp; $M$8 &amp;"|"&amp; $M$9,'Emission Factor Look Up'!$A$1:$BO$16,$A17,FALSE)*$M$7/2000*$M$10</f>
        <v>4.0267500000000002E-4</v>
      </c>
      <c r="N17" s="426">
        <f>VLOOKUP($N$4 &amp;"|"&amp; $N$8 &amp;"|"&amp; $N$9,'Emission Factor Look Up'!$A$1:$BO$16,$A17,FALSE)*$N$7/2000*$N$10</f>
        <v>7.7179375000000004E-4</v>
      </c>
      <c r="O17" s="426">
        <f>VLOOKUP($O$4 &amp;"|"&amp; $O$8 &amp;"|"&amp; $O$9,'Emission Factor Look Up'!$A$1:$BO$16,$A17,FALSE)*$O$7/2000*$O$10</f>
        <v>1.3202264705882351E-3</v>
      </c>
      <c r="P17" s="426">
        <f>VLOOKUP($P$4 &amp;"|"&amp; $P$8 &amp;"|"&amp; $P$9,'Emission Factor Look Up'!$A$1:$BO$16,$A17,FALSE)*$P$7/2000*$P$10</f>
        <v>1.3202264705882351E-3</v>
      </c>
      <c r="Q17" s="426">
        <f>VLOOKUP($Q$4 &amp;"|"&amp; $Q$8 &amp;"|"&amp; $Q$9,'Emission Factor Look Up'!$A$1:$BO$16,$A17,FALSE)*$Q$7/2000*$Q$10</f>
        <v>0</v>
      </c>
      <c r="R17" s="426">
        <f>VLOOKUP($R$4 &amp;"|"&amp; $R$8 &amp;"|"&amp; $R$9,'Emission Factor Look Up'!$A$1:$BO$16,$A17,FALSE)*$R$7/2000*$R$10</f>
        <v>4.154558823529411E-4</v>
      </c>
      <c r="S17" s="426">
        <f>VLOOKUP($S$4 &amp;"|"&amp; $S$8 &amp;"|"&amp; $S$9,'Emission Factor Look Up'!$A$1:$BO$16,$A17,FALSE)*$S$7/2000*$S$10</f>
        <v>4.154558823529411E-4</v>
      </c>
      <c r="T17" s="426">
        <f>VLOOKUP($T$4 &amp;"|"&amp; $T$8 &amp;"|"&amp; $T$9,'Emission Factor Look Up'!$A$1:$BO$16,$A17,FALSE)*$T$7/2000*$T$10</f>
        <v>0</v>
      </c>
      <c r="U17" s="426">
        <f>VLOOKUP($U$4 &amp;"|"&amp; $U$8 &amp;"|"&amp; $U$9,'Emission Factor Look Up'!$A$1:$BO$16,$A17,FALSE)*$U$7/2000*$U$10</f>
        <v>0.63226862745098034</v>
      </c>
      <c r="V17" s="426">
        <f>VLOOKUP($V$4 &amp;"|"&amp; $V$8 &amp;"|"&amp; $V$9,'Emission Factor Look Up'!$A$1:$BO$16,$A17,FALSE)*$V$7/2000*$V$10</f>
        <v>0.63226862745098034</v>
      </c>
      <c r="W17" s="426">
        <f>VLOOKUP($W$4 &amp;"|"&amp; $W$8 &amp;"|"&amp; $W$9,'Emission Factor Look Up'!$A$1:$BO$16,$A17,FALSE)*$W$7/2000*$W$10</f>
        <v>0</v>
      </c>
      <c r="X17" s="426">
        <f>VLOOKUP($X$4 &amp;"|"&amp; $X$8 &amp;"|"&amp; $X$9,'Emission Factor Look Up'!$A$1:$BO$16,$A17,FALSE)*$X$7/2000*$X$10</f>
        <v>0.14775980392156859</v>
      </c>
      <c r="Y17" s="426">
        <f>VLOOKUP($Y$4 &amp;"|"&amp; $Y$8 &amp;"|"&amp; $Y$9,'Emission Factor Look Up'!$A$1:$BO$16,$A17,FALSE)*$Y$7/2000*$Y$10</f>
        <v>0.14775980392156859</v>
      </c>
      <c r="Z17" s="426">
        <f>VLOOKUP($Z$4 &amp;"|"&amp; $Z$8 &amp;"|"&amp; $Z$9,'Emission Factor Look Up'!$A$1:$BO$16,$A17,FALSE)*$Z$7/2000*$Z$10</f>
        <v>0</v>
      </c>
      <c r="AA17" s="426">
        <f>VLOOKUP($AA$4 &amp;"|"&amp; $AA$8 &amp;"|"&amp; $AA$9,'Emission Factor Look Up'!$A$1:$BO$16,$A17,FALSE)*$AA$7/2000*$AA$10</f>
        <v>1.9387941176470585E-3</v>
      </c>
      <c r="AB17" s="426">
        <f>VLOOKUP($AB$4 &amp;"|"&amp; $AB$8 &amp;"|"&amp; $AB$9,'Emission Factor Look Up'!$A$1:$BO$16,$A17,FALSE)*$AB$7/2000*$AB$10</f>
        <v>3.0277058823529406E-3</v>
      </c>
      <c r="AC17" s="426">
        <f>VLOOKUP($AC$4 &amp;"|"&amp; $AC$8 &amp;"|"&amp; $AC$9,'Emission Factor Look Up'!$A$1:$BO$16,$A17,FALSE)*$AC$7/2000*$AC$10</f>
        <v>0</v>
      </c>
      <c r="AD17" s="427">
        <f t="shared" si="0"/>
        <v>3.0087619962009802</v>
      </c>
    </row>
    <row r="18" spans="1:30">
      <c r="A18" s="190">
        <v>9</v>
      </c>
      <c r="B18" s="428" t="str">
        <f>'Emission Factors'!A11</f>
        <v>Acrolein</v>
      </c>
      <c r="C18" s="426">
        <f>VLOOKUP($C$4 &amp;"|"&amp; $C$8 &amp;"|"&amp; $C$9,'Emission Factor Look Up'!$A$1:$BO$16,$A18,FALSE)*$C$7/2000*$C$10</f>
        <v>3.1199615999999999E-2</v>
      </c>
      <c r="D18" s="426">
        <f>VLOOKUP($D$4 &amp;"|"&amp; $D$8 &amp;"|"&amp; $D$9,'Emission Factor Look Up'!$A$1:$BO$16,$A18,FALSE)*$D$7/2000*$D$10</f>
        <v>3.1199615999999999E-2</v>
      </c>
      <c r="E18" s="426">
        <f>VLOOKUP($E$4 &amp;"|"&amp; $E$8 &amp;"|"&amp; $E$9,'Emission Factor Look Up'!$A$1:$BO$16,$A18,FALSE)*$E$7/2000*$E$10</f>
        <v>3.1199615999999999E-2</v>
      </c>
      <c r="F18" s="426">
        <f>VLOOKUP($F$4 &amp;"|"&amp; $F$8 &amp;"|"&amp; $F$9,'Emission Factor Look Up'!$A$1:$BO$16,$A18,FALSE)*$F$7/2000*$F$10</f>
        <v>3.1199615999999999E-2</v>
      </c>
      <c r="G18" s="426">
        <f>VLOOKUP($G$4 &amp;"|"&amp; $G$8 &amp;"|"&amp; $G$9,'Emission Factor Look Up'!$A$1:$BO$16,$A18,FALSE)*$G$7/2000*$G$10</f>
        <v>3.1199615999999999E-2</v>
      </c>
      <c r="H18" s="426">
        <f>VLOOKUP($H$4 &amp;"|"&amp; $H$8 &amp;"|"&amp; $H$9,'Emission Factor Look Up'!$A$1:$BO$16,$A18,FALSE)*$H$7/2000*$H$10</f>
        <v>3.1199615999999999E-2</v>
      </c>
      <c r="I18" s="426">
        <f>VLOOKUP($I$4 &amp;"|"&amp; $I$8 &amp;"|"&amp; $I$9,'Emission Factor Look Up'!$A$1:$BO$16,$A18,FALSE)*$I$7/2000*$I$10</f>
        <v>1.0764288E-2</v>
      </c>
      <c r="J18" s="426">
        <f>VLOOKUP($J$4 &amp;"|"&amp; $J$8 &amp;"|"&amp; $J$9,'Emission Factor Look Up'!$A$1:$BO$16,$A18,FALSE)*$J$7/2000*$J$10</f>
        <v>1.0764288E-2</v>
      </c>
      <c r="K18" s="426">
        <f>VLOOKUP($K$4 &amp;"|"&amp; $K$8 &amp;"|"&amp; $K$9,'Emission Factor Look Up'!$A$1:$BO$16,$A18,FALSE)*$K$7/2000*$K$10</f>
        <v>1.0764288E-2</v>
      </c>
      <c r="L18" s="426">
        <f>VLOOKUP($L$4 &amp;"|"&amp; $L$8 &amp;"|"&amp; $L$9,'Emission Factor Look Up'!$A$1:$BO$16,$A18,FALSE)*$L$7/2000*$L$10</f>
        <v>1.0764288E-2</v>
      </c>
      <c r="M18" s="426">
        <f>VLOOKUP($M$4 &amp;"|"&amp; $M$8 &amp;"|"&amp; $M$9,'Emission Factor Look Up'!$A$1:$BO$16,$A18,FALSE)*$M$7/2000*$M$10</f>
        <v>4.8562500000000001E-5</v>
      </c>
      <c r="N18" s="426">
        <f>VLOOKUP($N$4 &amp;"|"&amp; $N$8 &amp;"|"&amp; $N$9,'Emission Factor Look Up'!$A$1:$BO$16,$A18,FALSE)*$N$7/2000*$N$10</f>
        <v>9.3078125000000008E-5</v>
      </c>
      <c r="O18" s="426">
        <f>VLOOKUP($O$4 &amp;"|"&amp; $O$8 &amp;"|"&amp; $O$9,'Emission Factor Look Up'!$A$1:$BO$16,$A18,FALSE)*$O$7/2000*$O$10</f>
        <v>3.0702941176470594E-4</v>
      </c>
      <c r="P18" s="426">
        <f>VLOOKUP($P$4 &amp;"|"&amp; $P$8 &amp;"|"&amp; $P$9,'Emission Factor Look Up'!$A$1:$BO$16,$A18,FALSE)*$P$7/2000*$P$10</f>
        <v>3.0702941176470594E-4</v>
      </c>
      <c r="Q18" s="426">
        <f>VLOOKUP($Q$4 &amp;"|"&amp; $Q$8 &amp;"|"&amp; $Q$9,'Emission Factor Look Up'!$A$1:$BO$16,$A18,FALSE)*$Q$7/2000*$Q$10</f>
        <v>0</v>
      </c>
      <c r="R18" s="426">
        <f>VLOOKUP($R$4 &amp;"|"&amp; $R$8 &amp;"|"&amp; $R$9,'Emission Factor Look Up'!$A$1:$BO$16,$A18,FALSE)*$R$7/2000*$R$10</f>
        <v>9.6617647058823541E-5</v>
      </c>
      <c r="S18" s="426">
        <f>VLOOKUP($S$4 &amp;"|"&amp; $S$8 &amp;"|"&amp; $S$9,'Emission Factor Look Up'!$A$1:$BO$16,$A18,FALSE)*$S$7/2000*$S$10</f>
        <v>9.6617647058823541E-5</v>
      </c>
      <c r="T18" s="426">
        <f>VLOOKUP($T$4 &amp;"|"&amp; $T$8 &amp;"|"&amp; $T$9,'Emission Factor Look Up'!$A$1:$BO$16,$A18,FALSE)*$T$7/2000*$T$10</f>
        <v>0</v>
      </c>
      <c r="U18" s="426">
        <f>VLOOKUP($U$4 &amp;"|"&amp; $U$8 &amp;"|"&amp; $U$9,'Emission Factor Look Up'!$A$1:$BO$16,$A18,FALSE)*$U$7/2000*$U$10</f>
        <v>0.14703921568627451</v>
      </c>
      <c r="V18" s="426">
        <f>VLOOKUP($V$4 &amp;"|"&amp; $V$8 &amp;"|"&amp; $V$9,'Emission Factor Look Up'!$A$1:$BO$16,$A18,FALSE)*$V$7/2000*$V$10</f>
        <v>0.14703921568627451</v>
      </c>
      <c r="W18" s="426">
        <f>VLOOKUP($W$4 &amp;"|"&amp; $W$8 &amp;"|"&amp; $W$9,'Emission Factor Look Up'!$A$1:$BO$16,$A18,FALSE)*$W$7/2000*$W$10</f>
        <v>0</v>
      </c>
      <c r="X18" s="426">
        <f>VLOOKUP($X$4 &amp;"|"&amp; $X$8 &amp;"|"&amp; $X$9,'Emission Factor Look Up'!$A$1:$BO$16,$A18,FALSE)*$X$7/2000*$X$10</f>
        <v>3.4362745098039216E-2</v>
      </c>
      <c r="Y18" s="426">
        <f>VLOOKUP($Y$4 &amp;"|"&amp; $Y$8 &amp;"|"&amp; $Y$9,'Emission Factor Look Up'!$A$1:$BO$16,$A18,FALSE)*$Y$7/2000*$Y$10</f>
        <v>3.4362745098039216E-2</v>
      </c>
      <c r="Z18" s="426">
        <f>VLOOKUP($Z$4 &amp;"|"&amp; $Z$8 &amp;"|"&amp; $Z$9,'Emission Factor Look Up'!$A$1:$BO$16,$A18,FALSE)*$Z$7/2000*$Z$10</f>
        <v>0</v>
      </c>
      <c r="AA18" s="426">
        <f>VLOOKUP($AA$4 &amp;"|"&amp; $AA$8 &amp;"|"&amp; $AA$9,'Emission Factor Look Up'!$A$1:$BO$16,$A18,FALSE)*$AA$7/2000*$AA$10</f>
        <v>4.508823529411765E-4</v>
      </c>
      <c r="AB18" s="426">
        <f>VLOOKUP($AB$4 &amp;"|"&amp; $AB$8 &amp;"|"&amp; $AB$9,'Emission Factor Look Up'!$A$1:$BO$16,$A18,FALSE)*$AB$7/2000*$AB$10</f>
        <v>7.0411764705882349E-4</v>
      </c>
      <c r="AC18" s="426">
        <f>VLOOKUP($AC$4 &amp;"|"&amp; $AC$8 &amp;"|"&amp; $AC$9,'Emission Factor Look Up'!$A$1:$BO$16,$A18,FALSE)*$AC$7/2000*$AC$10</f>
        <v>0</v>
      </c>
      <c r="AD18" s="427">
        <f t="shared" si="0"/>
        <v>0.5951627043112746</v>
      </c>
    </row>
    <row r="19" spans="1:30">
      <c r="A19" s="190">
        <v>10</v>
      </c>
      <c r="B19" s="428" t="str">
        <f>'Emission Factors'!A12</f>
        <v>Antimony</v>
      </c>
      <c r="C19" s="426">
        <f>VLOOKUP($C$4 &amp;"|"&amp; $C$8 &amp;"|"&amp; $C$9,'Emission Factor Look Up'!$A$1:$BO$16,$A19,FALSE)*$C$7/2000*$C$10</f>
        <v>0</v>
      </c>
      <c r="D19" s="426">
        <f>VLOOKUP($D$4 &amp;"|"&amp; $D$8 &amp;"|"&amp; $D$9,'Emission Factor Look Up'!$A$1:$BO$16,$A19,FALSE)*$D$7/2000*$D$10</f>
        <v>0</v>
      </c>
      <c r="E19" s="426">
        <f>VLOOKUP($E$4 &amp;"|"&amp; $E$8 &amp;"|"&amp; $E$9,'Emission Factor Look Up'!$A$1:$BO$16,$A19,FALSE)*$E$7/2000*$E$10</f>
        <v>0</v>
      </c>
      <c r="F19" s="426">
        <f>VLOOKUP($F$4 &amp;"|"&amp; $F$8 &amp;"|"&amp; $F$9,'Emission Factor Look Up'!$A$1:$BO$16,$A19,FALSE)*$F$7/2000*$F$10</f>
        <v>0</v>
      </c>
      <c r="G19" s="426">
        <f>VLOOKUP($G$4 &amp;"|"&amp; $G$8 &amp;"|"&amp; $G$9,'Emission Factor Look Up'!$A$1:$BO$16,$A19,FALSE)*$G$7/2000*$G$10</f>
        <v>0</v>
      </c>
      <c r="H19" s="426">
        <f>VLOOKUP($H$4 &amp;"|"&amp; $H$8 &amp;"|"&amp; $H$9,'Emission Factor Look Up'!$A$1:$BO$16,$A19,FALSE)*$H$7/2000*$H$10</f>
        <v>0</v>
      </c>
      <c r="I19" s="426">
        <f>VLOOKUP($I$4 &amp;"|"&amp; $I$8 &amp;"|"&amp; $I$9,'Emission Factor Look Up'!$A$1:$BO$16,$A19,FALSE)*$I$7/2000*$I$10</f>
        <v>0</v>
      </c>
      <c r="J19" s="426">
        <f>VLOOKUP($J$4 &amp;"|"&amp; $J$8 &amp;"|"&amp; $J$9,'Emission Factor Look Up'!$A$1:$BO$16,$A19,FALSE)*$J$7/2000*$J$10</f>
        <v>0</v>
      </c>
      <c r="K19" s="426">
        <f>VLOOKUP($K$4 &amp;"|"&amp; $K$8 &amp;"|"&amp; $K$9,'Emission Factor Look Up'!$A$1:$BO$16,$A19,FALSE)*$K$7/2000*$K$10</f>
        <v>0</v>
      </c>
      <c r="L19" s="426">
        <f>VLOOKUP($L$4 &amp;"|"&amp; $L$8 &amp;"|"&amp; $L$9,'Emission Factor Look Up'!$A$1:$BO$16,$A19,FALSE)*$L$7/2000*$L$10</f>
        <v>0</v>
      </c>
      <c r="M19" s="426">
        <f>VLOOKUP($M$4 &amp;"|"&amp; $M$8 &amp;"|"&amp; $M$9,'Emission Factor Look Up'!$A$1:$BO$16,$A19,FALSE)*$M$7/2000*$M$10</f>
        <v>0</v>
      </c>
      <c r="N19" s="426">
        <f>VLOOKUP($N$4 &amp;"|"&amp; $N$8 &amp;"|"&amp; $N$9,'Emission Factor Look Up'!$A$1:$BO$16,$A19,FALSE)*$N$7/2000*$N$10</f>
        <v>0</v>
      </c>
      <c r="O19" s="426">
        <f>VLOOKUP($O$4 &amp;"|"&amp; $O$8 &amp;"|"&amp; $O$9,'Emission Factor Look Up'!$A$1:$BO$16,$A19,FALSE)*$O$7/2000*$O$10</f>
        <v>0</v>
      </c>
      <c r="P19" s="426">
        <f>VLOOKUP($P$4 &amp;"|"&amp; $P$8 &amp;"|"&amp; $P$9,'Emission Factor Look Up'!$A$1:$BO$16,$A19,FALSE)*$P$7/2000*$P$10</f>
        <v>0</v>
      </c>
      <c r="Q19" s="426">
        <f>VLOOKUP($Q$4 &amp;"|"&amp; $Q$8 &amp;"|"&amp; $Q$9,'Emission Factor Look Up'!$A$1:$BO$16,$A19,FALSE)*$Q$7/2000*$Q$10</f>
        <v>0</v>
      </c>
      <c r="R19" s="426">
        <f>VLOOKUP($R$4 &amp;"|"&amp; $R$8 &amp;"|"&amp; $R$9,'Emission Factor Look Up'!$A$1:$BO$16,$A19,FALSE)*$R$7/2000*$R$10</f>
        <v>0</v>
      </c>
      <c r="S19" s="426">
        <f>VLOOKUP($S$4 &amp;"|"&amp; $S$8 &amp;"|"&amp; $S$9,'Emission Factor Look Up'!$A$1:$BO$16,$A19,FALSE)*$S$7/2000*$S$10</f>
        <v>0</v>
      </c>
      <c r="T19" s="426">
        <f>VLOOKUP($T$4 &amp;"|"&amp; $T$8 &amp;"|"&amp; $T$9,'Emission Factor Look Up'!$A$1:$BO$16,$A19,FALSE)*$T$7/2000*$T$10</f>
        <v>0</v>
      </c>
      <c r="U19" s="426">
        <f>VLOOKUP($U$4 &amp;"|"&amp; $U$8 &amp;"|"&amp; $U$9,'Emission Factor Look Up'!$A$1:$BO$16,$A19,FALSE)*$U$7/2000*$U$10</f>
        <v>0</v>
      </c>
      <c r="V19" s="426">
        <f>VLOOKUP($V$4 &amp;"|"&amp; $V$8 &amp;"|"&amp; $V$9,'Emission Factor Look Up'!$A$1:$BO$16,$A19,FALSE)*$V$7/2000*$V$10</f>
        <v>0</v>
      </c>
      <c r="W19" s="426">
        <f>VLOOKUP($W$4 &amp;"|"&amp; $W$8 &amp;"|"&amp; $W$9,'Emission Factor Look Up'!$A$1:$BO$16,$A19,FALSE)*$W$7/2000*$W$10</f>
        <v>0</v>
      </c>
      <c r="X19" s="426">
        <f>VLOOKUP($X$4 &amp;"|"&amp; $X$8 &amp;"|"&amp; $X$9,'Emission Factor Look Up'!$A$1:$BO$16,$A19,FALSE)*$X$7/2000*$X$10</f>
        <v>0</v>
      </c>
      <c r="Y19" s="426">
        <f>VLOOKUP($Y$4 &amp;"|"&amp; $Y$8 &amp;"|"&amp; $Y$9,'Emission Factor Look Up'!$A$1:$BO$16,$A19,FALSE)*$Y$7/2000*$Y$10</f>
        <v>0</v>
      </c>
      <c r="Z19" s="426">
        <f>VLOOKUP($Z$4 &amp;"|"&amp; $Z$8 &amp;"|"&amp; $Z$9,'Emission Factor Look Up'!$A$1:$BO$16,$A19,FALSE)*$Z$7/2000*$Z$10</f>
        <v>0</v>
      </c>
      <c r="AA19" s="426">
        <f>VLOOKUP($AA$4 &amp;"|"&amp; $AA$8 &amp;"|"&amp; $AA$9,'Emission Factor Look Up'!$A$1:$BO$16,$A19,FALSE)*$AA$7/2000*$AA$10</f>
        <v>0</v>
      </c>
      <c r="AB19" s="426">
        <f>VLOOKUP($AB$4 &amp;"|"&amp; $AB$8 &amp;"|"&amp; $AB$9,'Emission Factor Look Up'!$A$1:$BO$16,$A19,FALSE)*$AB$7/2000*$AB$10</f>
        <v>0</v>
      </c>
      <c r="AC19" s="426">
        <f>VLOOKUP($AC$4 &amp;"|"&amp; $AC$8 &amp;"|"&amp; $AC$9,'Emission Factor Look Up'!$A$1:$BO$16,$A19,FALSE)*$AC$7/2000*$AC$10</f>
        <v>0</v>
      </c>
      <c r="AD19" s="427">
        <f t="shared" si="0"/>
        <v>0</v>
      </c>
    </row>
    <row r="20" spans="1:30">
      <c r="A20" s="190">
        <v>11</v>
      </c>
      <c r="B20" s="428" t="str">
        <f>'Emission Factors'!A13</f>
        <v>Arsenic</v>
      </c>
      <c r="C20" s="426">
        <f>VLOOKUP($C$4 &amp;"|"&amp; $C$8 &amp;"|"&amp; $C$9,'Emission Factor Look Up'!$A$1:$BO$16,$A20,FALSE)*$C$7/2000*$C$10</f>
        <v>0</v>
      </c>
      <c r="D20" s="426">
        <f>VLOOKUP($D$4 &amp;"|"&amp; $D$8 &amp;"|"&amp; $D$9,'Emission Factor Look Up'!$A$1:$BO$16,$A20,FALSE)*$D$7/2000*$D$10</f>
        <v>0</v>
      </c>
      <c r="E20" s="426">
        <f>VLOOKUP($E$4 &amp;"|"&amp; $E$8 &amp;"|"&amp; $E$9,'Emission Factor Look Up'!$A$1:$BO$16,$A20,FALSE)*$E$7/2000*$E$10</f>
        <v>0</v>
      </c>
      <c r="F20" s="426">
        <f>VLOOKUP($F$4 &amp;"|"&amp; $F$8 &amp;"|"&amp; $F$9,'Emission Factor Look Up'!$A$1:$BO$16,$A20,FALSE)*$F$7/2000*$F$10</f>
        <v>0</v>
      </c>
      <c r="G20" s="426">
        <f>VLOOKUP($G$4 &amp;"|"&amp; $G$8 &amp;"|"&amp; $G$9,'Emission Factor Look Up'!$A$1:$BO$16,$A20,FALSE)*$G$7/2000*$G$10</f>
        <v>0</v>
      </c>
      <c r="H20" s="426">
        <f>VLOOKUP($H$4 &amp;"|"&amp; $H$8 &amp;"|"&amp; $H$9,'Emission Factor Look Up'!$A$1:$BO$16,$A20,FALSE)*$H$7/2000*$H$10</f>
        <v>0</v>
      </c>
      <c r="I20" s="426">
        <f>VLOOKUP($I$4 &amp;"|"&amp; $I$8 &amp;"|"&amp; $I$9,'Emission Factor Look Up'!$A$1:$BO$16,$A20,FALSE)*$I$7/2000*$I$10</f>
        <v>0</v>
      </c>
      <c r="J20" s="426">
        <f>VLOOKUP($J$4 &amp;"|"&amp; $J$8 &amp;"|"&amp; $J$9,'Emission Factor Look Up'!$A$1:$BO$16,$A20,FALSE)*$J$7/2000*$J$10</f>
        <v>0</v>
      </c>
      <c r="K20" s="426">
        <f>VLOOKUP($K$4 &amp;"|"&amp; $K$8 &amp;"|"&amp; $K$9,'Emission Factor Look Up'!$A$1:$BO$16,$A20,FALSE)*$K$7/2000*$K$10</f>
        <v>0</v>
      </c>
      <c r="L20" s="426">
        <f>VLOOKUP($L$4 &amp;"|"&amp; $L$8 &amp;"|"&amp; $L$9,'Emission Factor Look Up'!$A$1:$BO$16,$A20,FALSE)*$L$7/2000*$L$10</f>
        <v>0</v>
      </c>
      <c r="M20" s="426">
        <f>VLOOKUP($M$4 &amp;"|"&amp; $M$8 &amp;"|"&amp; $M$9,'Emission Factor Look Up'!$A$1:$BO$16,$A20,FALSE)*$M$7/2000*$M$10</f>
        <v>0</v>
      </c>
      <c r="N20" s="426">
        <f>VLOOKUP($N$4 &amp;"|"&amp; $N$8 &amp;"|"&amp; $N$9,'Emission Factor Look Up'!$A$1:$BO$16,$A20,FALSE)*$N$7/2000*$N$10</f>
        <v>0</v>
      </c>
      <c r="O20" s="426">
        <f>VLOOKUP($O$4 &amp;"|"&amp; $O$8 &amp;"|"&amp; $O$9,'Emission Factor Look Up'!$A$1:$BO$16,$A20,FALSE)*$O$7/2000*$O$10</f>
        <v>0</v>
      </c>
      <c r="P20" s="426">
        <f>VLOOKUP($P$4 &amp;"|"&amp; $P$8 &amp;"|"&amp; $P$9,'Emission Factor Look Up'!$A$1:$BO$16,$A20,FALSE)*$P$7/2000*$P$10</f>
        <v>0</v>
      </c>
      <c r="Q20" s="426">
        <f>VLOOKUP($Q$4 &amp;"|"&amp; $Q$8 &amp;"|"&amp; $Q$9,'Emission Factor Look Up'!$A$1:$BO$16,$A20,FALSE)*$Q$7/2000*$Q$10</f>
        <v>0</v>
      </c>
      <c r="R20" s="426">
        <f>VLOOKUP($R$4 &amp;"|"&amp; $R$8 &amp;"|"&amp; $R$9,'Emission Factor Look Up'!$A$1:$BO$16,$A20,FALSE)*$R$7/2000*$R$10</f>
        <v>0</v>
      </c>
      <c r="S20" s="426">
        <f>VLOOKUP($S$4 &amp;"|"&amp; $S$8 &amp;"|"&amp; $S$9,'Emission Factor Look Up'!$A$1:$BO$16,$A20,FALSE)*$S$7/2000*$S$10</f>
        <v>0</v>
      </c>
      <c r="T20" s="426">
        <f>VLOOKUP($T$4 &amp;"|"&amp; $T$8 &amp;"|"&amp; $T$9,'Emission Factor Look Up'!$A$1:$BO$16,$A20,FALSE)*$T$7/2000*$T$10</f>
        <v>0</v>
      </c>
      <c r="U20" s="426">
        <f>VLOOKUP($U$4 &amp;"|"&amp; $U$8 &amp;"|"&amp; $U$9,'Emission Factor Look Up'!$A$1:$BO$16,$A20,FALSE)*$U$7/2000*$U$10</f>
        <v>0</v>
      </c>
      <c r="V20" s="426">
        <f>VLOOKUP($V$4 &amp;"|"&amp; $V$8 &amp;"|"&amp; $V$9,'Emission Factor Look Up'!$A$1:$BO$16,$A20,FALSE)*$V$7/2000*$V$10</f>
        <v>0</v>
      </c>
      <c r="W20" s="426">
        <f>VLOOKUP($W$4 &amp;"|"&amp; $W$8 &amp;"|"&amp; $W$9,'Emission Factor Look Up'!$A$1:$BO$16,$A20,FALSE)*$W$7/2000*$W$10</f>
        <v>0</v>
      </c>
      <c r="X20" s="426">
        <f>VLOOKUP($X$4 &amp;"|"&amp; $X$8 &amp;"|"&amp; $X$9,'Emission Factor Look Up'!$A$1:$BO$16,$A20,FALSE)*$X$7/2000*$X$10</f>
        <v>0</v>
      </c>
      <c r="Y20" s="426">
        <f>VLOOKUP($Y$4 &amp;"|"&amp; $Y$8 &amp;"|"&amp; $Y$9,'Emission Factor Look Up'!$A$1:$BO$16,$A20,FALSE)*$Y$7/2000*$Y$10</f>
        <v>0</v>
      </c>
      <c r="Z20" s="426">
        <f>VLOOKUP($Z$4 &amp;"|"&amp; $Z$8 &amp;"|"&amp; $Z$9,'Emission Factor Look Up'!$A$1:$BO$16,$A20,FALSE)*$Z$7/2000*$Z$10</f>
        <v>0</v>
      </c>
      <c r="AA20" s="426">
        <f>VLOOKUP($AA$4 &amp;"|"&amp; $AA$8 &amp;"|"&amp; $AA$9,'Emission Factor Look Up'!$A$1:$BO$16,$A20,FALSE)*$AA$7/2000*$AA$10</f>
        <v>0</v>
      </c>
      <c r="AB20" s="426">
        <f>VLOOKUP($AB$4 &amp;"|"&amp; $AB$8 &amp;"|"&amp; $AB$9,'Emission Factor Look Up'!$A$1:$BO$16,$A20,FALSE)*$AB$7/2000*$AB$10</f>
        <v>0</v>
      </c>
      <c r="AC20" s="426">
        <f>VLOOKUP($AC$4 &amp;"|"&amp; $AC$8 &amp;"|"&amp; $AC$9,'Emission Factor Look Up'!$A$1:$BO$16,$A20,FALSE)*$AC$7/2000*$AC$10</f>
        <v>0</v>
      </c>
      <c r="AD20" s="427">
        <f t="shared" si="0"/>
        <v>0</v>
      </c>
    </row>
    <row r="21" spans="1:30">
      <c r="A21" s="190">
        <v>12</v>
      </c>
      <c r="B21" s="428" t="str">
        <f>'Emission Factors'!A14</f>
        <v>Benzene</v>
      </c>
      <c r="C21" s="426">
        <f>VLOOKUP($C$4 &amp;"|"&amp; $C$8 &amp;"|"&amp; $C$9,'Emission Factor Look Up'!$A$1:$BO$16,$A21,FALSE)*$C$7/2000*$C$10</f>
        <v>5.8499280000000001E-2</v>
      </c>
      <c r="D21" s="426">
        <f>VLOOKUP($D$4 &amp;"|"&amp; $D$8 &amp;"|"&amp; $D$9,'Emission Factor Look Up'!$A$1:$BO$16,$A21,FALSE)*$D$7/2000*$D$10</f>
        <v>5.8499280000000001E-2</v>
      </c>
      <c r="E21" s="426">
        <f>VLOOKUP($E$4 &amp;"|"&amp; $E$8 &amp;"|"&amp; $E$9,'Emission Factor Look Up'!$A$1:$BO$16,$A21,FALSE)*$E$7/2000*$E$10</f>
        <v>5.8499280000000001E-2</v>
      </c>
      <c r="F21" s="426">
        <f>VLOOKUP($F$4 &amp;"|"&amp; $F$8 &amp;"|"&amp; $F$9,'Emission Factor Look Up'!$A$1:$BO$16,$A21,FALSE)*$F$7/2000*$F$10</f>
        <v>5.8499280000000001E-2</v>
      </c>
      <c r="G21" s="426">
        <f>VLOOKUP($G$4 &amp;"|"&amp; $G$8 &amp;"|"&amp; $G$9,'Emission Factor Look Up'!$A$1:$BO$16,$A21,FALSE)*$G$7/2000*$G$10</f>
        <v>5.8499280000000001E-2</v>
      </c>
      <c r="H21" s="426">
        <f>VLOOKUP($H$4 &amp;"|"&amp; $H$8 &amp;"|"&amp; $H$9,'Emission Factor Look Up'!$A$1:$BO$16,$A21,FALSE)*$H$7/2000*$H$10</f>
        <v>5.8499280000000001E-2</v>
      </c>
      <c r="I21" s="426">
        <f>VLOOKUP($I$4 &amp;"|"&amp; $I$8 &amp;"|"&amp; $I$9,'Emission Factor Look Up'!$A$1:$BO$16,$A21,FALSE)*$I$7/2000*$I$10</f>
        <v>2.0183039999999999E-2</v>
      </c>
      <c r="J21" s="426">
        <f>VLOOKUP($J$4 &amp;"|"&amp; $J$8 &amp;"|"&amp; $J$9,'Emission Factor Look Up'!$A$1:$BO$16,$A21,FALSE)*$J$7/2000*$J$10</f>
        <v>2.0183039999999999E-2</v>
      </c>
      <c r="K21" s="426">
        <f>VLOOKUP($K$4 &amp;"|"&amp; $K$8 &amp;"|"&amp; $K$9,'Emission Factor Look Up'!$A$1:$BO$16,$A21,FALSE)*$K$7/2000*$K$10</f>
        <v>2.0183039999999999E-2</v>
      </c>
      <c r="L21" s="426">
        <f>VLOOKUP($L$4 &amp;"|"&amp; $L$8 &amp;"|"&amp; $L$9,'Emission Factor Look Up'!$A$1:$BO$16,$A21,FALSE)*$L$7/2000*$L$10</f>
        <v>2.0183039999999999E-2</v>
      </c>
      <c r="M21" s="426">
        <f>VLOOKUP($M$4 &amp;"|"&amp; $M$8 &amp;"|"&amp; $M$9,'Emission Factor Look Up'!$A$1:$BO$16,$A21,FALSE)*$M$7/2000*$M$10</f>
        <v>4.8982500000000005E-4</v>
      </c>
      <c r="N21" s="426">
        <f>VLOOKUP($N$4 &amp;"|"&amp; $N$8 &amp;"|"&amp; $N$9,'Emission Factor Look Up'!$A$1:$BO$16,$A21,FALSE)*$N$7/2000*$N$10</f>
        <v>9.3883125000000008E-4</v>
      </c>
      <c r="O21" s="426">
        <f>VLOOKUP($O$4 &amp;"|"&amp; $O$8 &amp;"|"&amp; $O$9,'Emission Factor Look Up'!$A$1:$BO$16,$A21,FALSE)*$O$7/2000*$O$10</f>
        <v>4.8817676470588236E-3</v>
      </c>
      <c r="P21" s="426">
        <f>VLOOKUP($P$4 &amp;"|"&amp; $P$8 &amp;"|"&amp; $P$9,'Emission Factor Look Up'!$A$1:$BO$16,$A21,FALSE)*$P$7/2000*$P$10</f>
        <v>4.8817676470588236E-3</v>
      </c>
      <c r="Q21" s="426">
        <f>VLOOKUP($Q$4 &amp;"|"&amp; $Q$8 &amp;"|"&amp; $Q$9,'Emission Factor Look Up'!$A$1:$BO$16,$A21,FALSE)*$Q$7/2000*$Q$10</f>
        <v>0</v>
      </c>
      <c r="R21" s="426">
        <f>VLOOKUP($R$4 &amp;"|"&amp; $R$8 &amp;"|"&amp; $R$9,'Emission Factor Look Up'!$A$1:$BO$16,$A21,FALSE)*$R$7/2000*$R$10</f>
        <v>1.5362205882352943E-3</v>
      </c>
      <c r="S21" s="426">
        <f>VLOOKUP($S$4 &amp;"|"&amp; $S$8 &amp;"|"&amp; $S$9,'Emission Factor Look Up'!$A$1:$BO$16,$A21,FALSE)*$S$7/2000*$S$10</f>
        <v>1.5362205882352943E-3</v>
      </c>
      <c r="T21" s="426">
        <f>VLOOKUP($T$4 &amp;"|"&amp; $T$8 &amp;"|"&amp; $T$9,'Emission Factor Look Up'!$A$1:$BO$16,$A21,FALSE)*$T$7/2000*$T$10</f>
        <v>0</v>
      </c>
      <c r="U21" s="426">
        <f>VLOOKUP($U$4 &amp;"|"&amp; $U$8 &amp;"|"&amp; $U$9,'Emission Factor Look Up'!$A$1:$BO$16,$A21,FALSE)*$U$7/2000*$U$10</f>
        <v>2.3379235294117651</v>
      </c>
      <c r="V21" s="426">
        <f>VLOOKUP($V$4 &amp;"|"&amp; $V$8 &amp;"|"&amp; $V$9,'Emission Factor Look Up'!$A$1:$BO$16,$A21,FALSE)*$V$7/2000*$V$10</f>
        <v>2.3379235294117651</v>
      </c>
      <c r="W21" s="426">
        <f>VLOOKUP($W$4 &amp;"|"&amp; $W$8 &amp;"|"&amp; $W$9,'Emission Factor Look Up'!$A$1:$BO$16,$A21,FALSE)*$W$7/2000*$W$10</f>
        <v>0</v>
      </c>
      <c r="X21" s="426">
        <f>VLOOKUP($X$4 &amp;"|"&amp; $X$8 &amp;"|"&amp; $X$9,'Emission Factor Look Up'!$A$1:$BO$16,$A21,FALSE)*$X$7/2000*$X$10</f>
        <v>0.54636764705882357</v>
      </c>
      <c r="Y21" s="426">
        <f>VLOOKUP($Y$4 &amp;"|"&amp; $Y$8 &amp;"|"&amp; $Y$9,'Emission Factor Look Up'!$A$1:$BO$16,$A21,FALSE)*$Y$7/2000*$Y$10</f>
        <v>0.54636764705882357</v>
      </c>
      <c r="Z21" s="426">
        <f>VLOOKUP($Z$4 &amp;"|"&amp; $Z$8 &amp;"|"&amp; $Z$9,'Emission Factor Look Up'!$A$1:$BO$16,$A21,FALSE)*$Z$7/2000*$Z$10</f>
        <v>0</v>
      </c>
      <c r="AA21" s="426">
        <f>VLOOKUP($AA$4 &amp;"|"&amp; $AA$8 &amp;"|"&amp; $AA$9,'Emission Factor Look Up'!$A$1:$BO$16,$A21,FALSE)*$AA$7/2000*$AA$10</f>
        <v>7.1690294117647078E-3</v>
      </c>
      <c r="AB21" s="426">
        <f>VLOOKUP($AB$4 &amp;"|"&amp; $AB$8 &amp;"|"&amp; $AB$9,'Emission Factor Look Up'!$A$1:$BO$16,$A21,FALSE)*$AB$7/2000*$AB$10</f>
        <v>1.1195470588235295E-2</v>
      </c>
      <c r="AC21" s="426">
        <f>VLOOKUP($AC$4 &amp;"|"&amp; $AC$8 &amp;"|"&amp; $AC$9,'Emission Factor Look Up'!$A$1:$BO$16,$A21,FALSE)*$AC$7/2000*$AC$10</f>
        <v>5.4195439439999999E-5</v>
      </c>
      <c r="AD21" s="427">
        <f t="shared" si="0"/>
        <v>6.2329935211012053</v>
      </c>
    </row>
    <row r="22" spans="1:30">
      <c r="A22" s="190">
        <v>13</v>
      </c>
      <c r="B22" s="428" t="str">
        <f>'Emission Factors'!A15</f>
        <v>Beryllium</v>
      </c>
      <c r="C22" s="426">
        <f>VLOOKUP($C$4 &amp;"|"&amp; $C$8 &amp;"|"&amp; $C$9,'Emission Factor Look Up'!$A$1:$BO$16,$A22,FALSE)*$C$7/2000*$C$10</f>
        <v>0</v>
      </c>
      <c r="D22" s="426">
        <f>VLOOKUP($D$4 &amp;"|"&amp; $D$8 &amp;"|"&amp; $D$9,'Emission Factor Look Up'!$A$1:$BO$16,$A22,FALSE)*$D$7/2000*$D$10</f>
        <v>0</v>
      </c>
      <c r="E22" s="426">
        <f>VLOOKUP($E$4 &amp;"|"&amp; $E$8 &amp;"|"&amp; $E$9,'Emission Factor Look Up'!$A$1:$BO$16,$A22,FALSE)*$E$7/2000*$E$10</f>
        <v>0</v>
      </c>
      <c r="F22" s="426">
        <f>VLOOKUP($F$4 &amp;"|"&amp; $F$8 &amp;"|"&amp; $F$9,'Emission Factor Look Up'!$A$1:$BO$16,$A22,FALSE)*$F$7/2000*$F$10</f>
        <v>0</v>
      </c>
      <c r="G22" s="426">
        <f>VLOOKUP($G$4 &amp;"|"&amp; $G$8 &amp;"|"&amp; $G$9,'Emission Factor Look Up'!$A$1:$BO$16,$A22,FALSE)*$G$7/2000*$G$10</f>
        <v>0</v>
      </c>
      <c r="H22" s="426">
        <f>VLOOKUP($H$4 &amp;"|"&amp; $H$8 &amp;"|"&amp; $H$9,'Emission Factor Look Up'!$A$1:$BO$16,$A22,FALSE)*$H$7/2000*$H$10</f>
        <v>0</v>
      </c>
      <c r="I22" s="426">
        <f>VLOOKUP($I$4 &amp;"|"&amp; $I$8 &amp;"|"&amp; $I$9,'Emission Factor Look Up'!$A$1:$BO$16,$A22,FALSE)*$I$7/2000*$I$10</f>
        <v>0</v>
      </c>
      <c r="J22" s="426">
        <f>VLOOKUP($J$4 &amp;"|"&amp; $J$8 &amp;"|"&amp; $J$9,'Emission Factor Look Up'!$A$1:$BO$16,$A22,FALSE)*$J$7/2000*$J$10</f>
        <v>0</v>
      </c>
      <c r="K22" s="426">
        <f>VLOOKUP($K$4 &amp;"|"&amp; $K$8 &amp;"|"&amp; $K$9,'Emission Factor Look Up'!$A$1:$BO$16,$A22,FALSE)*$K$7/2000*$K$10</f>
        <v>0</v>
      </c>
      <c r="L22" s="426">
        <f>VLOOKUP($L$4 &amp;"|"&amp; $L$8 &amp;"|"&amp; $L$9,'Emission Factor Look Up'!$A$1:$BO$16,$A22,FALSE)*$L$7/2000*$L$10</f>
        <v>0</v>
      </c>
      <c r="M22" s="426">
        <f>VLOOKUP($M$4 &amp;"|"&amp; $M$8 &amp;"|"&amp; $M$9,'Emission Factor Look Up'!$A$1:$BO$16,$A22,FALSE)*$M$7/2000*$M$10</f>
        <v>0</v>
      </c>
      <c r="N22" s="426">
        <f>VLOOKUP($N$4 &amp;"|"&amp; $N$8 &amp;"|"&amp; $N$9,'Emission Factor Look Up'!$A$1:$BO$16,$A22,FALSE)*$N$7/2000*$N$10</f>
        <v>0</v>
      </c>
      <c r="O22" s="426">
        <f>VLOOKUP($O$4 &amp;"|"&amp; $O$8 &amp;"|"&amp; $O$9,'Emission Factor Look Up'!$A$1:$BO$16,$A22,FALSE)*$O$7/2000*$O$10</f>
        <v>0</v>
      </c>
      <c r="P22" s="426">
        <f>VLOOKUP($P$4 &amp;"|"&amp; $P$8 &amp;"|"&amp; $P$9,'Emission Factor Look Up'!$A$1:$BO$16,$A22,FALSE)*$P$7/2000*$P$10</f>
        <v>0</v>
      </c>
      <c r="Q22" s="426">
        <f>VLOOKUP($Q$4 &amp;"|"&amp; $Q$8 &amp;"|"&amp; $Q$9,'Emission Factor Look Up'!$A$1:$BO$16,$A22,FALSE)*$Q$7/2000*$Q$10</f>
        <v>0</v>
      </c>
      <c r="R22" s="426">
        <f>VLOOKUP($R$4 &amp;"|"&amp; $R$8 &amp;"|"&amp; $R$9,'Emission Factor Look Up'!$A$1:$BO$16,$A22,FALSE)*$R$7/2000*$R$10</f>
        <v>0</v>
      </c>
      <c r="S22" s="426">
        <f>VLOOKUP($S$4 &amp;"|"&amp; $S$8 &amp;"|"&amp; $S$9,'Emission Factor Look Up'!$A$1:$BO$16,$A22,FALSE)*$S$7/2000*$S$10</f>
        <v>0</v>
      </c>
      <c r="T22" s="426">
        <f>VLOOKUP($T$4 &amp;"|"&amp; $T$8 &amp;"|"&amp; $T$9,'Emission Factor Look Up'!$A$1:$BO$16,$A22,FALSE)*$T$7/2000*$T$10</f>
        <v>0</v>
      </c>
      <c r="U22" s="426">
        <f>VLOOKUP($U$4 &amp;"|"&amp; $U$8 &amp;"|"&amp; $U$9,'Emission Factor Look Up'!$A$1:$BO$16,$A22,FALSE)*$U$7/2000*$U$10</f>
        <v>0</v>
      </c>
      <c r="V22" s="426">
        <f>VLOOKUP($V$4 &amp;"|"&amp; $V$8 &amp;"|"&amp; $V$9,'Emission Factor Look Up'!$A$1:$BO$16,$A22,FALSE)*$V$7/2000*$V$10</f>
        <v>0</v>
      </c>
      <c r="W22" s="426">
        <f>VLOOKUP($W$4 &amp;"|"&amp; $W$8 &amp;"|"&amp; $W$9,'Emission Factor Look Up'!$A$1:$BO$16,$A22,FALSE)*$W$7/2000*$W$10</f>
        <v>0</v>
      </c>
      <c r="X22" s="426">
        <f>VLOOKUP($X$4 &amp;"|"&amp; $X$8 &amp;"|"&amp; $X$9,'Emission Factor Look Up'!$A$1:$BO$16,$A22,FALSE)*$X$7/2000*$X$10</f>
        <v>0</v>
      </c>
      <c r="Y22" s="426">
        <f>VLOOKUP($Y$4 &amp;"|"&amp; $Y$8 &amp;"|"&amp; $Y$9,'Emission Factor Look Up'!$A$1:$BO$16,$A22,FALSE)*$Y$7/2000*$Y$10</f>
        <v>0</v>
      </c>
      <c r="Z22" s="426">
        <f>VLOOKUP($Z$4 &amp;"|"&amp; $Z$8 &amp;"|"&amp; $Z$9,'Emission Factor Look Up'!$A$1:$BO$16,$A22,FALSE)*$Z$7/2000*$Z$10</f>
        <v>0</v>
      </c>
      <c r="AA22" s="426">
        <f>VLOOKUP($AA$4 &amp;"|"&amp; $AA$8 &amp;"|"&amp; $AA$9,'Emission Factor Look Up'!$A$1:$BO$16,$A22,FALSE)*$AA$7/2000*$AA$10</f>
        <v>0</v>
      </c>
      <c r="AB22" s="426">
        <f>VLOOKUP($AB$4 &amp;"|"&amp; $AB$8 &amp;"|"&amp; $AB$9,'Emission Factor Look Up'!$A$1:$BO$16,$A22,FALSE)*$AB$7/2000*$AB$10</f>
        <v>0</v>
      </c>
      <c r="AC22" s="426">
        <f>VLOOKUP($AC$4 &amp;"|"&amp; $AC$8 &amp;"|"&amp; $AC$9,'Emission Factor Look Up'!$A$1:$BO$16,$A22,FALSE)*$AC$7/2000*$AC$10</f>
        <v>0</v>
      </c>
      <c r="AD22" s="427">
        <f t="shared" si="0"/>
        <v>0</v>
      </c>
    </row>
    <row r="23" spans="1:30">
      <c r="A23" s="190">
        <v>14</v>
      </c>
      <c r="B23" s="428" t="str">
        <f>'Emission Factors'!A16</f>
        <v>Biphenyl</v>
      </c>
      <c r="C23" s="426">
        <f>VLOOKUP($C$4 &amp;"|"&amp; $C$8 &amp;"|"&amp; $C$9,'Emission Factor Look Up'!$A$1:$BO$16,$A23,FALSE)*$C$7/2000*$C$10</f>
        <v>0</v>
      </c>
      <c r="D23" s="426">
        <f>VLOOKUP($D$4 &amp;"|"&amp; $D$8 &amp;"|"&amp; $D$9,'Emission Factor Look Up'!$A$1:$BO$16,$A23,FALSE)*$D$7/2000*$D$10</f>
        <v>0</v>
      </c>
      <c r="E23" s="426">
        <f>VLOOKUP($E$4 &amp;"|"&amp; $E$8 &amp;"|"&amp; $E$9,'Emission Factor Look Up'!$A$1:$BO$16,$A23,FALSE)*$E$7/2000*$E$10</f>
        <v>0</v>
      </c>
      <c r="F23" s="426">
        <f>VLOOKUP($F$4 &amp;"|"&amp; $F$8 &amp;"|"&amp; $F$9,'Emission Factor Look Up'!$A$1:$BO$16,$A23,FALSE)*$F$7/2000*$F$10</f>
        <v>0</v>
      </c>
      <c r="G23" s="426">
        <f>VLOOKUP($G$4 &amp;"|"&amp; $G$8 &amp;"|"&amp; $G$9,'Emission Factor Look Up'!$A$1:$BO$16,$A23,FALSE)*$G$7/2000*$G$10</f>
        <v>0</v>
      </c>
      <c r="H23" s="426">
        <f>VLOOKUP($H$4 &amp;"|"&amp; $H$8 &amp;"|"&amp; $H$9,'Emission Factor Look Up'!$A$1:$BO$16,$A23,FALSE)*$H$7/2000*$H$10</f>
        <v>0</v>
      </c>
      <c r="I23" s="426">
        <f>VLOOKUP($I$4 &amp;"|"&amp; $I$8 &amp;"|"&amp; $I$9,'Emission Factor Look Up'!$A$1:$BO$16,$A23,FALSE)*$I$7/2000*$I$10</f>
        <v>0</v>
      </c>
      <c r="J23" s="426">
        <f>VLOOKUP($J$4 &amp;"|"&amp; $J$8 &amp;"|"&amp; $J$9,'Emission Factor Look Up'!$A$1:$BO$16,$A23,FALSE)*$J$7/2000*$J$10</f>
        <v>0</v>
      </c>
      <c r="K23" s="426">
        <f>VLOOKUP($K$4 &amp;"|"&amp; $K$8 &amp;"|"&amp; $K$9,'Emission Factor Look Up'!$A$1:$BO$16,$A23,FALSE)*$K$7/2000*$K$10</f>
        <v>0</v>
      </c>
      <c r="L23" s="426">
        <f>VLOOKUP($L$4 &amp;"|"&amp; $L$8 &amp;"|"&amp; $L$9,'Emission Factor Look Up'!$A$1:$BO$16,$A23,FALSE)*$L$7/2000*$L$10</f>
        <v>0</v>
      </c>
      <c r="M23" s="426">
        <f>VLOOKUP($M$4 &amp;"|"&amp; $M$8 &amp;"|"&amp; $M$9,'Emission Factor Look Up'!$A$1:$BO$16,$A23,FALSE)*$M$7/2000*$M$10</f>
        <v>0</v>
      </c>
      <c r="N23" s="426">
        <f>VLOOKUP($N$4 &amp;"|"&amp; $N$8 &amp;"|"&amp; $N$9,'Emission Factor Look Up'!$A$1:$BO$16,$A23,FALSE)*$N$7/2000*$N$10</f>
        <v>0</v>
      </c>
      <c r="O23" s="426">
        <f>VLOOKUP($O$4 &amp;"|"&amp; $O$8 &amp;"|"&amp; $O$9,'Emission Factor Look Up'!$A$1:$BO$16,$A23,FALSE)*$O$7/2000*$O$10</f>
        <v>0</v>
      </c>
      <c r="P23" s="426">
        <f>VLOOKUP($P$4 &amp;"|"&amp; $P$8 &amp;"|"&amp; $P$9,'Emission Factor Look Up'!$A$1:$BO$16,$A23,FALSE)*$P$7/2000*$P$10</f>
        <v>0</v>
      </c>
      <c r="Q23" s="426">
        <f>VLOOKUP($Q$4 &amp;"|"&amp; $Q$8 &amp;"|"&amp; $Q$9,'Emission Factor Look Up'!$A$1:$BO$16,$A23,FALSE)*$Q$7/2000*$Q$10</f>
        <v>0</v>
      </c>
      <c r="R23" s="426">
        <f>VLOOKUP($R$4 &amp;"|"&amp; $R$8 &amp;"|"&amp; $R$9,'Emission Factor Look Up'!$A$1:$BO$16,$A23,FALSE)*$R$7/2000*$R$10</f>
        <v>0</v>
      </c>
      <c r="S23" s="426">
        <f>VLOOKUP($S$4 &amp;"|"&amp; $S$8 &amp;"|"&amp; $S$9,'Emission Factor Look Up'!$A$1:$BO$16,$A23,FALSE)*$S$7/2000*$S$10</f>
        <v>0</v>
      </c>
      <c r="T23" s="426">
        <f>VLOOKUP($T$4 &amp;"|"&amp; $T$8 &amp;"|"&amp; $T$9,'Emission Factor Look Up'!$A$1:$BO$16,$A23,FALSE)*$T$7/2000*$T$10</f>
        <v>0</v>
      </c>
      <c r="U23" s="426">
        <f>VLOOKUP($U$4 &amp;"|"&amp; $U$8 &amp;"|"&amp; $U$9,'Emission Factor Look Up'!$A$1:$BO$16,$A23,FALSE)*$U$7/2000*$U$10</f>
        <v>0</v>
      </c>
      <c r="V23" s="426">
        <f>VLOOKUP($V$4 &amp;"|"&amp; $V$8 &amp;"|"&amp; $V$9,'Emission Factor Look Up'!$A$1:$BO$16,$A23,FALSE)*$V$7/2000*$V$10</f>
        <v>0</v>
      </c>
      <c r="W23" s="426">
        <f>VLOOKUP($W$4 &amp;"|"&amp; $W$8 &amp;"|"&amp; $W$9,'Emission Factor Look Up'!$A$1:$BO$16,$A23,FALSE)*$W$7/2000*$W$10</f>
        <v>0</v>
      </c>
      <c r="X23" s="426">
        <f>VLOOKUP($X$4 &amp;"|"&amp; $X$8 &amp;"|"&amp; $X$9,'Emission Factor Look Up'!$A$1:$BO$16,$A23,FALSE)*$X$7/2000*$X$10</f>
        <v>0</v>
      </c>
      <c r="Y23" s="426">
        <f>VLOOKUP($Y$4 &amp;"|"&amp; $Y$8 &amp;"|"&amp; $Y$9,'Emission Factor Look Up'!$A$1:$BO$16,$A23,FALSE)*$Y$7/2000*$Y$10</f>
        <v>0</v>
      </c>
      <c r="Z23" s="426">
        <f>VLOOKUP($Z$4 &amp;"|"&amp; $Z$8 &amp;"|"&amp; $Z$9,'Emission Factor Look Up'!$A$1:$BO$16,$A23,FALSE)*$Z$7/2000*$Z$10</f>
        <v>0</v>
      </c>
      <c r="AA23" s="426">
        <f>VLOOKUP($AA$4 &amp;"|"&amp; $AA$8 &amp;"|"&amp; $AA$9,'Emission Factor Look Up'!$A$1:$BO$16,$A23,FALSE)*$AA$7/2000*$AA$10</f>
        <v>0</v>
      </c>
      <c r="AB23" s="426">
        <f>VLOOKUP($AB$4 &amp;"|"&amp; $AB$8 &amp;"|"&amp; $AB$9,'Emission Factor Look Up'!$A$1:$BO$16,$A23,FALSE)*$AB$7/2000*$AB$10</f>
        <v>0</v>
      </c>
      <c r="AC23" s="426">
        <f>VLOOKUP($AC$4 &amp;"|"&amp; $AC$8 &amp;"|"&amp; $AC$9,'Emission Factor Look Up'!$A$1:$BO$16,$A23,FALSE)*$AC$7/2000*$AC$10</f>
        <v>0</v>
      </c>
      <c r="AD23" s="427">
        <f t="shared" si="0"/>
        <v>0</v>
      </c>
    </row>
    <row r="24" spans="1:30">
      <c r="A24" s="190">
        <v>15</v>
      </c>
      <c r="B24" s="428" t="str">
        <f>'Emission Factors'!A17</f>
        <v>Cadmium</v>
      </c>
      <c r="C24" s="426">
        <f>VLOOKUP($C$4 &amp;"|"&amp; $C$8 &amp;"|"&amp; $C$9,'Emission Factor Look Up'!$A$1:$BO$16,$A24,FALSE)*$C$7/2000*$C$10</f>
        <v>0</v>
      </c>
      <c r="D24" s="426">
        <f>VLOOKUP($D$4 &amp;"|"&amp; $D$8 &amp;"|"&amp; $D$9,'Emission Factor Look Up'!$A$1:$BO$16,$A24,FALSE)*$D$7/2000*$D$10</f>
        <v>0</v>
      </c>
      <c r="E24" s="426">
        <f>VLOOKUP($E$4 &amp;"|"&amp; $E$8 &amp;"|"&amp; $E$9,'Emission Factor Look Up'!$A$1:$BO$16,$A24,FALSE)*$E$7/2000*$E$10</f>
        <v>0</v>
      </c>
      <c r="F24" s="426">
        <f>VLOOKUP($F$4 &amp;"|"&amp; $F$8 &amp;"|"&amp; $F$9,'Emission Factor Look Up'!$A$1:$BO$16,$A24,FALSE)*$F$7/2000*$F$10</f>
        <v>0</v>
      </c>
      <c r="G24" s="426">
        <f>VLOOKUP($G$4 &amp;"|"&amp; $G$8 &amp;"|"&amp; $G$9,'Emission Factor Look Up'!$A$1:$BO$16,$A24,FALSE)*$G$7/2000*$G$10</f>
        <v>0</v>
      </c>
      <c r="H24" s="426">
        <f>VLOOKUP($H$4 &amp;"|"&amp; $H$8 &amp;"|"&amp; $H$9,'Emission Factor Look Up'!$A$1:$BO$16,$A24,FALSE)*$H$7/2000*$H$10</f>
        <v>0</v>
      </c>
      <c r="I24" s="426">
        <f>VLOOKUP($I$4 &amp;"|"&amp; $I$8 &amp;"|"&amp; $I$9,'Emission Factor Look Up'!$A$1:$BO$16,$A24,FALSE)*$I$7/2000*$I$10</f>
        <v>0</v>
      </c>
      <c r="J24" s="426">
        <f>VLOOKUP($J$4 &amp;"|"&amp; $J$8 &amp;"|"&amp; $J$9,'Emission Factor Look Up'!$A$1:$BO$16,$A24,FALSE)*$J$7/2000*$J$10</f>
        <v>0</v>
      </c>
      <c r="K24" s="426">
        <f>VLOOKUP($K$4 &amp;"|"&amp; $K$8 &amp;"|"&amp; $K$9,'Emission Factor Look Up'!$A$1:$BO$16,$A24,FALSE)*$K$7/2000*$K$10</f>
        <v>0</v>
      </c>
      <c r="L24" s="426">
        <f>VLOOKUP($L$4 &amp;"|"&amp; $L$8 &amp;"|"&amp; $L$9,'Emission Factor Look Up'!$A$1:$BO$16,$A24,FALSE)*$L$7/2000*$L$10</f>
        <v>0</v>
      </c>
      <c r="M24" s="426">
        <f>VLOOKUP($M$4 &amp;"|"&amp; $M$8 &amp;"|"&amp; $M$9,'Emission Factor Look Up'!$A$1:$BO$16,$A24,FALSE)*$M$7/2000*$M$10</f>
        <v>0</v>
      </c>
      <c r="N24" s="426">
        <f>VLOOKUP($N$4 &amp;"|"&amp; $N$8 &amp;"|"&amp; $N$9,'Emission Factor Look Up'!$A$1:$BO$16,$A24,FALSE)*$N$7/2000*$N$10</f>
        <v>0</v>
      </c>
      <c r="O24" s="426">
        <f>VLOOKUP($O$4 &amp;"|"&amp; $O$8 &amp;"|"&amp; $O$9,'Emission Factor Look Up'!$A$1:$BO$16,$A24,FALSE)*$O$7/2000*$O$10</f>
        <v>0</v>
      </c>
      <c r="P24" s="426">
        <f>VLOOKUP($P$4 &amp;"|"&amp; $P$8 &amp;"|"&amp; $P$9,'Emission Factor Look Up'!$A$1:$BO$16,$A24,FALSE)*$P$7/2000*$P$10</f>
        <v>0</v>
      </c>
      <c r="Q24" s="426">
        <f>VLOOKUP($Q$4 &amp;"|"&amp; $Q$8 &amp;"|"&amp; $Q$9,'Emission Factor Look Up'!$A$1:$BO$16,$A24,FALSE)*$Q$7/2000*$Q$10</f>
        <v>0</v>
      </c>
      <c r="R24" s="426">
        <f>VLOOKUP($R$4 &amp;"|"&amp; $R$8 &amp;"|"&amp; $R$9,'Emission Factor Look Up'!$A$1:$BO$16,$A24,FALSE)*$R$7/2000*$R$10</f>
        <v>0</v>
      </c>
      <c r="S24" s="426">
        <f>VLOOKUP($S$4 &amp;"|"&amp; $S$8 &amp;"|"&amp; $S$9,'Emission Factor Look Up'!$A$1:$BO$16,$A24,FALSE)*$S$7/2000*$S$10</f>
        <v>0</v>
      </c>
      <c r="T24" s="426">
        <f>VLOOKUP($T$4 &amp;"|"&amp; $T$8 &amp;"|"&amp; $T$9,'Emission Factor Look Up'!$A$1:$BO$16,$A24,FALSE)*$T$7/2000*$T$10</f>
        <v>0</v>
      </c>
      <c r="U24" s="426">
        <f>VLOOKUP($U$4 &amp;"|"&amp; $U$8 &amp;"|"&amp; $U$9,'Emission Factor Look Up'!$A$1:$BO$16,$A24,FALSE)*$U$7/2000*$U$10</f>
        <v>0</v>
      </c>
      <c r="V24" s="426">
        <f>VLOOKUP($V$4 &amp;"|"&amp; $V$8 &amp;"|"&amp; $V$9,'Emission Factor Look Up'!$A$1:$BO$16,$A24,FALSE)*$V$7/2000*$V$10</f>
        <v>0</v>
      </c>
      <c r="W24" s="426">
        <f>VLOOKUP($W$4 &amp;"|"&amp; $W$8 &amp;"|"&amp; $W$9,'Emission Factor Look Up'!$A$1:$BO$16,$A24,FALSE)*$W$7/2000*$W$10</f>
        <v>0</v>
      </c>
      <c r="X24" s="426">
        <f>VLOOKUP($X$4 &amp;"|"&amp; $X$8 &amp;"|"&amp; $X$9,'Emission Factor Look Up'!$A$1:$BO$16,$A24,FALSE)*$X$7/2000*$X$10</f>
        <v>0</v>
      </c>
      <c r="Y24" s="426">
        <f>VLOOKUP($Y$4 &amp;"|"&amp; $Y$8 &amp;"|"&amp; $Y$9,'Emission Factor Look Up'!$A$1:$BO$16,$A24,FALSE)*$Y$7/2000*$Y$10</f>
        <v>0</v>
      </c>
      <c r="Z24" s="426">
        <f>VLOOKUP($Z$4 &amp;"|"&amp; $Z$8 &amp;"|"&amp; $Z$9,'Emission Factor Look Up'!$A$1:$BO$16,$A24,FALSE)*$Z$7/2000*$Z$10</f>
        <v>0</v>
      </c>
      <c r="AA24" s="426">
        <f>VLOOKUP($AA$4 &amp;"|"&amp; $AA$8 &amp;"|"&amp; $AA$9,'Emission Factor Look Up'!$A$1:$BO$16,$A24,FALSE)*$AA$7/2000*$AA$10</f>
        <v>0</v>
      </c>
      <c r="AB24" s="426">
        <f>VLOOKUP($AB$4 &amp;"|"&amp; $AB$8 &amp;"|"&amp; $AB$9,'Emission Factor Look Up'!$A$1:$BO$16,$A24,FALSE)*$AB$7/2000*$AB$10</f>
        <v>0</v>
      </c>
      <c r="AC24" s="426">
        <f>VLOOKUP($AC$4 &amp;"|"&amp; $AC$8 &amp;"|"&amp; $AC$9,'Emission Factor Look Up'!$A$1:$BO$16,$A24,FALSE)*$AC$7/2000*$AC$10</f>
        <v>0</v>
      </c>
      <c r="AD24" s="427">
        <f t="shared" si="0"/>
        <v>0</v>
      </c>
    </row>
    <row r="25" spans="1:30">
      <c r="A25" s="190">
        <v>16</v>
      </c>
      <c r="B25" s="428" t="str">
        <f>'Emission Factors'!A18</f>
        <v>Carbon Tetrachloride</v>
      </c>
      <c r="C25" s="426">
        <f>VLOOKUP($C$4 &amp;"|"&amp; $C$8 &amp;"|"&amp; $C$9,'Emission Factor Look Up'!$A$1:$BO$16,$A25,FALSE)*$C$7/2000*$C$10</f>
        <v>0</v>
      </c>
      <c r="D25" s="426">
        <f>VLOOKUP($D$4 &amp;"|"&amp; $D$8 &amp;"|"&amp; $D$9,'Emission Factor Look Up'!$A$1:$BO$16,$A25,FALSE)*$D$7/2000*$D$10</f>
        <v>0</v>
      </c>
      <c r="E25" s="426">
        <f>VLOOKUP($E$4 &amp;"|"&amp; $E$8 &amp;"|"&amp; $E$9,'Emission Factor Look Up'!$A$1:$BO$16,$A25,FALSE)*$E$7/2000*$E$10</f>
        <v>0</v>
      </c>
      <c r="F25" s="426">
        <f>VLOOKUP($F$4 &amp;"|"&amp; $F$8 &amp;"|"&amp; $F$9,'Emission Factor Look Up'!$A$1:$BO$16,$A25,FALSE)*$F$7/2000*$F$10</f>
        <v>0</v>
      </c>
      <c r="G25" s="426">
        <f>VLOOKUP($G$4 &amp;"|"&amp; $G$8 &amp;"|"&amp; $G$9,'Emission Factor Look Up'!$A$1:$BO$16,$A25,FALSE)*$G$7/2000*$G$10</f>
        <v>0</v>
      </c>
      <c r="H25" s="426">
        <f>VLOOKUP($H$4 &amp;"|"&amp; $H$8 &amp;"|"&amp; $H$9,'Emission Factor Look Up'!$A$1:$BO$16,$A25,FALSE)*$H$7/2000*$H$10</f>
        <v>0</v>
      </c>
      <c r="I25" s="426">
        <f>VLOOKUP($I$4 &amp;"|"&amp; $I$8 &amp;"|"&amp; $I$9,'Emission Factor Look Up'!$A$1:$BO$16,$A25,FALSE)*$I$7/2000*$I$10</f>
        <v>0</v>
      </c>
      <c r="J25" s="426">
        <f>VLOOKUP($J$4 &amp;"|"&amp; $J$8 &amp;"|"&amp; $J$9,'Emission Factor Look Up'!$A$1:$BO$16,$A25,FALSE)*$J$7/2000*$J$10</f>
        <v>0</v>
      </c>
      <c r="K25" s="426">
        <f>VLOOKUP($K$4 &amp;"|"&amp; $K$8 &amp;"|"&amp; $K$9,'Emission Factor Look Up'!$A$1:$BO$16,$A25,FALSE)*$K$7/2000*$K$10</f>
        <v>0</v>
      </c>
      <c r="L25" s="426">
        <f>VLOOKUP($L$4 &amp;"|"&amp; $L$8 &amp;"|"&amp; $L$9,'Emission Factor Look Up'!$A$1:$BO$16,$A25,FALSE)*$L$7/2000*$L$10</f>
        <v>0</v>
      </c>
      <c r="M25" s="426">
        <f>VLOOKUP($M$4 &amp;"|"&amp; $M$8 &amp;"|"&amp; $M$9,'Emission Factor Look Up'!$A$1:$BO$16,$A25,FALSE)*$M$7/2000*$M$10</f>
        <v>0</v>
      </c>
      <c r="N25" s="426">
        <f>VLOOKUP($N$4 &amp;"|"&amp; $N$8 &amp;"|"&amp; $N$9,'Emission Factor Look Up'!$A$1:$BO$16,$A25,FALSE)*$N$7/2000*$N$10</f>
        <v>0</v>
      </c>
      <c r="O25" s="426">
        <f>VLOOKUP($O$4 &amp;"|"&amp; $O$8 &amp;"|"&amp; $O$9,'Emission Factor Look Up'!$A$1:$BO$16,$A25,FALSE)*$O$7/2000*$O$10</f>
        <v>0</v>
      </c>
      <c r="P25" s="426">
        <f>VLOOKUP($P$4 &amp;"|"&amp; $P$8 &amp;"|"&amp; $P$9,'Emission Factor Look Up'!$A$1:$BO$16,$A25,FALSE)*$P$7/2000*$P$10</f>
        <v>0</v>
      </c>
      <c r="Q25" s="426">
        <f>VLOOKUP($Q$4 &amp;"|"&amp; $Q$8 &amp;"|"&amp; $Q$9,'Emission Factor Look Up'!$A$1:$BO$16,$A25,FALSE)*$Q$7/2000*$Q$10</f>
        <v>0</v>
      </c>
      <c r="R25" s="426">
        <f>VLOOKUP($R$4 &amp;"|"&amp; $R$8 &amp;"|"&amp; $R$9,'Emission Factor Look Up'!$A$1:$BO$16,$A25,FALSE)*$R$7/2000*$R$10</f>
        <v>0</v>
      </c>
      <c r="S25" s="426">
        <f>VLOOKUP($S$4 &amp;"|"&amp; $S$8 &amp;"|"&amp; $S$9,'Emission Factor Look Up'!$A$1:$BO$16,$A25,FALSE)*$S$7/2000*$S$10</f>
        <v>0</v>
      </c>
      <c r="T25" s="426">
        <f>VLOOKUP($T$4 &amp;"|"&amp; $T$8 &amp;"|"&amp; $T$9,'Emission Factor Look Up'!$A$1:$BO$16,$A25,FALSE)*$T$7/2000*$T$10</f>
        <v>0</v>
      </c>
      <c r="U25" s="426">
        <f>VLOOKUP($U$4 &amp;"|"&amp; $U$8 &amp;"|"&amp; $U$9,'Emission Factor Look Up'!$A$1:$BO$16,$A25,FALSE)*$U$7/2000*$U$10</f>
        <v>0</v>
      </c>
      <c r="V25" s="426">
        <f>VLOOKUP($V$4 &amp;"|"&amp; $V$8 &amp;"|"&amp; $V$9,'Emission Factor Look Up'!$A$1:$BO$16,$A25,FALSE)*$V$7/2000*$V$10</f>
        <v>0</v>
      </c>
      <c r="W25" s="426">
        <f>VLOOKUP($W$4 &amp;"|"&amp; $W$8 &amp;"|"&amp; $W$9,'Emission Factor Look Up'!$A$1:$BO$16,$A25,FALSE)*$W$7/2000*$W$10</f>
        <v>0</v>
      </c>
      <c r="X25" s="426">
        <f>VLOOKUP($X$4 &amp;"|"&amp; $X$8 &amp;"|"&amp; $X$9,'Emission Factor Look Up'!$A$1:$BO$16,$A25,FALSE)*$X$7/2000*$X$10</f>
        <v>0</v>
      </c>
      <c r="Y25" s="426">
        <f>VLOOKUP($Y$4 &amp;"|"&amp; $Y$8 &amp;"|"&amp; $Y$9,'Emission Factor Look Up'!$A$1:$BO$16,$A25,FALSE)*$Y$7/2000*$Y$10</f>
        <v>0</v>
      </c>
      <c r="Z25" s="426">
        <f>VLOOKUP($Z$4 &amp;"|"&amp; $Z$8 &amp;"|"&amp; $Z$9,'Emission Factor Look Up'!$A$1:$BO$16,$A25,FALSE)*$Z$7/2000*$Z$10</f>
        <v>0</v>
      </c>
      <c r="AA25" s="426">
        <f>VLOOKUP($AA$4 &amp;"|"&amp; $AA$8 &amp;"|"&amp; $AA$9,'Emission Factor Look Up'!$A$1:$BO$16,$A25,FALSE)*$AA$7/2000*$AA$10</f>
        <v>0</v>
      </c>
      <c r="AB25" s="426">
        <f>VLOOKUP($AB$4 &amp;"|"&amp; $AB$8 &amp;"|"&amp; $AB$9,'Emission Factor Look Up'!$A$1:$BO$16,$A25,FALSE)*$AB$7/2000*$AB$10</f>
        <v>0</v>
      </c>
      <c r="AC25" s="426">
        <f>VLOOKUP($AC$4 &amp;"|"&amp; $AC$8 &amp;"|"&amp; $AC$9,'Emission Factor Look Up'!$A$1:$BO$16,$A25,FALSE)*$AC$7/2000*$AC$10</f>
        <v>0</v>
      </c>
      <c r="AD25" s="427">
        <f t="shared" si="0"/>
        <v>0</v>
      </c>
    </row>
    <row r="26" spans="1:30">
      <c r="A26" s="190">
        <v>17</v>
      </c>
      <c r="B26" s="428" t="str">
        <f>'Emission Factors'!A19</f>
        <v>Chlorobenzene</v>
      </c>
      <c r="C26" s="426">
        <f>VLOOKUP($C$4 &amp;"|"&amp; $C$8 &amp;"|"&amp; $C$9,'Emission Factor Look Up'!$A$1:$BO$16,$A26,FALSE)*$C$7/2000*$C$10</f>
        <v>0</v>
      </c>
      <c r="D26" s="426">
        <f>VLOOKUP($D$4 &amp;"|"&amp; $D$8 &amp;"|"&amp; $D$9,'Emission Factor Look Up'!$A$1:$BO$16,$A26,FALSE)*$D$7/2000*$D$10</f>
        <v>0</v>
      </c>
      <c r="E26" s="426">
        <f>VLOOKUP($E$4 &amp;"|"&amp; $E$8 &amp;"|"&amp; $E$9,'Emission Factor Look Up'!$A$1:$BO$16,$A26,FALSE)*$E$7/2000*$E$10</f>
        <v>0</v>
      </c>
      <c r="F26" s="426">
        <f>VLOOKUP($F$4 &amp;"|"&amp; $F$8 &amp;"|"&amp; $F$9,'Emission Factor Look Up'!$A$1:$BO$16,$A26,FALSE)*$F$7/2000*$F$10</f>
        <v>0</v>
      </c>
      <c r="G26" s="426">
        <f>VLOOKUP($G$4 &amp;"|"&amp; $G$8 &amp;"|"&amp; $G$9,'Emission Factor Look Up'!$A$1:$BO$16,$A26,FALSE)*$G$7/2000*$G$10</f>
        <v>0</v>
      </c>
      <c r="H26" s="426">
        <f>VLOOKUP($H$4 &amp;"|"&amp; $H$8 &amp;"|"&amp; $H$9,'Emission Factor Look Up'!$A$1:$BO$16,$A26,FALSE)*$H$7/2000*$H$10</f>
        <v>0</v>
      </c>
      <c r="I26" s="426">
        <f>VLOOKUP($I$4 &amp;"|"&amp; $I$8 &amp;"|"&amp; $I$9,'Emission Factor Look Up'!$A$1:$BO$16,$A26,FALSE)*$I$7/2000*$I$10</f>
        <v>0</v>
      </c>
      <c r="J26" s="426">
        <f>VLOOKUP($J$4 &amp;"|"&amp; $J$8 &amp;"|"&amp; $J$9,'Emission Factor Look Up'!$A$1:$BO$16,$A26,FALSE)*$J$7/2000*$J$10</f>
        <v>0</v>
      </c>
      <c r="K26" s="426">
        <f>VLOOKUP($K$4 &amp;"|"&amp; $K$8 &amp;"|"&amp; $K$9,'Emission Factor Look Up'!$A$1:$BO$16,$A26,FALSE)*$K$7/2000*$K$10</f>
        <v>0</v>
      </c>
      <c r="L26" s="426">
        <f>VLOOKUP($L$4 &amp;"|"&amp; $L$8 &amp;"|"&amp; $L$9,'Emission Factor Look Up'!$A$1:$BO$16,$A26,FALSE)*$L$7/2000*$L$10</f>
        <v>0</v>
      </c>
      <c r="M26" s="426">
        <f>VLOOKUP($M$4 &amp;"|"&amp; $M$8 &amp;"|"&amp; $M$9,'Emission Factor Look Up'!$A$1:$BO$16,$A26,FALSE)*$M$7/2000*$M$10</f>
        <v>0</v>
      </c>
      <c r="N26" s="426">
        <f>VLOOKUP($N$4 &amp;"|"&amp; $N$8 &amp;"|"&amp; $N$9,'Emission Factor Look Up'!$A$1:$BO$16,$A26,FALSE)*$N$7/2000*$N$10</f>
        <v>0</v>
      </c>
      <c r="O26" s="426">
        <f>VLOOKUP($O$4 &amp;"|"&amp; $O$8 &amp;"|"&amp; $O$9,'Emission Factor Look Up'!$A$1:$BO$16,$A26,FALSE)*$O$7/2000*$O$10</f>
        <v>0</v>
      </c>
      <c r="P26" s="426">
        <f>VLOOKUP($P$4 &amp;"|"&amp; $P$8 &amp;"|"&amp; $P$9,'Emission Factor Look Up'!$A$1:$BO$16,$A26,FALSE)*$P$7/2000*$P$10</f>
        <v>0</v>
      </c>
      <c r="Q26" s="426">
        <f>VLOOKUP($Q$4 &amp;"|"&amp; $Q$8 &amp;"|"&amp; $Q$9,'Emission Factor Look Up'!$A$1:$BO$16,$A26,FALSE)*$Q$7/2000*$Q$10</f>
        <v>0</v>
      </c>
      <c r="R26" s="426">
        <f>VLOOKUP($R$4 &amp;"|"&amp; $R$8 &amp;"|"&amp; $R$9,'Emission Factor Look Up'!$A$1:$BO$16,$A26,FALSE)*$R$7/2000*$R$10</f>
        <v>0</v>
      </c>
      <c r="S26" s="426">
        <f>VLOOKUP($S$4 &amp;"|"&amp; $S$8 &amp;"|"&amp; $S$9,'Emission Factor Look Up'!$A$1:$BO$16,$A26,FALSE)*$S$7/2000*$S$10</f>
        <v>0</v>
      </c>
      <c r="T26" s="426">
        <f>VLOOKUP($T$4 &amp;"|"&amp; $T$8 &amp;"|"&amp; $T$9,'Emission Factor Look Up'!$A$1:$BO$16,$A26,FALSE)*$T$7/2000*$T$10</f>
        <v>0</v>
      </c>
      <c r="U26" s="426">
        <f>VLOOKUP($U$4 &amp;"|"&amp; $U$8 &amp;"|"&amp; $U$9,'Emission Factor Look Up'!$A$1:$BO$16,$A26,FALSE)*$U$7/2000*$U$10</f>
        <v>0</v>
      </c>
      <c r="V26" s="426">
        <f>VLOOKUP($V$4 &amp;"|"&amp; $V$8 &amp;"|"&amp; $V$9,'Emission Factor Look Up'!$A$1:$BO$16,$A26,FALSE)*$V$7/2000*$V$10</f>
        <v>0</v>
      </c>
      <c r="W26" s="426">
        <f>VLOOKUP($W$4 &amp;"|"&amp; $W$8 &amp;"|"&amp; $W$9,'Emission Factor Look Up'!$A$1:$BO$16,$A26,FALSE)*$W$7/2000*$W$10</f>
        <v>0</v>
      </c>
      <c r="X26" s="426">
        <f>VLOOKUP($X$4 &amp;"|"&amp; $X$8 &amp;"|"&amp; $X$9,'Emission Factor Look Up'!$A$1:$BO$16,$A26,FALSE)*$X$7/2000*$X$10</f>
        <v>0</v>
      </c>
      <c r="Y26" s="426">
        <f>VLOOKUP($Y$4 &amp;"|"&amp; $Y$8 &amp;"|"&amp; $Y$9,'Emission Factor Look Up'!$A$1:$BO$16,$A26,FALSE)*$Y$7/2000*$Y$10</f>
        <v>0</v>
      </c>
      <c r="Z26" s="426">
        <f>VLOOKUP($Z$4 &amp;"|"&amp; $Z$8 &amp;"|"&amp; $Z$9,'Emission Factor Look Up'!$A$1:$BO$16,$A26,FALSE)*$Z$7/2000*$Z$10</f>
        <v>0</v>
      </c>
      <c r="AA26" s="426">
        <f>VLOOKUP($AA$4 &amp;"|"&amp; $AA$8 &amp;"|"&amp; $AA$9,'Emission Factor Look Up'!$A$1:$BO$16,$A26,FALSE)*$AA$7/2000*$AA$10</f>
        <v>0</v>
      </c>
      <c r="AB26" s="426">
        <f>VLOOKUP($AB$4 &amp;"|"&amp; $AB$8 &amp;"|"&amp; $AB$9,'Emission Factor Look Up'!$A$1:$BO$16,$A26,FALSE)*$AB$7/2000*$AB$10</f>
        <v>0</v>
      </c>
      <c r="AC26" s="426">
        <f>VLOOKUP($AC$4 &amp;"|"&amp; $AC$8 &amp;"|"&amp; $AC$9,'Emission Factor Look Up'!$A$1:$BO$16,$A26,FALSE)*$AC$7/2000*$AC$10</f>
        <v>0</v>
      </c>
      <c r="AD26" s="427">
        <f t="shared" si="0"/>
        <v>0</v>
      </c>
    </row>
    <row r="27" spans="1:30">
      <c r="A27" s="190">
        <v>18</v>
      </c>
      <c r="B27" s="428" t="str">
        <f>'Emission Factors'!A20</f>
        <v>Chloroform</v>
      </c>
      <c r="C27" s="426">
        <f>VLOOKUP($C$4 &amp;"|"&amp; $C$8 &amp;"|"&amp; $C$9,'Emission Factor Look Up'!$A$1:$BO$16,$A27,FALSE)*$C$7/2000*$C$10</f>
        <v>0</v>
      </c>
      <c r="D27" s="426">
        <f>VLOOKUP($D$4 &amp;"|"&amp; $D$8 &amp;"|"&amp; $D$9,'Emission Factor Look Up'!$A$1:$BO$16,$A27,FALSE)*$D$7/2000*$D$10</f>
        <v>0</v>
      </c>
      <c r="E27" s="426">
        <f>VLOOKUP($E$4 &amp;"|"&amp; $E$8 &amp;"|"&amp; $E$9,'Emission Factor Look Up'!$A$1:$BO$16,$A27,FALSE)*$E$7/2000*$E$10</f>
        <v>0</v>
      </c>
      <c r="F27" s="426">
        <f>VLOOKUP($F$4 &amp;"|"&amp; $F$8 &amp;"|"&amp; $F$9,'Emission Factor Look Up'!$A$1:$BO$16,$A27,FALSE)*$F$7/2000*$F$10</f>
        <v>0</v>
      </c>
      <c r="G27" s="426">
        <f>VLOOKUP($G$4 &amp;"|"&amp; $G$8 &amp;"|"&amp; $G$9,'Emission Factor Look Up'!$A$1:$BO$16,$A27,FALSE)*$G$7/2000*$G$10</f>
        <v>0</v>
      </c>
      <c r="H27" s="426">
        <f>VLOOKUP($H$4 &amp;"|"&amp; $H$8 &amp;"|"&amp; $H$9,'Emission Factor Look Up'!$A$1:$BO$16,$A27,FALSE)*$H$7/2000*$H$10</f>
        <v>0</v>
      </c>
      <c r="I27" s="426">
        <f>VLOOKUP($I$4 &amp;"|"&amp; $I$8 &amp;"|"&amp; $I$9,'Emission Factor Look Up'!$A$1:$BO$16,$A27,FALSE)*$I$7/2000*$I$10</f>
        <v>0</v>
      </c>
      <c r="J27" s="426">
        <f>VLOOKUP($J$4 &amp;"|"&amp; $J$8 &amp;"|"&amp; $J$9,'Emission Factor Look Up'!$A$1:$BO$16,$A27,FALSE)*$J$7/2000*$J$10</f>
        <v>0</v>
      </c>
      <c r="K27" s="426">
        <f>VLOOKUP($K$4 &amp;"|"&amp; $K$8 &amp;"|"&amp; $K$9,'Emission Factor Look Up'!$A$1:$BO$16,$A27,FALSE)*$K$7/2000*$K$10</f>
        <v>0</v>
      </c>
      <c r="L27" s="426">
        <f>VLOOKUP($L$4 &amp;"|"&amp; $L$8 &amp;"|"&amp; $L$9,'Emission Factor Look Up'!$A$1:$BO$16,$A27,FALSE)*$L$7/2000*$L$10</f>
        <v>0</v>
      </c>
      <c r="M27" s="426">
        <f>VLOOKUP($M$4 &amp;"|"&amp; $M$8 &amp;"|"&amp; $M$9,'Emission Factor Look Up'!$A$1:$BO$16,$A27,FALSE)*$M$7/2000*$M$10</f>
        <v>0</v>
      </c>
      <c r="N27" s="426">
        <f>VLOOKUP($N$4 &amp;"|"&amp; $N$8 &amp;"|"&amp; $N$9,'Emission Factor Look Up'!$A$1:$BO$16,$A27,FALSE)*$N$7/2000*$N$10</f>
        <v>0</v>
      </c>
      <c r="O27" s="426">
        <f>VLOOKUP($O$4 &amp;"|"&amp; $O$8 &amp;"|"&amp; $O$9,'Emission Factor Look Up'!$A$1:$BO$16,$A27,FALSE)*$O$7/2000*$O$10</f>
        <v>0</v>
      </c>
      <c r="P27" s="426">
        <f>VLOOKUP($P$4 &amp;"|"&amp; $P$8 &amp;"|"&amp; $P$9,'Emission Factor Look Up'!$A$1:$BO$16,$A27,FALSE)*$P$7/2000*$P$10</f>
        <v>0</v>
      </c>
      <c r="Q27" s="426">
        <f>VLOOKUP($Q$4 &amp;"|"&amp; $Q$8 &amp;"|"&amp; $Q$9,'Emission Factor Look Up'!$A$1:$BO$16,$A27,FALSE)*$Q$7/2000*$Q$10</f>
        <v>0</v>
      </c>
      <c r="R27" s="426">
        <f>VLOOKUP($R$4 &amp;"|"&amp; $R$8 &amp;"|"&amp; $R$9,'Emission Factor Look Up'!$A$1:$BO$16,$A27,FALSE)*$R$7/2000*$R$10</f>
        <v>0</v>
      </c>
      <c r="S27" s="426">
        <f>VLOOKUP($S$4 &amp;"|"&amp; $S$8 &amp;"|"&amp; $S$9,'Emission Factor Look Up'!$A$1:$BO$16,$A27,FALSE)*$S$7/2000*$S$10</f>
        <v>0</v>
      </c>
      <c r="T27" s="426">
        <f>VLOOKUP($T$4 &amp;"|"&amp; $T$8 &amp;"|"&amp; $T$9,'Emission Factor Look Up'!$A$1:$BO$16,$A27,FALSE)*$T$7/2000*$T$10</f>
        <v>0</v>
      </c>
      <c r="U27" s="426">
        <f>VLOOKUP($U$4 &amp;"|"&amp; $U$8 &amp;"|"&amp; $U$9,'Emission Factor Look Up'!$A$1:$BO$16,$A27,FALSE)*$U$7/2000*$U$10</f>
        <v>0</v>
      </c>
      <c r="V27" s="426">
        <f>VLOOKUP($V$4 &amp;"|"&amp; $V$8 &amp;"|"&amp; $V$9,'Emission Factor Look Up'!$A$1:$BO$16,$A27,FALSE)*$V$7/2000*$V$10</f>
        <v>0</v>
      </c>
      <c r="W27" s="426">
        <f>VLOOKUP($W$4 &amp;"|"&amp; $W$8 &amp;"|"&amp; $W$9,'Emission Factor Look Up'!$A$1:$BO$16,$A27,FALSE)*$W$7/2000*$W$10</f>
        <v>0</v>
      </c>
      <c r="X27" s="426">
        <f>VLOOKUP($X$4 &amp;"|"&amp; $X$8 &amp;"|"&amp; $X$9,'Emission Factor Look Up'!$A$1:$BO$16,$A27,FALSE)*$X$7/2000*$X$10</f>
        <v>0</v>
      </c>
      <c r="Y27" s="426">
        <f>VLOOKUP($Y$4 &amp;"|"&amp; $Y$8 &amp;"|"&amp; $Y$9,'Emission Factor Look Up'!$A$1:$BO$16,$A27,FALSE)*$Y$7/2000*$Y$10</f>
        <v>0</v>
      </c>
      <c r="Z27" s="426">
        <f>VLOOKUP($Z$4 &amp;"|"&amp; $Z$8 &amp;"|"&amp; $Z$9,'Emission Factor Look Up'!$A$1:$BO$16,$A27,FALSE)*$Z$7/2000*$Z$10</f>
        <v>0</v>
      </c>
      <c r="AA27" s="426">
        <f>VLOOKUP($AA$4 &amp;"|"&amp; $AA$8 &amp;"|"&amp; $AA$9,'Emission Factor Look Up'!$A$1:$BO$16,$A27,FALSE)*$AA$7/2000*$AA$10</f>
        <v>0</v>
      </c>
      <c r="AB27" s="426">
        <f>VLOOKUP($AB$4 &amp;"|"&amp; $AB$8 &amp;"|"&amp; $AB$9,'Emission Factor Look Up'!$A$1:$BO$16,$A27,FALSE)*$AB$7/2000*$AB$10</f>
        <v>0</v>
      </c>
      <c r="AC27" s="426">
        <f>VLOOKUP($AC$4 &amp;"|"&amp; $AC$8 &amp;"|"&amp; $AC$9,'Emission Factor Look Up'!$A$1:$BO$16,$A27,FALSE)*$AC$7/2000*$AC$10</f>
        <v>0</v>
      </c>
      <c r="AD27" s="427">
        <f t="shared" si="0"/>
        <v>0</v>
      </c>
    </row>
    <row r="28" spans="1:30">
      <c r="A28" s="190">
        <v>19</v>
      </c>
      <c r="B28" s="428" t="str">
        <f>'Emission Factors'!A21</f>
        <v>Chromium</v>
      </c>
      <c r="C28" s="426">
        <f>VLOOKUP($C$4 &amp;"|"&amp; $C$8 &amp;"|"&amp; $C$9,'Emission Factor Look Up'!$A$1:$BO$16,$A28,FALSE)*$C$7/2000*$C$10</f>
        <v>0</v>
      </c>
      <c r="D28" s="426">
        <f>VLOOKUP($D$4 &amp;"|"&amp; $D$8 &amp;"|"&amp; $D$9,'Emission Factor Look Up'!$A$1:$BO$16,$A28,FALSE)*$D$7/2000*$D$10</f>
        <v>0</v>
      </c>
      <c r="E28" s="426">
        <f>VLOOKUP($E$4 &amp;"|"&amp; $E$8 &amp;"|"&amp; $E$9,'Emission Factor Look Up'!$A$1:$BO$16,$A28,FALSE)*$E$7/2000*$E$10</f>
        <v>0</v>
      </c>
      <c r="F28" s="426">
        <f>VLOOKUP($F$4 &amp;"|"&amp; $F$8 &amp;"|"&amp; $F$9,'Emission Factor Look Up'!$A$1:$BO$16,$A28,FALSE)*$F$7/2000*$F$10</f>
        <v>0</v>
      </c>
      <c r="G28" s="426">
        <f>VLOOKUP($G$4 &amp;"|"&amp; $G$8 &amp;"|"&amp; $G$9,'Emission Factor Look Up'!$A$1:$BO$16,$A28,FALSE)*$G$7/2000*$G$10</f>
        <v>0</v>
      </c>
      <c r="H28" s="426">
        <f>VLOOKUP($H$4 &amp;"|"&amp; $H$8 &amp;"|"&amp; $H$9,'Emission Factor Look Up'!$A$1:$BO$16,$A28,FALSE)*$H$7/2000*$H$10</f>
        <v>0</v>
      </c>
      <c r="I28" s="426">
        <f>VLOOKUP($I$4 &amp;"|"&amp; $I$8 &amp;"|"&amp; $I$9,'Emission Factor Look Up'!$A$1:$BO$16,$A28,FALSE)*$I$7/2000*$I$10</f>
        <v>0</v>
      </c>
      <c r="J28" s="426">
        <f>VLOOKUP($J$4 &amp;"|"&amp; $J$8 &amp;"|"&amp; $J$9,'Emission Factor Look Up'!$A$1:$BO$16,$A28,FALSE)*$J$7/2000*$J$10</f>
        <v>0</v>
      </c>
      <c r="K28" s="426">
        <f>VLOOKUP($K$4 &amp;"|"&amp; $K$8 &amp;"|"&amp; $K$9,'Emission Factor Look Up'!$A$1:$BO$16,$A28,FALSE)*$K$7/2000*$K$10</f>
        <v>0</v>
      </c>
      <c r="L28" s="426">
        <f>VLOOKUP($L$4 &amp;"|"&amp; $L$8 &amp;"|"&amp; $L$9,'Emission Factor Look Up'!$A$1:$BO$16,$A28,FALSE)*$L$7/2000*$L$10</f>
        <v>0</v>
      </c>
      <c r="M28" s="426">
        <f>VLOOKUP($M$4 &amp;"|"&amp; $M$8 &amp;"|"&amp; $M$9,'Emission Factor Look Up'!$A$1:$BO$16,$A28,FALSE)*$M$7/2000*$M$10</f>
        <v>0</v>
      </c>
      <c r="N28" s="426">
        <f>VLOOKUP($N$4 &amp;"|"&amp; $N$8 &amp;"|"&amp; $N$9,'Emission Factor Look Up'!$A$1:$BO$16,$A28,FALSE)*$N$7/2000*$N$10</f>
        <v>0</v>
      </c>
      <c r="O28" s="426">
        <f>VLOOKUP($O$4 &amp;"|"&amp; $O$8 &amp;"|"&amp; $O$9,'Emission Factor Look Up'!$A$1:$BO$16,$A28,FALSE)*$O$7/2000*$O$10</f>
        <v>0</v>
      </c>
      <c r="P28" s="426">
        <f>VLOOKUP($P$4 &amp;"|"&amp; $P$8 &amp;"|"&amp; $P$9,'Emission Factor Look Up'!$A$1:$BO$16,$A28,FALSE)*$P$7/2000*$P$10</f>
        <v>0</v>
      </c>
      <c r="Q28" s="426">
        <f>VLOOKUP($Q$4 &amp;"|"&amp; $Q$8 &amp;"|"&amp; $Q$9,'Emission Factor Look Up'!$A$1:$BO$16,$A28,FALSE)*$Q$7/2000*$Q$10</f>
        <v>0</v>
      </c>
      <c r="R28" s="426">
        <f>VLOOKUP($R$4 &amp;"|"&amp; $R$8 &amp;"|"&amp; $R$9,'Emission Factor Look Up'!$A$1:$BO$16,$A28,FALSE)*$R$7/2000*$R$10</f>
        <v>0</v>
      </c>
      <c r="S28" s="426">
        <f>VLOOKUP($S$4 &amp;"|"&amp; $S$8 &amp;"|"&amp; $S$9,'Emission Factor Look Up'!$A$1:$BO$16,$A28,FALSE)*$S$7/2000*$S$10</f>
        <v>0</v>
      </c>
      <c r="T28" s="426">
        <f>VLOOKUP($T$4 &amp;"|"&amp; $T$8 &amp;"|"&amp; $T$9,'Emission Factor Look Up'!$A$1:$BO$16,$A28,FALSE)*$T$7/2000*$T$10</f>
        <v>0</v>
      </c>
      <c r="U28" s="426">
        <f>VLOOKUP($U$4 &amp;"|"&amp; $U$8 &amp;"|"&amp; $U$9,'Emission Factor Look Up'!$A$1:$BO$16,$A28,FALSE)*$U$7/2000*$U$10</f>
        <v>0</v>
      </c>
      <c r="V28" s="426">
        <f>VLOOKUP($V$4 &amp;"|"&amp; $V$8 &amp;"|"&amp; $V$9,'Emission Factor Look Up'!$A$1:$BO$16,$A28,FALSE)*$V$7/2000*$V$10</f>
        <v>0</v>
      </c>
      <c r="W28" s="426">
        <f>VLOOKUP($W$4 &amp;"|"&amp; $W$8 &amp;"|"&amp; $W$9,'Emission Factor Look Up'!$A$1:$BO$16,$A28,FALSE)*$W$7/2000*$W$10</f>
        <v>0</v>
      </c>
      <c r="X28" s="426">
        <f>VLOOKUP($X$4 &amp;"|"&amp; $X$8 &amp;"|"&amp; $X$9,'Emission Factor Look Up'!$A$1:$BO$16,$A28,FALSE)*$X$7/2000*$X$10</f>
        <v>0</v>
      </c>
      <c r="Y28" s="426">
        <f>VLOOKUP($Y$4 &amp;"|"&amp; $Y$8 &amp;"|"&amp; $Y$9,'Emission Factor Look Up'!$A$1:$BO$16,$A28,FALSE)*$Y$7/2000*$Y$10</f>
        <v>0</v>
      </c>
      <c r="Z28" s="426">
        <f>VLOOKUP($Z$4 &amp;"|"&amp; $Z$8 &amp;"|"&amp; $Z$9,'Emission Factor Look Up'!$A$1:$BO$16,$A28,FALSE)*$Z$7/2000*$Z$10</f>
        <v>0</v>
      </c>
      <c r="AA28" s="426">
        <f>VLOOKUP($AA$4 &amp;"|"&amp; $AA$8 &amp;"|"&amp; $AA$9,'Emission Factor Look Up'!$A$1:$BO$16,$A28,FALSE)*$AA$7/2000*$AA$10</f>
        <v>0</v>
      </c>
      <c r="AB28" s="426">
        <f>VLOOKUP($AB$4 &amp;"|"&amp; $AB$8 &amp;"|"&amp; $AB$9,'Emission Factor Look Up'!$A$1:$BO$16,$A28,FALSE)*$AB$7/2000*$AB$10</f>
        <v>0</v>
      </c>
      <c r="AC28" s="426">
        <f>VLOOKUP($AC$4 &amp;"|"&amp; $AC$8 &amp;"|"&amp; $AC$9,'Emission Factor Look Up'!$A$1:$BO$16,$A28,FALSE)*$AC$7/2000*$AC$10</f>
        <v>0</v>
      </c>
      <c r="AD28" s="427">
        <f t="shared" si="0"/>
        <v>0</v>
      </c>
    </row>
    <row r="29" spans="1:30">
      <c r="A29" s="190">
        <v>20</v>
      </c>
      <c r="B29" s="428" t="str">
        <f>'Emission Factors'!A22</f>
        <v>Cobalt</v>
      </c>
      <c r="C29" s="426">
        <f>VLOOKUP($C$4 &amp;"|"&amp; $C$8 &amp;"|"&amp; $C$9,'Emission Factor Look Up'!$A$1:$BO$16,$A29,FALSE)*$C$7/2000*$C$10</f>
        <v>0</v>
      </c>
      <c r="D29" s="426">
        <f>VLOOKUP($D$4 &amp;"|"&amp; $D$8 &amp;"|"&amp; $D$9,'Emission Factor Look Up'!$A$1:$BO$16,$A29,FALSE)*$D$7/2000*$D$10</f>
        <v>0</v>
      </c>
      <c r="E29" s="426">
        <f>VLOOKUP($E$4 &amp;"|"&amp; $E$8 &amp;"|"&amp; $E$9,'Emission Factor Look Up'!$A$1:$BO$16,$A29,FALSE)*$E$7/2000*$E$10</f>
        <v>0</v>
      </c>
      <c r="F29" s="426">
        <f>VLOOKUP($F$4 &amp;"|"&amp; $F$8 &amp;"|"&amp; $F$9,'Emission Factor Look Up'!$A$1:$BO$16,$A29,FALSE)*$F$7/2000*$F$10</f>
        <v>0</v>
      </c>
      <c r="G29" s="426">
        <f>VLOOKUP($G$4 &amp;"|"&amp; $G$8 &amp;"|"&amp; $G$9,'Emission Factor Look Up'!$A$1:$BO$16,$A29,FALSE)*$G$7/2000*$G$10</f>
        <v>0</v>
      </c>
      <c r="H29" s="426">
        <f>VLOOKUP($H$4 &amp;"|"&amp; $H$8 &amp;"|"&amp; $H$9,'Emission Factor Look Up'!$A$1:$BO$16,$A29,FALSE)*$H$7/2000*$H$10</f>
        <v>0</v>
      </c>
      <c r="I29" s="426">
        <f>VLOOKUP($I$4 &amp;"|"&amp; $I$8 &amp;"|"&amp; $I$9,'Emission Factor Look Up'!$A$1:$BO$16,$A29,FALSE)*$I$7/2000*$I$10</f>
        <v>0</v>
      </c>
      <c r="J29" s="426">
        <f>VLOOKUP($J$4 &amp;"|"&amp; $J$8 &amp;"|"&amp; $J$9,'Emission Factor Look Up'!$A$1:$BO$16,$A29,FALSE)*$J$7/2000*$J$10</f>
        <v>0</v>
      </c>
      <c r="K29" s="426">
        <f>VLOOKUP($K$4 &amp;"|"&amp; $K$8 &amp;"|"&amp; $K$9,'Emission Factor Look Up'!$A$1:$BO$16,$A29,FALSE)*$K$7/2000*$K$10</f>
        <v>0</v>
      </c>
      <c r="L29" s="426">
        <f>VLOOKUP($L$4 &amp;"|"&amp; $L$8 &amp;"|"&amp; $L$9,'Emission Factor Look Up'!$A$1:$BO$16,$A29,FALSE)*$L$7/2000*$L$10</f>
        <v>0</v>
      </c>
      <c r="M29" s="426">
        <f>VLOOKUP($M$4 &amp;"|"&amp; $M$8 &amp;"|"&amp; $M$9,'Emission Factor Look Up'!$A$1:$BO$16,$A29,FALSE)*$M$7/2000*$M$10</f>
        <v>0</v>
      </c>
      <c r="N29" s="426">
        <f>VLOOKUP($N$4 &amp;"|"&amp; $N$8 &amp;"|"&amp; $N$9,'Emission Factor Look Up'!$A$1:$BO$16,$A29,FALSE)*$N$7/2000*$N$10</f>
        <v>0</v>
      </c>
      <c r="O29" s="426">
        <f>VLOOKUP($O$4 &amp;"|"&amp; $O$8 &amp;"|"&amp; $O$9,'Emission Factor Look Up'!$A$1:$BO$16,$A29,FALSE)*$O$7/2000*$O$10</f>
        <v>0</v>
      </c>
      <c r="P29" s="426">
        <f>VLOOKUP($P$4 &amp;"|"&amp; $P$8 &amp;"|"&amp; $P$9,'Emission Factor Look Up'!$A$1:$BO$16,$A29,FALSE)*$P$7/2000*$P$10</f>
        <v>0</v>
      </c>
      <c r="Q29" s="426">
        <f>VLOOKUP($Q$4 &amp;"|"&amp; $Q$8 &amp;"|"&amp; $Q$9,'Emission Factor Look Up'!$A$1:$BO$16,$A29,FALSE)*$Q$7/2000*$Q$10</f>
        <v>0</v>
      </c>
      <c r="R29" s="426">
        <f>VLOOKUP($R$4 &amp;"|"&amp; $R$8 &amp;"|"&amp; $R$9,'Emission Factor Look Up'!$A$1:$BO$16,$A29,FALSE)*$R$7/2000*$R$10</f>
        <v>0</v>
      </c>
      <c r="S29" s="426">
        <f>VLOOKUP($S$4 &amp;"|"&amp; $S$8 &amp;"|"&amp; $S$9,'Emission Factor Look Up'!$A$1:$BO$16,$A29,FALSE)*$S$7/2000*$S$10</f>
        <v>0</v>
      </c>
      <c r="T29" s="426">
        <f>VLOOKUP($T$4 &amp;"|"&amp; $T$8 &amp;"|"&amp; $T$9,'Emission Factor Look Up'!$A$1:$BO$16,$A29,FALSE)*$T$7/2000*$T$10</f>
        <v>0</v>
      </c>
      <c r="U29" s="426">
        <f>VLOOKUP($U$4 &amp;"|"&amp; $U$8 &amp;"|"&amp; $U$9,'Emission Factor Look Up'!$A$1:$BO$16,$A29,FALSE)*$U$7/2000*$U$10</f>
        <v>0</v>
      </c>
      <c r="V29" s="426">
        <f>VLOOKUP($V$4 &amp;"|"&amp; $V$8 &amp;"|"&amp; $V$9,'Emission Factor Look Up'!$A$1:$BO$16,$A29,FALSE)*$V$7/2000*$V$10</f>
        <v>0</v>
      </c>
      <c r="W29" s="426">
        <f>VLOOKUP($W$4 &amp;"|"&amp; $W$8 &amp;"|"&amp; $W$9,'Emission Factor Look Up'!$A$1:$BO$16,$A29,FALSE)*$W$7/2000*$W$10</f>
        <v>0</v>
      </c>
      <c r="X29" s="426">
        <f>VLOOKUP($X$4 &amp;"|"&amp; $X$8 &amp;"|"&amp; $X$9,'Emission Factor Look Up'!$A$1:$BO$16,$A29,FALSE)*$X$7/2000*$X$10</f>
        <v>0</v>
      </c>
      <c r="Y29" s="426">
        <f>VLOOKUP($Y$4 &amp;"|"&amp; $Y$8 &amp;"|"&amp; $Y$9,'Emission Factor Look Up'!$A$1:$BO$16,$A29,FALSE)*$Y$7/2000*$Y$10</f>
        <v>0</v>
      </c>
      <c r="Z29" s="426">
        <f>VLOOKUP($Z$4 &amp;"|"&amp; $Z$8 &amp;"|"&amp; $Z$9,'Emission Factor Look Up'!$A$1:$BO$16,$A29,FALSE)*$Z$7/2000*$Z$10</f>
        <v>0</v>
      </c>
      <c r="AA29" s="426">
        <f>VLOOKUP($AA$4 &amp;"|"&amp; $AA$8 &amp;"|"&amp; $AA$9,'Emission Factor Look Up'!$A$1:$BO$16,$A29,FALSE)*$AA$7/2000*$AA$10</f>
        <v>0</v>
      </c>
      <c r="AB29" s="426">
        <f>VLOOKUP($AB$4 &amp;"|"&amp; $AB$8 &amp;"|"&amp; $AB$9,'Emission Factor Look Up'!$A$1:$BO$16,$A29,FALSE)*$AB$7/2000*$AB$10</f>
        <v>0</v>
      </c>
      <c r="AC29" s="426">
        <f>VLOOKUP($AC$4 &amp;"|"&amp; $AC$8 &amp;"|"&amp; $AC$9,'Emission Factor Look Up'!$A$1:$BO$16,$A29,FALSE)*$AC$7/2000*$AC$10</f>
        <v>0</v>
      </c>
      <c r="AD29" s="427">
        <f t="shared" si="0"/>
        <v>0</v>
      </c>
    </row>
    <row r="30" spans="1:30">
      <c r="A30" s="190">
        <v>21</v>
      </c>
      <c r="B30" s="428" t="str">
        <f>'Emission Factors'!A23</f>
        <v>Dibutylphthalate</v>
      </c>
      <c r="C30" s="426">
        <f>VLOOKUP($C$4 &amp;"|"&amp; $C$8 &amp;"|"&amp; $C$9,'Emission Factor Look Up'!$A$1:$BO$16,$A30,FALSE)*$C$7/2000*$C$10</f>
        <v>0</v>
      </c>
      <c r="D30" s="426">
        <f>VLOOKUP($D$4 &amp;"|"&amp; $D$8 &amp;"|"&amp; $D$9,'Emission Factor Look Up'!$A$1:$BO$16,$A30,FALSE)*$D$7/2000*$D$10</f>
        <v>0</v>
      </c>
      <c r="E30" s="426">
        <f>VLOOKUP($E$4 &amp;"|"&amp; $E$8 &amp;"|"&amp; $E$9,'Emission Factor Look Up'!$A$1:$BO$16,$A30,FALSE)*$E$7/2000*$E$10</f>
        <v>0</v>
      </c>
      <c r="F30" s="426">
        <f>VLOOKUP($F$4 &amp;"|"&amp; $F$8 &amp;"|"&amp; $F$9,'Emission Factor Look Up'!$A$1:$BO$16,$A30,FALSE)*$F$7/2000*$F$10</f>
        <v>0</v>
      </c>
      <c r="G30" s="426">
        <f>VLOOKUP($G$4 &amp;"|"&amp; $G$8 &amp;"|"&amp; $G$9,'Emission Factor Look Up'!$A$1:$BO$16,$A30,FALSE)*$G$7/2000*$G$10</f>
        <v>0</v>
      </c>
      <c r="H30" s="426">
        <f>VLOOKUP($H$4 &amp;"|"&amp; $H$8 &amp;"|"&amp; $H$9,'Emission Factor Look Up'!$A$1:$BO$16,$A30,FALSE)*$H$7/2000*$H$10</f>
        <v>0</v>
      </c>
      <c r="I30" s="426">
        <f>VLOOKUP($I$4 &amp;"|"&amp; $I$8 &amp;"|"&amp; $I$9,'Emission Factor Look Up'!$A$1:$BO$16,$A30,FALSE)*$I$7/2000*$I$10</f>
        <v>0</v>
      </c>
      <c r="J30" s="426">
        <f>VLOOKUP($J$4 &amp;"|"&amp; $J$8 &amp;"|"&amp; $J$9,'Emission Factor Look Up'!$A$1:$BO$16,$A30,FALSE)*$J$7/2000*$J$10</f>
        <v>0</v>
      </c>
      <c r="K30" s="426">
        <f>VLOOKUP($K$4 &amp;"|"&amp; $K$8 &amp;"|"&amp; $K$9,'Emission Factor Look Up'!$A$1:$BO$16,$A30,FALSE)*$K$7/2000*$K$10</f>
        <v>0</v>
      </c>
      <c r="L30" s="426">
        <f>VLOOKUP($L$4 &amp;"|"&amp; $L$8 &amp;"|"&amp; $L$9,'Emission Factor Look Up'!$A$1:$BO$16,$A30,FALSE)*$L$7/2000*$L$10</f>
        <v>0</v>
      </c>
      <c r="M30" s="426">
        <f>VLOOKUP($M$4 &amp;"|"&amp; $M$8 &amp;"|"&amp; $M$9,'Emission Factor Look Up'!$A$1:$BO$16,$A30,FALSE)*$M$7/2000*$M$10</f>
        <v>0</v>
      </c>
      <c r="N30" s="426">
        <f>VLOOKUP($N$4 &amp;"|"&amp; $N$8 &amp;"|"&amp; $N$9,'Emission Factor Look Up'!$A$1:$BO$16,$A30,FALSE)*$N$7/2000*$N$10</f>
        <v>0</v>
      </c>
      <c r="O30" s="426">
        <f>VLOOKUP($O$4 &amp;"|"&amp; $O$8 &amp;"|"&amp; $O$9,'Emission Factor Look Up'!$A$1:$BO$16,$A30,FALSE)*$O$7/2000*$O$10</f>
        <v>0</v>
      </c>
      <c r="P30" s="426">
        <f>VLOOKUP($P$4 &amp;"|"&amp; $P$8 &amp;"|"&amp; $P$9,'Emission Factor Look Up'!$A$1:$BO$16,$A30,FALSE)*$P$7/2000*$P$10</f>
        <v>0</v>
      </c>
      <c r="Q30" s="426">
        <f>VLOOKUP($Q$4 &amp;"|"&amp; $Q$8 &amp;"|"&amp; $Q$9,'Emission Factor Look Up'!$A$1:$BO$16,$A30,FALSE)*$Q$7/2000*$Q$10</f>
        <v>0</v>
      </c>
      <c r="R30" s="426">
        <f>VLOOKUP($R$4 &amp;"|"&amp; $R$8 &amp;"|"&amp; $R$9,'Emission Factor Look Up'!$A$1:$BO$16,$A30,FALSE)*$R$7/2000*$R$10</f>
        <v>0</v>
      </c>
      <c r="S30" s="426">
        <f>VLOOKUP($S$4 &amp;"|"&amp; $S$8 &amp;"|"&amp; $S$9,'Emission Factor Look Up'!$A$1:$BO$16,$A30,FALSE)*$S$7/2000*$S$10</f>
        <v>0</v>
      </c>
      <c r="T30" s="426">
        <f>VLOOKUP($T$4 &amp;"|"&amp; $T$8 &amp;"|"&amp; $T$9,'Emission Factor Look Up'!$A$1:$BO$16,$A30,FALSE)*$T$7/2000*$T$10</f>
        <v>0</v>
      </c>
      <c r="U30" s="426">
        <f>VLOOKUP($U$4 &amp;"|"&amp; $U$8 &amp;"|"&amp; $U$9,'Emission Factor Look Up'!$A$1:$BO$16,$A30,FALSE)*$U$7/2000*$U$10</f>
        <v>0</v>
      </c>
      <c r="V30" s="426">
        <f>VLOOKUP($V$4 &amp;"|"&amp; $V$8 &amp;"|"&amp; $V$9,'Emission Factor Look Up'!$A$1:$BO$16,$A30,FALSE)*$V$7/2000*$V$10</f>
        <v>0</v>
      </c>
      <c r="W30" s="426">
        <f>VLOOKUP($W$4 &amp;"|"&amp; $W$8 &amp;"|"&amp; $W$9,'Emission Factor Look Up'!$A$1:$BO$16,$A30,FALSE)*$W$7/2000*$W$10</f>
        <v>0</v>
      </c>
      <c r="X30" s="426">
        <f>VLOOKUP($X$4 &amp;"|"&amp; $X$8 &amp;"|"&amp; $X$9,'Emission Factor Look Up'!$A$1:$BO$16,$A30,FALSE)*$X$7/2000*$X$10</f>
        <v>0</v>
      </c>
      <c r="Y30" s="426">
        <f>VLOOKUP($Y$4 &amp;"|"&amp; $Y$8 &amp;"|"&amp; $Y$9,'Emission Factor Look Up'!$A$1:$BO$16,$A30,FALSE)*$Y$7/2000*$Y$10</f>
        <v>0</v>
      </c>
      <c r="Z30" s="426">
        <f>VLOOKUP($Z$4 &amp;"|"&amp; $Z$8 &amp;"|"&amp; $Z$9,'Emission Factor Look Up'!$A$1:$BO$16,$A30,FALSE)*$Z$7/2000*$Z$10</f>
        <v>0</v>
      </c>
      <c r="AA30" s="426">
        <f>VLOOKUP($AA$4 &amp;"|"&amp; $AA$8 &amp;"|"&amp; $AA$9,'Emission Factor Look Up'!$A$1:$BO$16,$A30,FALSE)*$AA$7/2000*$AA$10</f>
        <v>0</v>
      </c>
      <c r="AB30" s="426">
        <f>VLOOKUP($AB$4 &amp;"|"&amp; $AB$8 &amp;"|"&amp; $AB$9,'Emission Factor Look Up'!$A$1:$BO$16,$A30,FALSE)*$AB$7/2000*$AB$10</f>
        <v>0</v>
      </c>
      <c r="AC30" s="426">
        <f>VLOOKUP($AC$4 &amp;"|"&amp; $AC$8 &amp;"|"&amp; $AC$9,'Emission Factor Look Up'!$A$1:$BO$16,$A30,FALSE)*$AC$7/2000*$AC$10</f>
        <v>0</v>
      </c>
      <c r="AD30" s="427">
        <f t="shared" si="0"/>
        <v>0</v>
      </c>
    </row>
    <row r="31" spans="1:30">
      <c r="A31" s="190">
        <v>22</v>
      </c>
      <c r="B31" s="428" t="str">
        <f>'Emission Factors'!A24</f>
        <v>Ethylbenzene</v>
      </c>
      <c r="C31" s="426">
        <f>VLOOKUP($C$4 &amp;"|"&amp; $C$8 &amp;"|"&amp; $C$9,'Emission Factor Look Up'!$A$1:$BO$16,$A31,FALSE)*$C$7/2000*$C$10</f>
        <v>0.15599807999999998</v>
      </c>
      <c r="D31" s="426">
        <f>VLOOKUP($D$4 &amp;"|"&amp; $D$8 &amp;"|"&amp; $D$9,'Emission Factor Look Up'!$A$1:$BO$16,$A31,FALSE)*$D$7/2000*$D$10</f>
        <v>0.15599807999999998</v>
      </c>
      <c r="E31" s="426">
        <f>VLOOKUP($E$4 &amp;"|"&amp; $E$8 &amp;"|"&amp; $E$9,'Emission Factor Look Up'!$A$1:$BO$16,$A31,FALSE)*$E$7/2000*$E$10</f>
        <v>0.15599807999999998</v>
      </c>
      <c r="F31" s="426">
        <f>VLOOKUP($F$4 &amp;"|"&amp; $F$8 &amp;"|"&amp; $F$9,'Emission Factor Look Up'!$A$1:$BO$16,$A31,FALSE)*$F$7/2000*$F$10</f>
        <v>0.15599807999999998</v>
      </c>
      <c r="G31" s="426">
        <f>VLOOKUP($G$4 &amp;"|"&amp; $G$8 &amp;"|"&amp; $G$9,'Emission Factor Look Up'!$A$1:$BO$16,$A31,FALSE)*$G$7/2000*$G$10</f>
        <v>0.15599807999999998</v>
      </c>
      <c r="H31" s="426">
        <f>VLOOKUP($H$4 &amp;"|"&amp; $H$8 &amp;"|"&amp; $H$9,'Emission Factor Look Up'!$A$1:$BO$16,$A31,FALSE)*$H$7/2000*$H$10</f>
        <v>0.15599807999999998</v>
      </c>
      <c r="I31" s="426">
        <f>VLOOKUP($I$4 &amp;"|"&amp; $I$8 &amp;"|"&amp; $I$9,'Emission Factor Look Up'!$A$1:$BO$16,$A31,FALSE)*$I$7/2000*$I$10</f>
        <v>5.3821439999999998E-2</v>
      </c>
      <c r="J31" s="426">
        <f>VLOOKUP($J$4 &amp;"|"&amp; $J$8 &amp;"|"&amp; $J$9,'Emission Factor Look Up'!$A$1:$BO$16,$A31,FALSE)*$J$7/2000*$J$10</f>
        <v>5.3821439999999998E-2</v>
      </c>
      <c r="K31" s="426">
        <f>VLOOKUP($K$4 &amp;"|"&amp; $K$8 &amp;"|"&amp; $K$9,'Emission Factor Look Up'!$A$1:$BO$16,$A31,FALSE)*$K$7/2000*$K$10</f>
        <v>5.3821439999999998E-2</v>
      </c>
      <c r="L31" s="426">
        <f>VLOOKUP($L$4 &amp;"|"&amp; $L$8 &amp;"|"&amp; $L$9,'Emission Factor Look Up'!$A$1:$BO$16,$A31,FALSE)*$L$7/2000*$L$10</f>
        <v>5.3821439999999998E-2</v>
      </c>
      <c r="M31" s="426">
        <f>VLOOKUP($M$4 &amp;"|"&amp; $M$8 &amp;"|"&amp; $M$9,'Emission Factor Look Up'!$A$1:$BO$16,$A31,FALSE)*$M$7/2000*$M$10</f>
        <v>0</v>
      </c>
      <c r="N31" s="426">
        <f>VLOOKUP($N$4 &amp;"|"&amp; $N$8 &amp;"|"&amp; $N$9,'Emission Factor Look Up'!$A$1:$BO$16,$A31,FALSE)*$N$7/2000*$N$10</f>
        <v>0</v>
      </c>
      <c r="O31" s="426">
        <f>VLOOKUP($O$4 &amp;"|"&amp; $O$8 &amp;"|"&amp; $O$9,'Emission Factor Look Up'!$A$1:$BO$16,$A31,FALSE)*$O$7/2000*$O$10</f>
        <v>4.4335047058823532E-2</v>
      </c>
      <c r="P31" s="426">
        <f>VLOOKUP($P$4 &amp;"|"&amp; $P$8 &amp;"|"&amp; $P$9,'Emission Factor Look Up'!$A$1:$BO$16,$A31,FALSE)*$P$7/2000*$P$10</f>
        <v>4.4335047058823532E-2</v>
      </c>
      <c r="Q31" s="426">
        <f>VLOOKUP($Q$4 &amp;"|"&amp; $Q$8 &amp;"|"&amp; $Q$9,'Emission Factor Look Up'!$A$1:$BO$16,$A31,FALSE)*$Q$7/2000*$Q$10</f>
        <v>0</v>
      </c>
      <c r="R31" s="426">
        <f>VLOOKUP($R$4 &amp;"|"&amp; $R$8 &amp;"|"&amp; $R$9,'Emission Factor Look Up'!$A$1:$BO$16,$A31,FALSE)*$R$7/2000*$R$10</f>
        <v>1.3951588235294117E-2</v>
      </c>
      <c r="S31" s="426">
        <f>VLOOKUP($S$4 &amp;"|"&amp; $S$8 &amp;"|"&amp; $S$9,'Emission Factor Look Up'!$A$1:$BO$16,$A31,FALSE)*$S$7/2000*$S$10</f>
        <v>1.3951588235294117E-2</v>
      </c>
      <c r="T31" s="426">
        <f>VLOOKUP($T$4 &amp;"|"&amp; $T$8 &amp;"|"&amp; $T$9,'Emission Factor Look Up'!$A$1:$BO$16,$A31,FALSE)*$T$7/2000*$T$10</f>
        <v>0</v>
      </c>
      <c r="U31" s="426">
        <f>VLOOKUP($U$4 &amp;"|"&amp; $U$8 &amp;"|"&amp; $U$9,'Emission Factor Look Up'!$A$1:$BO$16,$A31,FALSE)*$U$7/2000*$U$10</f>
        <v>21.23246274509804</v>
      </c>
      <c r="V31" s="426">
        <f>VLOOKUP($V$4 &amp;"|"&amp; $V$8 &amp;"|"&amp; $V$9,'Emission Factor Look Up'!$A$1:$BO$16,$A31,FALSE)*$V$7/2000*$V$10</f>
        <v>21.23246274509804</v>
      </c>
      <c r="W31" s="426">
        <f>VLOOKUP($W$4 &amp;"|"&amp; $W$8 &amp;"|"&amp; $W$9,'Emission Factor Look Up'!$A$1:$BO$16,$A31,FALSE)*$W$7/2000*$W$10</f>
        <v>0</v>
      </c>
      <c r="X31" s="426">
        <f>VLOOKUP($X$4 &amp;"|"&amp; $X$8 &amp;"|"&amp; $X$9,'Emission Factor Look Up'!$A$1:$BO$16,$A31,FALSE)*$X$7/2000*$X$10</f>
        <v>4.961980392156863</v>
      </c>
      <c r="Y31" s="426">
        <f>VLOOKUP($Y$4 &amp;"|"&amp; $Y$8 &amp;"|"&amp; $Y$9,'Emission Factor Look Up'!$A$1:$BO$16,$A31,FALSE)*$Y$7/2000*$Y$10</f>
        <v>4.961980392156863</v>
      </c>
      <c r="Z31" s="426">
        <f>VLOOKUP($Z$4 &amp;"|"&amp; $Z$8 &amp;"|"&amp; $Z$9,'Emission Factor Look Up'!$A$1:$BO$16,$A31,FALSE)*$Z$7/2000*$Z$10</f>
        <v>0</v>
      </c>
      <c r="AA31" s="426">
        <f>VLOOKUP($AA$4 &amp;"|"&amp; $AA$8 &amp;"|"&amp; $AA$9,'Emission Factor Look Up'!$A$1:$BO$16,$A31,FALSE)*$AA$7/2000*$AA$10</f>
        <v>6.5107411764705886E-2</v>
      </c>
      <c r="AB31" s="426">
        <f>VLOOKUP($AB$4 &amp;"|"&amp; $AB$8 &amp;"|"&amp; $AB$9,'Emission Factor Look Up'!$A$1:$BO$16,$A31,FALSE)*$AB$7/2000*$AB$10</f>
        <v>0.10167458823529413</v>
      </c>
      <c r="AC31" s="426">
        <f>VLOOKUP($AC$4 &amp;"|"&amp; $AC$8 &amp;"|"&amp; $AC$9,'Emission Factor Look Up'!$A$1:$BO$16,$A31,FALSE)*$AC$7/2000*$AC$10</f>
        <v>0</v>
      </c>
      <c r="AD31" s="427">
        <f t="shared" si="0"/>
        <v>53.823515785098039</v>
      </c>
    </row>
    <row r="32" spans="1:30">
      <c r="A32" s="190">
        <v>23</v>
      </c>
      <c r="B32" s="428" t="str">
        <f>'Emission Factors'!A25</f>
        <v>Ethylene Dibromide</v>
      </c>
      <c r="C32" s="426">
        <f>VLOOKUP($C$4 &amp;"|"&amp; $C$8 &amp;"|"&amp; $C$9,'Emission Factor Look Up'!$A$1:$BO$16,$A32,FALSE)*$C$7/2000*$C$10</f>
        <v>0</v>
      </c>
      <c r="D32" s="426">
        <f>VLOOKUP($D$4 &amp;"|"&amp; $D$8 &amp;"|"&amp; $D$9,'Emission Factor Look Up'!$A$1:$BO$16,$A32,FALSE)*$D$7/2000*$D$10</f>
        <v>0</v>
      </c>
      <c r="E32" s="426">
        <f>VLOOKUP($E$4 &amp;"|"&amp; $E$8 &amp;"|"&amp; $E$9,'Emission Factor Look Up'!$A$1:$BO$16,$A32,FALSE)*$E$7/2000*$E$10</f>
        <v>0</v>
      </c>
      <c r="F32" s="426">
        <f>VLOOKUP($F$4 &amp;"|"&amp; $F$8 &amp;"|"&amp; $F$9,'Emission Factor Look Up'!$A$1:$BO$16,$A32,FALSE)*$F$7/2000*$F$10</f>
        <v>0</v>
      </c>
      <c r="G32" s="426">
        <f>VLOOKUP($G$4 &amp;"|"&amp; $G$8 &amp;"|"&amp; $G$9,'Emission Factor Look Up'!$A$1:$BO$16,$A32,FALSE)*$G$7/2000*$G$10</f>
        <v>0</v>
      </c>
      <c r="H32" s="426">
        <f>VLOOKUP($H$4 &amp;"|"&amp; $H$8 &amp;"|"&amp; $H$9,'Emission Factor Look Up'!$A$1:$BO$16,$A32,FALSE)*$H$7/2000*$H$10</f>
        <v>0</v>
      </c>
      <c r="I32" s="426">
        <f>VLOOKUP($I$4 &amp;"|"&amp; $I$8 &amp;"|"&amp; $I$9,'Emission Factor Look Up'!$A$1:$BO$16,$A32,FALSE)*$I$7/2000*$I$10</f>
        <v>0</v>
      </c>
      <c r="J32" s="426">
        <f>VLOOKUP($J$4 &amp;"|"&amp; $J$8 &amp;"|"&amp; $J$9,'Emission Factor Look Up'!$A$1:$BO$16,$A32,FALSE)*$J$7/2000*$J$10</f>
        <v>0</v>
      </c>
      <c r="K32" s="426">
        <f>VLOOKUP($K$4 &amp;"|"&amp; $K$8 &amp;"|"&amp; $K$9,'Emission Factor Look Up'!$A$1:$BO$16,$A32,FALSE)*$K$7/2000*$K$10</f>
        <v>0</v>
      </c>
      <c r="L32" s="426">
        <f>VLOOKUP($L$4 &amp;"|"&amp; $L$8 &amp;"|"&amp; $L$9,'Emission Factor Look Up'!$A$1:$BO$16,$A32,FALSE)*$L$7/2000*$L$10</f>
        <v>0</v>
      </c>
      <c r="M32" s="426">
        <f>VLOOKUP($M$4 &amp;"|"&amp; $M$8 &amp;"|"&amp; $M$9,'Emission Factor Look Up'!$A$1:$BO$16,$A32,FALSE)*$M$7/2000*$M$10</f>
        <v>0</v>
      </c>
      <c r="N32" s="426">
        <f>VLOOKUP($N$4 &amp;"|"&amp; $N$8 &amp;"|"&amp; $N$9,'Emission Factor Look Up'!$A$1:$BO$16,$A32,FALSE)*$N$7/2000*$N$10</f>
        <v>0</v>
      </c>
      <c r="O32" s="426">
        <f>VLOOKUP($O$4 &amp;"|"&amp; $O$8 &amp;"|"&amp; $O$9,'Emission Factor Look Up'!$A$1:$BO$16,$A32,FALSE)*$O$7/2000*$O$10</f>
        <v>0</v>
      </c>
      <c r="P32" s="426">
        <f>VLOOKUP($P$4 &amp;"|"&amp; $P$8 &amp;"|"&amp; $P$9,'Emission Factor Look Up'!$A$1:$BO$16,$A32,FALSE)*$P$7/2000*$P$10</f>
        <v>0</v>
      </c>
      <c r="Q32" s="426">
        <f>VLOOKUP($Q$4 &amp;"|"&amp; $Q$8 &amp;"|"&amp; $Q$9,'Emission Factor Look Up'!$A$1:$BO$16,$A32,FALSE)*$Q$7/2000*$Q$10</f>
        <v>0</v>
      </c>
      <c r="R32" s="426">
        <f>VLOOKUP($R$4 &amp;"|"&amp; $R$8 &amp;"|"&amp; $R$9,'Emission Factor Look Up'!$A$1:$BO$16,$A32,FALSE)*$R$7/2000*$R$10</f>
        <v>0</v>
      </c>
      <c r="S32" s="426">
        <f>VLOOKUP($S$4 &amp;"|"&amp; $S$8 &amp;"|"&amp; $S$9,'Emission Factor Look Up'!$A$1:$BO$16,$A32,FALSE)*$S$7/2000*$S$10</f>
        <v>0</v>
      </c>
      <c r="T32" s="426">
        <f>VLOOKUP($T$4 &amp;"|"&amp; $T$8 &amp;"|"&amp; $T$9,'Emission Factor Look Up'!$A$1:$BO$16,$A32,FALSE)*$T$7/2000*$T$10</f>
        <v>0</v>
      </c>
      <c r="U32" s="426">
        <f>VLOOKUP($U$4 &amp;"|"&amp; $U$8 &amp;"|"&amp; $U$9,'Emission Factor Look Up'!$A$1:$BO$16,$A32,FALSE)*$U$7/2000*$U$10</f>
        <v>0</v>
      </c>
      <c r="V32" s="426">
        <f>VLOOKUP($V$4 &amp;"|"&amp; $V$8 &amp;"|"&amp; $V$9,'Emission Factor Look Up'!$A$1:$BO$16,$A32,FALSE)*$V$7/2000*$V$10</f>
        <v>0</v>
      </c>
      <c r="W32" s="426">
        <f>VLOOKUP($W$4 &amp;"|"&amp; $W$8 &amp;"|"&amp; $W$9,'Emission Factor Look Up'!$A$1:$BO$16,$A32,FALSE)*$W$7/2000*$W$10</f>
        <v>0</v>
      </c>
      <c r="X32" s="426">
        <f>VLOOKUP($X$4 &amp;"|"&amp; $X$8 &amp;"|"&amp; $X$9,'Emission Factor Look Up'!$A$1:$BO$16,$A32,FALSE)*$X$7/2000*$X$10</f>
        <v>0</v>
      </c>
      <c r="Y32" s="426">
        <f>VLOOKUP($Y$4 &amp;"|"&amp; $Y$8 &amp;"|"&amp; $Y$9,'Emission Factor Look Up'!$A$1:$BO$16,$A32,FALSE)*$Y$7/2000*$Y$10</f>
        <v>0</v>
      </c>
      <c r="Z32" s="426">
        <f>VLOOKUP($Z$4 &amp;"|"&amp; $Z$8 &amp;"|"&amp; $Z$9,'Emission Factor Look Up'!$A$1:$BO$16,$A32,FALSE)*$Z$7/2000*$Z$10</f>
        <v>0</v>
      </c>
      <c r="AA32" s="426">
        <f>VLOOKUP($AA$4 &amp;"|"&amp; $AA$8 &amp;"|"&amp; $AA$9,'Emission Factor Look Up'!$A$1:$BO$16,$A32,FALSE)*$AA$7/2000*$AA$10</f>
        <v>0</v>
      </c>
      <c r="AB32" s="426">
        <f>VLOOKUP($AB$4 &amp;"|"&amp; $AB$8 &amp;"|"&amp; $AB$9,'Emission Factor Look Up'!$A$1:$BO$16,$A32,FALSE)*$AB$7/2000*$AB$10</f>
        <v>0</v>
      </c>
      <c r="AC32" s="426">
        <f>VLOOKUP($AC$4 &amp;"|"&amp; $AC$8 &amp;"|"&amp; $AC$9,'Emission Factor Look Up'!$A$1:$BO$16,$A32,FALSE)*$AC$7/2000*$AC$10</f>
        <v>0</v>
      </c>
      <c r="AD32" s="427">
        <f t="shared" si="0"/>
        <v>0</v>
      </c>
    </row>
    <row r="33" spans="1:30">
      <c r="A33" s="190">
        <v>24</v>
      </c>
      <c r="B33" s="428" t="str">
        <f>'Emission Factors'!A26</f>
        <v>Ethylene Dichloride</v>
      </c>
      <c r="C33" s="426">
        <f>VLOOKUP($C$4 &amp;"|"&amp; $C$8 &amp;"|"&amp; $C$9,'Emission Factor Look Up'!$A$1:$BO$16,$A33,FALSE)*$C$7/2000*$C$10</f>
        <v>0</v>
      </c>
      <c r="D33" s="426">
        <f>VLOOKUP($D$4 &amp;"|"&amp; $D$8 &amp;"|"&amp; $D$9,'Emission Factor Look Up'!$A$1:$BO$16,$A33,FALSE)*$D$7/2000*$D$10</f>
        <v>0</v>
      </c>
      <c r="E33" s="426">
        <f>VLOOKUP($E$4 &amp;"|"&amp; $E$8 &amp;"|"&amp; $E$9,'Emission Factor Look Up'!$A$1:$BO$16,$A33,FALSE)*$E$7/2000*$E$10</f>
        <v>0</v>
      </c>
      <c r="F33" s="426">
        <f>VLOOKUP($F$4 &amp;"|"&amp; $F$8 &amp;"|"&amp; $F$9,'Emission Factor Look Up'!$A$1:$BO$16,$A33,FALSE)*$F$7/2000*$F$10</f>
        <v>0</v>
      </c>
      <c r="G33" s="426">
        <f>VLOOKUP($G$4 &amp;"|"&amp; $G$8 &amp;"|"&amp; $G$9,'Emission Factor Look Up'!$A$1:$BO$16,$A33,FALSE)*$G$7/2000*$G$10</f>
        <v>0</v>
      </c>
      <c r="H33" s="426">
        <f>VLOOKUP($H$4 &amp;"|"&amp; $H$8 &amp;"|"&amp; $H$9,'Emission Factor Look Up'!$A$1:$BO$16,$A33,FALSE)*$H$7/2000*$H$10</f>
        <v>0</v>
      </c>
      <c r="I33" s="426">
        <f>VLOOKUP($I$4 &amp;"|"&amp; $I$8 &amp;"|"&amp; $I$9,'Emission Factor Look Up'!$A$1:$BO$16,$A33,FALSE)*$I$7/2000*$I$10</f>
        <v>0</v>
      </c>
      <c r="J33" s="426">
        <f>VLOOKUP($J$4 &amp;"|"&amp; $J$8 &amp;"|"&amp; $J$9,'Emission Factor Look Up'!$A$1:$BO$16,$A33,FALSE)*$J$7/2000*$J$10</f>
        <v>0</v>
      </c>
      <c r="K33" s="426">
        <f>VLOOKUP($K$4 &amp;"|"&amp; $K$8 &amp;"|"&amp; $K$9,'Emission Factor Look Up'!$A$1:$BO$16,$A33,FALSE)*$K$7/2000*$K$10</f>
        <v>0</v>
      </c>
      <c r="L33" s="426">
        <f>VLOOKUP($L$4 &amp;"|"&amp; $L$8 &amp;"|"&amp; $L$9,'Emission Factor Look Up'!$A$1:$BO$16,$A33,FALSE)*$L$7/2000*$L$10</f>
        <v>0</v>
      </c>
      <c r="M33" s="426">
        <f>VLOOKUP($M$4 &amp;"|"&amp; $M$8 &amp;"|"&amp; $M$9,'Emission Factor Look Up'!$A$1:$BO$16,$A33,FALSE)*$M$7/2000*$M$10</f>
        <v>0</v>
      </c>
      <c r="N33" s="426">
        <f>VLOOKUP($N$4 &amp;"|"&amp; $N$8 &amp;"|"&amp; $N$9,'Emission Factor Look Up'!$A$1:$BO$16,$A33,FALSE)*$N$7/2000*$N$10</f>
        <v>0</v>
      </c>
      <c r="O33" s="426">
        <f>VLOOKUP($O$4 &amp;"|"&amp; $O$8 &amp;"|"&amp; $O$9,'Emission Factor Look Up'!$A$1:$BO$16,$A33,FALSE)*$O$7/2000*$O$10</f>
        <v>0</v>
      </c>
      <c r="P33" s="426">
        <f>VLOOKUP($P$4 &amp;"|"&amp; $P$8 &amp;"|"&amp; $P$9,'Emission Factor Look Up'!$A$1:$BO$16,$A33,FALSE)*$P$7/2000*$P$10</f>
        <v>0</v>
      </c>
      <c r="Q33" s="426">
        <f>VLOOKUP($Q$4 &amp;"|"&amp; $Q$8 &amp;"|"&amp; $Q$9,'Emission Factor Look Up'!$A$1:$BO$16,$A33,FALSE)*$Q$7/2000*$Q$10</f>
        <v>0</v>
      </c>
      <c r="R33" s="426">
        <f>VLOOKUP($R$4 &amp;"|"&amp; $R$8 &amp;"|"&amp; $R$9,'Emission Factor Look Up'!$A$1:$BO$16,$A33,FALSE)*$R$7/2000*$R$10</f>
        <v>0</v>
      </c>
      <c r="S33" s="426">
        <f>VLOOKUP($S$4 &amp;"|"&amp; $S$8 &amp;"|"&amp; $S$9,'Emission Factor Look Up'!$A$1:$BO$16,$A33,FALSE)*$S$7/2000*$S$10</f>
        <v>0</v>
      </c>
      <c r="T33" s="426">
        <f>VLOOKUP($T$4 &amp;"|"&amp; $T$8 &amp;"|"&amp; $T$9,'Emission Factor Look Up'!$A$1:$BO$16,$A33,FALSE)*$T$7/2000*$T$10</f>
        <v>0</v>
      </c>
      <c r="U33" s="426">
        <f>VLOOKUP($U$4 &amp;"|"&amp; $U$8 &amp;"|"&amp; $U$9,'Emission Factor Look Up'!$A$1:$BO$16,$A33,FALSE)*$U$7/2000*$U$10</f>
        <v>0</v>
      </c>
      <c r="V33" s="426">
        <f>VLOOKUP($V$4 &amp;"|"&amp; $V$8 &amp;"|"&amp; $V$9,'Emission Factor Look Up'!$A$1:$BO$16,$A33,FALSE)*$V$7/2000*$V$10</f>
        <v>0</v>
      </c>
      <c r="W33" s="426">
        <f>VLOOKUP($W$4 &amp;"|"&amp; $W$8 &amp;"|"&amp; $W$9,'Emission Factor Look Up'!$A$1:$BO$16,$A33,FALSE)*$W$7/2000*$W$10</f>
        <v>0</v>
      </c>
      <c r="X33" s="426">
        <f>VLOOKUP($X$4 &amp;"|"&amp; $X$8 &amp;"|"&amp; $X$9,'Emission Factor Look Up'!$A$1:$BO$16,$A33,FALSE)*$X$7/2000*$X$10</f>
        <v>0</v>
      </c>
      <c r="Y33" s="426">
        <f>VLOOKUP($Y$4 &amp;"|"&amp; $Y$8 &amp;"|"&amp; $Y$9,'Emission Factor Look Up'!$A$1:$BO$16,$A33,FALSE)*$Y$7/2000*$Y$10</f>
        <v>0</v>
      </c>
      <c r="Z33" s="426">
        <f>VLOOKUP($Z$4 &amp;"|"&amp; $Z$8 &amp;"|"&amp; $Z$9,'Emission Factor Look Up'!$A$1:$BO$16,$A33,FALSE)*$Z$7/2000*$Z$10</f>
        <v>0</v>
      </c>
      <c r="AA33" s="426">
        <f>VLOOKUP($AA$4 &amp;"|"&amp; $AA$8 &amp;"|"&amp; $AA$9,'Emission Factor Look Up'!$A$1:$BO$16,$A33,FALSE)*$AA$7/2000*$AA$10</f>
        <v>0</v>
      </c>
      <c r="AB33" s="426">
        <f>VLOOKUP($AB$4 &amp;"|"&amp; $AB$8 &amp;"|"&amp; $AB$9,'Emission Factor Look Up'!$A$1:$BO$16,$A33,FALSE)*$AB$7/2000*$AB$10</f>
        <v>0</v>
      </c>
      <c r="AC33" s="426">
        <f>VLOOKUP($AC$4 &amp;"|"&amp; $AC$8 &amp;"|"&amp; $AC$9,'Emission Factor Look Up'!$A$1:$BO$16,$A33,FALSE)*$AC$7/2000*$AC$10</f>
        <v>0</v>
      </c>
      <c r="AD33" s="427">
        <f t="shared" si="0"/>
        <v>0</v>
      </c>
    </row>
    <row r="34" spans="1:30">
      <c r="A34" s="190">
        <v>25</v>
      </c>
      <c r="B34" s="429" t="str">
        <f>'Emission Factors'!A27</f>
        <v>Formaldehyde</v>
      </c>
      <c r="C34" s="426">
        <f>VLOOKUP($C$4 &amp;"|"&amp; $C$8 &amp;"|"&amp; $C$9,'Emission Factor Look Up'!$A$1:$BO$16,$A34,FALSE)*$C$7/2000*$C$10</f>
        <v>3.4612073999999997</v>
      </c>
      <c r="D34" s="426">
        <f>VLOOKUP($D$4 &amp;"|"&amp; $D$8 &amp;"|"&amp; $D$9,'Emission Factor Look Up'!$A$1:$BO$16,$A34,FALSE)*$D$7/2000*$D$10</f>
        <v>3.4612073999999997</v>
      </c>
      <c r="E34" s="426">
        <f>VLOOKUP($E$4 &amp;"|"&amp; $E$8 &amp;"|"&amp; $E$9,'Emission Factor Look Up'!$A$1:$BO$16,$A34,FALSE)*$E$7/2000*$E$10</f>
        <v>3.4612073999999997</v>
      </c>
      <c r="F34" s="426">
        <f>VLOOKUP($F$4 &amp;"|"&amp; $F$8 &amp;"|"&amp; $F$9,'Emission Factor Look Up'!$A$1:$BO$16,$A34,FALSE)*$F$7/2000*$F$10</f>
        <v>3.4612073999999997</v>
      </c>
      <c r="G34" s="426">
        <f>VLOOKUP($G$4 &amp;"|"&amp; $G$8 &amp;"|"&amp; $G$9,'Emission Factor Look Up'!$A$1:$BO$16,$A34,FALSE)*$G$7/2000*$G$10</f>
        <v>3.4612073999999997</v>
      </c>
      <c r="H34" s="426">
        <f>VLOOKUP($H$4 &amp;"|"&amp; $H$8 &amp;"|"&amp; $H$9,'Emission Factor Look Up'!$A$1:$BO$16,$A34,FALSE)*$H$7/2000*$H$10</f>
        <v>3.4612073999999997</v>
      </c>
      <c r="I34" s="426">
        <f>VLOOKUP($I$4 &amp;"|"&amp; $I$8 &amp;"|"&amp; $I$9,'Emission Factor Look Up'!$A$1:$BO$16,$A34,FALSE)*$I$7/2000*$I$10</f>
        <v>1.1941632</v>
      </c>
      <c r="J34" s="426">
        <f>VLOOKUP($J$4 &amp;"|"&amp; $J$8 &amp;"|"&amp; $J$9,'Emission Factor Look Up'!$A$1:$BO$16,$A34,FALSE)*$J$7/2000*$J$10</f>
        <v>1.1941632</v>
      </c>
      <c r="K34" s="426">
        <f>VLOOKUP($K$4 &amp;"|"&amp; $K$8 &amp;"|"&amp; $K$9,'Emission Factor Look Up'!$A$1:$BO$16,$A34,FALSE)*$K$7/2000*$K$10</f>
        <v>1.1941632</v>
      </c>
      <c r="L34" s="426">
        <f>VLOOKUP($L$4 &amp;"|"&amp; $L$8 &amp;"|"&amp; $L$9,'Emission Factor Look Up'!$A$1:$BO$16,$A34,FALSE)*$L$7/2000*$L$10</f>
        <v>1.1941632</v>
      </c>
      <c r="M34" s="426">
        <f>VLOOKUP($M$4 &amp;"|"&amp; $M$8 &amp;"|"&amp; $M$9,'Emission Factor Look Up'!$A$1:$BO$16,$A34,FALSE)*$M$7/2000*$M$10</f>
        <v>6.1950000000000004E-4</v>
      </c>
      <c r="N34" s="426">
        <f>VLOOKUP($N$4 &amp;"|"&amp; $N$8 &amp;"|"&amp; $N$9,'Emission Factor Look Up'!$A$1:$BO$16,$A34,FALSE)*$N$7/2000*$N$10</f>
        <v>1.1873750000000001E-3</v>
      </c>
      <c r="O34" s="426">
        <f>VLOOKUP($O$4 &amp;"|"&amp; $O$8 &amp;"|"&amp; $O$9,'Emission Factor Look Up'!$A$1:$BO$16,$A34,FALSE)*$O$7/2000*$O$10</f>
        <v>3.5891738235294117E-2</v>
      </c>
      <c r="P34" s="426">
        <f>VLOOKUP($P$4 &amp;"|"&amp; $P$8 &amp;"|"&amp; $P$9,'Emission Factor Look Up'!$A$1:$BO$16,$A34,FALSE)*$P$7/2000*$P$10</f>
        <v>3.5891738235294117E-2</v>
      </c>
      <c r="Q34" s="426">
        <f>VLOOKUP($Q$4 &amp;"|"&amp; $Q$8 &amp;"|"&amp; $Q$9,'Emission Factor Look Up'!$A$1:$BO$16,$A34,FALSE)*$Q$7/2000*$Q$10</f>
        <v>0</v>
      </c>
      <c r="R34" s="426">
        <f>VLOOKUP($R$4 &amp;"|"&amp; $R$8 &amp;"|"&amp; $R$9,'Emission Factor Look Up'!$A$1:$BO$16,$A34,FALSE)*$R$7/2000*$R$10</f>
        <v>1.1294602941176469E-2</v>
      </c>
      <c r="S34" s="426">
        <f>VLOOKUP($S$4 &amp;"|"&amp; $S$8 &amp;"|"&amp; $S$9,'Emission Factor Look Up'!$A$1:$BO$16,$A34,FALSE)*$S$7/2000*$S$10</f>
        <v>1.1294602941176469E-2</v>
      </c>
      <c r="T34" s="426">
        <f>VLOOKUP($T$4 &amp;"|"&amp; $T$8 &amp;"|"&amp; $T$9,'Emission Factor Look Up'!$A$1:$BO$16,$A34,FALSE)*$T$7/2000*$T$10</f>
        <v>0</v>
      </c>
      <c r="U34" s="426">
        <f>VLOOKUP($U$4 &amp;"|"&amp; $U$8 &amp;"|"&amp; $U$9,'Emission Factor Look Up'!$A$1:$BO$16,$A34,FALSE)*$U$7/2000*$U$10</f>
        <v>17.188884313725492</v>
      </c>
      <c r="V34" s="426">
        <f>VLOOKUP($V$4 &amp;"|"&amp; $V$8 &amp;"|"&amp; $V$9,'Emission Factor Look Up'!$A$1:$BO$16,$A34,FALSE)*$V$7/2000*$V$10</f>
        <v>17.188884313725492</v>
      </c>
      <c r="W34" s="426">
        <f>VLOOKUP($W$4 &amp;"|"&amp; $W$8 &amp;"|"&amp; $W$9,'Emission Factor Look Up'!$A$1:$BO$16,$A34,FALSE)*$W$7/2000*$W$10</f>
        <v>0</v>
      </c>
      <c r="X34" s="426">
        <f>VLOOKUP($X$4 &amp;"|"&amp; $X$8 &amp;"|"&amp; $X$9,'Emission Factor Look Up'!$A$1:$BO$16,$A34,FALSE)*$X$7/2000*$X$10</f>
        <v>4.0170049019607843</v>
      </c>
      <c r="Y34" s="426">
        <f>VLOOKUP($Y$4 &amp;"|"&amp; $Y$8 &amp;"|"&amp; $Y$9,'Emission Factor Look Up'!$A$1:$BO$16,$A34,FALSE)*$Y$7/2000*$Y$10</f>
        <v>4.0170049019607843</v>
      </c>
      <c r="Z34" s="426">
        <f>VLOOKUP($Z$4 &amp;"|"&amp; $Z$8 &amp;"|"&amp; $Z$9,'Emission Factor Look Up'!$A$1:$BO$16,$A34,FALSE)*$Z$7/2000*$Z$10</f>
        <v>0</v>
      </c>
      <c r="AA34" s="426">
        <f>VLOOKUP($AA$4 &amp;"|"&amp; $AA$8 &amp;"|"&amp; $AA$9,'Emission Factor Look Up'!$A$1:$BO$16,$A34,FALSE)*$AA$7/2000*$AA$10</f>
        <v>5.2708147058823526E-2</v>
      </c>
      <c r="AB34" s="426">
        <f>VLOOKUP($AB$4 &amp;"|"&amp; $AB$8 &amp;"|"&amp; $AB$9,'Emission Factor Look Up'!$A$1:$BO$16,$A34,FALSE)*$AB$7/2000*$AB$10</f>
        <v>8.2311352941176474E-2</v>
      </c>
      <c r="AC34" s="426">
        <f>VLOOKUP($AC$4 &amp;"|"&amp; $AC$8 &amp;"|"&amp; $AC$9,'Emission Factor Look Up'!$A$1:$BO$16,$A34,FALSE)*$AC$7/2000*$AC$10</f>
        <v>1.9355732197199999E-3</v>
      </c>
      <c r="AD34" s="427">
        <f t="shared" si="0"/>
        <v>68.188810261945221</v>
      </c>
    </row>
    <row r="35" spans="1:30">
      <c r="A35" s="190">
        <v>26</v>
      </c>
      <c r="B35" s="428" t="str">
        <f>'Emission Factors'!A28</f>
        <v>HCl</v>
      </c>
      <c r="C35" s="426">
        <f>VLOOKUP($C$4 &amp;"|"&amp; $C$8 &amp;"|"&amp; $C$9,'Emission Factor Look Up'!$A$1:$BO$16,$A35,FALSE)*$C$7/2000*$C$10</f>
        <v>0</v>
      </c>
      <c r="D35" s="426">
        <f>VLOOKUP($D$4 &amp;"|"&amp; $D$8 &amp;"|"&amp; $D$9,'Emission Factor Look Up'!$A$1:$BO$16,$A35,FALSE)*$D$7/2000*$D$10</f>
        <v>0</v>
      </c>
      <c r="E35" s="426">
        <f>VLOOKUP($E$4 &amp;"|"&amp; $E$8 &amp;"|"&amp; $E$9,'Emission Factor Look Up'!$A$1:$BO$16,$A35,FALSE)*$E$7/2000*$E$10</f>
        <v>0</v>
      </c>
      <c r="F35" s="426">
        <f>VLOOKUP($F$4 &amp;"|"&amp; $F$8 &amp;"|"&amp; $F$9,'Emission Factor Look Up'!$A$1:$BO$16,$A35,FALSE)*$F$7/2000*$F$10</f>
        <v>0</v>
      </c>
      <c r="G35" s="426">
        <f>VLOOKUP($G$4 &amp;"|"&amp; $G$8 &amp;"|"&amp; $G$9,'Emission Factor Look Up'!$A$1:$BO$16,$A35,FALSE)*$G$7/2000*$G$10</f>
        <v>0</v>
      </c>
      <c r="H35" s="426">
        <f>VLOOKUP($H$4 &amp;"|"&amp; $H$8 &amp;"|"&amp; $H$9,'Emission Factor Look Up'!$A$1:$BO$16,$A35,FALSE)*$H$7/2000*$H$10</f>
        <v>0</v>
      </c>
      <c r="I35" s="426">
        <f>VLOOKUP($I$4 &amp;"|"&amp; $I$8 &amp;"|"&amp; $I$9,'Emission Factor Look Up'!$A$1:$BO$16,$A35,FALSE)*$I$7/2000*$I$10</f>
        <v>0</v>
      </c>
      <c r="J35" s="426">
        <f>VLOOKUP($J$4 &amp;"|"&amp; $J$8 &amp;"|"&amp; $J$9,'Emission Factor Look Up'!$A$1:$BO$16,$A35,FALSE)*$J$7/2000*$J$10</f>
        <v>0</v>
      </c>
      <c r="K35" s="426">
        <f>VLOOKUP($K$4 &amp;"|"&amp; $K$8 &amp;"|"&amp; $K$9,'Emission Factor Look Up'!$A$1:$BO$16,$A35,FALSE)*$K$7/2000*$K$10</f>
        <v>0</v>
      </c>
      <c r="L35" s="426">
        <f>VLOOKUP($L$4 &amp;"|"&amp; $L$8 &amp;"|"&amp; $L$9,'Emission Factor Look Up'!$A$1:$BO$16,$A35,FALSE)*$L$7/2000*$L$10</f>
        <v>0</v>
      </c>
      <c r="M35" s="426">
        <f>VLOOKUP($M$4 &amp;"|"&amp; $M$8 &amp;"|"&amp; $M$9,'Emission Factor Look Up'!$A$1:$BO$16,$A35,FALSE)*$M$7/2000*$M$10</f>
        <v>0</v>
      </c>
      <c r="N35" s="426">
        <f>VLOOKUP($N$4 &amp;"|"&amp; $N$8 &amp;"|"&amp; $N$9,'Emission Factor Look Up'!$A$1:$BO$16,$A35,FALSE)*$N$7/2000*$N$10</f>
        <v>0</v>
      </c>
      <c r="O35" s="426">
        <f>VLOOKUP($O$4 &amp;"|"&amp; $O$8 &amp;"|"&amp; $O$9,'Emission Factor Look Up'!$A$1:$BO$16,$A35,FALSE)*$O$7/2000*$O$10</f>
        <v>0</v>
      </c>
      <c r="P35" s="426">
        <f>VLOOKUP($P$4 &amp;"|"&amp; $P$8 &amp;"|"&amp; $P$9,'Emission Factor Look Up'!$A$1:$BO$16,$A35,FALSE)*$P$7/2000*$P$10</f>
        <v>0</v>
      </c>
      <c r="Q35" s="426">
        <f>VLOOKUP($Q$4 &amp;"|"&amp; $Q$8 &amp;"|"&amp; $Q$9,'Emission Factor Look Up'!$A$1:$BO$16,$A35,FALSE)*$Q$7/2000*$Q$10</f>
        <v>0</v>
      </c>
      <c r="R35" s="426">
        <f>VLOOKUP($R$4 &amp;"|"&amp; $R$8 &amp;"|"&amp; $R$9,'Emission Factor Look Up'!$A$1:$BO$16,$A35,FALSE)*$R$7/2000*$R$10</f>
        <v>0</v>
      </c>
      <c r="S35" s="426">
        <f>VLOOKUP($S$4 &amp;"|"&amp; $S$8 &amp;"|"&amp; $S$9,'Emission Factor Look Up'!$A$1:$BO$16,$A35,FALSE)*$S$7/2000*$S$10</f>
        <v>0</v>
      </c>
      <c r="T35" s="426">
        <f>VLOOKUP($T$4 &amp;"|"&amp; $T$8 &amp;"|"&amp; $T$9,'Emission Factor Look Up'!$A$1:$BO$16,$A35,FALSE)*$T$7/2000*$T$10</f>
        <v>0</v>
      </c>
      <c r="U35" s="426">
        <f>VLOOKUP($U$4 &amp;"|"&amp; $U$8 &amp;"|"&amp; $U$9,'Emission Factor Look Up'!$A$1:$BO$16,$A35,FALSE)*$U$7/2000*$U$10</f>
        <v>0</v>
      </c>
      <c r="V35" s="426">
        <f>VLOOKUP($V$4 &amp;"|"&amp; $V$8 &amp;"|"&amp; $V$9,'Emission Factor Look Up'!$A$1:$BO$16,$A35,FALSE)*$V$7/2000*$V$10</f>
        <v>0</v>
      </c>
      <c r="W35" s="426">
        <f>VLOOKUP($W$4 &amp;"|"&amp; $W$8 &amp;"|"&amp; $W$9,'Emission Factor Look Up'!$A$1:$BO$16,$A35,FALSE)*$W$7/2000*$W$10</f>
        <v>0</v>
      </c>
      <c r="X35" s="426">
        <f>VLOOKUP($X$4 &amp;"|"&amp; $X$8 &amp;"|"&amp; $X$9,'Emission Factor Look Up'!$A$1:$BO$16,$A35,FALSE)*$X$7/2000*$X$10</f>
        <v>0</v>
      </c>
      <c r="Y35" s="426">
        <f>VLOOKUP($Y$4 &amp;"|"&amp; $Y$8 &amp;"|"&amp; $Y$9,'Emission Factor Look Up'!$A$1:$BO$16,$A35,FALSE)*$Y$7/2000*$Y$10</f>
        <v>0</v>
      </c>
      <c r="Z35" s="426">
        <f>VLOOKUP($Z$4 &amp;"|"&amp; $Z$8 &amp;"|"&amp; $Z$9,'Emission Factor Look Up'!$A$1:$BO$16,$A35,FALSE)*$Z$7/2000*$Z$10</f>
        <v>0</v>
      </c>
      <c r="AA35" s="426">
        <f>VLOOKUP($AA$4 &amp;"|"&amp; $AA$8 &amp;"|"&amp; $AA$9,'Emission Factor Look Up'!$A$1:$BO$16,$A35,FALSE)*$AA$7/2000*$AA$10</f>
        <v>0</v>
      </c>
      <c r="AB35" s="426">
        <f>VLOOKUP($AB$4 &amp;"|"&amp; $AB$8 &amp;"|"&amp; $AB$9,'Emission Factor Look Up'!$A$1:$BO$16,$A35,FALSE)*$AB$7/2000*$AB$10</f>
        <v>0</v>
      </c>
      <c r="AC35" s="426">
        <f>VLOOKUP($AC$4 &amp;"|"&amp; $AC$8 &amp;"|"&amp; $AC$9,'Emission Factor Look Up'!$A$1:$BO$16,$A35,FALSE)*$AC$7/2000*$AC$10</f>
        <v>0</v>
      </c>
      <c r="AD35" s="427">
        <f t="shared" si="0"/>
        <v>0</v>
      </c>
    </row>
    <row r="36" spans="1:30">
      <c r="A36" s="190">
        <v>27</v>
      </c>
      <c r="B36" s="428" t="str">
        <f>'Emission Factors'!A29</f>
        <v>Lead</v>
      </c>
      <c r="C36" s="426">
        <f>VLOOKUP($C$4 &amp;"|"&amp; $C$8 &amp;"|"&amp; $C$9,'Emission Factor Look Up'!$A$1:$BO$16,$A36,FALSE)*$C$7/2000*$C$10</f>
        <v>0</v>
      </c>
      <c r="D36" s="426">
        <f>VLOOKUP($D$4 &amp;"|"&amp; $D$8 &amp;"|"&amp; $D$9,'Emission Factor Look Up'!$A$1:$BO$16,$A36,FALSE)*$D$7/2000*$D$10</f>
        <v>0</v>
      </c>
      <c r="E36" s="426">
        <f>VLOOKUP($E$4 &amp;"|"&amp; $E$8 &amp;"|"&amp; $E$9,'Emission Factor Look Up'!$A$1:$BO$16,$A36,FALSE)*$E$7/2000*$E$10</f>
        <v>0</v>
      </c>
      <c r="F36" s="426">
        <f>VLOOKUP($F$4 &amp;"|"&amp; $F$8 &amp;"|"&amp; $F$9,'Emission Factor Look Up'!$A$1:$BO$16,$A36,FALSE)*$F$7/2000*$F$10</f>
        <v>0</v>
      </c>
      <c r="G36" s="426">
        <f>VLOOKUP($G$4 &amp;"|"&amp; $G$8 &amp;"|"&amp; $G$9,'Emission Factor Look Up'!$A$1:$BO$16,$A36,FALSE)*$G$7/2000*$G$10</f>
        <v>0</v>
      </c>
      <c r="H36" s="426">
        <f>VLOOKUP($H$4 &amp;"|"&amp; $H$8 &amp;"|"&amp; $H$9,'Emission Factor Look Up'!$A$1:$BO$16,$A36,FALSE)*$H$7/2000*$H$10</f>
        <v>0</v>
      </c>
      <c r="I36" s="426">
        <f>VLOOKUP($I$4 &amp;"|"&amp; $I$8 &amp;"|"&amp; $I$9,'Emission Factor Look Up'!$A$1:$BO$16,$A36,FALSE)*$I$7/2000*$I$10</f>
        <v>0</v>
      </c>
      <c r="J36" s="426">
        <f>VLOOKUP($J$4 &amp;"|"&amp; $J$8 &amp;"|"&amp; $J$9,'Emission Factor Look Up'!$A$1:$BO$16,$A36,FALSE)*$J$7/2000*$J$10</f>
        <v>0</v>
      </c>
      <c r="K36" s="426">
        <f>VLOOKUP($K$4 &amp;"|"&amp; $K$8 &amp;"|"&amp; $K$9,'Emission Factor Look Up'!$A$1:$BO$16,$A36,FALSE)*$K$7/2000*$K$10</f>
        <v>0</v>
      </c>
      <c r="L36" s="426">
        <f>VLOOKUP($L$4 &amp;"|"&amp; $L$8 &amp;"|"&amp; $L$9,'Emission Factor Look Up'!$A$1:$BO$16,$A36,FALSE)*$L$7/2000*$L$10</f>
        <v>0</v>
      </c>
      <c r="M36" s="426">
        <f>VLOOKUP($M$4 &amp;"|"&amp; $M$8 &amp;"|"&amp; $M$9,'Emission Factor Look Up'!$A$1:$BO$16,$A36,FALSE)*$M$7/2000*$M$10</f>
        <v>0</v>
      </c>
      <c r="N36" s="426">
        <f>VLOOKUP($N$4 &amp;"|"&amp; $N$8 &amp;"|"&amp; $N$9,'Emission Factor Look Up'!$A$1:$BO$16,$A36,FALSE)*$N$7/2000*$N$10</f>
        <v>0</v>
      </c>
      <c r="O36" s="426">
        <f>VLOOKUP($O$4 &amp;"|"&amp; $O$8 &amp;"|"&amp; $O$9,'Emission Factor Look Up'!$A$1:$BO$16,$A36,FALSE)*$O$7/2000*$O$10</f>
        <v>0</v>
      </c>
      <c r="P36" s="426">
        <f>VLOOKUP($P$4 &amp;"|"&amp; $P$8 &amp;"|"&amp; $P$9,'Emission Factor Look Up'!$A$1:$BO$16,$A36,FALSE)*$P$7/2000*$P$10</f>
        <v>0</v>
      </c>
      <c r="Q36" s="426">
        <f>VLOOKUP($Q$4 &amp;"|"&amp; $Q$8 &amp;"|"&amp; $Q$9,'Emission Factor Look Up'!$A$1:$BO$16,$A36,FALSE)*$Q$7/2000*$Q$10</f>
        <v>0</v>
      </c>
      <c r="R36" s="426">
        <f>VLOOKUP($R$4 &amp;"|"&amp; $R$8 &amp;"|"&amp; $R$9,'Emission Factor Look Up'!$A$1:$BO$16,$A36,FALSE)*$R$7/2000*$R$10</f>
        <v>0</v>
      </c>
      <c r="S36" s="426">
        <f>VLOOKUP($S$4 &amp;"|"&amp; $S$8 &amp;"|"&amp; $S$9,'Emission Factor Look Up'!$A$1:$BO$16,$A36,FALSE)*$S$7/2000*$S$10</f>
        <v>0</v>
      </c>
      <c r="T36" s="426">
        <f>VLOOKUP($T$4 &amp;"|"&amp; $T$8 &amp;"|"&amp; $T$9,'Emission Factor Look Up'!$A$1:$BO$16,$A36,FALSE)*$T$7/2000*$T$10</f>
        <v>0</v>
      </c>
      <c r="U36" s="426">
        <f>VLOOKUP($U$4 &amp;"|"&amp; $U$8 &amp;"|"&amp; $U$9,'Emission Factor Look Up'!$A$1:$BO$16,$A36,FALSE)*$U$7/2000*$U$10</f>
        <v>0</v>
      </c>
      <c r="V36" s="426">
        <f>VLOOKUP($V$4 &amp;"|"&amp; $V$8 &amp;"|"&amp; $V$9,'Emission Factor Look Up'!$A$1:$BO$16,$A36,FALSE)*$V$7/2000*$V$10</f>
        <v>0</v>
      </c>
      <c r="W36" s="426">
        <f>VLOOKUP($W$4 &amp;"|"&amp; $W$8 &amp;"|"&amp; $W$9,'Emission Factor Look Up'!$A$1:$BO$16,$A36,FALSE)*$W$7/2000*$W$10</f>
        <v>0</v>
      </c>
      <c r="X36" s="426">
        <f>VLOOKUP($X$4 &amp;"|"&amp; $X$8 &amp;"|"&amp; $X$9,'Emission Factor Look Up'!$A$1:$BO$16,$A36,FALSE)*$X$7/2000*$X$10</f>
        <v>0</v>
      </c>
      <c r="Y36" s="426">
        <f>VLOOKUP($Y$4 &amp;"|"&amp; $Y$8 &amp;"|"&amp; $Y$9,'Emission Factor Look Up'!$A$1:$BO$16,$A36,FALSE)*$Y$7/2000*$Y$10</f>
        <v>0</v>
      </c>
      <c r="Z36" s="426">
        <f>VLOOKUP($Z$4 &amp;"|"&amp; $Z$8 &amp;"|"&amp; $Z$9,'Emission Factor Look Up'!$A$1:$BO$16,$A36,FALSE)*$Z$7/2000*$Z$10</f>
        <v>0</v>
      </c>
      <c r="AA36" s="426">
        <f>VLOOKUP($AA$4 &amp;"|"&amp; $AA$8 &amp;"|"&amp; $AA$9,'Emission Factor Look Up'!$A$1:$BO$16,$A36,FALSE)*$AA$7/2000*$AA$10</f>
        <v>0</v>
      </c>
      <c r="AB36" s="426">
        <f>VLOOKUP($AB$4 &amp;"|"&amp; $AB$8 &amp;"|"&amp; $AB$9,'Emission Factor Look Up'!$A$1:$BO$16,$A36,FALSE)*$AB$7/2000*$AB$10</f>
        <v>0</v>
      </c>
      <c r="AC36" s="426">
        <f>VLOOKUP($AC$4 &amp;"|"&amp; $AC$8 &amp;"|"&amp; $AC$9,'Emission Factor Look Up'!$A$1:$BO$16,$A36,FALSE)*$AC$7/2000*$AC$10</f>
        <v>1.290392676E-5</v>
      </c>
      <c r="AD36" s="427">
        <f t="shared" si="0"/>
        <v>1.290392676E-5</v>
      </c>
    </row>
    <row r="37" spans="1:30">
      <c r="A37" s="190">
        <v>28</v>
      </c>
      <c r="B37" s="428" t="str">
        <f>'Emission Factors'!A30</f>
        <v>Manganese</v>
      </c>
      <c r="C37" s="426">
        <f>VLOOKUP($C$4 &amp;"|"&amp; $C$8 &amp;"|"&amp; $C$9,'Emission Factor Look Up'!$A$1:$BO$16,$A37,FALSE)*$C$7/2000*$C$10</f>
        <v>0</v>
      </c>
      <c r="D37" s="426">
        <f>VLOOKUP($D$4 &amp;"|"&amp; $D$8 &amp;"|"&amp; $D$9,'Emission Factor Look Up'!$A$1:$BO$16,$A37,FALSE)*$D$7/2000*$D$10</f>
        <v>0</v>
      </c>
      <c r="E37" s="426">
        <f>VLOOKUP($E$4 &amp;"|"&amp; $E$8 &amp;"|"&amp; $E$9,'Emission Factor Look Up'!$A$1:$BO$16,$A37,FALSE)*$E$7/2000*$E$10</f>
        <v>0</v>
      </c>
      <c r="F37" s="426">
        <f>VLOOKUP($F$4 &amp;"|"&amp; $F$8 &amp;"|"&amp; $F$9,'Emission Factor Look Up'!$A$1:$BO$16,$A37,FALSE)*$F$7/2000*$F$10</f>
        <v>0</v>
      </c>
      <c r="G37" s="426">
        <f>VLOOKUP($G$4 &amp;"|"&amp; $G$8 &amp;"|"&amp; $G$9,'Emission Factor Look Up'!$A$1:$BO$16,$A37,FALSE)*$G$7/2000*$G$10</f>
        <v>0</v>
      </c>
      <c r="H37" s="426">
        <f>VLOOKUP($H$4 &amp;"|"&amp; $H$8 &amp;"|"&amp; $H$9,'Emission Factor Look Up'!$A$1:$BO$16,$A37,FALSE)*$H$7/2000*$H$10</f>
        <v>0</v>
      </c>
      <c r="I37" s="426">
        <f>VLOOKUP($I$4 &amp;"|"&amp; $I$8 &amp;"|"&amp; $I$9,'Emission Factor Look Up'!$A$1:$BO$16,$A37,FALSE)*$I$7/2000*$I$10</f>
        <v>0</v>
      </c>
      <c r="J37" s="426">
        <f>VLOOKUP($J$4 &amp;"|"&amp; $J$8 &amp;"|"&amp; $J$9,'Emission Factor Look Up'!$A$1:$BO$16,$A37,FALSE)*$J$7/2000*$J$10</f>
        <v>0</v>
      </c>
      <c r="K37" s="426">
        <f>VLOOKUP($K$4 &amp;"|"&amp; $K$8 &amp;"|"&amp; $K$9,'Emission Factor Look Up'!$A$1:$BO$16,$A37,FALSE)*$K$7/2000*$K$10</f>
        <v>0</v>
      </c>
      <c r="L37" s="426">
        <f>VLOOKUP($L$4 &amp;"|"&amp; $L$8 &amp;"|"&amp; $L$9,'Emission Factor Look Up'!$A$1:$BO$16,$A37,FALSE)*$L$7/2000*$L$10</f>
        <v>0</v>
      </c>
      <c r="M37" s="426">
        <f>VLOOKUP($M$4 &amp;"|"&amp; $M$8 &amp;"|"&amp; $M$9,'Emission Factor Look Up'!$A$1:$BO$16,$A37,FALSE)*$M$7/2000*$M$10</f>
        <v>0</v>
      </c>
      <c r="N37" s="426">
        <f>VLOOKUP($N$4 &amp;"|"&amp; $N$8 &amp;"|"&amp; $N$9,'Emission Factor Look Up'!$A$1:$BO$16,$A37,FALSE)*$N$7/2000*$N$10</f>
        <v>0</v>
      </c>
      <c r="O37" s="426">
        <f>VLOOKUP($O$4 &amp;"|"&amp; $O$8 &amp;"|"&amp; $O$9,'Emission Factor Look Up'!$A$1:$BO$16,$A37,FALSE)*$O$7/2000*$O$10</f>
        <v>0</v>
      </c>
      <c r="P37" s="426">
        <f>VLOOKUP($P$4 &amp;"|"&amp; $P$8 &amp;"|"&amp; $P$9,'Emission Factor Look Up'!$A$1:$BO$16,$A37,FALSE)*$P$7/2000*$P$10</f>
        <v>0</v>
      </c>
      <c r="Q37" s="426">
        <f>VLOOKUP($Q$4 &amp;"|"&amp; $Q$8 &amp;"|"&amp; $Q$9,'Emission Factor Look Up'!$A$1:$BO$16,$A37,FALSE)*$Q$7/2000*$Q$10</f>
        <v>0</v>
      </c>
      <c r="R37" s="426">
        <f>VLOOKUP($R$4 &amp;"|"&amp; $R$8 &amp;"|"&amp; $R$9,'Emission Factor Look Up'!$A$1:$BO$16,$A37,FALSE)*$R$7/2000*$R$10</f>
        <v>0</v>
      </c>
      <c r="S37" s="426">
        <f>VLOOKUP($S$4 &amp;"|"&amp; $S$8 &amp;"|"&amp; $S$9,'Emission Factor Look Up'!$A$1:$BO$16,$A37,FALSE)*$S$7/2000*$S$10</f>
        <v>0</v>
      </c>
      <c r="T37" s="426">
        <f>VLOOKUP($T$4 &amp;"|"&amp; $T$8 &amp;"|"&amp; $T$9,'Emission Factor Look Up'!$A$1:$BO$16,$A37,FALSE)*$T$7/2000*$T$10</f>
        <v>0</v>
      </c>
      <c r="U37" s="426">
        <f>VLOOKUP($U$4 &amp;"|"&amp; $U$8 &amp;"|"&amp; $U$9,'Emission Factor Look Up'!$A$1:$BO$16,$A37,FALSE)*$U$7/2000*$U$10</f>
        <v>0</v>
      </c>
      <c r="V37" s="426">
        <f>VLOOKUP($V$4 &amp;"|"&amp; $V$8 &amp;"|"&amp; $V$9,'Emission Factor Look Up'!$A$1:$BO$16,$A37,FALSE)*$V$7/2000*$V$10</f>
        <v>0</v>
      </c>
      <c r="W37" s="426">
        <f>VLOOKUP($W$4 &amp;"|"&amp; $W$8 &amp;"|"&amp; $W$9,'Emission Factor Look Up'!$A$1:$BO$16,$A37,FALSE)*$W$7/2000*$W$10</f>
        <v>0</v>
      </c>
      <c r="X37" s="426">
        <f>VLOOKUP($X$4 &amp;"|"&amp; $X$8 &amp;"|"&amp; $X$9,'Emission Factor Look Up'!$A$1:$BO$16,$A37,FALSE)*$X$7/2000*$X$10</f>
        <v>0</v>
      </c>
      <c r="Y37" s="426">
        <f>VLOOKUP($Y$4 &amp;"|"&amp; $Y$8 &amp;"|"&amp; $Y$9,'Emission Factor Look Up'!$A$1:$BO$16,$A37,FALSE)*$Y$7/2000*$Y$10</f>
        <v>0</v>
      </c>
      <c r="Z37" s="426">
        <f>VLOOKUP($Z$4 &amp;"|"&amp; $Z$8 &amp;"|"&amp; $Z$9,'Emission Factor Look Up'!$A$1:$BO$16,$A37,FALSE)*$Z$7/2000*$Z$10</f>
        <v>0</v>
      </c>
      <c r="AA37" s="426">
        <f>VLOOKUP($AA$4 &amp;"|"&amp; $AA$8 &amp;"|"&amp; $AA$9,'Emission Factor Look Up'!$A$1:$BO$16,$A37,FALSE)*$AA$7/2000*$AA$10</f>
        <v>0</v>
      </c>
      <c r="AB37" s="426">
        <f>VLOOKUP($AB$4 &amp;"|"&amp; $AB$8 &amp;"|"&amp; $AB$9,'Emission Factor Look Up'!$A$1:$BO$16,$A37,FALSE)*$AB$7/2000*$AB$10</f>
        <v>0</v>
      </c>
      <c r="AC37" s="426">
        <f>VLOOKUP($AC$4 &amp;"|"&amp; $AC$8 &amp;"|"&amp; $AC$9,'Emission Factor Look Up'!$A$1:$BO$16,$A37,FALSE)*$AC$7/2000*$AC$10</f>
        <v>0</v>
      </c>
      <c r="AD37" s="427">
        <f t="shared" si="0"/>
        <v>0</v>
      </c>
    </row>
    <row r="38" spans="1:30">
      <c r="A38" s="190">
        <v>29</v>
      </c>
      <c r="B38" s="428" t="str">
        <f>'Emission Factors'!A31</f>
        <v>Mercury</v>
      </c>
      <c r="C38" s="426">
        <f>VLOOKUP($C$4 &amp;"|"&amp; $C$8 &amp;"|"&amp; $C$9,'Emission Factor Look Up'!$A$1:$BO$16,$A38,FALSE)*$C$7/2000*$C$10</f>
        <v>0</v>
      </c>
      <c r="D38" s="426">
        <f>VLOOKUP($D$4 &amp;"|"&amp; $D$8 &amp;"|"&amp; $D$9,'Emission Factor Look Up'!$A$1:$BO$16,$A38,FALSE)*$D$7/2000*$D$10</f>
        <v>0</v>
      </c>
      <c r="E38" s="426">
        <f>VLOOKUP($E$4 &amp;"|"&amp; $E$8 &amp;"|"&amp; $E$9,'Emission Factor Look Up'!$A$1:$BO$16,$A38,FALSE)*$E$7/2000*$E$10</f>
        <v>0</v>
      </c>
      <c r="F38" s="426">
        <f>VLOOKUP($F$4 &amp;"|"&amp; $F$8 &amp;"|"&amp; $F$9,'Emission Factor Look Up'!$A$1:$BO$16,$A38,FALSE)*$F$7/2000*$F$10</f>
        <v>0</v>
      </c>
      <c r="G38" s="426">
        <f>VLOOKUP($G$4 &amp;"|"&amp; $G$8 &amp;"|"&amp; $G$9,'Emission Factor Look Up'!$A$1:$BO$16,$A38,FALSE)*$G$7/2000*$G$10</f>
        <v>0</v>
      </c>
      <c r="H38" s="426">
        <f>VLOOKUP($H$4 &amp;"|"&amp; $H$8 &amp;"|"&amp; $H$9,'Emission Factor Look Up'!$A$1:$BO$16,$A38,FALSE)*$H$7/2000*$H$10</f>
        <v>0</v>
      </c>
      <c r="I38" s="426">
        <f>VLOOKUP($I$4 &amp;"|"&amp; $I$8 &amp;"|"&amp; $I$9,'Emission Factor Look Up'!$A$1:$BO$16,$A38,FALSE)*$I$7/2000*$I$10</f>
        <v>0</v>
      </c>
      <c r="J38" s="426">
        <f>VLOOKUP($J$4 &amp;"|"&amp; $J$8 &amp;"|"&amp; $J$9,'Emission Factor Look Up'!$A$1:$BO$16,$A38,FALSE)*$J$7/2000*$J$10</f>
        <v>0</v>
      </c>
      <c r="K38" s="426">
        <f>VLOOKUP($K$4 &amp;"|"&amp; $K$8 &amp;"|"&amp; $K$9,'Emission Factor Look Up'!$A$1:$BO$16,$A38,FALSE)*$K$7/2000*$K$10</f>
        <v>0</v>
      </c>
      <c r="L38" s="426">
        <f>VLOOKUP($L$4 &amp;"|"&amp; $L$8 &amp;"|"&amp; $L$9,'Emission Factor Look Up'!$A$1:$BO$16,$A38,FALSE)*$L$7/2000*$L$10</f>
        <v>0</v>
      </c>
      <c r="M38" s="426">
        <f>VLOOKUP($M$4 &amp;"|"&amp; $M$8 &amp;"|"&amp; $M$9,'Emission Factor Look Up'!$A$1:$BO$16,$A38,FALSE)*$M$7/2000*$M$10</f>
        <v>0</v>
      </c>
      <c r="N38" s="426">
        <f>VLOOKUP($N$4 &amp;"|"&amp; $N$8 &amp;"|"&amp; $N$9,'Emission Factor Look Up'!$A$1:$BO$16,$A38,FALSE)*$N$7/2000*$N$10</f>
        <v>0</v>
      </c>
      <c r="O38" s="426">
        <f>VLOOKUP($O$4 &amp;"|"&amp; $O$8 &amp;"|"&amp; $O$9,'Emission Factor Look Up'!$A$1:$BO$16,$A38,FALSE)*$O$7/2000*$O$10</f>
        <v>0</v>
      </c>
      <c r="P38" s="426">
        <f>VLOOKUP($P$4 &amp;"|"&amp; $P$8 &amp;"|"&amp; $P$9,'Emission Factor Look Up'!$A$1:$BO$16,$A38,FALSE)*$P$7/2000*$P$10</f>
        <v>0</v>
      </c>
      <c r="Q38" s="426">
        <f>VLOOKUP($Q$4 &amp;"|"&amp; $Q$8 &amp;"|"&amp; $Q$9,'Emission Factor Look Up'!$A$1:$BO$16,$A38,FALSE)*$Q$7/2000*$Q$10</f>
        <v>0</v>
      </c>
      <c r="R38" s="426">
        <f>VLOOKUP($R$4 &amp;"|"&amp; $R$8 &amp;"|"&amp; $R$9,'Emission Factor Look Up'!$A$1:$BO$16,$A38,FALSE)*$R$7/2000*$R$10</f>
        <v>0</v>
      </c>
      <c r="S38" s="426">
        <f>VLOOKUP($S$4 &amp;"|"&amp; $S$8 &amp;"|"&amp; $S$9,'Emission Factor Look Up'!$A$1:$BO$16,$A38,FALSE)*$S$7/2000*$S$10</f>
        <v>0</v>
      </c>
      <c r="T38" s="426">
        <f>VLOOKUP($T$4 &amp;"|"&amp; $T$8 &amp;"|"&amp; $T$9,'Emission Factor Look Up'!$A$1:$BO$16,$A38,FALSE)*$T$7/2000*$T$10</f>
        <v>0</v>
      </c>
      <c r="U38" s="426">
        <f>VLOOKUP($U$4 &amp;"|"&amp; $U$8 &amp;"|"&amp; $U$9,'Emission Factor Look Up'!$A$1:$BO$16,$A38,FALSE)*$U$7/2000*$U$10</f>
        <v>0</v>
      </c>
      <c r="V38" s="426">
        <f>VLOOKUP($V$4 &amp;"|"&amp; $V$8 &amp;"|"&amp; $V$9,'Emission Factor Look Up'!$A$1:$BO$16,$A38,FALSE)*$V$7/2000*$V$10</f>
        <v>0</v>
      </c>
      <c r="W38" s="426">
        <f>VLOOKUP($W$4 &amp;"|"&amp; $W$8 &amp;"|"&amp; $W$9,'Emission Factor Look Up'!$A$1:$BO$16,$A38,FALSE)*$W$7/2000*$W$10</f>
        <v>0</v>
      </c>
      <c r="X38" s="426">
        <f>VLOOKUP($X$4 &amp;"|"&amp; $X$8 &amp;"|"&amp; $X$9,'Emission Factor Look Up'!$A$1:$BO$16,$A38,FALSE)*$X$7/2000*$X$10</f>
        <v>0</v>
      </c>
      <c r="Y38" s="426">
        <f>VLOOKUP($Y$4 &amp;"|"&amp; $Y$8 &amp;"|"&amp; $Y$9,'Emission Factor Look Up'!$A$1:$BO$16,$A38,FALSE)*$Y$7/2000*$Y$10</f>
        <v>0</v>
      </c>
      <c r="Z38" s="426">
        <f>VLOOKUP($Z$4 &amp;"|"&amp; $Z$8 &amp;"|"&amp; $Z$9,'Emission Factor Look Up'!$A$1:$BO$16,$A38,FALSE)*$Z$7/2000*$Z$10</f>
        <v>0</v>
      </c>
      <c r="AA38" s="426">
        <f>VLOOKUP($AA$4 &amp;"|"&amp; $AA$8 &amp;"|"&amp; $AA$9,'Emission Factor Look Up'!$A$1:$BO$16,$A38,FALSE)*$AA$7/2000*$AA$10</f>
        <v>0</v>
      </c>
      <c r="AB38" s="426">
        <f>VLOOKUP($AB$4 &amp;"|"&amp; $AB$8 &amp;"|"&amp; $AB$9,'Emission Factor Look Up'!$A$1:$BO$16,$A38,FALSE)*$AB$7/2000*$AB$10</f>
        <v>0</v>
      </c>
      <c r="AC38" s="426">
        <f>VLOOKUP($AC$4 &amp;"|"&amp; $AC$8 &amp;"|"&amp; $AC$9,'Emission Factor Look Up'!$A$1:$BO$16,$A38,FALSE)*$AC$7/2000*$AC$10</f>
        <v>0</v>
      </c>
      <c r="AD38" s="427">
        <f t="shared" si="0"/>
        <v>0</v>
      </c>
    </row>
    <row r="39" spans="1:30">
      <c r="A39" s="190">
        <v>30</v>
      </c>
      <c r="B39" s="428" t="str">
        <f>'Emission Factors'!A32</f>
        <v>Methanol</v>
      </c>
      <c r="C39" s="426">
        <f>VLOOKUP($C$4 &amp;"|"&amp; $C$8 &amp;"|"&amp; $C$9,'Emission Factor Look Up'!$A$1:$BO$16,$A39,FALSE)*$C$7/2000*$C$10</f>
        <v>0</v>
      </c>
      <c r="D39" s="426">
        <f>VLOOKUP($D$4 &amp;"|"&amp; $D$8 &amp;"|"&amp; $D$9,'Emission Factor Look Up'!$A$1:$BO$16,$A39,FALSE)*$D$7/2000*$D$10</f>
        <v>0</v>
      </c>
      <c r="E39" s="426">
        <f>VLOOKUP($E$4 &amp;"|"&amp; $E$8 &amp;"|"&amp; $E$9,'Emission Factor Look Up'!$A$1:$BO$16,$A39,FALSE)*$E$7/2000*$E$10</f>
        <v>0</v>
      </c>
      <c r="F39" s="426">
        <f>VLOOKUP($F$4 &amp;"|"&amp; $F$8 &amp;"|"&amp; $F$9,'Emission Factor Look Up'!$A$1:$BO$16,$A39,FALSE)*$F$7/2000*$F$10</f>
        <v>0</v>
      </c>
      <c r="G39" s="426">
        <f>VLOOKUP($G$4 &amp;"|"&amp; $G$8 &amp;"|"&amp; $G$9,'Emission Factor Look Up'!$A$1:$BO$16,$A39,FALSE)*$G$7/2000*$G$10</f>
        <v>0</v>
      </c>
      <c r="H39" s="426">
        <f>VLOOKUP($H$4 &amp;"|"&amp; $H$8 &amp;"|"&amp; $H$9,'Emission Factor Look Up'!$A$1:$BO$16,$A39,FALSE)*$H$7/2000*$H$10</f>
        <v>0</v>
      </c>
      <c r="I39" s="426">
        <f>VLOOKUP($I$4 &amp;"|"&amp; $I$8 &amp;"|"&amp; $I$9,'Emission Factor Look Up'!$A$1:$BO$16,$A39,FALSE)*$I$7/2000*$I$10</f>
        <v>0</v>
      </c>
      <c r="J39" s="426">
        <f>VLOOKUP($J$4 &amp;"|"&amp; $J$8 &amp;"|"&amp; $J$9,'Emission Factor Look Up'!$A$1:$BO$16,$A39,FALSE)*$J$7/2000*$J$10</f>
        <v>0</v>
      </c>
      <c r="K39" s="426">
        <f>VLOOKUP($K$4 &amp;"|"&amp; $K$8 &amp;"|"&amp; $K$9,'Emission Factor Look Up'!$A$1:$BO$16,$A39,FALSE)*$K$7/2000*$K$10</f>
        <v>0</v>
      </c>
      <c r="L39" s="426">
        <f>VLOOKUP($L$4 &amp;"|"&amp; $L$8 &amp;"|"&amp; $L$9,'Emission Factor Look Up'!$A$1:$BO$16,$A39,FALSE)*$L$7/2000*$L$10</f>
        <v>0</v>
      </c>
      <c r="M39" s="426">
        <f>VLOOKUP($M$4 &amp;"|"&amp; $M$8 &amp;"|"&amp; $M$9,'Emission Factor Look Up'!$A$1:$BO$16,$A39,FALSE)*$M$7/2000*$M$10</f>
        <v>0</v>
      </c>
      <c r="N39" s="426">
        <f>VLOOKUP($N$4 &amp;"|"&amp; $N$8 &amp;"|"&amp; $N$9,'Emission Factor Look Up'!$A$1:$BO$16,$A39,FALSE)*$N$7/2000*$N$10</f>
        <v>0</v>
      </c>
      <c r="O39" s="426">
        <f>VLOOKUP($O$4 &amp;"|"&amp; $O$8 &amp;"|"&amp; $O$9,'Emission Factor Look Up'!$A$1:$BO$16,$A39,FALSE)*$O$7/2000*$O$10</f>
        <v>0</v>
      </c>
      <c r="P39" s="426">
        <f>VLOOKUP($P$4 &amp;"|"&amp; $P$8 &amp;"|"&amp; $P$9,'Emission Factor Look Up'!$A$1:$BO$16,$A39,FALSE)*$P$7/2000*$P$10</f>
        <v>0</v>
      </c>
      <c r="Q39" s="426">
        <f>VLOOKUP($Q$4 &amp;"|"&amp; $Q$8 &amp;"|"&amp; $Q$9,'Emission Factor Look Up'!$A$1:$BO$16,$A39,FALSE)*$Q$7/2000*$Q$10</f>
        <v>0</v>
      </c>
      <c r="R39" s="426">
        <f>VLOOKUP($R$4 &amp;"|"&amp; $R$8 &amp;"|"&amp; $R$9,'Emission Factor Look Up'!$A$1:$BO$16,$A39,FALSE)*$R$7/2000*$R$10</f>
        <v>0</v>
      </c>
      <c r="S39" s="426">
        <f>VLOOKUP($S$4 &amp;"|"&amp; $S$8 &amp;"|"&amp; $S$9,'Emission Factor Look Up'!$A$1:$BO$16,$A39,FALSE)*$S$7/2000*$S$10</f>
        <v>0</v>
      </c>
      <c r="T39" s="426">
        <f>VLOOKUP($T$4 &amp;"|"&amp; $T$8 &amp;"|"&amp; $T$9,'Emission Factor Look Up'!$A$1:$BO$16,$A39,FALSE)*$T$7/2000*$T$10</f>
        <v>0</v>
      </c>
      <c r="U39" s="426">
        <f>VLOOKUP($U$4 &amp;"|"&amp; $U$8 &amp;"|"&amp; $U$9,'Emission Factor Look Up'!$A$1:$BO$16,$A39,FALSE)*$U$7/2000*$U$10</f>
        <v>0</v>
      </c>
      <c r="V39" s="426">
        <f>VLOOKUP($V$4 &amp;"|"&amp; $V$8 &amp;"|"&amp; $V$9,'Emission Factor Look Up'!$A$1:$BO$16,$A39,FALSE)*$V$7/2000*$V$10</f>
        <v>0</v>
      </c>
      <c r="W39" s="426">
        <f>VLOOKUP($W$4 &amp;"|"&amp; $W$8 &amp;"|"&amp; $W$9,'Emission Factor Look Up'!$A$1:$BO$16,$A39,FALSE)*$W$7/2000*$W$10</f>
        <v>0</v>
      </c>
      <c r="X39" s="426">
        <f>VLOOKUP($X$4 &amp;"|"&amp; $X$8 &amp;"|"&amp; $X$9,'Emission Factor Look Up'!$A$1:$BO$16,$A39,FALSE)*$X$7/2000*$X$10</f>
        <v>0</v>
      </c>
      <c r="Y39" s="426">
        <f>VLOOKUP($Y$4 &amp;"|"&amp; $Y$8 &amp;"|"&amp; $Y$9,'Emission Factor Look Up'!$A$1:$BO$16,$A39,FALSE)*$Y$7/2000*$Y$10</f>
        <v>0</v>
      </c>
      <c r="Z39" s="426">
        <f>VLOOKUP($Z$4 &amp;"|"&amp; $Z$8 &amp;"|"&amp; $Z$9,'Emission Factor Look Up'!$A$1:$BO$16,$A39,FALSE)*$Z$7/2000*$Z$10</f>
        <v>0</v>
      </c>
      <c r="AA39" s="426">
        <f>VLOOKUP($AA$4 &amp;"|"&amp; $AA$8 &amp;"|"&amp; $AA$9,'Emission Factor Look Up'!$A$1:$BO$16,$A39,FALSE)*$AA$7/2000*$AA$10</f>
        <v>0</v>
      </c>
      <c r="AB39" s="426">
        <f>VLOOKUP($AB$4 &amp;"|"&amp; $AB$8 &amp;"|"&amp; $AB$9,'Emission Factor Look Up'!$A$1:$BO$16,$A39,FALSE)*$AB$7/2000*$AB$10</f>
        <v>0</v>
      </c>
      <c r="AC39" s="426">
        <f>VLOOKUP($AC$4 &amp;"|"&amp; $AC$8 &amp;"|"&amp; $AC$9,'Emission Factor Look Up'!$A$1:$BO$16,$A39,FALSE)*$AC$7/2000*$AC$10</f>
        <v>0</v>
      </c>
      <c r="AD39" s="427">
        <f t="shared" si="0"/>
        <v>0</v>
      </c>
    </row>
    <row r="40" spans="1:30">
      <c r="A40" s="190">
        <v>31</v>
      </c>
      <c r="B40" s="428" t="str">
        <f>'Emission Factors'!A33</f>
        <v>Methylene Chloride</v>
      </c>
      <c r="C40" s="426">
        <f>VLOOKUP($C$4 &amp;"|"&amp; $C$8 &amp;"|"&amp; $C$9,'Emission Factor Look Up'!$A$1:$BO$16,$A40,FALSE)*$C$7/2000*$C$10</f>
        <v>0</v>
      </c>
      <c r="D40" s="426">
        <f>VLOOKUP($D$4 &amp;"|"&amp; $D$8 &amp;"|"&amp; $D$9,'Emission Factor Look Up'!$A$1:$BO$16,$A40,FALSE)*$D$7/2000*$D$10</f>
        <v>0</v>
      </c>
      <c r="E40" s="426">
        <f>VLOOKUP($E$4 &amp;"|"&amp; $E$8 &amp;"|"&amp; $E$9,'Emission Factor Look Up'!$A$1:$BO$16,$A40,FALSE)*$E$7/2000*$E$10</f>
        <v>0</v>
      </c>
      <c r="F40" s="426">
        <f>VLOOKUP($F$4 &amp;"|"&amp; $F$8 &amp;"|"&amp; $F$9,'Emission Factor Look Up'!$A$1:$BO$16,$A40,FALSE)*$F$7/2000*$F$10</f>
        <v>0</v>
      </c>
      <c r="G40" s="426">
        <f>VLOOKUP($G$4 &amp;"|"&amp; $G$8 &amp;"|"&amp; $G$9,'Emission Factor Look Up'!$A$1:$BO$16,$A40,FALSE)*$G$7/2000*$G$10</f>
        <v>0</v>
      </c>
      <c r="H40" s="426">
        <f>VLOOKUP($H$4 &amp;"|"&amp; $H$8 &amp;"|"&amp; $H$9,'Emission Factor Look Up'!$A$1:$BO$16,$A40,FALSE)*$H$7/2000*$H$10</f>
        <v>0</v>
      </c>
      <c r="I40" s="426">
        <f>VLOOKUP($I$4 &amp;"|"&amp; $I$8 &amp;"|"&amp; $I$9,'Emission Factor Look Up'!$A$1:$BO$16,$A40,FALSE)*$I$7/2000*$I$10</f>
        <v>0</v>
      </c>
      <c r="J40" s="426">
        <f>VLOOKUP($J$4 &amp;"|"&amp; $J$8 &amp;"|"&amp; $J$9,'Emission Factor Look Up'!$A$1:$BO$16,$A40,FALSE)*$J$7/2000*$J$10</f>
        <v>0</v>
      </c>
      <c r="K40" s="426">
        <f>VLOOKUP($K$4 &amp;"|"&amp; $K$8 &amp;"|"&amp; $K$9,'Emission Factor Look Up'!$A$1:$BO$16,$A40,FALSE)*$K$7/2000*$K$10</f>
        <v>0</v>
      </c>
      <c r="L40" s="426">
        <f>VLOOKUP($L$4 &amp;"|"&amp; $L$8 &amp;"|"&amp; $L$9,'Emission Factor Look Up'!$A$1:$BO$16,$A40,FALSE)*$L$7/2000*$L$10</f>
        <v>0</v>
      </c>
      <c r="M40" s="426">
        <f>VLOOKUP($M$4 &amp;"|"&amp; $M$8 &amp;"|"&amp; $M$9,'Emission Factor Look Up'!$A$1:$BO$16,$A40,FALSE)*$M$7/2000*$M$10</f>
        <v>0</v>
      </c>
      <c r="N40" s="426">
        <f>VLOOKUP($N$4 &amp;"|"&amp; $N$8 &amp;"|"&amp; $N$9,'Emission Factor Look Up'!$A$1:$BO$16,$A40,FALSE)*$N$7/2000*$N$10</f>
        <v>0</v>
      </c>
      <c r="O40" s="426">
        <f>VLOOKUP($O$4 &amp;"|"&amp; $O$8 &amp;"|"&amp; $O$9,'Emission Factor Look Up'!$A$1:$BO$16,$A40,FALSE)*$O$7/2000*$O$10</f>
        <v>0</v>
      </c>
      <c r="P40" s="426">
        <f>VLOOKUP($P$4 &amp;"|"&amp; $P$8 &amp;"|"&amp; $P$9,'Emission Factor Look Up'!$A$1:$BO$16,$A40,FALSE)*$P$7/2000*$P$10</f>
        <v>0</v>
      </c>
      <c r="Q40" s="426">
        <f>VLOOKUP($Q$4 &amp;"|"&amp; $Q$8 &amp;"|"&amp; $Q$9,'Emission Factor Look Up'!$A$1:$BO$16,$A40,FALSE)*$Q$7/2000*$Q$10</f>
        <v>0</v>
      </c>
      <c r="R40" s="426">
        <f>VLOOKUP($R$4 &amp;"|"&amp; $R$8 &amp;"|"&amp; $R$9,'Emission Factor Look Up'!$A$1:$BO$16,$A40,FALSE)*$R$7/2000*$R$10</f>
        <v>0</v>
      </c>
      <c r="S40" s="426">
        <f>VLOOKUP($S$4 &amp;"|"&amp; $S$8 &amp;"|"&amp; $S$9,'Emission Factor Look Up'!$A$1:$BO$16,$A40,FALSE)*$S$7/2000*$S$10</f>
        <v>0</v>
      </c>
      <c r="T40" s="426">
        <f>VLOOKUP($T$4 &amp;"|"&amp; $T$8 &amp;"|"&amp; $T$9,'Emission Factor Look Up'!$A$1:$BO$16,$A40,FALSE)*$T$7/2000*$T$10</f>
        <v>0</v>
      </c>
      <c r="U40" s="426">
        <f>VLOOKUP($U$4 &amp;"|"&amp; $U$8 &amp;"|"&amp; $U$9,'Emission Factor Look Up'!$A$1:$BO$16,$A40,FALSE)*$U$7/2000*$U$10</f>
        <v>0</v>
      </c>
      <c r="V40" s="426">
        <f>VLOOKUP($V$4 &amp;"|"&amp; $V$8 &amp;"|"&amp; $V$9,'Emission Factor Look Up'!$A$1:$BO$16,$A40,FALSE)*$V$7/2000*$V$10</f>
        <v>0</v>
      </c>
      <c r="W40" s="426">
        <f>VLOOKUP($W$4 &amp;"|"&amp; $W$8 &amp;"|"&amp; $W$9,'Emission Factor Look Up'!$A$1:$BO$16,$A40,FALSE)*$W$7/2000*$W$10</f>
        <v>0</v>
      </c>
      <c r="X40" s="426">
        <f>VLOOKUP($X$4 &amp;"|"&amp; $X$8 &amp;"|"&amp; $X$9,'Emission Factor Look Up'!$A$1:$BO$16,$A40,FALSE)*$X$7/2000*$X$10</f>
        <v>0</v>
      </c>
      <c r="Y40" s="426">
        <f>VLOOKUP($Y$4 &amp;"|"&amp; $Y$8 &amp;"|"&amp; $Y$9,'Emission Factor Look Up'!$A$1:$BO$16,$A40,FALSE)*$Y$7/2000*$Y$10</f>
        <v>0</v>
      </c>
      <c r="Z40" s="426">
        <f>VLOOKUP($Z$4 &amp;"|"&amp; $Z$8 &amp;"|"&amp; $Z$9,'Emission Factor Look Up'!$A$1:$BO$16,$A40,FALSE)*$Z$7/2000*$Z$10</f>
        <v>0</v>
      </c>
      <c r="AA40" s="426">
        <f>VLOOKUP($AA$4 &amp;"|"&amp; $AA$8 &amp;"|"&amp; $AA$9,'Emission Factor Look Up'!$A$1:$BO$16,$A40,FALSE)*$AA$7/2000*$AA$10</f>
        <v>0</v>
      </c>
      <c r="AB40" s="426">
        <f>VLOOKUP($AB$4 &amp;"|"&amp; $AB$8 &amp;"|"&amp; $AB$9,'Emission Factor Look Up'!$A$1:$BO$16,$A40,FALSE)*$AB$7/2000*$AB$10</f>
        <v>0</v>
      </c>
      <c r="AC40" s="426">
        <f>VLOOKUP($AC$4 &amp;"|"&amp; $AC$8 &amp;"|"&amp; $AC$9,'Emission Factor Look Up'!$A$1:$BO$16,$A40,FALSE)*$AC$7/2000*$AC$10</f>
        <v>0</v>
      </c>
      <c r="AD40" s="427">
        <f t="shared" si="0"/>
        <v>0</v>
      </c>
    </row>
    <row r="41" spans="1:30">
      <c r="A41" s="190">
        <v>32</v>
      </c>
      <c r="B41" s="428" t="str">
        <f>'Emission Factors'!A34</f>
        <v>n-Hexane</v>
      </c>
      <c r="C41" s="426">
        <f>VLOOKUP($C$4 &amp;"|"&amp; $C$8 &amp;"|"&amp; $C$9,'Emission Factor Look Up'!$A$1:$BO$16,$A41,FALSE)*$C$7/2000*$C$10</f>
        <v>0</v>
      </c>
      <c r="D41" s="426">
        <f>VLOOKUP($D$4 &amp;"|"&amp; $D$8 &amp;"|"&amp; $D$9,'Emission Factor Look Up'!$A$1:$BO$16,$A41,FALSE)*$D$7/2000*$D$10</f>
        <v>0</v>
      </c>
      <c r="E41" s="426">
        <f>VLOOKUP($E$4 &amp;"|"&amp; $E$8 &amp;"|"&amp; $E$9,'Emission Factor Look Up'!$A$1:$BO$16,$A41,FALSE)*$E$7/2000*$E$10</f>
        <v>0</v>
      </c>
      <c r="F41" s="426">
        <f>VLOOKUP($F$4 &amp;"|"&amp; $F$8 &amp;"|"&amp; $F$9,'Emission Factor Look Up'!$A$1:$BO$16,$A41,FALSE)*$F$7/2000*$F$10</f>
        <v>0</v>
      </c>
      <c r="G41" s="426">
        <f>VLOOKUP($G$4 &amp;"|"&amp; $G$8 &amp;"|"&amp; $G$9,'Emission Factor Look Up'!$A$1:$BO$16,$A41,FALSE)*$G$7/2000*$G$10</f>
        <v>0</v>
      </c>
      <c r="H41" s="426">
        <f>VLOOKUP($H$4 &amp;"|"&amp; $H$8 &amp;"|"&amp; $H$9,'Emission Factor Look Up'!$A$1:$BO$16,$A41,FALSE)*$H$7/2000*$H$10</f>
        <v>0</v>
      </c>
      <c r="I41" s="426">
        <f>VLOOKUP($I$4 &amp;"|"&amp; $I$8 &amp;"|"&amp; $I$9,'Emission Factor Look Up'!$A$1:$BO$16,$A41,FALSE)*$I$7/2000*$I$10</f>
        <v>0</v>
      </c>
      <c r="J41" s="426">
        <f>VLOOKUP($J$4 &amp;"|"&amp; $J$8 &amp;"|"&amp; $J$9,'Emission Factor Look Up'!$A$1:$BO$16,$A41,FALSE)*$J$7/2000*$J$10</f>
        <v>0</v>
      </c>
      <c r="K41" s="426">
        <f>VLOOKUP($K$4 &amp;"|"&amp; $K$8 &amp;"|"&amp; $K$9,'Emission Factor Look Up'!$A$1:$BO$16,$A41,FALSE)*$K$7/2000*$K$10</f>
        <v>0</v>
      </c>
      <c r="L41" s="426">
        <f>VLOOKUP($L$4 &amp;"|"&amp; $L$8 &amp;"|"&amp; $L$9,'Emission Factor Look Up'!$A$1:$BO$16,$A41,FALSE)*$L$7/2000*$L$10</f>
        <v>0</v>
      </c>
      <c r="M41" s="426">
        <f>VLOOKUP($M$4 &amp;"|"&amp; $M$8 &amp;"|"&amp; $M$9,'Emission Factor Look Up'!$A$1:$BO$16,$A41,FALSE)*$M$7/2000*$M$10</f>
        <v>0</v>
      </c>
      <c r="N41" s="426">
        <f>VLOOKUP($N$4 &amp;"|"&amp; $N$8 &amp;"|"&amp; $N$9,'Emission Factor Look Up'!$A$1:$BO$16,$A41,FALSE)*$N$7/2000*$N$10</f>
        <v>0</v>
      </c>
      <c r="O41" s="426">
        <f>VLOOKUP($O$4 &amp;"|"&amp; $O$8 &amp;"|"&amp; $O$9,'Emission Factor Look Up'!$A$1:$BO$16,$A41,FALSE)*$O$7/2000*$O$10</f>
        <v>8.9038529411764706E-4</v>
      </c>
      <c r="P41" s="426">
        <f>VLOOKUP($P$4 &amp;"|"&amp; $P$8 &amp;"|"&amp; $P$9,'Emission Factor Look Up'!$A$1:$BO$16,$A41,FALSE)*$P$7/2000*$P$10</f>
        <v>8.9038529411764706E-4</v>
      </c>
      <c r="Q41" s="426">
        <f>VLOOKUP($Q$4 &amp;"|"&amp; $Q$8 &amp;"|"&amp; $Q$9,'Emission Factor Look Up'!$A$1:$BO$16,$A41,FALSE)*$Q$7/2000*$Q$10</f>
        <v>0</v>
      </c>
      <c r="R41" s="426">
        <f>VLOOKUP($R$4 &amp;"|"&amp; $R$8 &amp;"|"&amp; $R$9,'Emission Factor Look Up'!$A$1:$BO$16,$A41,FALSE)*$R$7/2000*$R$10</f>
        <v>2.8019117647058825E-4</v>
      </c>
      <c r="S41" s="426">
        <f>VLOOKUP($S$4 &amp;"|"&amp; $S$8 &amp;"|"&amp; $S$9,'Emission Factor Look Up'!$A$1:$BO$16,$A41,FALSE)*$S$7/2000*$S$10</f>
        <v>2.8019117647058825E-4</v>
      </c>
      <c r="T41" s="426">
        <f>VLOOKUP($T$4 &amp;"|"&amp; $T$8 &amp;"|"&amp; $T$9,'Emission Factor Look Up'!$A$1:$BO$16,$A41,FALSE)*$T$7/2000*$T$10</f>
        <v>0</v>
      </c>
      <c r="U41" s="426">
        <f>VLOOKUP($U$4 &amp;"|"&amp; $U$8 &amp;"|"&amp; $U$9,'Emission Factor Look Up'!$A$1:$BO$16,$A41,FALSE)*$U$7/2000*$U$10</f>
        <v>0.42641372549019607</v>
      </c>
      <c r="V41" s="426">
        <f>VLOOKUP($V$4 &amp;"|"&amp; $V$8 &amp;"|"&amp; $V$9,'Emission Factor Look Up'!$A$1:$BO$16,$A41,FALSE)*$V$7/2000*$V$10</f>
        <v>0.42641372549019607</v>
      </c>
      <c r="W41" s="426">
        <f>VLOOKUP($W$4 &amp;"|"&amp; $W$8 &amp;"|"&amp; $W$9,'Emission Factor Look Up'!$A$1:$BO$16,$A41,FALSE)*$W$7/2000*$W$10</f>
        <v>0</v>
      </c>
      <c r="X41" s="426">
        <f>VLOOKUP($X$4 &amp;"|"&amp; $X$8 &amp;"|"&amp; $X$9,'Emission Factor Look Up'!$A$1:$BO$16,$A41,FALSE)*$X$7/2000*$X$10</f>
        <v>9.9651960784313723E-2</v>
      </c>
      <c r="Y41" s="426">
        <f>VLOOKUP($Y$4 &amp;"|"&amp; $Y$8 &amp;"|"&amp; $Y$9,'Emission Factor Look Up'!$A$1:$BO$16,$A41,FALSE)*$Y$7/2000*$Y$10</f>
        <v>9.9651960784313723E-2</v>
      </c>
      <c r="Z41" s="426">
        <f>VLOOKUP($Z$4 &amp;"|"&amp; $Z$8 &amp;"|"&amp; $Z$9,'Emission Factor Look Up'!$A$1:$BO$16,$A41,FALSE)*$Z$7/2000*$Z$10</f>
        <v>0</v>
      </c>
      <c r="AA41" s="426">
        <f>VLOOKUP($AA$4 &amp;"|"&amp; $AA$8 &amp;"|"&amp; $AA$9,'Emission Factor Look Up'!$A$1:$BO$16,$A41,FALSE)*$AA$7/2000*$AA$10</f>
        <v>1.3075588235294119E-3</v>
      </c>
      <c r="AB41" s="426">
        <f>VLOOKUP($AB$4 &amp;"|"&amp; $AB$8 &amp;"|"&amp; $AB$9,'Emission Factor Look Up'!$A$1:$BO$16,$A41,FALSE)*$AB$7/2000*$AB$10</f>
        <v>2.0419411764705884E-3</v>
      </c>
      <c r="AC41" s="426">
        <f>VLOOKUP($AC$4 &amp;"|"&amp; $AC$8 &amp;"|"&amp; $AC$9,'Emission Factor Look Up'!$A$1:$BO$16,$A41,FALSE)*$AC$7/2000*$AC$10</f>
        <v>4.6453765170419999E-2</v>
      </c>
      <c r="AD41" s="427">
        <f t="shared" si="0"/>
        <v>1.104275790660616</v>
      </c>
    </row>
    <row r="42" spans="1:30">
      <c r="A42" s="190">
        <v>33</v>
      </c>
      <c r="B42" s="428" t="str">
        <f>'Emission Factors'!A35</f>
        <v>Nickel</v>
      </c>
      <c r="C42" s="426">
        <f>VLOOKUP($C$4 &amp;"|"&amp; $C$8 &amp;"|"&amp; $C$9,'Emission Factor Look Up'!$A$1:$BO$16,$A42,FALSE)*$C$7/2000*$C$10</f>
        <v>0</v>
      </c>
      <c r="D42" s="426">
        <f>VLOOKUP($D$4 &amp;"|"&amp; $D$8 &amp;"|"&amp; $D$9,'Emission Factor Look Up'!$A$1:$BO$16,$A42,FALSE)*$D$7/2000*$D$10</f>
        <v>0</v>
      </c>
      <c r="E42" s="426">
        <f>VLOOKUP($E$4 &amp;"|"&amp; $E$8 &amp;"|"&amp; $E$9,'Emission Factor Look Up'!$A$1:$BO$16,$A42,FALSE)*$E$7/2000*$E$10</f>
        <v>0</v>
      </c>
      <c r="F42" s="426">
        <f>VLOOKUP($F$4 &amp;"|"&amp; $F$8 &amp;"|"&amp; $F$9,'Emission Factor Look Up'!$A$1:$BO$16,$A42,FALSE)*$F$7/2000*$F$10</f>
        <v>0</v>
      </c>
      <c r="G42" s="426">
        <f>VLOOKUP($G$4 &amp;"|"&amp; $G$8 &amp;"|"&amp; $G$9,'Emission Factor Look Up'!$A$1:$BO$16,$A42,FALSE)*$G$7/2000*$G$10</f>
        <v>0</v>
      </c>
      <c r="H42" s="426">
        <f>VLOOKUP($H$4 &amp;"|"&amp; $H$8 &amp;"|"&amp; $H$9,'Emission Factor Look Up'!$A$1:$BO$16,$A42,FALSE)*$H$7/2000*$H$10</f>
        <v>0</v>
      </c>
      <c r="I42" s="426">
        <f>VLOOKUP($I$4 &amp;"|"&amp; $I$8 &amp;"|"&amp; $I$9,'Emission Factor Look Up'!$A$1:$BO$16,$A42,FALSE)*$I$7/2000*$I$10</f>
        <v>0</v>
      </c>
      <c r="J42" s="426">
        <f>VLOOKUP($J$4 &amp;"|"&amp; $J$8 &amp;"|"&amp; $J$9,'Emission Factor Look Up'!$A$1:$BO$16,$A42,FALSE)*$J$7/2000*$J$10</f>
        <v>0</v>
      </c>
      <c r="K42" s="426">
        <f>VLOOKUP($K$4 &amp;"|"&amp; $K$8 &amp;"|"&amp; $K$9,'Emission Factor Look Up'!$A$1:$BO$16,$A42,FALSE)*$K$7/2000*$K$10</f>
        <v>0</v>
      </c>
      <c r="L42" s="426">
        <f>VLOOKUP($L$4 &amp;"|"&amp; $L$8 &amp;"|"&amp; $L$9,'Emission Factor Look Up'!$A$1:$BO$16,$A42,FALSE)*$L$7/2000*$L$10</f>
        <v>0</v>
      </c>
      <c r="M42" s="426">
        <f>VLOOKUP($M$4 &amp;"|"&amp; $M$8 &amp;"|"&amp; $M$9,'Emission Factor Look Up'!$A$1:$BO$16,$A42,FALSE)*$M$7/2000*$M$10</f>
        <v>0</v>
      </c>
      <c r="N42" s="426">
        <f>VLOOKUP($N$4 &amp;"|"&amp; $N$8 &amp;"|"&amp; $N$9,'Emission Factor Look Up'!$A$1:$BO$16,$A42,FALSE)*$N$7/2000*$N$10</f>
        <v>0</v>
      </c>
      <c r="O42" s="426">
        <f>VLOOKUP($O$4 &amp;"|"&amp; $O$8 &amp;"|"&amp; $O$9,'Emission Factor Look Up'!$A$1:$BO$16,$A42,FALSE)*$O$7/2000*$O$10</f>
        <v>0</v>
      </c>
      <c r="P42" s="426">
        <f>VLOOKUP($P$4 &amp;"|"&amp; $P$8 &amp;"|"&amp; $P$9,'Emission Factor Look Up'!$A$1:$BO$16,$A42,FALSE)*$P$7/2000*$P$10</f>
        <v>0</v>
      </c>
      <c r="Q42" s="426">
        <f>VLOOKUP($Q$4 &amp;"|"&amp; $Q$8 &amp;"|"&amp; $Q$9,'Emission Factor Look Up'!$A$1:$BO$16,$A42,FALSE)*$Q$7/2000*$Q$10</f>
        <v>0</v>
      </c>
      <c r="R42" s="426">
        <f>VLOOKUP($R$4 &amp;"|"&amp; $R$8 &amp;"|"&amp; $R$9,'Emission Factor Look Up'!$A$1:$BO$16,$A42,FALSE)*$R$7/2000*$R$10</f>
        <v>0</v>
      </c>
      <c r="S42" s="426">
        <f>VLOOKUP($S$4 &amp;"|"&amp; $S$8 &amp;"|"&amp; $S$9,'Emission Factor Look Up'!$A$1:$BO$16,$A42,FALSE)*$S$7/2000*$S$10</f>
        <v>0</v>
      </c>
      <c r="T42" s="426">
        <f>VLOOKUP($T$4 &amp;"|"&amp; $T$8 &amp;"|"&amp; $T$9,'Emission Factor Look Up'!$A$1:$BO$16,$A42,FALSE)*$T$7/2000*$T$10</f>
        <v>0</v>
      </c>
      <c r="U42" s="426">
        <f>VLOOKUP($U$4 &amp;"|"&amp; $U$8 &amp;"|"&amp; $U$9,'Emission Factor Look Up'!$A$1:$BO$16,$A42,FALSE)*$U$7/2000*$U$10</f>
        <v>0</v>
      </c>
      <c r="V42" s="426">
        <f>VLOOKUP($V$4 &amp;"|"&amp; $V$8 &amp;"|"&amp; $V$9,'Emission Factor Look Up'!$A$1:$BO$16,$A42,FALSE)*$V$7/2000*$V$10</f>
        <v>0</v>
      </c>
      <c r="W42" s="426">
        <f>VLOOKUP($W$4 &amp;"|"&amp; $W$8 &amp;"|"&amp; $W$9,'Emission Factor Look Up'!$A$1:$BO$16,$A42,FALSE)*$W$7/2000*$W$10</f>
        <v>0</v>
      </c>
      <c r="X42" s="426">
        <f>VLOOKUP($X$4 &amp;"|"&amp; $X$8 &amp;"|"&amp; $X$9,'Emission Factor Look Up'!$A$1:$BO$16,$A42,FALSE)*$X$7/2000*$X$10</f>
        <v>0</v>
      </c>
      <c r="Y42" s="426">
        <f>VLOOKUP($Y$4 &amp;"|"&amp; $Y$8 &amp;"|"&amp; $Y$9,'Emission Factor Look Up'!$A$1:$BO$16,$A42,FALSE)*$Y$7/2000*$Y$10</f>
        <v>0</v>
      </c>
      <c r="Z42" s="426">
        <f>VLOOKUP($Z$4 &amp;"|"&amp; $Z$8 &amp;"|"&amp; $Z$9,'Emission Factor Look Up'!$A$1:$BO$16,$A42,FALSE)*$Z$7/2000*$Z$10</f>
        <v>0</v>
      </c>
      <c r="AA42" s="426">
        <f>VLOOKUP($AA$4 &amp;"|"&amp; $AA$8 &amp;"|"&amp; $AA$9,'Emission Factor Look Up'!$A$1:$BO$16,$A42,FALSE)*$AA$7/2000*$AA$10</f>
        <v>0</v>
      </c>
      <c r="AB42" s="426">
        <f>VLOOKUP($AB$4 &amp;"|"&amp; $AB$8 &amp;"|"&amp; $AB$9,'Emission Factor Look Up'!$A$1:$BO$16,$A42,FALSE)*$AB$7/2000*$AB$10</f>
        <v>0</v>
      </c>
      <c r="AC42" s="426">
        <f>VLOOKUP($AC$4 &amp;"|"&amp; $AC$8 &amp;"|"&amp; $AC$9,'Emission Factor Look Up'!$A$1:$BO$16,$A42,FALSE)*$AC$7/2000*$AC$10</f>
        <v>0</v>
      </c>
      <c r="AD42" s="427">
        <f t="shared" si="0"/>
        <v>0</v>
      </c>
    </row>
    <row r="43" spans="1:30">
      <c r="A43" s="190">
        <v>34</v>
      </c>
      <c r="B43" s="428" t="str">
        <f>'Emission Factors'!A36</f>
        <v>PAHs</v>
      </c>
      <c r="C43" s="426">
        <f>VLOOKUP($C$4 &amp;"|"&amp; $C$8 &amp;"|"&amp; $C$9,'Emission Factor Look Up'!$A$1:$BO$16,$A43,FALSE)*$C$7/2000*$C$10</f>
        <v>1.0724868E-2</v>
      </c>
      <c r="D43" s="426">
        <f>VLOOKUP($D$4 &amp;"|"&amp; $D$8 &amp;"|"&amp; $D$9,'Emission Factor Look Up'!$A$1:$BO$16,$A43,FALSE)*$D$7/2000*$D$10</f>
        <v>1.0724868E-2</v>
      </c>
      <c r="E43" s="426">
        <f>VLOOKUP($E$4 &amp;"|"&amp; $E$8 &amp;"|"&amp; $E$9,'Emission Factor Look Up'!$A$1:$BO$16,$A43,FALSE)*$E$7/2000*$E$10</f>
        <v>1.0724868E-2</v>
      </c>
      <c r="F43" s="426">
        <f>VLOOKUP($F$4 &amp;"|"&amp; $F$8 &amp;"|"&amp; $F$9,'Emission Factor Look Up'!$A$1:$BO$16,$A43,FALSE)*$F$7/2000*$F$10</f>
        <v>1.0724868E-2</v>
      </c>
      <c r="G43" s="426">
        <f>VLOOKUP($G$4 &amp;"|"&amp; $G$8 &amp;"|"&amp; $G$9,'Emission Factor Look Up'!$A$1:$BO$16,$A43,FALSE)*$G$7/2000*$G$10</f>
        <v>1.0724868E-2</v>
      </c>
      <c r="H43" s="426">
        <f>VLOOKUP($H$4 &amp;"|"&amp; $H$8 &amp;"|"&amp; $H$9,'Emission Factor Look Up'!$A$1:$BO$16,$A43,FALSE)*$H$7/2000*$H$10</f>
        <v>1.0724868E-2</v>
      </c>
      <c r="I43" s="426">
        <f>VLOOKUP($I$4 &amp;"|"&amp; $I$8 &amp;"|"&amp; $I$9,'Emission Factor Look Up'!$A$1:$BO$16,$A43,FALSE)*$I$7/2000*$I$10</f>
        <v>3.7002240000000002E-3</v>
      </c>
      <c r="J43" s="426">
        <f>VLOOKUP($J$4 &amp;"|"&amp; $J$8 &amp;"|"&amp; $J$9,'Emission Factor Look Up'!$A$1:$BO$16,$A43,FALSE)*$J$7/2000*$J$10</f>
        <v>3.7002240000000002E-3</v>
      </c>
      <c r="K43" s="426">
        <f>VLOOKUP($K$4 &amp;"|"&amp; $K$8 &amp;"|"&amp; $K$9,'Emission Factor Look Up'!$A$1:$BO$16,$A43,FALSE)*$K$7/2000*$K$10</f>
        <v>3.7002240000000002E-3</v>
      </c>
      <c r="L43" s="426">
        <f>VLOOKUP($L$4 &amp;"|"&amp; $L$8 &amp;"|"&amp; $L$9,'Emission Factor Look Up'!$A$1:$BO$16,$A43,FALSE)*$L$7/2000*$L$10</f>
        <v>3.7002240000000002E-3</v>
      </c>
      <c r="M43" s="426">
        <f>VLOOKUP($M$4 &amp;"|"&amp; $M$8 &amp;"|"&amp; $M$9,'Emission Factor Look Up'!$A$1:$BO$16,$A43,FALSE)*$M$7/2000*$M$10</f>
        <v>8.8200000000000003E-5</v>
      </c>
      <c r="N43" s="426">
        <f>VLOOKUP($N$4 &amp;"|"&amp; $N$8 &amp;"|"&amp; $N$9,'Emission Factor Look Up'!$A$1:$BO$16,$A43,FALSE)*$N$7/2000*$N$10</f>
        <v>1.6905000000000002E-4</v>
      </c>
      <c r="O43" s="426">
        <f>VLOOKUP($O$4 &amp;"|"&amp; $O$8 &amp;"|"&amp; $O$9,'Emission Factor Look Up'!$A$1:$BO$16,$A43,FALSE)*$O$7/2000*$O$10</f>
        <v>4.2984117647058828E-4</v>
      </c>
      <c r="P43" s="426">
        <f>VLOOKUP($P$4 &amp;"|"&amp; $P$8 &amp;"|"&amp; $P$9,'Emission Factor Look Up'!$A$1:$BO$16,$A43,FALSE)*$P$7/2000*$P$10</f>
        <v>4.2984117647058828E-4</v>
      </c>
      <c r="Q43" s="426">
        <f>VLOOKUP($Q$4 &amp;"|"&amp; $Q$8 &amp;"|"&amp; $Q$9,'Emission Factor Look Up'!$A$1:$BO$16,$A43,FALSE)*$Q$7/2000*$Q$10</f>
        <v>0</v>
      </c>
      <c r="R43" s="426">
        <f>VLOOKUP($R$4 &amp;"|"&amp; $R$8 &amp;"|"&amp; $R$9,'Emission Factor Look Up'!$A$1:$BO$16,$A43,FALSE)*$R$7/2000*$R$10</f>
        <v>1.3526470588235296E-4</v>
      </c>
      <c r="S43" s="426">
        <f>VLOOKUP($S$4 &amp;"|"&amp; $S$8 &amp;"|"&amp; $S$9,'Emission Factor Look Up'!$A$1:$BO$16,$A43,FALSE)*$S$7/2000*$S$10</f>
        <v>1.3526470588235296E-4</v>
      </c>
      <c r="T43" s="426">
        <f>VLOOKUP($T$4 &amp;"|"&amp; $T$8 &amp;"|"&amp; $T$9,'Emission Factor Look Up'!$A$1:$BO$16,$A43,FALSE)*$T$7/2000*$T$10</f>
        <v>0</v>
      </c>
      <c r="U43" s="426">
        <f>VLOOKUP($U$4 &amp;"|"&amp; $U$8 &amp;"|"&amp; $U$9,'Emission Factor Look Up'!$A$1:$BO$16,$A43,FALSE)*$U$7/2000*$U$10</f>
        <v>0.20585490196078432</v>
      </c>
      <c r="V43" s="426">
        <f>VLOOKUP($V$4 &amp;"|"&amp; $V$8 &amp;"|"&amp; $V$9,'Emission Factor Look Up'!$A$1:$BO$16,$A43,FALSE)*$V$7/2000*$V$10</f>
        <v>0.20585490196078432</v>
      </c>
      <c r="W43" s="426">
        <f>VLOOKUP($W$4 &amp;"|"&amp; $W$8 &amp;"|"&amp; $W$9,'Emission Factor Look Up'!$A$1:$BO$16,$A43,FALSE)*$W$7/2000*$W$10</f>
        <v>0</v>
      </c>
      <c r="X43" s="426">
        <f>VLOOKUP($X$4 &amp;"|"&amp; $X$8 &amp;"|"&amp; $X$9,'Emission Factor Look Up'!$A$1:$BO$16,$A43,FALSE)*$X$7/2000*$X$10</f>
        <v>4.8107843137254906E-2</v>
      </c>
      <c r="Y43" s="426">
        <f>VLOOKUP($Y$4 &amp;"|"&amp; $Y$8 &amp;"|"&amp; $Y$9,'Emission Factor Look Up'!$A$1:$BO$16,$A43,FALSE)*$Y$7/2000*$Y$10</f>
        <v>4.8107843137254906E-2</v>
      </c>
      <c r="Z43" s="426">
        <f>VLOOKUP($Z$4 &amp;"|"&amp; $Z$8 &amp;"|"&amp; $Z$9,'Emission Factor Look Up'!$A$1:$BO$16,$A43,FALSE)*$Z$7/2000*$Z$10</f>
        <v>0</v>
      </c>
      <c r="AA43" s="426">
        <f>VLOOKUP($AA$4 &amp;"|"&amp; $AA$8 &amp;"|"&amp; $AA$9,'Emission Factor Look Up'!$A$1:$BO$16,$A43,FALSE)*$AA$7/2000*$AA$10</f>
        <v>6.3123529411764708E-4</v>
      </c>
      <c r="AB43" s="426">
        <f>VLOOKUP($AB$4 &amp;"|"&amp; $AB$8 &amp;"|"&amp; $AB$9,'Emission Factor Look Up'!$A$1:$BO$16,$A43,FALSE)*$AB$7/2000*$AB$10</f>
        <v>9.8576470588235287E-4</v>
      </c>
      <c r="AC43" s="426">
        <f>VLOOKUP($AC$4 &amp;"|"&amp; $AC$8 &amp;"|"&amp; $AC$9,'Emission Factor Look Up'!$A$1:$BO$16,$A43,FALSE)*$AC$7/2000*$AC$10</f>
        <v>0</v>
      </c>
      <c r="AD43" s="427">
        <f t="shared" ref="AD43:AD74" si="1">SUM(C43:AC43)</f>
        <v>0.59008005596078439</v>
      </c>
    </row>
    <row r="44" spans="1:30">
      <c r="A44" s="190">
        <v>35</v>
      </c>
      <c r="B44" s="428" t="str">
        <f>'Emission Factors'!A37</f>
        <v>Phenol</v>
      </c>
      <c r="C44" s="426">
        <f>VLOOKUP($C$4 &amp;"|"&amp; $C$8 &amp;"|"&amp; $C$9,'Emission Factor Look Up'!$A$1:$BO$16,$A44,FALSE)*$C$7/2000*$C$10</f>
        <v>0</v>
      </c>
      <c r="D44" s="426">
        <f>VLOOKUP($D$4 &amp;"|"&amp; $D$8 &amp;"|"&amp; $D$9,'Emission Factor Look Up'!$A$1:$BO$16,$A44,FALSE)*$D$7/2000*$D$10</f>
        <v>0</v>
      </c>
      <c r="E44" s="426">
        <f>VLOOKUP($E$4 &amp;"|"&amp; $E$8 &amp;"|"&amp; $E$9,'Emission Factor Look Up'!$A$1:$BO$16,$A44,FALSE)*$E$7/2000*$E$10</f>
        <v>0</v>
      </c>
      <c r="F44" s="426">
        <f>VLOOKUP($F$4 &amp;"|"&amp; $F$8 &amp;"|"&amp; $F$9,'Emission Factor Look Up'!$A$1:$BO$16,$A44,FALSE)*$F$7/2000*$F$10</f>
        <v>0</v>
      </c>
      <c r="G44" s="426">
        <f>VLOOKUP($G$4 &amp;"|"&amp; $G$8 &amp;"|"&amp; $G$9,'Emission Factor Look Up'!$A$1:$BO$16,$A44,FALSE)*$G$7/2000*$G$10</f>
        <v>0</v>
      </c>
      <c r="H44" s="426">
        <f>VLOOKUP($H$4 &amp;"|"&amp; $H$8 &amp;"|"&amp; $H$9,'Emission Factor Look Up'!$A$1:$BO$16,$A44,FALSE)*$H$7/2000*$H$10</f>
        <v>0</v>
      </c>
      <c r="I44" s="426">
        <f>VLOOKUP($I$4 &amp;"|"&amp; $I$8 &amp;"|"&amp; $I$9,'Emission Factor Look Up'!$A$1:$BO$16,$A44,FALSE)*$I$7/2000*$I$10</f>
        <v>0</v>
      </c>
      <c r="J44" s="426">
        <f>VLOOKUP($J$4 &amp;"|"&amp; $J$8 &amp;"|"&amp; $J$9,'Emission Factor Look Up'!$A$1:$BO$16,$A44,FALSE)*$J$7/2000*$J$10</f>
        <v>0</v>
      </c>
      <c r="K44" s="426">
        <f>VLOOKUP($K$4 &amp;"|"&amp; $K$8 &amp;"|"&amp; $K$9,'Emission Factor Look Up'!$A$1:$BO$16,$A44,FALSE)*$K$7/2000*$K$10</f>
        <v>0</v>
      </c>
      <c r="L44" s="426">
        <f>VLOOKUP($L$4 &amp;"|"&amp; $L$8 &amp;"|"&amp; $L$9,'Emission Factor Look Up'!$A$1:$BO$16,$A44,FALSE)*$L$7/2000*$L$10</f>
        <v>0</v>
      </c>
      <c r="M44" s="426">
        <f>VLOOKUP($M$4 &amp;"|"&amp; $M$8 &amp;"|"&amp; $M$9,'Emission Factor Look Up'!$A$1:$BO$16,$A44,FALSE)*$M$7/2000*$M$10</f>
        <v>0</v>
      </c>
      <c r="N44" s="426">
        <f>VLOOKUP($N$4 &amp;"|"&amp; $N$8 &amp;"|"&amp; $N$9,'Emission Factor Look Up'!$A$1:$BO$16,$A44,FALSE)*$N$7/2000*$N$10</f>
        <v>0</v>
      </c>
      <c r="O44" s="426">
        <f>VLOOKUP($O$4 &amp;"|"&amp; $O$8 &amp;"|"&amp; $O$9,'Emission Factor Look Up'!$A$1:$BO$16,$A44,FALSE)*$O$7/2000*$O$10</f>
        <v>0</v>
      </c>
      <c r="P44" s="426">
        <f>VLOOKUP($P$4 &amp;"|"&amp; $P$8 &amp;"|"&amp; $P$9,'Emission Factor Look Up'!$A$1:$BO$16,$A44,FALSE)*$P$7/2000*$P$10</f>
        <v>0</v>
      </c>
      <c r="Q44" s="426">
        <f>VLOOKUP($Q$4 &amp;"|"&amp; $Q$8 &amp;"|"&amp; $Q$9,'Emission Factor Look Up'!$A$1:$BO$16,$A44,FALSE)*$Q$7/2000*$Q$10</f>
        <v>0</v>
      </c>
      <c r="R44" s="426">
        <f>VLOOKUP($R$4 &amp;"|"&amp; $R$8 &amp;"|"&amp; $R$9,'Emission Factor Look Up'!$A$1:$BO$16,$A44,FALSE)*$R$7/2000*$R$10</f>
        <v>0</v>
      </c>
      <c r="S44" s="426">
        <f>VLOOKUP($S$4 &amp;"|"&amp; $S$8 &amp;"|"&amp; $S$9,'Emission Factor Look Up'!$A$1:$BO$16,$A44,FALSE)*$S$7/2000*$S$10</f>
        <v>0</v>
      </c>
      <c r="T44" s="426">
        <f>VLOOKUP($T$4 &amp;"|"&amp; $T$8 &amp;"|"&amp; $T$9,'Emission Factor Look Up'!$A$1:$BO$16,$A44,FALSE)*$T$7/2000*$T$10</f>
        <v>0</v>
      </c>
      <c r="U44" s="426">
        <f>VLOOKUP($U$4 &amp;"|"&amp; $U$8 &amp;"|"&amp; $U$9,'Emission Factor Look Up'!$A$1:$BO$16,$A44,FALSE)*$U$7/2000*$U$10</f>
        <v>0</v>
      </c>
      <c r="V44" s="426">
        <f>VLOOKUP($V$4 &amp;"|"&amp; $V$8 &amp;"|"&amp; $V$9,'Emission Factor Look Up'!$A$1:$BO$16,$A44,FALSE)*$V$7/2000*$V$10</f>
        <v>0</v>
      </c>
      <c r="W44" s="426">
        <f>VLOOKUP($W$4 &amp;"|"&amp; $W$8 &amp;"|"&amp; $W$9,'Emission Factor Look Up'!$A$1:$BO$16,$A44,FALSE)*$W$7/2000*$W$10</f>
        <v>0</v>
      </c>
      <c r="X44" s="426">
        <f>VLOOKUP($X$4 &amp;"|"&amp; $X$8 &amp;"|"&amp; $X$9,'Emission Factor Look Up'!$A$1:$BO$16,$A44,FALSE)*$X$7/2000*$X$10</f>
        <v>0</v>
      </c>
      <c r="Y44" s="426">
        <f>VLOOKUP($Y$4 &amp;"|"&amp; $Y$8 &amp;"|"&amp; $Y$9,'Emission Factor Look Up'!$A$1:$BO$16,$A44,FALSE)*$Y$7/2000*$Y$10</f>
        <v>0</v>
      </c>
      <c r="Z44" s="426">
        <f>VLOOKUP($Z$4 &amp;"|"&amp; $Z$8 &amp;"|"&amp; $Z$9,'Emission Factor Look Up'!$A$1:$BO$16,$A44,FALSE)*$Z$7/2000*$Z$10</f>
        <v>0</v>
      </c>
      <c r="AA44" s="426">
        <f>VLOOKUP($AA$4 &amp;"|"&amp; $AA$8 &amp;"|"&amp; $AA$9,'Emission Factor Look Up'!$A$1:$BO$16,$A44,FALSE)*$AA$7/2000*$AA$10</f>
        <v>0</v>
      </c>
      <c r="AB44" s="426">
        <f>VLOOKUP($AB$4 &amp;"|"&amp; $AB$8 &amp;"|"&amp; $AB$9,'Emission Factor Look Up'!$A$1:$BO$16,$A44,FALSE)*$AB$7/2000*$AB$10</f>
        <v>0</v>
      </c>
      <c r="AC44" s="426">
        <f>VLOOKUP($AC$4 &amp;"|"&amp; $AC$8 &amp;"|"&amp; $AC$9,'Emission Factor Look Up'!$A$1:$BO$16,$A44,FALSE)*$AC$7/2000*$AC$10</f>
        <v>0</v>
      </c>
      <c r="AD44" s="427">
        <f t="shared" si="1"/>
        <v>0</v>
      </c>
    </row>
    <row r="45" spans="1:30">
      <c r="A45" s="190">
        <v>36</v>
      </c>
      <c r="B45" s="428" t="str">
        <f>'Emission Factors'!A38</f>
        <v>Phosphorus</v>
      </c>
      <c r="C45" s="426">
        <f>VLOOKUP($C$4 &amp;"|"&amp; $C$8 &amp;"|"&amp; $C$9,'Emission Factor Look Up'!$A$1:$BO$16,$A45,FALSE)*$C$7/2000*$C$10</f>
        <v>0</v>
      </c>
      <c r="D45" s="426">
        <f>VLOOKUP($D$4 &amp;"|"&amp; $D$8 &amp;"|"&amp; $D$9,'Emission Factor Look Up'!$A$1:$BO$16,$A45,FALSE)*$D$7/2000*$D$10</f>
        <v>0</v>
      </c>
      <c r="E45" s="426">
        <f>VLOOKUP($E$4 &amp;"|"&amp; $E$8 &amp;"|"&amp; $E$9,'Emission Factor Look Up'!$A$1:$BO$16,$A45,FALSE)*$E$7/2000*$E$10</f>
        <v>0</v>
      </c>
      <c r="F45" s="426">
        <f>VLOOKUP($F$4 &amp;"|"&amp; $F$8 &amp;"|"&amp; $F$9,'Emission Factor Look Up'!$A$1:$BO$16,$A45,FALSE)*$F$7/2000*$F$10</f>
        <v>0</v>
      </c>
      <c r="G45" s="426">
        <f>VLOOKUP($G$4 &amp;"|"&amp; $G$8 &amp;"|"&amp; $G$9,'Emission Factor Look Up'!$A$1:$BO$16,$A45,FALSE)*$G$7/2000*$G$10</f>
        <v>0</v>
      </c>
      <c r="H45" s="426">
        <f>VLOOKUP($H$4 &amp;"|"&amp; $H$8 &amp;"|"&amp; $H$9,'Emission Factor Look Up'!$A$1:$BO$16,$A45,FALSE)*$H$7/2000*$H$10</f>
        <v>0</v>
      </c>
      <c r="I45" s="426">
        <f>VLOOKUP($I$4 &amp;"|"&amp; $I$8 &amp;"|"&amp; $I$9,'Emission Factor Look Up'!$A$1:$BO$16,$A45,FALSE)*$I$7/2000*$I$10</f>
        <v>0</v>
      </c>
      <c r="J45" s="426">
        <f>VLOOKUP($J$4 &amp;"|"&amp; $J$8 &amp;"|"&amp; $J$9,'Emission Factor Look Up'!$A$1:$BO$16,$A45,FALSE)*$J$7/2000*$J$10</f>
        <v>0</v>
      </c>
      <c r="K45" s="426">
        <f>VLOOKUP($K$4 &amp;"|"&amp; $K$8 &amp;"|"&amp; $K$9,'Emission Factor Look Up'!$A$1:$BO$16,$A45,FALSE)*$K$7/2000*$K$10</f>
        <v>0</v>
      </c>
      <c r="L45" s="426">
        <f>VLOOKUP($L$4 &amp;"|"&amp; $L$8 &amp;"|"&amp; $L$9,'Emission Factor Look Up'!$A$1:$BO$16,$A45,FALSE)*$L$7/2000*$L$10</f>
        <v>0</v>
      </c>
      <c r="M45" s="426">
        <f>VLOOKUP($M$4 &amp;"|"&amp; $M$8 &amp;"|"&amp; $M$9,'Emission Factor Look Up'!$A$1:$BO$16,$A45,FALSE)*$M$7/2000*$M$10</f>
        <v>0</v>
      </c>
      <c r="N45" s="426">
        <f>VLOOKUP($N$4 &amp;"|"&amp; $N$8 &amp;"|"&amp; $N$9,'Emission Factor Look Up'!$A$1:$BO$16,$A45,FALSE)*$N$7/2000*$N$10</f>
        <v>0</v>
      </c>
      <c r="O45" s="426">
        <f>VLOOKUP($O$4 &amp;"|"&amp; $O$8 &amp;"|"&amp; $O$9,'Emission Factor Look Up'!$A$1:$BO$16,$A45,FALSE)*$O$7/2000*$O$10</f>
        <v>0</v>
      </c>
      <c r="P45" s="426">
        <f>VLOOKUP($P$4 &amp;"|"&amp; $P$8 &amp;"|"&amp; $P$9,'Emission Factor Look Up'!$A$1:$BO$16,$A45,FALSE)*$P$7/2000*$P$10</f>
        <v>0</v>
      </c>
      <c r="Q45" s="426">
        <f>VLOOKUP($Q$4 &amp;"|"&amp; $Q$8 &amp;"|"&amp; $Q$9,'Emission Factor Look Up'!$A$1:$BO$16,$A45,FALSE)*$Q$7/2000*$Q$10</f>
        <v>0</v>
      </c>
      <c r="R45" s="426">
        <f>VLOOKUP($R$4 &amp;"|"&amp; $R$8 &amp;"|"&amp; $R$9,'Emission Factor Look Up'!$A$1:$BO$16,$A45,FALSE)*$R$7/2000*$R$10</f>
        <v>0</v>
      </c>
      <c r="S45" s="426">
        <f>VLOOKUP($S$4 &amp;"|"&amp; $S$8 &amp;"|"&amp; $S$9,'Emission Factor Look Up'!$A$1:$BO$16,$A45,FALSE)*$S$7/2000*$S$10</f>
        <v>0</v>
      </c>
      <c r="T45" s="426">
        <f>VLOOKUP($T$4 &amp;"|"&amp; $T$8 &amp;"|"&amp; $T$9,'Emission Factor Look Up'!$A$1:$BO$16,$A45,FALSE)*$T$7/2000*$T$10</f>
        <v>0</v>
      </c>
      <c r="U45" s="426">
        <f>VLOOKUP($U$4 &amp;"|"&amp; $U$8 &amp;"|"&amp; $U$9,'Emission Factor Look Up'!$A$1:$BO$16,$A45,FALSE)*$U$7/2000*$U$10</f>
        <v>0</v>
      </c>
      <c r="V45" s="426">
        <f>VLOOKUP($V$4 &amp;"|"&amp; $V$8 &amp;"|"&amp; $V$9,'Emission Factor Look Up'!$A$1:$BO$16,$A45,FALSE)*$V$7/2000*$V$10</f>
        <v>0</v>
      </c>
      <c r="W45" s="426">
        <f>VLOOKUP($W$4 &amp;"|"&amp; $W$8 &amp;"|"&amp; $W$9,'Emission Factor Look Up'!$A$1:$BO$16,$A45,FALSE)*$W$7/2000*$W$10</f>
        <v>0</v>
      </c>
      <c r="X45" s="426">
        <f>VLOOKUP($X$4 &amp;"|"&amp; $X$8 &amp;"|"&amp; $X$9,'Emission Factor Look Up'!$A$1:$BO$16,$A45,FALSE)*$X$7/2000*$X$10</f>
        <v>0</v>
      </c>
      <c r="Y45" s="426">
        <f>VLOOKUP($Y$4 &amp;"|"&amp; $Y$8 &amp;"|"&amp; $Y$9,'Emission Factor Look Up'!$A$1:$BO$16,$A45,FALSE)*$Y$7/2000*$Y$10</f>
        <v>0</v>
      </c>
      <c r="Z45" s="426">
        <f>VLOOKUP($Z$4 &amp;"|"&amp; $Z$8 &amp;"|"&amp; $Z$9,'Emission Factor Look Up'!$A$1:$BO$16,$A45,FALSE)*$Z$7/2000*$Z$10</f>
        <v>0</v>
      </c>
      <c r="AA45" s="426">
        <f>VLOOKUP($AA$4 &amp;"|"&amp; $AA$8 &amp;"|"&amp; $AA$9,'Emission Factor Look Up'!$A$1:$BO$16,$A45,FALSE)*$AA$7/2000*$AA$10</f>
        <v>0</v>
      </c>
      <c r="AB45" s="426">
        <f>VLOOKUP($AB$4 &amp;"|"&amp; $AB$8 &amp;"|"&amp; $AB$9,'Emission Factor Look Up'!$A$1:$BO$16,$A45,FALSE)*$AB$7/2000*$AB$10</f>
        <v>0</v>
      </c>
      <c r="AC45" s="426">
        <f>VLOOKUP($AC$4 &amp;"|"&amp; $AC$8 &amp;"|"&amp; $AC$9,'Emission Factor Look Up'!$A$1:$BO$16,$A45,FALSE)*$AC$7/2000*$AC$10</f>
        <v>0</v>
      </c>
      <c r="AD45" s="427">
        <f t="shared" si="1"/>
        <v>0</v>
      </c>
    </row>
    <row r="46" spans="1:30">
      <c r="A46" s="190">
        <v>37</v>
      </c>
      <c r="B46" s="428" t="str">
        <f>'Emission Factors'!A39</f>
        <v>POM (Total)</v>
      </c>
      <c r="C46" s="426">
        <f>VLOOKUP($C$4 &amp;"|"&amp; $C$8 &amp;"|"&amp; $C$9,'Emission Factor Look Up'!$A$1:$BO$16,$A46,FALSE)*$C$7/2000*$C$10</f>
        <v>6.3374220000000005E-3</v>
      </c>
      <c r="D46" s="426">
        <f>VLOOKUP($D$4 &amp;"|"&amp; $D$8 &amp;"|"&amp; $D$9,'Emission Factor Look Up'!$A$1:$BO$16,$A46,FALSE)*$D$7/2000*$D$10</f>
        <v>6.3374220000000005E-3</v>
      </c>
      <c r="E46" s="426">
        <f>VLOOKUP($E$4 &amp;"|"&amp; $E$8 &amp;"|"&amp; $E$9,'Emission Factor Look Up'!$A$1:$BO$16,$A46,FALSE)*$E$7/2000*$E$10</f>
        <v>6.3374220000000005E-3</v>
      </c>
      <c r="F46" s="426">
        <f>VLOOKUP($F$4 &amp;"|"&amp; $F$8 &amp;"|"&amp; $F$9,'Emission Factor Look Up'!$A$1:$BO$16,$A46,FALSE)*$F$7/2000*$F$10</f>
        <v>6.3374220000000005E-3</v>
      </c>
      <c r="G46" s="426">
        <f>VLOOKUP($G$4 &amp;"|"&amp; $G$8 &amp;"|"&amp; $G$9,'Emission Factor Look Up'!$A$1:$BO$16,$A46,FALSE)*$G$7/2000*$G$10</f>
        <v>6.3374220000000005E-3</v>
      </c>
      <c r="H46" s="426">
        <f>VLOOKUP($H$4 &amp;"|"&amp; $H$8 &amp;"|"&amp; $H$9,'Emission Factor Look Up'!$A$1:$BO$16,$A46,FALSE)*$H$7/2000*$H$10</f>
        <v>6.3374220000000005E-3</v>
      </c>
      <c r="I46" s="426">
        <f>VLOOKUP($I$4 &amp;"|"&amp; $I$8 &amp;"|"&amp; $I$9,'Emission Factor Look Up'!$A$1:$BO$16,$A46,FALSE)*$I$7/2000*$I$10</f>
        <v>2.186496E-3</v>
      </c>
      <c r="J46" s="426">
        <f>VLOOKUP($J$4 &amp;"|"&amp; $J$8 &amp;"|"&amp; $J$9,'Emission Factor Look Up'!$A$1:$BO$16,$A46,FALSE)*$J$7/2000*$J$10</f>
        <v>2.186496E-3</v>
      </c>
      <c r="K46" s="426">
        <f>VLOOKUP($K$4 &amp;"|"&amp; $K$8 &amp;"|"&amp; $K$9,'Emission Factor Look Up'!$A$1:$BO$16,$A46,FALSE)*$K$7/2000*$K$10</f>
        <v>2.186496E-3</v>
      </c>
      <c r="L46" s="426">
        <f>VLOOKUP($L$4 &amp;"|"&amp; $L$8 &amp;"|"&amp; $L$9,'Emission Factor Look Up'!$A$1:$BO$16,$A46,FALSE)*$L$7/2000*$L$10</f>
        <v>2.186496E-3</v>
      </c>
      <c r="M46" s="426">
        <f>VLOOKUP($M$4 &amp;"|"&amp; $M$8 &amp;"|"&amp; $M$9,'Emission Factor Look Up'!$A$1:$BO$16,$A46,FALSE)*$M$7/2000*$M$10</f>
        <v>8.833760250000001E-5</v>
      </c>
      <c r="N46" s="426">
        <f>VLOOKUP($N$4 &amp;"|"&amp; $N$8 &amp;"|"&amp; $N$9,'Emission Factor Look Up'!$A$1:$BO$16,$A46,FALSE)*$N$7/2000*$N$10</f>
        <v>1.6931373812500002E-4</v>
      </c>
      <c r="O46" s="426">
        <f>VLOOKUP($O$4 &amp;"|"&amp; $O$8 &amp;"|"&amp; $O$9,'Emission Factor Look Up'!$A$1:$BO$16,$A46,FALSE)*$O$7/2000*$O$10</f>
        <v>3.3111014994232989E-7</v>
      </c>
      <c r="P46" s="426">
        <f>VLOOKUP($P$4 &amp;"|"&amp; $P$8 &amp;"|"&amp; $P$9,'Emission Factor Look Up'!$A$1:$BO$16,$A46,FALSE)*$P$7/2000*$P$10</f>
        <v>3.3111014994232989E-7</v>
      </c>
      <c r="Q46" s="426">
        <f>VLOOKUP($Q$4 &amp;"|"&amp; $Q$8 &amp;"|"&amp; $Q$9,'Emission Factor Look Up'!$A$1:$BO$16,$A46,FALSE)*$Q$7/2000*$Q$10</f>
        <v>0</v>
      </c>
      <c r="R46" s="426">
        <f>VLOOKUP($R$4 &amp;"|"&amp; $R$8 &amp;"|"&amp; $R$9,'Emission Factor Look Up'!$A$1:$BO$16,$A46,FALSE)*$R$7/2000*$R$10</f>
        <v>1.041955017301038E-7</v>
      </c>
      <c r="S46" s="426">
        <f>VLOOKUP($S$4 &amp;"|"&amp; $S$8 &amp;"|"&amp; $S$9,'Emission Factor Look Up'!$A$1:$BO$16,$A46,FALSE)*$S$7/2000*$S$10</f>
        <v>1.041955017301038E-7</v>
      </c>
      <c r="T46" s="426">
        <f>VLOOKUP($T$4 &amp;"|"&amp; $T$8 &amp;"|"&amp; $T$9,'Emission Factor Look Up'!$A$1:$BO$16,$A46,FALSE)*$T$7/2000*$T$10</f>
        <v>0</v>
      </c>
      <c r="U46" s="426">
        <f>VLOOKUP($U$4 &amp;"|"&amp; $U$8 &amp;"|"&amp; $U$9,'Emission Factor Look Up'!$A$1:$BO$16,$A46,FALSE)*$U$7/2000*$U$10</f>
        <v>1.5857170319108035E-4</v>
      </c>
      <c r="V46" s="426">
        <f>VLOOKUP($V$4 &amp;"|"&amp; $V$8 &amp;"|"&amp; $V$9,'Emission Factor Look Up'!$A$1:$BO$16,$A46,FALSE)*$V$7/2000*$V$10</f>
        <v>1.5857170319108035E-4</v>
      </c>
      <c r="W46" s="426">
        <f>VLOOKUP($W$4 &amp;"|"&amp; $W$8 &amp;"|"&amp; $W$9,'Emission Factor Look Up'!$A$1:$BO$16,$A46,FALSE)*$W$7/2000*$W$10</f>
        <v>0</v>
      </c>
      <c r="X46" s="426">
        <f>VLOOKUP($X$4 &amp;"|"&amp; $X$8 &amp;"|"&amp; $X$9,'Emission Factor Look Up'!$A$1:$BO$16,$A46,FALSE)*$X$7/2000*$X$10</f>
        <v>3.7057862360630524E-5</v>
      </c>
      <c r="Y46" s="426">
        <f>VLOOKUP($Y$4 &amp;"|"&amp; $Y$8 &amp;"|"&amp; $Y$9,'Emission Factor Look Up'!$A$1:$BO$16,$A46,FALSE)*$Y$7/2000*$Y$10</f>
        <v>3.7057862360630524E-5</v>
      </c>
      <c r="Z46" s="426">
        <f>VLOOKUP($Z$4 &amp;"|"&amp; $Z$8 &amp;"|"&amp; $Z$9,'Emission Factor Look Up'!$A$1:$BO$16,$A46,FALSE)*$Z$7/2000*$Z$10</f>
        <v>0</v>
      </c>
      <c r="AA46" s="426">
        <f>VLOOKUP($AA$4 &amp;"|"&amp; $AA$8 &amp;"|"&amp; $AA$9,'Emission Factor Look Up'!$A$1:$BO$16,$A46,FALSE)*$AA$7/2000*$AA$10</f>
        <v>4.8624567474048434E-7</v>
      </c>
      <c r="AB46" s="426">
        <f>VLOOKUP($AB$4 &amp;"|"&amp; $AB$8 &amp;"|"&amp; $AB$9,'Emission Factor Look Up'!$A$1:$BO$16,$A46,FALSE)*$AB$7/2000*$AB$10</f>
        <v>7.5934256055363311E-7</v>
      </c>
      <c r="AC46" s="426">
        <f>VLOOKUP($AC$4 &amp;"|"&amp; $AC$8 &amp;"|"&amp; $AC$9,'Emission Factor Look Up'!$A$1:$BO$16,$A46,FALSE)*$AC$7/2000*$AC$10</f>
        <v>1.8026538240000001E-5</v>
      </c>
      <c r="AD46" s="427">
        <f t="shared" si="1"/>
        <v>4.7439569209507065E-2</v>
      </c>
    </row>
    <row r="47" spans="1:30">
      <c r="A47" s="190">
        <v>38</v>
      </c>
      <c r="B47" s="428" t="str">
        <f>'Emission Factors'!A40</f>
        <v>POM 2-Methylnaphthalene</v>
      </c>
      <c r="C47" s="426">
        <f>VLOOKUP($C$4 &amp;"|"&amp; $C$8 &amp;"|"&amp; $C$9,'Emission Factor Look Up'!$A$1:$BO$16,$A47,FALSE)*$C$7/2000*$C$10</f>
        <v>0</v>
      </c>
      <c r="D47" s="426">
        <f>VLOOKUP($D$4 &amp;"|"&amp; $D$8 &amp;"|"&amp; $D$9,'Emission Factor Look Up'!$A$1:$BO$16,$A47,FALSE)*$D$7/2000*$D$10</f>
        <v>0</v>
      </c>
      <c r="E47" s="426">
        <f>VLOOKUP($E$4 &amp;"|"&amp; $E$8 &amp;"|"&amp; $E$9,'Emission Factor Look Up'!$A$1:$BO$16,$A47,FALSE)*$E$7/2000*$E$10</f>
        <v>0</v>
      </c>
      <c r="F47" s="426">
        <f>VLOOKUP($F$4 &amp;"|"&amp; $F$8 &amp;"|"&amp; $F$9,'Emission Factor Look Up'!$A$1:$BO$16,$A47,FALSE)*$F$7/2000*$F$10</f>
        <v>0</v>
      </c>
      <c r="G47" s="426">
        <f>VLOOKUP($G$4 &amp;"|"&amp; $G$8 &amp;"|"&amp; $G$9,'Emission Factor Look Up'!$A$1:$BO$16,$A47,FALSE)*$G$7/2000*$G$10</f>
        <v>0</v>
      </c>
      <c r="H47" s="426">
        <f>VLOOKUP($H$4 &amp;"|"&amp; $H$8 &amp;"|"&amp; $H$9,'Emission Factor Look Up'!$A$1:$BO$16,$A47,FALSE)*$H$7/2000*$H$10</f>
        <v>0</v>
      </c>
      <c r="I47" s="426">
        <f>VLOOKUP($I$4 &amp;"|"&amp; $I$8 &amp;"|"&amp; $I$9,'Emission Factor Look Up'!$A$1:$BO$16,$A47,FALSE)*$I$7/2000*$I$10</f>
        <v>0</v>
      </c>
      <c r="J47" s="426">
        <f>VLOOKUP($J$4 &amp;"|"&amp; $J$8 &amp;"|"&amp; $J$9,'Emission Factor Look Up'!$A$1:$BO$16,$A47,FALSE)*$J$7/2000*$J$10</f>
        <v>0</v>
      </c>
      <c r="K47" s="426">
        <f>VLOOKUP($K$4 &amp;"|"&amp; $K$8 &amp;"|"&amp; $K$9,'Emission Factor Look Up'!$A$1:$BO$16,$A47,FALSE)*$K$7/2000*$K$10</f>
        <v>0</v>
      </c>
      <c r="L47" s="426">
        <f>VLOOKUP($L$4 &amp;"|"&amp; $L$8 &amp;"|"&amp; $L$9,'Emission Factor Look Up'!$A$1:$BO$16,$A47,FALSE)*$L$7/2000*$L$10</f>
        <v>0</v>
      </c>
      <c r="M47" s="426">
        <f>VLOOKUP($M$4 &amp;"|"&amp; $M$8 &amp;"|"&amp; $M$9,'Emission Factor Look Up'!$A$1:$BO$16,$A47,FALSE)*$M$7/2000*$M$10</f>
        <v>0</v>
      </c>
      <c r="N47" s="426">
        <f>VLOOKUP($N$4 &amp;"|"&amp; $N$8 &amp;"|"&amp; $N$9,'Emission Factor Look Up'!$A$1:$BO$16,$A47,FALSE)*$N$7/2000*$N$10</f>
        <v>0</v>
      </c>
      <c r="O47" s="426">
        <f>VLOOKUP($O$4 &amp;"|"&amp; $O$8 &amp;"|"&amp; $O$9,'Emission Factor Look Up'!$A$1:$BO$16,$A47,FALSE)*$O$7/2000*$O$10</f>
        <v>0</v>
      </c>
      <c r="P47" s="426">
        <f>VLOOKUP($P$4 &amp;"|"&amp; $P$8 &amp;"|"&amp; $P$9,'Emission Factor Look Up'!$A$1:$BO$16,$A47,FALSE)*$P$7/2000*$P$10</f>
        <v>0</v>
      </c>
      <c r="Q47" s="426">
        <f>VLOOKUP($Q$4 &amp;"|"&amp; $Q$8 &amp;"|"&amp; $Q$9,'Emission Factor Look Up'!$A$1:$BO$16,$A47,FALSE)*$Q$7/2000*$Q$10</f>
        <v>0</v>
      </c>
      <c r="R47" s="426">
        <f>VLOOKUP($R$4 &amp;"|"&amp; $R$8 &amp;"|"&amp; $R$9,'Emission Factor Look Up'!$A$1:$BO$16,$A47,FALSE)*$R$7/2000*$R$10</f>
        <v>0</v>
      </c>
      <c r="S47" s="426">
        <f>VLOOKUP($S$4 &amp;"|"&amp; $S$8 &amp;"|"&amp; $S$9,'Emission Factor Look Up'!$A$1:$BO$16,$A47,FALSE)*$S$7/2000*$S$10</f>
        <v>0</v>
      </c>
      <c r="T47" s="426">
        <f>VLOOKUP($T$4 &amp;"|"&amp; $T$8 &amp;"|"&amp; $T$9,'Emission Factor Look Up'!$A$1:$BO$16,$A47,FALSE)*$T$7/2000*$T$10</f>
        <v>0</v>
      </c>
      <c r="U47" s="426">
        <f>VLOOKUP($U$4 &amp;"|"&amp; $U$8 &amp;"|"&amp; $U$9,'Emission Factor Look Up'!$A$1:$BO$16,$A47,FALSE)*$U$7/2000*$U$10</f>
        <v>0</v>
      </c>
      <c r="V47" s="426">
        <f>VLOOKUP($V$4 &amp;"|"&amp; $V$8 &amp;"|"&amp; $V$9,'Emission Factor Look Up'!$A$1:$BO$16,$A47,FALSE)*$V$7/2000*$V$10</f>
        <v>0</v>
      </c>
      <c r="W47" s="426">
        <f>VLOOKUP($W$4 &amp;"|"&amp; $W$8 &amp;"|"&amp; $W$9,'Emission Factor Look Up'!$A$1:$BO$16,$A47,FALSE)*$W$7/2000*$W$10</f>
        <v>0</v>
      </c>
      <c r="X47" s="426">
        <f>VLOOKUP($X$4 &amp;"|"&amp; $X$8 &amp;"|"&amp; $X$9,'Emission Factor Look Up'!$A$1:$BO$16,$A47,FALSE)*$X$7/2000*$X$10</f>
        <v>0</v>
      </c>
      <c r="Y47" s="426">
        <f>VLOOKUP($Y$4 &amp;"|"&amp; $Y$8 &amp;"|"&amp; $Y$9,'Emission Factor Look Up'!$A$1:$BO$16,$A47,FALSE)*$Y$7/2000*$Y$10</f>
        <v>0</v>
      </c>
      <c r="Z47" s="426">
        <f>VLOOKUP($Z$4 &amp;"|"&amp; $Z$8 &amp;"|"&amp; $Z$9,'Emission Factor Look Up'!$A$1:$BO$16,$A47,FALSE)*$Z$7/2000*$Z$10</f>
        <v>0</v>
      </c>
      <c r="AA47" s="426">
        <f>VLOOKUP($AA$4 &amp;"|"&amp; $AA$8 &amp;"|"&amp; $AA$9,'Emission Factor Look Up'!$A$1:$BO$16,$A47,FALSE)*$AA$7/2000*$AA$10</f>
        <v>0</v>
      </c>
      <c r="AB47" s="426">
        <f>VLOOKUP($AB$4 &amp;"|"&amp; $AB$8 &amp;"|"&amp; $AB$9,'Emission Factor Look Up'!$A$1:$BO$16,$A47,FALSE)*$AB$7/2000*$AB$10</f>
        <v>0</v>
      </c>
      <c r="AC47" s="426">
        <f>VLOOKUP($AC$4 &amp;"|"&amp; $AC$8 &amp;"|"&amp; $AC$9,'Emission Factor Look Up'!$A$1:$BO$16,$A47,FALSE)*$AC$7/2000*$AC$10</f>
        <v>6.1860929999999995E-7</v>
      </c>
      <c r="AD47" s="427">
        <f t="shared" si="1"/>
        <v>6.1860929999999995E-7</v>
      </c>
    </row>
    <row r="48" spans="1:30">
      <c r="A48" s="190">
        <v>39</v>
      </c>
      <c r="B48" s="428" t="str">
        <f>'Emission Factors'!A41</f>
        <v>POM 3-Methylcholanthrene</v>
      </c>
      <c r="C48" s="426">
        <f>VLOOKUP($C$4 &amp;"|"&amp; $C$8 &amp;"|"&amp; $C$9,'Emission Factor Look Up'!$A$1:$BO$16,$A48,FALSE)*$C$7/2000*$C$10</f>
        <v>0</v>
      </c>
      <c r="D48" s="426">
        <f>VLOOKUP($D$4 &amp;"|"&amp; $D$8 &amp;"|"&amp; $D$9,'Emission Factor Look Up'!$A$1:$BO$16,$A48,FALSE)*$D$7/2000*$D$10</f>
        <v>0</v>
      </c>
      <c r="E48" s="426">
        <f>VLOOKUP($E$4 &amp;"|"&amp; $E$8 &amp;"|"&amp; $E$9,'Emission Factor Look Up'!$A$1:$BO$16,$A48,FALSE)*$E$7/2000*$E$10</f>
        <v>0</v>
      </c>
      <c r="F48" s="426">
        <f>VLOOKUP($F$4 &amp;"|"&amp; $F$8 &amp;"|"&amp; $F$9,'Emission Factor Look Up'!$A$1:$BO$16,$A48,FALSE)*$F$7/2000*$F$10</f>
        <v>0</v>
      </c>
      <c r="G48" s="426">
        <f>VLOOKUP($G$4 &amp;"|"&amp; $G$8 &amp;"|"&amp; $G$9,'Emission Factor Look Up'!$A$1:$BO$16,$A48,FALSE)*$G$7/2000*$G$10</f>
        <v>0</v>
      </c>
      <c r="H48" s="426">
        <f>VLOOKUP($H$4 &amp;"|"&amp; $H$8 &amp;"|"&amp; $H$9,'Emission Factor Look Up'!$A$1:$BO$16,$A48,FALSE)*$H$7/2000*$H$10</f>
        <v>0</v>
      </c>
      <c r="I48" s="426">
        <f>VLOOKUP($I$4 &amp;"|"&amp; $I$8 &amp;"|"&amp; $I$9,'Emission Factor Look Up'!$A$1:$BO$16,$A48,FALSE)*$I$7/2000*$I$10</f>
        <v>0</v>
      </c>
      <c r="J48" s="426">
        <f>VLOOKUP($J$4 &amp;"|"&amp; $J$8 &amp;"|"&amp; $J$9,'Emission Factor Look Up'!$A$1:$BO$16,$A48,FALSE)*$J$7/2000*$J$10</f>
        <v>0</v>
      </c>
      <c r="K48" s="426">
        <f>VLOOKUP($K$4 &amp;"|"&amp; $K$8 &amp;"|"&amp; $K$9,'Emission Factor Look Up'!$A$1:$BO$16,$A48,FALSE)*$K$7/2000*$K$10</f>
        <v>0</v>
      </c>
      <c r="L48" s="426">
        <f>VLOOKUP($L$4 &amp;"|"&amp; $L$8 &amp;"|"&amp; $L$9,'Emission Factor Look Up'!$A$1:$BO$16,$A48,FALSE)*$L$7/2000*$L$10</f>
        <v>0</v>
      </c>
      <c r="M48" s="426">
        <f>VLOOKUP($M$4 &amp;"|"&amp; $M$8 &amp;"|"&amp; $M$9,'Emission Factor Look Up'!$A$1:$BO$16,$A48,FALSE)*$M$7/2000*$M$10</f>
        <v>0</v>
      </c>
      <c r="N48" s="426">
        <f>VLOOKUP($N$4 &amp;"|"&amp; $N$8 &amp;"|"&amp; $N$9,'Emission Factor Look Up'!$A$1:$BO$16,$A48,FALSE)*$N$7/2000*$N$10</f>
        <v>0</v>
      </c>
      <c r="O48" s="426">
        <f>VLOOKUP($O$4 &amp;"|"&amp; $O$8 &amp;"|"&amp; $O$9,'Emission Factor Look Up'!$A$1:$BO$16,$A48,FALSE)*$O$7/2000*$O$10</f>
        <v>0</v>
      </c>
      <c r="P48" s="426">
        <f>VLOOKUP($P$4 &amp;"|"&amp; $P$8 &amp;"|"&amp; $P$9,'Emission Factor Look Up'!$A$1:$BO$16,$A48,FALSE)*$P$7/2000*$P$10</f>
        <v>0</v>
      </c>
      <c r="Q48" s="426">
        <f>VLOOKUP($Q$4 &amp;"|"&amp; $Q$8 &amp;"|"&amp; $Q$9,'Emission Factor Look Up'!$A$1:$BO$16,$A48,FALSE)*$Q$7/2000*$Q$10</f>
        <v>0</v>
      </c>
      <c r="R48" s="426">
        <f>VLOOKUP($R$4 &amp;"|"&amp; $R$8 &amp;"|"&amp; $R$9,'Emission Factor Look Up'!$A$1:$BO$16,$A48,FALSE)*$R$7/2000*$R$10</f>
        <v>0</v>
      </c>
      <c r="S48" s="426">
        <f>VLOOKUP($S$4 &amp;"|"&amp; $S$8 &amp;"|"&amp; $S$9,'Emission Factor Look Up'!$A$1:$BO$16,$A48,FALSE)*$S$7/2000*$S$10</f>
        <v>0</v>
      </c>
      <c r="T48" s="426">
        <f>VLOOKUP($T$4 &amp;"|"&amp; $T$8 &amp;"|"&amp; $T$9,'Emission Factor Look Up'!$A$1:$BO$16,$A48,FALSE)*$T$7/2000*$T$10</f>
        <v>0</v>
      </c>
      <c r="U48" s="426">
        <f>VLOOKUP($U$4 &amp;"|"&amp; $U$8 &amp;"|"&amp; $U$9,'Emission Factor Look Up'!$A$1:$BO$16,$A48,FALSE)*$U$7/2000*$U$10</f>
        <v>0</v>
      </c>
      <c r="V48" s="426">
        <f>VLOOKUP($V$4 &amp;"|"&amp; $V$8 &amp;"|"&amp; $V$9,'Emission Factor Look Up'!$A$1:$BO$16,$A48,FALSE)*$V$7/2000*$V$10</f>
        <v>0</v>
      </c>
      <c r="W48" s="426">
        <f>VLOOKUP($W$4 &amp;"|"&amp; $W$8 &amp;"|"&amp; $W$9,'Emission Factor Look Up'!$A$1:$BO$16,$A48,FALSE)*$W$7/2000*$W$10</f>
        <v>0</v>
      </c>
      <c r="X48" s="426">
        <f>VLOOKUP($X$4 &amp;"|"&amp; $X$8 &amp;"|"&amp; $X$9,'Emission Factor Look Up'!$A$1:$BO$16,$A48,FALSE)*$X$7/2000*$X$10</f>
        <v>0</v>
      </c>
      <c r="Y48" s="426">
        <f>VLOOKUP($Y$4 &amp;"|"&amp; $Y$8 &amp;"|"&amp; $Y$9,'Emission Factor Look Up'!$A$1:$BO$16,$A48,FALSE)*$Y$7/2000*$Y$10</f>
        <v>0</v>
      </c>
      <c r="Z48" s="426">
        <f>VLOOKUP($Z$4 &amp;"|"&amp; $Z$8 &amp;"|"&amp; $Z$9,'Emission Factor Look Up'!$A$1:$BO$16,$A48,FALSE)*$Z$7/2000*$Z$10</f>
        <v>0</v>
      </c>
      <c r="AA48" s="426">
        <f>VLOOKUP($AA$4 &amp;"|"&amp; $AA$8 &amp;"|"&amp; $AA$9,'Emission Factor Look Up'!$A$1:$BO$16,$A48,FALSE)*$AA$7/2000*$AA$10</f>
        <v>0</v>
      </c>
      <c r="AB48" s="426">
        <f>VLOOKUP($AB$4 &amp;"|"&amp; $AB$8 &amp;"|"&amp; $AB$9,'Emission Factor Look Up'!$A$1:$BO$16,$A48,FALSE)*$AB$7/2000*$AB$10</f>
        <v>0</v>
      </c>
      <c r="AC48" s="426">
        <f>VLOOKUP($AC$4 &amp;"|"&amp; $AC$8 &amp;"|"&amp; $AC$9,'Emission Factor Look Up'!$A$1:$BO$16,$A48,FALSE)*$AC$7/2000*$AC$10</f>
        <v>4.7382840000000003E-8</v>
      </c>
      <c r="AD48" s="427">
        <f t="shared" si="1"/>
        <v>4.7382840000000003E-8</v>
      </c>
    </row>
    <row r="49" spans="1:30">
      <c r="A49" s="190">
        <v>40</v>
      </c>
      <c r="B49" s="428" t="str">
        <f>'Emission Factors'!A42</f>
        <v>POM 7,12-Dimethylbenz(a)anthracene</v>
      </c>
      <c r="C49" s="426">
        <f>VLOOKUP($C$4 &amp;"|"&amp; $C$8 &amp;"|"&amp; $C$9,'Emission Factor Look Up'!$A$1:$BO$16,$A49,FALSE)*$C$7/2000*$C$10</f>
        <v>0</v>
      </c>
      <c r="D49" s="426">
        <f>VLOOKUP($D$4 &amp;"|"&amp; $D$8 &amp;"|"&amp; $D$9,'Emission Factor Look Up'!$A$1:$BO$16,$A49,FALSE)*$D$7/2000*$D$10</f>
        <v>0</v>
      </c>
      <c r="E49" s="426">
        <f>VLOOKUP($E$4 &amp;"|"&amp; $E$8 &amp;"|"&amp; $E$9,'Emission Factor Look Up'!$A$1:$BO$16,$A49,FALSE)*$E$7/2000*$E$10</f>
        <v>0</v>
      </c>
      <c r="F49" s="426">
        <f>VLOOKUP($F$4 &amp;"|"&amp; $F$8 &amp;"|"&amp; $F$9,'Emission Factor Look Up'!$A$1:$BO$16,$A49,FALSE)*$F$7/2000*$F$10</f>
        <v>0</v>
      </c>
      <c r="G49" s="426">
        <f>VLOOKUP($G$4 &amp;"|"&amp; $G$8 &amp;"|"&amp; $G$9,'Emission Factor Look Up'!$A$1:$BO$16,$A49,FALSE)*$G$7/2000*$G$10</f>
        <v>0</v>
      </c>
      <c r="H49" s="426">
        <f>VLOOKUP($H$4 &amp;"|"&amp; $H$8 &amp;"|"&amp; $H$9,'Emission Factor Look Up'!$A$1:$BO$16,$A49,FALSE)*$H$7/2000*$H$10</f>
        <v>0</v>
      </c>
      <c r="I49" s="426">
        <f>VLOOKUP($I$4 &amp;"|"&amp; $I$8 &amp;"|"&amp; $I$9,'Emission Factor Look Up'!$A$1:$BO$16,$A49,FALSE)*$I$7/2000*$I$10</f>
        <v>0</v>
      </c>
      <c r="J49" s="426">
        <f>VLOOKUP($J$4 &amp;"|"&amp; $J$8 &amp;"|"&amp; $J$9,'Emission Factor Look Up'!$A$1:$BO$16,$A49,FALSE)*$J$7/2000*$J$10</f>
        <v>0</v>
      </c>
      <c r="K49" s="426">
        <f>VLOOKUP($K$4 &amp;"|"&amp; $K$8 &amp;"|"&amp; $K$9,'Emission Factor Look Up'!$A$1:$BO$16,$A49,FALSE)*$K$7/2000*$K$10</f>
        <v>0</v>
      </c>
      <c r="L49" s="426">
        <f>VLOOKUP($L$4 &amp;"|"&amp; $L$8 &amp;"|"&amp; $L$9,'Emission Factor Look Up'!$A$1:$BO$16,$A49,FALSE)*$L$7/2000*$L$10</f>
        <v>0</v>
      </c>
      <c r="M49" s="426">
        <f>VLOOKUP($M$4 &amp;"|"&amp; $M$8 &amp;"|"&amp; $M$9,'Emission Factor Look Up'!$A$1:$BO$16,$A49,FALSE)*$M$7/2000*$M$10</f>
        <v>0</v>
      </c>
      <c r="N49" s="426">
        <f>VLOOKUP($N$4 &amp;"|"&amp; $N$8 &amp;"|"&amp; $N$9,'Emission Factor Look Up'!$A$1:$BO$16,$A49,FALSE)*$N$7/2000*$N$10</f>
        <v>0</v>
      </c>
      <c r="O49" s="426">
        <f>VLOOKUP($O$4 &amp;"|"&amp; $O$8 &amp;"|"&amp; $O$9,'Emission Factor Look Up'!$A$1:$BO$16,$A49,FALSE)*$O$7/2000*$O$10</f>
        <v>0</v>
      </c>
      <c r="P49" s="426">
        <f>VLOOKUP($P$4 &amp;"|"&amp; $P$8 &amp;"|"&amp; $P$9,'Emission Factor Look Up'!$A$1:$BO$16,$A49,FALSE)*$P$7/2000*$P$10</f>
        <v>0</v>
      </c>
      <c r="Q49" s="426">
        <f>VLOOKUP($Q$4 &amp;"|"&amp; $Q$8 &amp;"|"&amp; $Q$9,'Emission Factor Look Up'!$A$1:$BO$16,$A49,FALSE)*$Q$7/2000*$Q$10</f>
        <v>0</v>
      </c>
      <c r="R49" s="426">
        <f>VLOOKUP($R$4 &amp;"|"&amp; $R$8 &amp;"|"&amp; $R$9,'Emission Factor Look Up'!$A$1:$BO$16,$A49,FALSE)*$R$7/2000*$R$10</f>
        <v>0</v>
      </c>
      <c r="S49" s="426">
        <f>VLOOKUP($S$4 &amp;"|"&amp; $S$8 &amp;"|"&amp; $S$9,'Emission Factor Look Up'!$A$1:$BO$16,$A49,FALSE)*$S$7/2000*$S$10</f>
        <v>0</v>
      </c>
      <c r="T49" s="426">
        <f>VLOOKUP($T$4 &amp;"|"&amp; $T$8 &amp;"|"&amp; $T$9,'Emission Factor Look Up'!$A$1:$BO$16,$A49,FALSE)*$T$7/2000*$T$10</f>
        <v>0</v>
      </c>
      <c r="U49" s="426">
        <f>VLOOKUP($U$4 &amp;"|"&amp; $U$8 &amp;"|"&amp; $U$9,'Emission Factor Look Up'!$A$1:$BO$16,$A49,FALSE)*$U$7/2000*$U$10</f>
        <v>0</v>
      </c>
      <c r="V49" s="426">
        <f>VLOOKUP($V$4 &amp;"|"&amp; $V$8 &amp;"|"&amp; $V$9,'Emission Factor Look Up'!$A$1:$BO$16,$A49,FALSE)*$V$7/2000*$V$10</f>
        <v>0</v>
      </c>
      <c r="W49" s="426">
        <f>VLOOKUP($W$4 &amp;"|"&amp; $W$8 &amp;"|"&amp; $W$9,'Emission Factor Look Up'!$A$1:$BO$16,$A49,FALSE)*$W$7/2000*$W$10</f>
        <v>0</v>
      </c>
      <c r="X49" s="426">
        <f>VLOOKUP($X$4 &amp;"|"&amp; $X$8 &amp;"|"&amp; $X$9,'Emission Factor Look Up'!$A$1:$BO$16,$A49,FALSE)*$X$7/2000*$X$10</f>
        <v>0</v>
      </c>
      <c r="Y49" s="426">
        <f>VLOOKUP($Y$4 &amp;"|"&amp; $Y$8 &amp;"|"&amp; $Y$9,'Emission Factor Look Up'!$A$1:$BO$16,$A49,FALSE)*$Y$7/2000*$Y$10</f>
        <v>0</v>
      </c>
      <c r="Z49" s="426">
        <f>VLOOKUP($Z$4 &amp;"|"&amp; $Z$8 &amp;"|"&amp; $Z$9,'Emission Factor Look Up'!$A$1:$BO$16,$A49,FALSE)*$Z$7/2000*$Z$10</f>
        <v>0</v>
      </c>
      <c r="AA49" s="426">
        <f>VLOOKUP($AA$4 &amp;"|"&amp; $AA$8 &amp;"|"&amp; $AA$9,'Emission Factor Look Up'!$A$1:$BO$16,$A49,FALSE)*$AA$7/2000*$AA$10</f>
        <v>0</v>
      </c>
      <c r="AB49" s="426">
        <f>VLOOKUP($AB$4 &amp;"|"&amp; $AB$8 &amp;"|"&amp; $AB$9,'Emission Factor Look Up'!$A$1:$BO$16,$A49,FALSE)*$AB$7/2000*$AB$10</f>
        <v>0</v>
      </c>
      <c r="AC49" s="426">
        <f>VLOOKUP($AC$4 &amp;"|"&amp; $AC$8 &amp;"|"&amp; $AC$9,'Emission Factor Look Up'!$A$1:$BO$16,$A49,FALSE)*$AC$7/2000*$AC$10</f>
        <v>4.1328365999999999E-7</v>
      </c>
      <c r="AD49" s="427">
        <f t="shared" si="1"/>
        <v>4.1328365999999999E-7</v>
      </c>
    </row>
    <row r="50" spans="1:30">
      <c r="A50" s="190">
        <v>41</v>
      </c>
      <c r="B50" s="428" t="str">
        <f>'Emission Factors'!A43</f>
        <v>POM Acenaphthene</v>
      </c>
      <c r="C50" s="426">
        <f>VLOOKUP($C$4 &amp;"|"&amp; $C$8 &amp;"|"&amp; $C$9,'Emission Factor Look Up'!$A$1:$BO$16,$A50,FALSE)*$C$7/2000*$C$10</f>
        <v>0</v>
      </c>
      <c r="D50" s="426">
        <f>VLOOKUP($D$4 &amp;"|"&amp; $D$8 &amp;"|"&amp; $D$9,'Emission Factor Look Up'!$A$1:$BO$16,$A50,FALSE)*$D$7/2000*$D$10</f>
        <v>0</v>
      </c>
      <c r="E50" s="426">
        <f>VLOOKUP($E$4 &amp;"|"&amp; $E$8 &amp;"|"&amp; $E$9,'Emission Factor Look Up'!$A$1:$BO$16,$A50,FALSE)*$E$7/2000*$E$10</f>
        <v>0</v>
      </c>
      <c r="F50" s="426">
        <f>VLOOKUP($F$4 &amp;"|"&amp; $F$8 &amp;"|"&amp; $F$9,'Emission Factor Look Up'!$A$1:$BO$16,$A50,FALSE)*$F$7/2000*$F$10</f>
        <v>0</v>
      </c>
      <c r="G50" s="426">
        <f>VLOOKUP($G$4 &amp;"|"&amp; $G$8 &amp;"|"&amp; $G$9,'Emission Factor Look Up'!$A$1:$BO$16,$A50,FALSE)*$G$7/2000*$G$10</f>
        <v>0</v>
      </c>
      <c r="H50" s="426">
        <f>VLOOKUP($H$4 &amp;"|"&amp; $H$8 &amp;"|"&amp; $H$9,'Emission Factor Look Up'!$A$1:$BO$16,$A50,FALSE)*$H$7/2000*$H$10</f>
        <v>0</v>
      </c>
      <c r="I50" s="426">
        <f>VLOOKUP($I$4 &amp;"|"&amp; $I$8 &amp;"|"&amp; $I$9,'Emission Factor Look Up'!$A$1:$BO$16,$A50,FALSE)*$I$7/2000*$I$10</f>
        <v>0</v>
      </c>
      <c r="J50" s="426">
        <f>VLOOKUP($J$4 &amp;"|"&amp; $J$8 &amp;"|"&amp; $J$9,'Emission Factor Look Up'!$A$1:$BO$16,$A50,FALSE)*$J$7/2000*$J$10</f>
        <v>0</v>
      </c>
      <c r="K50" s="426">
        <f>VLOOKUP($K$4 &amp;"|"&amp; $K$8 &amp;"|"&amp; $K$9,'Emission Factor Look Up'!$A$1:$BO$16,$A50,FALSE)*$K$7/2000*$K$10</f>
        <v>0</v>
      </c>
      <c r="L50" s="426">
        <f>VLOOKUP($L$4 &amp;"|"&amp; $L$8 &amp;"|"&amp; $L$9,'Emission Factor Look Up'!$A$1:$BO$16,$A50,FALSE)*$L$7/2000*$L$10</f>
        <v>0</v>
      </c>
      <c r="M50" s="426">
        <f>VLOOKUP($M$4 &amp;"|"&amp; $M$8 &amp;"|"&amp; $M$9,'Emission Factor Look Up'!$A$1:$BO$16,$A50,FALSE)*$M$7/2000*$M$10</f>
        <v>7.455E-7</v>
      </c>
      <c r="N50" s="426">
        <f>VLOOKUP($N$4 &amp;"|"&amp; $N$8 &amp;"|"&amp; $N$9,'Emission Factor Look Up'!$A$1:$BO$16,$A50,FALSE)*$N$7/2000*$N$10</f>
        <v>1.4288750000000001E-6</v>
      </c>
      <c r="O50" s="426">
        <f>VLOOKUP($O$4 &amp;"|"&amp; $O$8 &amp;"|"&amp; $O$9,'Emission Factor Look Up'!$A$1:$BO$16,$A50,FALSE)*$O$7/2000*$O$10</f>
        <v>0</v>
      </c>
      <c r="P50" s="426">
        <f>VLOOKUP($P$4 &amp;"|"&amp; $P$8 &amp;"|"&amp; $P$9,'Emission Factor Look Up'!$A$1:$BO$16,$A50,FALSE)*$P$7/2000*$P$10</f>
        <v>0</v>
      </c>
      <c r="Q50" s="426">
        <f>VLOOKUP($Q$4 &amp;"|"&amp; $Q$8 &amp;"|"&amp; $Q$9,'Emission Factor Look Up'!$A$1:$BO$16,$A50,FALSE)*$Q$7/2000*$Q$10</f>
        <v>0</v>
      </c>
      <c r="R50" s="426">
        <f>VLOOKUP($R$4 &amp;"|"&amp; $R$8 &amp;"|"&amp; $R$9,'Emission Factor Look Up'!$A$1:$BO$16,$A50,FALSE)*$R$7/2000*$R$10</f>
        <v>0</v>
      </c>
      <c r="S50" s="426">
        <f>VLOOKUP($S$4 &amp;"|"&amp; $S$8 &amp;"|"&amp; $S$9,'Emission Factor Look Up'!$A$1:$BO$16,$A50,FALSE)*$S$7/2000*$S$10</f>
        <v>0</v>
      </c>
      <c r="T50" s="426">
        <f>VLOOKUP($T$4 &amp;"|"&amp; $T$8 &amp;"|"&amp; $T$9,'Emission Factor Look Up'!$A$1:$BO$16,$A50,FALSE)*$T$7/2000*$T$10</f>
        <v>0</v>
      </c>
      <c r="U50" s="426">
        <f>VLOOKUP($U$4 &amp;"|"&amp; $U$8 &amp;"|"&amp; $U$9,'Emission Factor Look Up'!$A$1:$BO$16,$A50,FALSE)*$U$7/2000*$U$10</f>
        <v>0</v>
      </c>
      <c r="V50" s="426">
        <f>VLOOKUP($V$4 &amp;"|"&amp; $V$8 &amp;"|"&amp; $V$9,'Emission Factor Look Up'!$A$1:$BO$16,$A50,FALSE)*$V$7/2000*$V$10</f>
        <v>0</v>
      </c>
      <c r="W50" s="426">
        <f>VLOOKUP($W$4 &amp;"|"&amp; $W$8 &amp;"|"&amp; $W$9,'Emission Factor Look Up'!$A$1:$BO$16,$A50,FALSE)*$W$7/2000*$W$10</f>
        <v>0</v>
      </c>
      <c r="X50" s="426">
        <f>VLOOKUP($X$4 &amp;"|"&amp; $X$8 &amp;"|"&amp; $X$9,'Emission Factor Look Up'!$A$1:$BO$16,$A50,FALSE)*$X$7/2000*$X$10</f>
        <v>0</v>
      </c>
      <c r="Y50" s="426">
        <f>VLOOKUP($Y$4 &amp;"|"&amp; $Y$8 &amp;"|"&amp; $Y$9,'Emission Factor Look Up'!$A$1:$BO$16,$A50,FALSE)*$Y$7/2000*$Y$10</f>
        <v>0</v>
      </c>
      <c r="Z50" s="426">
        <f>VLOOKUP($Z$4 &amp;"|"&amp; $Z$8 &amp;"|"&amp; $Z$9,'Emission Factor Look Up'!$A$1:$BO$16,$A50,FALSE)*$Z$7/2000*$Z$10</f>
        <v>0</v>
      </c>
      <c r="AA50" s="426">
        <f>VLOOKUP($AA$4 &amp;"|"&amp; $AA$8 &amp;"|"&amp; $AA$9,'Emission Factor Look Up'!$A$1:$BO$16,$A50,FALSE)*$AA$7/2000*$AA$10</f>
        <v>0</v>
      </c>
      <c r="AB50" s="426">
        <f>VLOOKUP($AB$4 &amp;"|"&amp; $AB$8 &amp;"|"&amp; $AB$9,'Emission Factor Look Up'!$A$1:$BO$16,$A50,FALSE)*$AB$7/2000*$AB$10</f>
        <v>0</v>
      </c>
      <c r="AC50" s="426">
        <f>VLOOKUP($AC$4 &amp;"|"&amp; $AC$8 &amp;"|"&amp; $AC$9,'Emission Factor Look Up'!$A$1:$BO$16,$A50,FALSE)*$AC$7/2000*$AC$10</f>
        <v>4.7382840000000003E-8</v>
      </c>
      <c r="AD50" s="427">
        <f t="shared" si="1"/>
        <v>2.2217578400000004E-6</v>
      </c>
    </row>
    <row r="51" spans="1:30">
      <c r="A51" s="190">
        <v>42</v>
      </c>
      <c r="B51" s="428" t="str">
        <f>'Emission Factors'!A44</f>
        <v>POM Acenaphthylene</v>
      </c>
      <c r="C51" s="426">
        <f>VLOOKUP($C$4 &amp;"|"&amp; $C$8 &amp;"|"&amp; $C$9,'Emission Factor Look Up'!$A$1:$BO$16,$A51,FALSE)*$C$7/2000*$C$10</f>
        <v>0</v>
      </c>
      <c r="D51" s="426">
        <f>VLOOKUP($D$4 &amp;"|"&amp; $D$8 &amp;"|"&amp; $D$9,'Emission Factor Look Up'!$A$1:$BO$16,$A51,FALSE)*$D$7/2000*$D$10</f>
        <v>0</v>
      </c>
      <c r="E51" s="426">
        <f>VLOOKUP($E$4 &amp;"|"&amp; $E$8 &amp;"|"&amp; $E$9,'Emission Factor Look Up'!$A$1:$BO$16,$A51,FALSE)*$E$7/2000*$E$10</f>
        <v>0</v>
      </c>
      <c r="F51" s="426">
        <f>VLOOKUP($F$4 &amp;"|"&amp; $F$8 &amp;"|"&amp; $F$9,'Emission Factor Look Up'!$A$1:$BO$16,$A51,FALSE)*$F$7/2000*$F$10</f>
        <v>0</v>
      </c>
      <c r="G51" s="426">
        <f>VLOOKUP($G$4 &amp;"|"&amp; $G$8 &amp;"|"&amp; $G$9,'Emission Factor Look Up'!$A$1:$BO$16,$A51,FALSE)*$G$7/2000*$G$10</f>
        <v>0</v>
      </c>
      <c r="H51" s="426">
        <f>VLOOKUP($H$4 &amp;"|"&amp; $H$8 &amp;"|"&amp; $H$9,'Emission Factor Look Up'!$A$1:$BO$16,$A51,FALSE)*$H$7/2000*$H$10</f>
        <v>0</v>
      </c>
      <c r="I51" s="426">
        <f>VLOOKUP($I$4 &amp;"|"&amp; $I$8 &amp;"|"&amp; $I$9,'Emission Factor Look Up'!$A$1:$BO$16,$A51,FALSE)*$I$7/2000*$I$10</f>
        <v>0</v>
      </c>
      <c r="J51" s="426">
        <f>VLOOKUP($J$4 &amp;"|"&amp; $J$8 &amp;"|"&amp; $J$9,'Emission Factor Look Up'!$A$1:$BO$16,$A51,FALSE)*$J$7/2000*$J$10</f>
        <v>0</v>
      </c>
      <c r="K51" s="426">
        <f>VLOOKUP($K$4 &amp;"|"&amp; $K$8 &amp;"|"&amp; $K$9,'Emission Factor Look Up'!$A$1:$BO$16,$A51,FALSE)*$K$7/2000*$K$10</f>
        <v>0</v>
      </c>
      <c r="L51" s="426">
        <f>VLOOKUP($L$4 &amp;"|"&amp; $L$8 &amp;"|"&amp; $L$9,'Emission Factor Look Up'!$A$1:$BO$16,$A51,FALSE)*$L$7/2000*$L$10</f>
        <v>0</v>
      </c>
      <c r="M51" s="426">
        <f>VLOOKUP($M$4 &amp;"|"&amp; $M$8 &amp;"|"&amp; $M$9,'Emission Factor Look Up'!$A$1:$BO$16,$A51,FALSE)*$M$7/2000*$M$10</f>
        <v>2.6564999999999999E-6</v>
      </c>
      <c r="N51" s="426">
        <f>VLOOKUP($N$4 &amp;"|"&amp; $N$8 &amp;"|"&amp; $N$9,'Emission Factor Look Up'!$A$1:$BO$16,$A51,FALSE)*$N$7/2000*$N$10</f>
        <v>5.0916250000000006E-6</v>
      </c>
      <c r="O51" s="426">
        <f>VLOOKUP($O$4 &amp;"|"&amp; $O$8 &amp;"|"&amp; $O$9,'Emission Factor Look Up'!$A$1:$BO$16,$A51,FALSE)*$O$7/2000*$O$10</f>
        <v>0</v>
      </c>
      <c r="P51" s="426">
        <f>VLOOKUP($P$4 &amp;"|"&amp; $P$8 &amp;"|"&amp; $P$9,'Emission Factor Look Up'!$A$1:$BO$16,$A51,FALSE)*$P$7/2000*$P$10</f>
        <v>0</v>
      </c>
      <c r="Q51" s="426">
        <f>VLOOKUP($Q$4 &amp;"|"&amp; $Q$8 &amp;"|"&amp; $Q$9,'Emission Factor Look Up'!$A$1:$BO$16,$A51,FALSE)*$Q$7/2000*$Q$10</f>
        <v>0</v>
      </c>
      <c r="R51" s="426">
        <f>VLOOKUP($R$4 &amp;"|"&amp; $R$8 &amp;"|"&amp; $R$9,'Emission Factor Look Up'!$A$1:$BO$16,$A51,FALSE)*$R$7/2000*$R$10</f>
        <v>0</v>
      </c>
      <c r="S51" s="426">
        <f>VLOOKUP($S$4 &amp;"|"&amp; $S$8 &amp;"|"&amp; $S$9,'Emission Factor Look Up'!$A$1:$BO$16,$A51,FALSE)*$S$7/2000*$S$10</f>
        <v>0</v>
      </c>
      <c r="T51" s="426">
        <f>VLOOKUP($T$4 &amp;"|"&amp; $T$8 &amp;"|"&amp; $T$9,'Emission Factor Look Up'!$A$1:$BO$16,$A51,FALSE)*$T$7/2000*$T$10</f>
        <v>0</v>
      </c>
      <c r="U51" s="426">
        <f>VLOOKUP($U$4 &amp;"|"&amp; $U$8 &amp;"|"&amp; $U$9,'Emission Factor Look Up'!$A$1:$BO$16,$A51,FALSE)*$U$7/2000*$U$10</f>
        <v>0</v>
      </c>
      <c r="V51" s="426">
        <f>VLOOKUP($V$4 &amp;"|"&amp; $V$8 &amp;"|"&amp; $V$9,'Emission Factor Look Up'!$A$1:$BO$16,$A51,FALSE)*$V$7/2000*$V$10</f>
        <v>0</v>
      </c>
      <c r="W51" s="426">
        <f>VLOOKUP($W$4 &amp;"|"&amp; $W$8 &amp;"|"&amp; $W$9,'Emission Factor Look Up'!$A$1:$BO$16,$A51,FALSE)*$W$7/2000*$W$10</f>
        <v>0</v>
      </c>
      <c r="X51" s="426">
        <f>VLOOKUP($X$4 &amp;"|"&amp; $X$8 &amp;"|"&amp; $X$9,'Emission Factor Look Up'!$A$1:$BO$16,$A51,FALSE)*$X$7/2000*$X$10</f>
        <v>0</v>
      </c>
      <c r="Y51" s="426">
        <f>VLOOKUP($Y$4 &amp;"|"&amp; $Y$8 &amp;"|"&amp; $Y$9,'Emission Factor Look Up'!$A$1:$BO$16,$A51,FALSE)*$Y$7/2000*$Y$10</f>
        <v>0</v>
      </c>
      <c r="Z51" s="426">
        <f>VLOOKUP($Z$4 &amp;"|"&amp; $Z$8 &amp;"|"&amp; $Z$9,'Emission Factor Look Up'!$A$1:$BO$16,$A51,FALSE)*$Z$7/2000*$Z$10</f>
        <v>0</v>
      </c>
      <c r="AA51" s="426">
        <f>VLOOKUP($AA$4 &amp;"|"&amp; $AA$8 &amp;"|"&amp; $AA$9,'Emission Factor Look Up'!$A$1:$BO$16,$A51,FALSE)*$AA$7/2000*$AA$10</f>
        <v>0</v>
      </c>
      <c r="AB51" s="426">
        <f>VLOOKUP($AB$4 &amp;"|"&amp; $AB$8 &amp;"|"&amp; $AB$9,'Emission Factor Look Up'!$A$1:$BO$16,$A51,FALSE)*$AB$7/2000*$AB$10</f>
        <v>0</v>
      </c>
      <c r="AC51" s="426">
        <f>VLOOKUP($AC$4 &amp;"|"&amp; $AC$8 &amp;"|"&amp; $AC$9,'Emission Factor Look Up'!$A$1:$BO$16,$A51,FALSE)*$AC$7/2000*$AC$10</f>
        <v>4.7382840000000003E-8</v>
      </c>
      <c r="AD51" s="427">
        <f t="shared" si="1"/>
        <v>7.7955078399999998E-6</v>
      </c>
    </row>
    <row r="52" spans="1:30">
      <c r="A52" s="190">
        <v>43</v>
      </c>
      <c r="B52" s="428" t="str">
        <f>'Emission Factors'!A45</f>
        <v>POM Anthracene</v>
      </c>
      <c r="C52" s="426">
        <f>VLOOKUP($C$4 &amp;"|"&amp; $C$8 &amp;"|"&amp; $C$9,'Emission Factor Look Up'!$A$1:$BO$16,$A52,FALSE)*$C$7/2000*$C$10</f>
        <v>0</v>
      </c>
      <c r="D52" s="426">
        <f>VLOOKUP($D$4 &amp;"|"&amp; $D$8 &amp;"|"&amp; $D$9,'Emission Factor Look Up'!$A$1:$BO$16,$A52,FALSE)*$D$7/2000*$D$10</f>
        <v>0</v>
      </c>
      <c r="E52" s="426">
        <f>VLOOKUP($E$4 &amp;"|"&amp; $E$8 &amp;"|"&amp; $E$9,'Emission Factor Look Up'!$A$1:$BO$16,$A52,FALSE)*$E$7/2000*$E$10</f>
        <v>0</v>
      </c>
      <c r="F52" s="426">
        <f>VLOOKUP($F$4 &amp;"|"&amp; $F$8 &amp;"|"&amp; $F$9,'Emission Factor Look Up'!$A$1:$BO$16,$A52,FALSE)*$F$7/2000*$F$10</f>
        <v>0</v>
      </c>
      <c r="G52" s="426">
        <f>VLOOKUP($G$4 &amp;"|"&amp; $G$8 &amp;"|"&amp; $G$9,'Emission Factor Look Up'!$A$1:$BO$16,$A52,FALSE)*$G$7/2000*$G$10</f>
        <v>0</v>
      </c>
      <c r="H52" s="426">
        <f>VLOOKUP($H$4 &amp;"|"&amp; $H$8 &amp;"|"&amp; $H$9,'Emission Factor Look Up'!$A$1:$BO$16,$A52,FALSE)*$H$7/2000*$H$10</f>
        <v>0</v>
      </c>
      <c r="I52" s="426">
        <f>VLOOKUP($I$4 &amp;"|"&amp; $I$8 &amp;"|"&amp; $I$9,'Emission Factor Look Up'!$A$1:$BO$16,$A52,FALSE)*$I$7/2000*$I$10</f>
        <v>0</v>
      </c>
      <c r="J52" s="426">
        <f>VLOOKUP($J$4 &amp;"|"&amp; $J$8 &amp;"|"&amp; $J$9,'Emission Factor Look Up'!$A$1:$BO$16,$A52,FALSE)*$J$7/2000*$J$10</f>
        <v>0</v>
      </c>
      <c r="K52" s="426">
        <f>VLOOKUP($K$4 &amp;"|"&amp; $K$8 &amp;"|"&amp; $K$9,'Emission Factor Look Up'!$A$1:$BO$16,$A52,FALSE)*$K$7/2000*$K$10</f>
        <v>0</v>
      </c>
      <c r="L52" s="426">
        <f>VLOOKUP($L$4 &amp;"|"&amp; $L$8 &amp;"|"&amp; $L$9,'Emission Factor Look Up'!$A$1:$BO$16,$A52,FALSE)*$L$7/2000*$L$10</f>
        <v>0</v>
      </c>
      <c r="M52" s="426">
        <f>VLOOKUP($M$4 &amp;"|"&amp; $M$8 &amp;"|"&amp; $M$9,'Emission Factor Look Up'!$A$1:$BO$16,$A52,FALSE)*$M$7/2000*$M$10</f>
        <v>9.8175000000000017E-7</v>
      </c>
      <c r="N52" s="426">
        <f>VLOOKUP($N$4 &amp;"|"&amp; $N$8 &amp;"|"&amp; $N$9,'Emission Factor Look Up'!$A$1:$BO$16,$A52,FALSE)*$N$7/2000*$N$10</f>
        <v>1.8816875000000003E-6</v>
      </c>
      <c r="O52" s="426">
        <f>VLOOKUP($O$4 &amp;"|"&amp; $O$8 &amp;"|"&amp; $O$9,'Emission Factor Look Up'!$A$1:$BO$16,$A52,FALSE)*$O$7/2000*$O$10</f>
        <v>0</v>
      </c>
      <c r="P52" s="426">
        <f>VLOOKUP($P$4 &amp;"|"&amp; $P$8 &amp;"|"&amp; $P$9,'Emission Factor Look Up'!$A$1:$BO$16,$A52,FALSE)*$P$7/2000*$P$10</f>
        <v>0</v>
      </c>
      <c r="Q52" s="426">
        <f>VLOOKUP($Q$4 &amp;"|"&amp; $Q$8 &amp;"|"&amp; $Q$9,'Emission Factor Look Up'!$A$1:$BO$16,$A52,FALSE)*$Q$7/2000*$Q$10</f>
        <v>0</v>
      </c>
      <c r="R52" s="426">
        <f>VLOOKUP($R$4 &amp;"|"&amp; $R$8 &amp;"|"&amp; $R$9,'Emission Factor Look Up'!$A$1:$BO$16,$A52,FALSE)*$R$7/2000*$R$10</f>
        <v>0</v>
      </c>
      <c r="S52" s="426">
        <f>VLOOKUP($S$4 &amp;"|"&amp; $S$8 &amp;"|"&amp; $S$9,'Emission Factor Look Up'!$A$1:$BO$16,$A52,FALSE)*$S$7/2000*$S$10</f>
        <v>0</v>
      </c>
      <c r="T52" s="426">
        <f>VLOOKUP($T$4 &amp;"|"&amp; $T$8 &amp;"|"&amp; $T$9,'Emission Factor Look Up'!$A$1:$BO$16,$A52,FALSE)*$T$7/2000*$T$10</f>
        <v>0</v>
      </c>
      <c r="U52" s="426">
        <f>VLOOKUP($U$4 &amp;"|"&amp; $U$8 &amp;"|"&amp; $U$9,'Emission Factor Look Up'!$A$1:$BO$16,$A52,FALSE)*$U$7/2000*$U$10</f>
        <v>0</v>
      </c>
      <c r="V52" s="426">
        <f>VLOOKUP($V$4 &amp;"|"&amp; $V$8 &amp;"|"&amp; $V$9,'Emission Factor Look Up'!$A$1:$BO$16,$A52,FALSE)*$V$7/2000*$V$10</f>
        <v>0</v>
      </c>
      <c r="W52" s="426">
        <f>VLOOKUP($W$4 &amp;"|"&amp; $W$8 &amp;"|"&amp; $W$9,'Emission Factor Look Up'!$A$1:$BO$16,$A52,FALSE)*$W$7/2000*$W$10</f>
        <v>0</v>
      </c>
      <c r="X52" s="426">
        <f>VLOOKUP($X$4 &amp;"|"&amp; $X$8 &amp;"|"&amp; $X$9,'Emission Factor Look Up'!$A$1:$BO$16,$A52,FALSE)*$X$7/2000*$X$10</f>
        <v>0</v>
      </c>
      <c r="Y52" s="426">
        <f>VLOOKUP($Y$4 &amp;"|"&amp; $Y$8 &amp;"|"&amp; $Y$9,'Emission Factor Look Up'!$A$1:$BO$16,$A52,FALSE)*$Y$7/2000*$Y$10</f>
        <v>0</v>
      </c>
      <c r="Z52" s="426">
        <f>VLOOKUP($Z$4 &amp;"|"&amp; $Z$8 &amp;"|"&amp; $Z$9,'Emission Factor Look Up'!$A$1:$BO$16,$A52,FALSE)*$Z$7/2000*$Z$10</f>
        <v>0</v>
      </c>
      <c r="AA52" s="426">
        <f>VLOOKUP($AA$4 &amp;"|"&amp; $AA$8 &amp;"|"&amp; $AA$9,'Emission Factor Look Up'!$A$1:$BO$16,$A52,FALSE)*$AA$7/2000*$AA$10</f>
        <v>0</v>
      </c>
      <c r="AB52" s="426">
        <f>VLOOKUP($AB$4 &amp;"|"&amp; $AB$8 &amp;"|"&amp; $AB$9,'Emission Factor Look Up'!$A$1:$BO$16,$A52,FALSE)*$AB$7/2000*$AB$10</f>
        <v>0</v>
      </c>
      <c r="AC52" s="426">
        <f>VLOOKUP($AC$4 &amp;"|"&amp; $AC$8 &amp;"|"&amp; $AC$9,'Emission Factor Look Up'!$A$1:$BO$16,$A52,FALSE)*$AC$7/2000*$AC$10</f>
        <v>6.3177119999999996E-8</v>
      </c>
      <c r="AD52" s="427">
        <f t="shared" si="1"/>
        <v>2.9266146200000006E-6</v>
      </c>
    </row>
    <row r="53" spans="1:30">
      <c r="A53" s="190">
        <v>44</v>
      </c>
      <c r="B53" s="428" t="str">
        <f>'Emission Factors'!A46</f>
        <v>POM Benz(a)anthracene</v>
      </c>
      <c r="C53" s="426">
        <f>VLOOKUP($C$4 &amp;"|"&amp; $C$8 &amp;"|"&amp; $C$9,'Emission Factor Look Up'!$A$1:$BO$16,$A53,FALSE)*$C$7/2000*$C$10</f>
        <v>0</v>
      </c>
      <c r="D53" s="426">
        <f>VLOOKUP($D$4 &amp;"|"&amp; $D$8 &amp;"|"&amp; $D$9,'Emission Factor Look Up'!$A$1:$BO$16,$A53,FALSE)*$D$7/2000*$D$10</f>
        <v>0</v>
      </c>
      <c r="E53" s="426">
        <f>VLOOKUP($E$4 &amp;"|"&amp; $E$8 &amp;"|"&amp; $E$9,'Emission Factor Look Up'!$A$1:$BO$16,$A53,FALSE)*$E$7/2000*$E$10</f>
        <v>0</v>
      </c>
      <c r="F53" s="426">
        <f>VLOOKUP($F$4 &amp;"|"&amp; $F$8 &amp;"|"&amp; $F$9,'Emission Factor Look Up'!$A$1:$BO$16,$A53,FALSE)*$F$7/2000*$F$10</f>
        <v>0</v>
      </c>
      <c r="G53" s="426">
        <f>VLOOKUP($G$4 &amp;"|"&amp; $G$8 &amp;"|"&amp; $G$9,'Emission Factor Look Up'!$A$1:$BO$16,$A53,FALSE)*$G$7/2000*$G$10</f>
        <v>0</v>
      </c>
      <c r="H53" s="426">
        <f>VLOOKUP($H$4 &amp;"|"&amp; $H$8 &amp;"|"&amp; $H$9,'Emission Factor Look Up'!$A$1:$BO$16,$A53,FALSE)*$H$7/2000*$H$10</f>
        <v>0</v>
      </c>
      <c r="I53" s="426">
        <f>VLOOKUP($I$4 &amp;"|"&amp; $I$8 &amp;"|"&amp; $I$9,'Emission Factor Look Up'!$A$1:$BO$16,$A53,FALSE)*$I$7/2000*$I$10</f>
        <v>0</v>
      </c>
      <c r="J53" s="426">
        <f>VLOOKUP($J$4 &amp;"|"&amp; $J$8 &amp;"|"&amp; $J$9,'Emission Factor Look Up'!$A$1:$BO$16,$A53,FALSE)*$J$7/2000*$J$10</f>
        <v>0</v>
      </c>
      <c r="K53" s="426">
        <f>VLOOKUP($K$4 &amp;"|"&amp; $K$8 &amp;"|"&amp; $K$9,'Emission Factor Look Up'!$A$1:$BO$16,$A53,FALSE)*$K$7/2000*$K$10</f>
        <v>0</v>
      </c>
      <c r="L53" s="426">
        <f>VLOOKUP($L$4 &amp;"|"&amp; $L$8 &amp;"|"&amp; $L$9,'Emission Factor Look Up'!$A$1:$BO$16,$A53,FALSE)*$L$7/2000*$L$10</f>
        <v>0</v>
      </c>
      <c r="M53" s="426">
        <f>VLOOKUP($M$4 &amp;"|"&amp; $M$8 &amp;"|"&amp; $M$9,'Emission Factor Look Up'!$A$1:$BO$16,$A53,FALSE)*$M$7/2000*$M$10</f>
        <v>8.8200000000000009E-7</v>
      </c>
      <c r="N53" s="426">
        <f>VLOOKUP($N$4 &amp;"|"&amp; $N$8 &amp;"|"&amp; $N$9,'Emission Factor Look Up'!$A$1:$BO$16,$A53,FALSE)*$N$7/2000*$N$10</f>
        <v>1.6905000000000002E-6</v>
      </c>
      <c r="O53" s="426">
        <f>VLOOKUP($O$4 &amp;"|"&amp; $O$8 &amp;"|"&amp; $O$9,'Emission Factor Look Up'!$A$1:$BO$16,$A53,FALSE)*$O$7/2000*$O$10</f>
        <v>0</v>
      </c>
      <c r="P53" s="426">
        <f>VLOOKUP($P$4 &amp;"|"&amp; $P$8 &amp;"|"&amp; $P$9,'Emission Factor Look Up'!$A$1:$BO$16,$A53,FALSE)*$P$7/2000*$P$10</f>
        <v>0</v>
      </c>
      <c r="Q53" s="426">
        <f>VLOOKUP($Q$4 &amp;"|"&amp; $Q$8 &amp;"|"&amp; $Q$9,'Emission Factor Look Up'!$A$1:$BO$16,$A53,FALSE)*$Q$7/2000*$Q$10</f>
        <v>0</v>
      </c>
      <c r="R53" s="426">
        <f>VLOOKUP($R$4 &amp;"|"&amp; $R$8 &amp;"|"&amp; $R$9,'Emission Factor Look Up'!$A$1:$BO$16,$A53,FALSE)*$R$7/2000*$R$10</f>
        <v>0</v>
      </c>
      <c r="S53" s="426">
        <f>VLOOKUP($S$4 &amp;"|"&amp; $S$8 &amp;"|"&amp; $S$9,'Emission Factor Look Up'!$A$1:$BO$16,$A53,FALSE)*$S$7/2000*$S$10</f>
        <v>0</v>
      </c>
      <c r="T53" s="426">
        <f>VLOOKUP($T$4 &amp;"|"&amp; $T$8 &amp;"|"&amp; $T$9,'Emission Factor Look Up'!$A$1:$BO$16,$A53,FALSE)*$T$7/2000*$T$10</f>
        <v>0</v>
      </c>
      <c r="U53" s="426">
        <f>VLOOKUP($U$4 &amp;"|"&amp; $U$8 &amp;"|"&amp; $U$9,'Emission Factor Look Up'!$A$1:$BO$16,$A53,FALSE)*$U$7/2000*$U$10</f>
        <v>0</v>
      </c>
      <c r="V53" s="426">
        <f>VLOOKUP($V$4 &amp;"|"&amp; $V$8 &amp;"|"&amp; $V$9,'Emission Factor Look Up'!$A$1:$BO$16,$A53,FALSE)*$V$7/2000*$V$10</f>
        <v>0</v>
      </c>
      <c r="W53" s="426">
        <f>VLOOKUP($W$4 &amp;"|"&amp; $W$8 &amp;"|"&amp; $W$9,'Emission Factor Look Up'!$A$1:$BO$16,$A53,FALSE)*$W$7/2000*$W$10</f>
        <v>0</v>
      </c>
      <c r="X53" s="426">
        <f>VLOOKUP($X$4 &amp;"|"&amp; $X$8 &amp;"|"&amp; $X$9,'Emission Factor Look Up'!$A$1:$BO$16,$A53,FALSE)*$X$7/2000*$X$10</f>
        <v>0</v>
      </c>
      <c r="Y53" s="426">
        <f>VLOOKUP($Y$4 &amp;"|"&amp; $Y$8 &amp;"|"&amp; $Y$9,'Emission Factor Look Up'!$A$1:$BO$16,$A53,FALSE)*$Y$7/2000*$Y$10</f>
        <v>0</v>
      </c>
      <c r="Z53" s="426">
        <f>VLOOKUP($Z$4 &amp;"|"&amp; $Z$8 &amp;"|"&amp; $Z$9,'Emission Factor Look Up'!$A$1:$BO$16,$A53,FALSE)*$Z$7/2000*$Z$10</f>
        <v>0</v>
      </c>
      <c r="AA53" s="426">
        <f>VLOOKUP($AA$4 &amp;"|"&amp; $AA$8 &amp;"|"&amp; $AA$9,'Emission Factor Look Up'!$A$1:$BO$16,$A53,FALSE)*$AA$7/2000*$AA$10</f>
        <v>0</v>
      </c>
      <c r="AB53" s="426">
        <f>VLOOKUP($AB$4 &amp;"|"&amp; $AB$8 &amp;"|"&amp; $AB$9,'Emission Factor Look Up'!$A$1:$BO$16,$A53,FALSE)*$AB$7/2000*$AB$10</f>
        <v>0</v>
      </c>
      <c r="AC53" s="426">
        <f>VLOOKUP($AC$4 &amp;"|"&amp; $AC$8 &amp;"|"&amp; $AC$9,'Emission Factor Look Up'!$A$1:$BO$16,$A53,FALSE)*$AC$7/2000*$AC$10</f>
        <v>4.7382840000000003E-8</v>
      </c>
      <c r="AD53" s="427">
        <f t="shared" si="1"/>
        <v>2.6198828400000005E-6</v>
      </c>
    </row>
    <row r="54" spans="1:30">
      <c r="A54" s="190">
        <v>45</v>
      </c>
      <c r="B54" s="428" t="str">
        <f>'Emission Factors'!A47</f>
        <v>POM Benzo(a)pyrene</v>
      </c>
      <c r="C54" s="426">
        <f>VLOOKUP($C$4 &amp;"|"&amp; $C$8 &amp;"|"&amp; $C$9,'Emission Factor Look Up'!$A$1:$BO$16,$A54,FALSE)*$C$7/2000*$C$10</f>
        <v>0</v>
      </c>
      <c r="D54" s="426">
        <f>VLOOKUP($D$4 &amp;"|"&amp; $D$8 &amp;"|"&amp; $D$9,'Emission Factor Look Up'!$A$1:$BO$16,$A54,FALSE)*$D$7/2000*$D$10</f>
        <v>0</v>
      </c>
      <c r="E54" s="426">
        <f>VLOOKUP($E$4 &amp;"|"&amp; $E$8 &amp;"|"&amp; $E$9,'Emission Factor Look Up'!$A$1:$BO$16,$A54,FALSE)*$E$7/2000*$E$10</f>
        <v>0</v>
      </c>
      <c r="F54" s="426">
        <f>VLOOKUP($F$4 &amp;"|"&amp; $F$8 &amp;"|"&amp; $F$9,'Emission Factor Look Up'!$A$1:$BO$16,$A54,FALSE)*$F$7/2000*$F$10</f>
        <v>0</v>
      </c>
      <c r="G54" s="426">
        <f>VLOOKUP($G$4 &amp;"|"&amp; $G$8 &amp;"|"&amp; $G$9,'Emission Factor Look Up'!$A$1:$BO$16,$A54,FALSE)*$G$7/2000*$G$10</f>
        <v>0</v>
      </c>
      <c r="H54" s="426">
        <f>VLOOKUP($H$4 &amp;"|"&amp; $H$8 &amp;"|"&amp; $H$9,'Emission Factor Look Up'!$A$1:$BO$16,$A54,FALSE)*$H$7/2000*$H$10</f>
        <v>0</v>
      </c>
      <c r="I54" s="426">
        <f>VLOOKUP($I$4 &amp;"|"&amp; $I$8 &amp;"|"&amp; $I$9,'Emission Factor Look Up'!$A$1:$BO$16,$A54,FALSE)*$I$7/2000*$I$10</f>
        <v>0</v>
      </c>
      <c r="J54" s="426">
        <f>VLOOKUP($J$4 &amp;"|"&amp; $J$8 &amp;"|"&amp; $J$9,'Emission Factor Look Up'!$A$1:$BO$16,$A54,FALSE)*$J$7/2000*$J$10</f>
        <v>0</v>
      </c>
      <c r="K54" s="426">
        <f>VLOOKUP($K$4 &amp;"|"&amp; $K$8 &amp;"|"&amp; $K$9,'Emission Factor Look Up'!$A$1:$BO$16,$A54,FALSE)*$K$7/2000*$K$10</f>
        <v>0</v>
      </c>
      <c r="L54" s="426">
        <f>VLOOKUP($L$4 &amp;"|"&amp; $L$8 &amp;"|"&amp; $L$9,'Emission Factor Look Up'!$A$1:$BO$16,$A54,FALSE)*$L$7/2000*$L$10</f>
        <v>0</v>
      </c>
      <c r="M54" s="426">
        <f>VLOOKUP($M$4 &amp;"|"&amp; $M$8 &amp;"|"&amp; $M$9,'Emission Factor Look Up'!$A$1:$BO$16,$A54,FALSE)*$M$7/2000*$M$10</f>
        <v>9.8700000000000004E-8</v>
      </c>
      <c r="N54" s="426">
        <f>VLOOKUP($N$4 &amp;"|"&amp; $N$8 &amp;"|"&amp; $N$9,'Emission Factor Look Up'!$A$1:$BO$16,$A54,FALSE)*$N$7/2000*$N$10</f>
        <v>1.89175E-7</v>
      </c>
      <c r="O54" s="426">
        <f>VLOOKUP($O$4 &amp;"|"&amp; $O$8 &amp;"|"&amp; $O$9,'Emission Factor Look Up'!$A$1:$BO$16,$A54,FALSE)*$O$7/2000*$O$10</f>
        <v>0</v>
      </c>
      <c r="P54" s="426">
        <f>VLOOKUP($P$4 &amp;"|"&amp; $P$8 &amp;"|"&amp; $P$9,'Emission Factor Look Up'!$A$1:$BO$16,$A54,FALSE)*$P$7/2000*$P$10</f>
        <v>0</v>
      </c>
      <c r="Q54" s="426">
        <f>VLOOKUP($Q$4 &amp;"|"&amp; $Q$8 &amp;"|"&amp; $Q$9,'Emission Factor Look Up'!$A$1:$BO$16,$A54,FALSE)*$Q$7/2000*$Q$10</f>
        <v>0</v>
      </c>
      <c r="R54" s="426">
        <f>VLOOKUP($R$4 &amp;"|"&amp; $R$8 &amp;"|"&amp; $R$9,'Emission Factor Look Up'!$A$1:$BO$16,$A54,FALSE)*$R$7/2000*$R$10</f>
        <v>0</v>
      </c>
      <c r="S54" s="426">
        <f>VLOOKUP($S$4 &amp;"|"&amp; $S$8 &amp;"|"&amp; $S$9,'Emission Factor Look Up'!$A$1:$BO$16,$A54,FALSE)*$S$7/2000*$S$10</f>
        <v>0</v>
      </c>
      <c r="T54" s="426">
        <f>VLOOKUP($T$4 &amp;"|"&amp; $T$8 &amp;"|"&amp; $T$9,'Emission Factor Look Up'!$A$1:$BO$16,$A54,FALSE)*$T$7/2000*$T$10</f>
        <v>0</v>
      </c>
      <c r="U54" s="426">
        <f>VLOOKUP($U$4 &amp;"|"&amp; $U$8 &amp;"|"&amp; $U$9,'Emission Factor Look Up'!$A$1:$BO$16,$A54,FALSE)*$U$7/2000*$U$10</f>
        <v>0</v>
      </c>
      <c r="V54" s="426">
        <f>VLOOKUP($V$4 &amp;"|"&amp; $V$8 &amp;"|"&amp; $V$9,'Emission Factor Look Up'!$A$1:$BO$16,$A54,FALSE)*$V$7/2000*$V$10</f>
        <v>0</v>
      </c>
      <c r="W54" s="426">
        <f>VLOOKUP($W$4 &amp;"|"&amp; $W$8 &amp;"|"&amp; $W$9,'Emission Factor Look Up'!$A$1:$BO$16,$A54,FALSE)*$W$7/2000*$W$10</f>
        <v>0</v>
      </c>
      <c r="X54" s="426">
        <f>VLOOKUP($X$4 &amp;"|"&amp; $X$8 &amp;"|"&amp; $X$9,'Emission Factor Look Up'!$A$1:$BO$16,$A54,FALSE)*$X$7/2000*$X$10</f>
        <v>0</v>
      </c>
      <c r="Y54" s="426">
        <f>VLOOKUP($Y$4 &amp;"|"&amp; $Y$8 &amp;"|"&amp; $Y$9,'Emission Factor Look Up'!$A$1:$BO$16,$A54,FALSE)*$Y$7/2000*$Y$10</f>
        <v>0</v>
      </c>
      <c r="Z54" s="426">
        <f>VLOOKUP($Z$4 &amp;"|"&amp; $Z$8 &amp;"|"&amp; $Z$9,'Emission Factor Look Up'!$A$1:$BO$16,$A54,FALSE)*$Z$7/2000*$Z$10</f>
        <v>0</v>
      </c>
      <c r="AA54" s="426">
        <f>VLOOKUP($AA$4 &amp;"|"&amp; $AA$8 &amp;"|"&amp; $AA$9,'Emission Factor Look Up'!$A$1:$BO$16,$A54,FALSE)*$AA$7/2000*$AA$10</f>
        <v>0</v>
      </c>
      <c r="AB54" s="426">
        <f>VLOOKUP($AB$4 &amp;"|"&amp; $AB$8 &amp;"|"&amp; $AB$9,'Emission Factor Look Up'!$A$1:$BO$16,$A54,FALSE)*$AB$7/2000*$AB$10</f>
        <v>0</v>
      </c>
      <c r="AC54" s="426">
        <f>VLOOKUP($AC$4 &amp;"|"&amp; $AC$8 &amp;"|"&amp; $AC$9,'Emission Factor Look Up'!$A$1:$BO$16,$A54,FALSE)*$AC$7/2000*$AC$10</f>
        <v>3.1588559999999998E-8</v>
      </c>
      <c r="AD54" s="427">
        <f t="shared" si="1"/>
        <v>3.1946355999999997E-7</v>
      </c>
    </row>
    <row r="55" spans="1:30">
      <c r="A55" s="190">
        <v>46</v>
      </c>
      <c r="B55" s="428" t="str">
        <f>'Emission Factors'!A48</f>
        <v>POM Benzo(b)fluoranthene</v>
      </c>
      <c r="C55" s="426">
        <f>VLOOKUP($C$4 &amp;"|"&amp; $C$8 &amp;"|"&amp; $C$9,'Emission Factor Look Up'!$A$1:$BO$16,$A55,FALSE)*$C$7/2000*$C$10</f>
        <v>0</v>
      </c>
      <c r="D55" s="426">
        <f>VLOOKUP($D$4 &amp;"|"&amp; $D$8 &amp;"|"&amp; $D$9,'Emission Factor Look Up'!$A$1:$BO$16,$A55,FALSE)*$D$7/2000*$D$10</f>
        <v>0</v>
      </c>
      <c r="E55" s="426">
        <f>VLOOKUP($E$4 &amp;"|"&amp; $E$8 &amp;"|"&amp; $E$9,'Emission Factor Look Up'!$A$1:$BO$16,$A55,FALSE)*$E$7/2000*$E$10</f>
        <v>0</v>
      </c>
      <c r="F55" s="426">
        <f>VLOOKUP($F$4 &amp;"|"&amp; $F$8 &amp;"|"&amp; $F$9,'Emission Factor Look Up'!$A$1:$BO$16,$A55,FALSE)*$F$7/2000*$F$10</f>
        <v>0</v>
      </c>
      <c r="G55" s="426">
        <f>VLOOKUP($G$4 &amp;"|"&amp; $G$8 &amp;"|"&amp; $G$9,'Emission Factor Look Up'!$A$1:$BO$16,$A55,FALSE)*$G$7/2000*$G$10</f>
        <v>0</v>
      </c>
      <c r="H55" s="426">
        <f>VLOOKUP($H$4 &amp;"|"&amp; $H$8 &amp;"|"&amp; $H$9,'Emission Factor Look Up'!$A$1:$BO$16,$A55,FALSE)*$H$7/2000*$H$10</f>
        <v>0</v>
      </c>
      <c r="I55" s="426">
        <f>VLOOKUP($I$4 &amp;"|"&amp; $I$8 &amp;"|"&amp; $I$9,'Emission Factor Look Up'!$A$1:$BO$16,$A55,FALSE)*$I$7/2000*$I$10</f>
        <v>0</v>
      </c>
      <c r="J55" s="426">
        <f>VLOOKUP($J$4 &amp;"|"&amp; $J$8 &amp;"|"&amp; $J$9,'Emission Factor Look Up'!$A$1:$BO$16,$A55,FALSE)*$J$7/2000*$J$10</f>
        <v>0</v>
      </c>
      <c r="K55" s="426">
        <f>VLOOKUP($K$4 &amp;"|"&amp; $K$8 &amp;"|"&amp; $K$9,'Emission Factor Look Up'!$A$1:$BO$16,$A55,FALSE)*$K$7/2000*$K$10</f>
        <v>0</v>
      </c>
      <c r="L55" s="426">
        <f>VLOOKUP($L$4 &amp;"|"&amp; $L$8 &amp;"|"&amp; $L$9,'Emission Factor Look Up'!$A$1:$BO$16,$A55,FALSE)*$L$7/2000*$L$10</f>
        <v>0</v>
      </c>
      <c r="M55" s="426">
        <f>VLOOKUP($M$4 &amp;"|"&amp; $M$8 &amp;"|"&amp; $M$9,'Emission Factor Look Up'!$A$1:$BO$16,$A55,FALSE)*$M$7/2000*$M$10</f>
        <v>5.2027500000000001E-8</v>
      </c>
      <c r="N55" s="426">
        <f>VLOOKUP($N$4 &amp;"|"&amp; $N$8 &amp;"|"&amp; $N$9,'Emission Factor Look Up'!$A$1:$BO$16,$A55,FALSE)*$N$7/2000*$N$10</f>
        <v>9.9719375000000005E-8</v>
      </c>
      <c r="O55" s="426">
        <f>VLOOKUP($O$4 &amp;"|"&amp; $O$8 &amp;"|"&amp; $O$9,'Emission Factor Look Up'!$A$1:$BO$16,$A55,FALSE)*$O$7/2000*$O$10</f>
        <v>0</v>
      </c>
      <c r="P55" s="426">
        <f>VLOOKUP($P$4 &amp;"|"&amp; $P$8 &amp;"|"&amp; $P$9,'Emission Factor Look Up'!$A$1:$BO$16,$A55,FALSE)*$P$7/2000*$P$10</f>
        <v>0</v>
      </c>
      <c r="Q55" s="426">
        <f>VLOOKUP($Q$4 &amp;"|"&amp; $Q$8 &amp;"|"&amp; $Q$9,'Emission Factor Look Up'!$A$1:$BO$16,$A55,FALSE)*$Q$7/2000*$Q$10</f>
        <v>0</v>
      </c>
      <c r="R55" s="426">
        <f>VLOOKUP($R$4 &amp;"|"&amp; $R$8 &amp;"|"&amp; $R$9,'Emission Factor Look Up'!$A$1:$BO$16,$A55,FALSE)*$R$7/2000*$R$10</f>
        <v>0</v>
      </c>
      <c r="S55" s="426">
        <f>VLOOKUP($S$4 &amp;"|"&amp; $S$8 &amp;"|"&amp; $S$9,'Emission Factor Look Up'!$A$1:$BO$16,$A55,FALSE)*$S$7/2000*$S$10</f>
        <v>0</v>
      </c>
      <c r="T55" s="426">
        <f>VLOOKUP($T$4 &amp;"|"&amp; $T$8 &amp;"|"&amp; $T$9,'Emission Factor Look Up'!$A$1:$BO$16,$A55,FALSE)*$T$7/2000*$T$10</f>
        <v>0</v>
      </c>
      <c r="U55" s="426">
        <f>VLOOKUP($U$4 &amp;"|"&amp; $U$8 &amp;"|"&amp; $U$9,'Emission Factor Look Up'!$A$1:$BO$16,$A55,FALSE)*$U$7/2000*$U$10</f>
        <v>0</v>
      </c>
      <c r="V55" s="426">
        <f>VLOOKUP($V$4 &amp;"|"&amp; $V$8 &amp;"|"&amp; $V$9,'Emission Factor Look Up'!$A$1:$BO$16,$A55,FALSE)*$V$7/2000*$V$10</f>
        <v>0</v>
      </c>
      <c r="W55" s="426">
        <f>VLOOKUP($W$4 &amp;"|"&amp; $W$8 &amp;"|"&amp; $W$9,'Emission Factor Look Up'!$A$1:$BO$16,$A55,FALSE)*$W$7/2000*$W$10</f>
        <v>0</v>
      </c>
      <c r="X55" s="426">
        <f>VLOOKUP($X$4 &amp;"|"&amp; $X$8 &amp;"|"&amp; $X$9,'Emission Factor Look Up'!$A$1:$BO$16,$A55,FALSE)*$X$7/2000*$X$10</f>
        <v>0</v>
      </c>
      <c r="Y55" s="426">
        <f>VLOOKUP($Y$4 &amp;"|"&amp; $Y$8 &amp;"|"&amp; $Y$9,'Emission Factor Look Up'!$A$1:$BO$16,$A55,FALSE)*$Y$7/2000*$Y$10</f>
        <v>0</v>
      </c>
      <c r="Z55" s="426">
        <f>VLOOKUP($Z$4 &amp;"|"&amp; $Z$8 &amp;"|"&amp; $Z$9,'Emission Factor Look Up'!$A$1:$BO$16,$A55,FALSE)*$Z$7/2000*$Z$10</f>
        <v>0</v>
      </c>
      <c r="AA55" s="426">
        <f>VLOOKUP($AA$4 &amp;"|"&amp; $AA$8 &amp;"|"&amp; $AA$9,'Emission Factor Look Up'!$A$1:$BO$16,$A55,FALSE)*$AA$7/2000*$AA$10</f>
        <v>0</v>
      </c>
      <c r="AB55" s="426">
        <f>VLOOKUP($AB$4 &amp;"|"&amp; $AB$8 &amp;"|"&amp; $AB$9,'Emission Factor Look Up'!$A$1:$BO$16,$A55,FALSE)*$AB$7/2000*$AB$10</f>
        <v>0</v>
      </c>
      <c r="AC55" s="426">
        <f>VLOOKUP($AC$4 &amp;"|"&amp; $AC$8 &amp;"|"&amp; $AC$9,'Emission Factor Look Up'!$A$1:$BO$16,$A55,FALSE)*$AC$7/2000*$AC$10</f>
        <v>4.7382840000000003E-8</v>
      </c>
      <c r="AD55" s="427">
        <f t="shared" si="1"/>
        <v>1.9912971500000001E-7</v>
      </c>
    </row>
    <row r="56" spans="1:30">
      <c r="A56" s="190">
        <v>47</v>
      </c>
      <c r="B56" s="428" t="str">
        <f>'Emission Factors'!A49</f>
        <v>POM Benzo(g,h,i)perylene</v>
      </c>
      <c r="C56" s="426">
        <f>VLOOKUP($C$4 &amp;"|"&amp; $C$8 &amp;"|"&amp; $C$9,'Emission Factor Look Up'!$A$1:$BO$16,$A56,FALSE)*$C$7/2000*$C$10</f>
        <v>0</v>
      </c>
      <c r="D56" s="426">
        <f>VLOOKUP($D$4 &amp;"|"&amp; $D$8 &amp;"|"&amp; $D$9,'Emission Factor Look Up'!$A$1:$BO$16,$A56,FALSE)*$D$7/2000*$D$10</f>
        <v>0</v>
      </c>
      <c r="E56" s="426">
        <f>VLOOKUP($E$4 &amp;"|"&amp; $E$8 &amp;"|"&amp; $E$9,'Emission Factor Look Up'!$A$1:$BO$16,$A56,FALSE)*$E$7/2000*$E$10</f>
        <v>0</v>
      </c>
      <c r="F56" s="426">
        <f>VLOOKUP($F$4 &amp;"|"&amp; $F$8 &amp;"|"&amp; $F$9,'Emission Factor Look Up'!$A$1:$BO$16,$A56,FALSE)*$F$7/2000*$F$10</f>
        <v>0</v>
      </c>
      <c r="G56" s="426">
        <f>VLOOKUP($G$4 &amp;"|"&amp; $G$8 &amp;"|"&amp; $G$9,'Emission Factor Look Up'!$A$1:$BO$16,$A56,FALSE)*$G$7/2000*$G$10</f>
        <v>0</v>
      </c>
      <c r="H56" s="426">
        <f>VLOOKUP($H$4 &amp;"|"&amp; $H$8 &amp;"|"&amp; $H$9,'Emission Factor Look Up'!$A$1:$BO$16,$A56,FALSE)*$H$7/2000*$H$10</f>
        <v>0</v>
      </c>
      <c r="I56" s="426">
        <f>VLOOKUP($I$4 &amp;"|"&amp; $I$8 &amp;"|"&amp; $I$9,'Emission Factor Look Up'!$A$1:$BO$16,$A56,FALSE)*$I$7/2000*$I$10</f>
        <v>0</v>
      </c>
      <c r="J56" s="426">
        <f>VLOOKUP($J$4 &amp;"|"&amp; $J$8 &amp;"|"&amp; $J$9,'Emission Factor Look Up'!$A$1:$BO$16,$A56,FALSE)*$J$7/2000*$J$10</f>
        <v>0</v>
      </c>
      <c r="K56" s="426">
        <f>VLOOKUP($K$4 &amp;"|"&amp; $K$8 &amp;"|"&amp; $K$9,'Emission Factor Look Up'!$A$1:$BO$16,$A56,FALSE)*$K$7/2000*$K$10</f>
        <v>0</v>
      </c>
      <c r="L56" s="426">
        <f>VLOOKUP($L$4 &amp;"|"&amp; $L$8 &amp;"|"&amp; $L$9,'Emission Factor Look Up'!$A$1:$BO$16,$A56,FALSE)*$L$7/2000*$L$10</f>
        <v>0</v>
      </c>
      <c r="M56" s="426">
        <f>VLOOKUP($M$4 &amp;"|"&amp; $M$8 &amp;"|"&amp; $M$9,'Emission Factor Look Up'!$A$1:$BO$16,$A56,FALSE)*$M$7/2000*$M$10</f>
        <v>2.5672500000000002E-7</v>
      </c>
      <c r="N56" s="426">
        <f>VLOOKUP($N$4 &amp;"|"&amp; $N$8 &amp;"|"&amp; $N$9,'Emission Factor Look Up'!$A$1:$BO$16,$A56,FALSE)*$N$7/2000*$N$10</f>
        <v>4.9205625000000003E-7</v>
      </c>
      <c r="O56" s="426">
        <f>VLOOKUP($O$4 &amp;"|"&amp; $O$8 &amp;"|"&amp; $O$9,'Emission Factor Look Up'!$A$1:$BO$16,$A56,FALSE)*$O$7/2000*$O$10</f>
        <v>0</v>
      </c>
      <c r="P56" s="426">
        <f>VLOOKUP($P$4 &amp;"|"&amp; $P$8 &amp;"|"&amp; $P$9,'Emission Factor Look Up'!$A$1:$BO$16,$A56,FALSE)*$P$7/2000*$P$10</f>
        <v>0</v>
      </c>
      <c r="Q56" s="426">
        <f>VLOOKUP($Q$4 &amp;"|"&amp; $Q$8 &amp;"|"&amp; $Q$9,'Emission Factor Look Up'!$A$1:$BO$16,$A56,FALSE)*$Q$7/2000*$Q$10</f>
        <v>0</v>
      </c>
      <c r="R56" s="426">
        <f>VLOOKUP($R$4 &amp;"|"&amp; $R$8 &amp;"|"&amp; $R$9,'Emission Factor Look Up'!$A$1:$BO$16,$A56,FALSE)*$R$7/2000*$R$10</f>
        <v>0</v>
      </c>
      <c r="S56" s="426">
        <f>VLOOKUP($S$4 &amp;"|"&amp; $S$8 &amp;"|"&amp; $S$9,'Emission Factor Look Up'!$A$1:$BO$16,$A56,FALSE)*$S$7/2000*$S$10</f>
        <v>0</v>
      </c>
      <c r="T56" s="426">
        <f>VLOOKUP($T$4 &amp;"|"&amp; $T$8 &amp;"|"&amp; $T$9,'Emission Factor Look Up'!$A$1:$BO$16,$A56,FALSE)*$T$7/2000*$T$10</f>
        <v>0</v>
      </c>
      <c r="U56" s="426">
        <f>VLOOKUP($U$4 &amp;"|"&amp; $U$8 &amp;"|"&amp; $U$9,'Emission Factor Look Up'!$A$1:$BO$16,$A56,FALSE)*$U$7/2000*$U$10</f>
        <v>0</v>
      </c>
      <c r="V56" s="426">
        <f>VLOOKUP($V$4 &amp;"|"&amp; $V$8 &amp;"|"&amp; $V$9,'Emission Factor Look Up'!$A$1:$BO$16,$A56,FALSE)*$V$7/2000*$V$10</f>
        <v>0</v>
      </c>
      <c r="W56" s="426">
        <f>VLOOKUP($W$4 &amp;"|"&amp; $W$8 &amp;"|"&amp; $W$9,'Emission Factor Look Up'!$A$1:$BO$16,$A56,FALSE)*$W$7/2000*$W$10</f>
        <v>0</v>
      </c>
      <c r="X56" s="426">
        <f>VLOOKUP($X$4 &amp;"|"&amp; $X$8 &amp;"|"&amp; $X$9,'Emission Factor Look Up'!$A$1:$BO$16,$A56,FALSE)*$X$7/2000*$X$10</f>
        <v>0</v>
      </c>
      <c r="Y56" s="426">
        <f>VLOOKUP($Y$4 &amp;"|"&amp; $Y$8 &amp;"|"&amp; $Y$9,'Emission Factor Look Up'!$A$1:$BO$16,$A56,FALSE)*$Y$7/2000*$Y$10</f>
        <v>0</v>
      </c>
      <c r="Z56" s="426">
        <f>VLOOKUP($Z$4 &amp;"|"&amp; $Z$8 &amp;"|"&amp; $Z$9,'Emission Factor Look Up'!$A$1:$BO$16,$A56,FALSE)*$Z$7/2000*$Z$10</f>
        <v>0</v>
      </c>
      <c r="AA56" s="426">
        <f>VLOOKUP($AA$4 &amp;"|"&amp; $AA$8 &amp;"|"&amp; $AA$9,'Emission Factor Look Up'!$A$1:$BO$16,$A56,FALSE)*$AA$7/2000*$AA$10</f>
        <v>0</v>
      </c>
      <c r="AB56" s="426">
        <f>VLOOKUP($AB$4 &amp;"|"&amp; $AB$8 &amp;"|"&amp; $AB$9,'Emission Factor Look Up'!$A$1:$BO$16,$A56,FALSE)*$AB$7/2000*$AB$10</f>
        <v>0</v>
      </c>
      <c r="AC56" s="426">
        <f>VLOOKUP($AC$4 &amp;"|"&amp; $AC$8 &amp;"|"&amp; $AC$9,'Emission Factor Look Up'!$A$1:$BO$16,$A56,FALSE)*$AC$7/2000*$AC$10</f>
        <v>3.1588559999999998E-8</v>
      </c>
      <c r="AD56" s="427">
        <f t="shared" si="1"/>
        <v>7.8036981000000015E-7</v>
      </c>
    </row>
    <row r="57" spans="1:30">
      <c r="A57" s="190">
        <v>48</v>
      </c>
      <c r="B57" s="428" t="str">
        <f>'Emission Factors'!A50</f>
        <v>POM Benzo(k)fluoranthene</v>
      </c>
      <c r="C57" s="426">
        <f>VLOOKUP($C$4 &amp;"|"&amp; $C$8 &amp;"|"&amp; $C$9,'Emission Factor Look Up'!$A$1:$BO$16,$A57,FALSE)*$C$7/2000*$C$10</f>
        <v>0</v>
      </c>
      <c r="D57" s="426">
        <f>VLOOKUP($D$4 &amp;"|"&amp; $D$8 &amp;"|"&amp; $D$9,'Emission Factor Look Up'!$A$1:$BO$16,$A57,FALSE)*$D$7/2000*$D$10</f>
        <v>0</v>
      </c>
      <c r="E57" s="426">
        <f>VLOOKUP($E$4 &amp;"|"&amp; $E$8 &amp;"|"&amp; $E$9,'Emission Factor Look Up'!$A$1:$BO$16,$A57,FALSE)*$E$7/2000*$E$10</f>
        <v>0</v>
      </c>
      <c r="F57" s="426">
        <f>VLOOKUP($F$4 &amp;"|"&amp; $F$8 &amp;"|"&amp; $F$9,'Emission Factor Look Up'!$A$1:$BO$16,$A57,FALSE)*$F$7/2000*$F$10</f>
        <v>0</v>
      </c>
      <c r="G57" s="426">
        <f>VLOOKUP($G$4 &amp;"|"&amp; $G$8 &amp;"|"&amp; $G$9,'Emission Factor Look Up'!$A$1:$BO$16,$A57,FALSE)*$G$7/2000*$G$10</f>
        <v>0</v>
      </c>
      <c r="H57" s="426">
        <f>VLOOKUP($H$4 &amp;"|"&amp; $H$8 &amp;"|"&amp; $H$9,'Emission Factor Look Up'!$A$1:$BO$16,$A57,FALSE)*$H$7/2000*$H$10</f>
        <v>0</v>
      </c>
      <c r="I57" s="426">
        <f>VLOOKUP($I$4 &amp;"|"&amp; $I$8 &amp;"|"&amp; $I$9,'Emission Factor Look Up'!$A$1:$BO$16,$A57,FALSE)*$I$7/2000*$I$10</f>
        <v>0</v>
      </c>
      <c r="J57" s="426">
        <f>VLOOKUP($J$4 &amp;"|"&amp; $J$8 &amp;"|"&amp; $J$9,'Emission Factor Look Up'!$A$1:$BO$16,$A57,FALSE)*$J$7/2000*$J$10</f>
        <v>0</v>
      </c>
      <c r="K57" s="426">
        <f>VLOOKUP($K$4 &amp;"|"&amp; $K$8 &amp;"|"&amp; $K$9,'Emission Factor Look Up'!$A$1:$BO$16,$A57,FALSE)*$K$7/2000*$K$10</f>
        <v>0</v>
      </c>
      <c r="L57" s="426">
        <f>VLOOKUP($L$4 &amp;"|"&amp; $L$8 &amp;"|"&amp; $L$9,'Emission Factor Look Up'!$A$1:$BO$16,$A57,FALSE)*$L$7/2000*$L$10</f>
        <v>0</v>
      </c>
      <c r="M57" s="426">
        <f>VLOOKUP($M$4 &amp;"|"&amp; $M$8 &amp;"|"&amp; $M$9,'Emission Factor Look Up'!$A$1:$BO$16,$A57,FALSE)*$M$7/2000*$M$10</f>
        <v>8.1374999999999999E-8</v>
      </c>
      <c r="N57" s="426">
        <f>VLOOKUP($N$4 &amp;"|"&amp; $N$8 &amp;"|"&amp; $N$9,'Emission Factor Look Up'!$A$1:$BO$16,$A57,FALSE)*$N$7/2000*$N$10</f>
        <v>1.5596875E-7</v>
      </c>
      <c r="O57" s="426">
        <f>VLOOKUP($O$4 &amp;"|"&amp; $O$8 &amp;"|"&amp; $O$9,'Emission Factor Look Up'!$A$1:$BO$16,$A57,FALSE)*$O$7/2000*$O$10</f>
        <v>0</v>
      </c>
      <c r="P57" s="426">
        <f>VLOOKUP($P$4 &amp;"|"&amp; $P$8 &amp;"|"&amp; $P$9,'Emission Factor Look Up'!$A$1:$BO$16,$A57,FALSE)*$P$7/2000*$P$10</f>
        <v>0</v>
      </c>
      <c r="Q57" s="426">
        <f>VLOOKUP($Q$4 &amp;"|"&amp; $Q$8 &amp;"|"&amp; $Q$9,'Emission Factor Look Up'!$A$1:$BO$16,$A57,FALSE)*$Q$7/2000*$Q$10</f>
        <v>0</v>
      </c>
      <c r="R57" s="426">
        <f>VLOOKUP($R$4 &amp;"|"&amp; $R$8 &amp;"|"&amp; $R$9,'Emission Factor Look Up'!$A$1:$BO$16,$A57,FALSE)*$R$7/2000*$R$10</f>
        <v>0</v>
      </c>
      <c r="S57" s="426">
        <f>VLOOKUP($S$4 &amp;"|"&amp; $S$8 &amp;"|"&amp; $S$9,'Emission Factor Look Up'!$A$1:$BO$16,$A57,FALSE)*$S$7/2000*$S$10</f>
        <v>0</v>
      </c>
      <c r="T57" s="426">
        <f>VLOOKUP($T$4 &amp;"|"&amp; $T$8 &amp;"|"&amp; $T$9,'Emission Factor Look Up'!$A$1:$BO$16,$A57,FALSE)*$T$7/2000*$T$10</f>
        <v>0</v>
      </c>
      <c r="U57" s="426">
        <f>VLOOKUP($U$4 &amp;"|"&amp; $U$8 &amp;"|"&amp; $U$9,'Emission Factor Look Up'!$A$1:$BO$16,$A57,FALSE)*$U$7/2000*$U$10</f>
        <v>0</v>
      </c>
      <c r="V57" s="426">
        <f>VLOOKUP($V$4 &amp;"|"&amp; $V$8 &amp;"|"&amp; $V$9,'Emission Factor Look Up'!$A$1:$BO$16,$A57,FALSE)*$V$7/2000*$V$10</f>
        <v>0</v>
      </c>
      <c r="W57" s="426">
        <f>VLOOKUP($W$4 &amp;"|"&amp; $W$8 &amp;"|"&amp; $W$9,'Emission Factor Look Up'!$A$1:$BO$16,$A57,FALSE)*$W$7/2000*$W$10</f>
        <v>0</v>
      </c>
      <c r="X57" s="426">
        <f>VLOOKUP($X$4 &amp;"|"&amp; $X$8 &amp;"|"&amp; $X$9,'Emission Factor Look Up'!$A$1:$BO$16,$A57,FALSE)*$X$7/2000*$X$10</f>
        <v>0</v>
      </c>
      <c r="Y57" s="426">
        <f>VLOOKUP($Y$4 &amp;"|"&amp; $Y$8 &amp;"|"&amp; $Y$9,'Emission Factor Look Up'!$A$1:$BO$16,$A57,FALSE)*$Y$7/2000*$Y$10</f>
        <v>0</v>
      </c>
      <c r="Z57" s="426">
        <f>VLOOKUP($Z$4 &amp;"|"&amp; $Z$8 &amp;"|"&amp; $Z$9,'Emission Factor Look Up'!$A$1:$BO$16,$A57,FALSE)*$Z$7/2000*$Z$10</f>
        <v>0</v>
      </c>
      <c r="AA57" s="426">
        <f>VLOOKUP($AA$4 &amp;"|"&amp; $AA$8 &amp;"|"&amp; $AA$9,'Emission Factor Look Up'!$A$1:$BO$16,$A57,FALSE)*$AA$7/2000*$AA$10</f>
        <v>0</v>
      </c>
      <c r="AB57" s="426">
        <f>VLOOKUP($AB$4 &amp;"|"&amp; $AB$8 &amp;"|"&amp; $AB$9,'Emission Factor Look Up'!$A$1:$BO$16,$A57,FALSE)*$AB$7/2000*$AB$10</f>
        <v>0</v>
      </c>
      <c r="AC57" s="426">
        <f>VLOOKUP($AC$4 &amp;"|"&amp; $AC$8 &amp;"|"&amp; $AC$9,'Emission Factor Look Up'!$A$1:$BO$16,$A57,FALSE)*$AC$7/2000*$AC$10</f>
        <v>4.7382840000000003E-8</v>
      </c>
      <c r="AD57" s="427">
        <f t="shared" si="1"/>
        <v>2.8472659E-7</v>
      </c>
    </row>
    <row r="58" spans="1:30">
      <c r="A58" s="190">
        <v>49</v>
      </c>
      <c r="B58" s="428" t="str">
        <f>'Emission Factors'!A51</f>
        <v>POM Chrysene</v>
      </c>
      <c r="C58" s="426">
        <f>VLOOKUP($C$4 &amp;"|"&amp; $C$8 &amp;"|"&amp; $C$9,'Emission Factor Look Up'!$A$1:$BO$16,$A58,FALSE)*$C$7/2000*$C$10</f>
        <v>0</v>
      </c>
      <c r="D58" s="426">
        <f>VLOOKUP($D$4 &amp;"|"&amp; $D$8 &amp;"|"&amp; $D$9,'Emission Factor Look Up'!$A$1:$BO$16,$A58,FALSE)*$D$7/2000*$D$10</f>
        <v>0</v>
      </c>
      <c r="E58" s="426">
        <f>VLOOKUP($E$4 &amp;"|"&amp; $E$8 &amp;"|"&amp; $E$9,'Emission Factor Look Up'!$A$1:$BO$16,$A58,FALSE)*$E$7/2000*$E$10</f>
        <v>0</v>
      </c>
      <c r="F58" s="426">
        <f>VLOOKUP($F$4 &amp;"|"&amp; $F$8 &amp;"|"&amp; $F$9,'Emission Factor Look Up'!$A$1:$BO$16,$A58,FALSE)*$F$7/2000*$F$10</f>
        <v>0</v>
      </c>
      <c r="G58" s="426">
        <f>VLOOKUP($G$4 &amp;"|"&amp; $G$8 &amp;"|"&amp; $G$9,'Emission Factor Look Up'!$A$1:$BO$16,$A58,FALSE)*$G$7/2000*$G$10</f>
        <v>0</v>
      </c>
      <c r="H58" s="426">
        <f>VLOOKUP($H$4 &amp;"|"&amp; $H$8 &amp;"|"&amp; $H$9,'Emission Factor Look Up'!$A$1:$BO$16,$A58,FALSE)*$H$7/2000*$H$10</f>
        <v>0</v>
      </c>
      <c r="I58" s="426">
        <f>VLOOKUP($I$4 &amp;"|"&amp; $I$8 &amp;"|"&amp; $I$9,'Emission Factor Look Up'!$A$1:$BO$16,$A58,FALSE)*$I$7/2000*$I$10</f>
        <v>0</v>
      </c>
      <c r="J58" s="426">
        <f>VLOOKUP($J$4 &amp;"|"&amp; $J$8 &amp;"|"&amp; $J$9,'Emission Factor Look Up'!$A$1:$BO$16,$A58,FALSE)*$J$7/2000*$J$10</f>
        <v>0</v>
      </c>
      <c r="K58" s="426">
        <f>VLOOKUP($K$4 &amp;"|"&amp; $K$8 &amp;"|"&amp; $K$9,'Emission Factor Look Up'!$A$1:$BO$16,$A58,FALSE)*$K$7/2000*$K$10</f>
        <v>0</v>
      </c>
      <c r="L58" s="426">
        <f>VLOOKUP($L$4 &amp;"|"&amp; $L$8 &amp;"|"&amp; $L$9,'Emission Factor Look Up'!$A$1:$BO$16,$A58,FALSE)*$L$7/2000*$L$10</f>
        <v>0</v>
      </c>
      <c r="M58" s="426">
        <f>VLOOKUP($M$4 &amp;"|"&amp; $M$8 &amp;"|"&amp; $M$9,'Emission Factor Look Up'!$A$1:$BO$16,$A58,FALSE)*$M$7/2000*$M$10</f>
        <v>1.85325E-7</v>
      </c>
      <c r="N58" s="426">
        <f>VLOOKUP($N$4 &amp;"|"&amp; $N$8 &amp;"|"&amp; $N$9,'Emission Factor Look Up'!$A$1:$BO$16,$A58,FALSE)*$N$7/2000*$N$10</f>
        <v>3.5520625000000002E-7</v>
      </c>
      <c r="O58" s="426">
        <f>VLOOKUP($O$4 &amp;"|"&amp; $O$8 &amp;"|"&amp; $O$9,'Emission Factor Look Up'!$A$1:$BO$16,$A58,FALSE)*$O$7/2000*$O$10</f>
        <v>0</v>
      </c>
      <c r="P58" s="426">
        <f>VLOOKUP($P$4 &amp;"|"&amp; $P$8 &amp;"|"&amp; $P$9,'Emission Factor Look Up'!$A$1:$BO$16,$A58,FALSE)*$P$7/2000*$P$10</f>
        <v>0</v>
      </c>
      <c r="Q58" s="426">
        <f>VLOOKUP($Q$4 &amp;"|"&amp; $Q$8 &amp;"|"&amp; $Q$9,'Emission Factor Look Up'!$A$1:$BO$16,$A58,FALSE)*$Q$7/2000*$Q$10</f>
        <v>0</v>
      </c>
      <c r="R58" s="426">
        <f>VLOOKUP($R$4 &amp;"|"&amp; $R$8 &amp;"|"&amp; $R$9,'Emission Factor Look Up'!$A$1:$BO$16,$A58,FALSE)*$R$7/2000*$R$10</f>
        <v>0</v>
      </c>
      <c r="S58" s="426">
        <f>VLOOKUP($S$4 &amp;"|"&amp; $S$8 &amp;"|"&amp; $S$9,'Emission Factor Look Up'!$A$1:$BO$16,$A58,FALSE)*$S$7/2000*$S$10</f>
        <v>0</v>
      </c>
      <c r="T58" s="426">
        <f>VLOOKUP($T$4 &amp;"|"&amp; $T$8 &amp;"|"&amp; $T$9,'Emission Factor Look Up'!$A$1:$BO$16,$A58,FALSE)*$T$7/2000*$T$10</f>
        <v>0</v>
      </c>
      <c r="U58" s="426">
        <f>VLOOKUP($U$4 &amp;"|"&amp; $U$8 &amp;"|"&amp; $U$9,'Emission Factor Look Up'!$A$1:$BO$16,$A58,FALSE)*$U$7/2000*$U$10</f>
        <v>0</v>
      </c>
      <c r="V58" s="426">
        <f>VLOOKUP($V$4 &amp;"|"&amp; $V$8 &amp;"|"&amp; $V$9,'Emission Factor Look Up'!$A$1:$BO$16,$A58,FALSE)*$V$7/2000*$V$10</f>
        <v>0</v>
      </c>
      <c r="W58" s="426">
        <f>VLOOKUP($W$4 &amp;"|"&amp; $W$8 &amp;"|"&amp; $W$9,'Emission Factor Look Up'!$A$1:$BO$16,$A58,FALSE)*$W$7/2000*$W$10</f>
        <v>0</v>
      </c>
      <c r="X58" s="426">
        <f>VLOOKUP($X$4 &amp;"|"&amp; $X$8 &amp;"|"&amp; $X$9,'Emission Factor Look Up'!$A$1:$BO$16,$A58,FALSE)*$X$7/2000*$X$10</f>
        <v>0</v>
      </c>
      <c r="Y58" s="426">
        <f>VLOOKUP($Y$4 &amp;"|"&amp; $Y$8 &amp;"|"&amp; $Y$9,'Emission Factor Look Up'!$A$1:$BO$16,$A58,FALSE)*$Y$7/2000*$Y$10</f>
        <v>0</v>
      </c>
      <c r="Z58" s="426">
        <f>VLOOKUP($Z$4 &amp;"|"&amp; $Z$8 &amp;"|"&amp; $Z$9,'Emission Factor Look Up'!$A$1:$BO$16,$A58,FALSE)*$Z$7/2000*$Z$10</f>
        <v>0</v>
      </c>
      <c r="AA58" s="426">
        <f>VLOOKUP($AA$4 &amp;"|"&amp; $AA$8 &amp;"|"&amp; $AA$9,'Emission Factor Look Up'!$A$1:$BO$16,$A58,FALSE)*$AA$7/2000*$AA$10</f>
        <v>0</v>
      </c>
      <c r="AB58" s="426">
        <f>VLOOKUP($AB$4 &amp;"|"&amp; $AB$8 &amp;"|"&amp; $AB$9,'Emission Factor Look Up'!$A$1:$BO$16,$A58,FALSE)*$AB$7/2000*$AB$10</f>
        <v>0</v>
      </c>
      <c r="AC58" s="426">
        <f>VLOOKUP($AC$4 &amp;"|"&amp; $AC$8 &amp;"|"&amp; $AC$9,'Emission Factor Look Up'!$A$1:$BO$16,$A58,FALSE)*$AC$7/2000*$AC$10</f>
        <v>4.7382840000000003E-8</v>
      </c>
      <c r="AD58" s="427">
        <f t="shared" si="1"/>
        <v>5.8791408999999999E-7</v>
      </c>
    </row>
    <row r="59" spans="1:30">
      <c r="A59" s="190">
        <v>50</v>
      </c>
      <c r="B59" s="428" t="str">
        <f>'Emission Factors'!A52</f>
        <v>POM Dibenz(a,h)anthracene</v>
      </c>
      <c r="C59" s="426">
        <f>VLOOKUP($C$4 &amp;"|"&amp; $C$8 &amp;"|"&amp; $C$9,'Emission Factor Look Up'!$A$1:$BO$16,$A59,FALSE)*$C$7/2000*$C$10</f>
        <v>0</v>
      </c>
      <c r="D59" s="426">
        <f>VLOOKUP($D$4 &amp;"|"&amp; $D$8 &amp;"|"&amp; $D$9,'Emission Factor Look Up'!$A$1:$BO$16,$A59,FALSE)*$D$7/2000*$D$10</f>
        <v>0</v>
      </c>
      <c r="E59" s="426">
        <f>VLOOKUP($E$4 &amp;"|"&amp; $E$8 &amp;"|"&amp; $E$9,'Emission Factor Look Up'!$A$1:$BO$16,$A59,FALSE)*$E$7/2000*$E$10</f>
        <v>0</v>
      </c>
      <c r="F59" s="426">
        <f>VLOOKUP($F$4 &amp;"|"&amp; $F$8 &amp;"|"&amp; $F$9,'Emission Factor Look Up'!$A$1:$BO$16,$A59,FALSE)*$F$7/2000*$F$10</f>
        <v>0</v>
      </c>
      <c r="G59" s="426">
        <f>VLOOKUP($G$4 &amp;"|"&amp; $G$8 &amp;"|"&amp; $G$9,'Emission Factor Look Up'!$A$1:$BO$16,$A59,FALSE)*$G$7/2000*$G$10</f>
        <v>0</v>
      </c>
      <c r="H59" s="426">
        <f>VLOOKUP($H$4 &amp;"|"&amp; $H$8 &amp;"|"&amp; $H$9,'Emission Factor Look Up'!$A$1:$BO$16,$A59,FALSE)*$H$7/2000*$H$10</f>
        <v>0</v>
      </c>
      <c r="I59" s="426">
        <f>VLOOKUP($I$4 &amp;"|"&amp; $I$8 &amp;"|"&amp; $I$9,'Emission Factor Look Up'!$A$1:$BO$16,$A59,FALSE)*$I$7/2000*$I$10</f>
        <v>0</v>
      </c>
      <c r="J59" s="426">
        <f>VLOOKUP($J$4 &amp;"|"&amp; $J$8 &amp;"|"&amp; $J$9,'Emission Factor Look Up'!$A$1:$BO$16,$A59,FALSE)*$J$7/2000*$J$10</f>
        <v>0</v>
      </c>
      <c r="K59" s="426">
        <f>VLOOKUP($K$4 &amp;"|"&amp; $K$8 &amp;"|"&amp; $K$9,'Emission Factor Look Up'!$A$1:$BO$16,$A59,FALSE)*$K$7/2000*$K$10</f>
        <v>0</v>
      </c>
      <c r="L59" s="426">
        <f>VLOOKUP($L$4 &amp;"|"&amp; $L$8 &amp;"|"&amp; $L$9,'Emission Factor Look Up'!$A$1:$BO$16,$A59,FALSE)*$L$7/2000*$L$10</f>
        <v>0</v>
      </c>
      <c r="M59" s="426">
        <f>VLOOKUP($M$4 &amp;"|"&amp; $M$8 &amp;"|"&amp; $M$9,'Emission Factor Look Up'!$A$1:$BO$16,$A59,FALSE)*$M$7/2000*$M$10</f>
        <v>3.0607500000000002E-7</v>
      </c>
      <c r="N59" s="426">
        <f>VLOOKUP($N$4 &amp;"|"&amp; $N$8 &amp;"|"&amp; $N$9,'Emission Factor Look Up'!$A$1:$BO$16,$A59,FALSE)*$N$7/2000*$N$10</f>
        <v>5.8664375000000001E-7</v>
      </c>
      <c r="O59" s="426">
        <f>VLOOKUP($O$4 &amp;"|"&amp; $O$8 &amp;"|"&amp; $O$9,'Emission Factor Look Up'!$A$1:$BO$16,$A59,FALSE)*$O$7/2000*$O$10</f>
        <v>0</v>
      </c>
      <c r="P59" s="426">
        <f>VLOOKUP($P$4 &amp;"|"&amp; $P$8 &amp;"|"&amp; $P$9,'Emission Factor Look Up'!$A$1:$BO$16,$A59,FALSE)*$P$7/2000*$P$10</f>
        <v>0</v>
      </c>
      <c r="Q59" s="426">
        <f>VLOOKUP($Q$4 &amp;"|"&amp; $Q$8 &amp;"|"&amp; $Q$9,'Emission Factor Look Up'!$A$1:$BO$16,$A59,FALSE)*$Q$7/2000*$Q$10</f>
        <v>0</v>
      </c>
      <c r="R59" s="426">
        <f>VLOOKUP($R$4 &amp;"|"&amp; $R$8 &amp;"|"&amp; $R$9,'Emission Factor Look Up'!$A$1:$BO$16,$A59,FALSE)*$R$7/2000*$R$10</f>
        <v>0</v>
      </c>
      <c r="S59" s="426">
        <f>VLOOKUP($S$4 &amp;"|"&amp; $S$8 &amp;"|"&amp; $S$9,'Emission Factor Look Up'!$A$1:$BO$16,$A59,FALSE)*$S$7/2000*$S$10</f>
        <v>0</v>
      </c>
      <c r="T59" s="426">
        <f>VLOOKUP($T$4 &amp;"|"&amp; $T$8 &amp;"|"&amp; $T$9,'Emission Factor Look Up'!$A$1:$BO$16,$A59,FALSE)*$T$7/2000*$T$10</f>
        <v>0</v>
      </c>
      <c r="U59" s="426">
        <f>VLOOKUP($U$4 &amp;"|"&amp; $U$8 &amp;"|"&amp; $U$9,'Emission Factor Look Up'!$A$1:$BO$16,$A59,FALSE)*$U$7/2000*$U$10</f>
        <v>0</v>
      </c>
      <c r="V59" s="426">
        <f>VLOOKUP($V$4 &amp;"|"&amp; $V$8 &amp;"|"&amp; $V$9,'Emission Factor Look Up'!$A$1:$BO$16,$A59,FALSE)*$V$7/2000*$V$10</f>
        <v>0</v>
      </c>
      <c r="W59" s="426">
        <f>VLOOKUP($W$4 &amp;"|"&amp; $W$8 &amp;"|"&amp; $W$9,'Emission Factor Look Up'!$A$1:$BO$16,$A59,FALSE)*$W$7/2000*$W$10</f>
        <v>0</v>
      </c>
      <c r="X59" s="426">
        <f>VLOOKUP($X$4 &amp;"|"&amp; $X$8 &amp;"|"&amp; $X$9,'Emission Factor Look Up'!$A$1:$BO$16,$A59,FALSE)*$X$7/2000*$X$10</f>
        <v>0</v>
      </c>
      <c r="Y59" s="426">
        <f>VLOOKUP($Y$4 &amp;"|"&amp; $Y$8 &amp;"|"&amp; $Y$9,'Emission Factor Look Up'!$A$1:$BO$16,$A59,FALSE)*$Y$7/2000*$Y$10</f>
        <v>0</v>
      </c>
      <c r="Z59" s="426">
        <f>VLOOKUP($Z$4 &amp;"|"&amp; $Z$8 &amp;"|"&amp; $Z$9,'Emission Factor Look Up'!$A$1:$BO$16,$A59,FALSE)*$Z$7/2000*$Z$10</f>
        <v>0</v>
      </c>
      <c r="AA59" s="426">
        <f>VLOOKUP($AA$4 &amp;"|"&amp; $AA$8 &amp;"|"&amp; $AA$9,'Emission Factor Look Up'!$A$1:$BO$16,$A59,FALSE)*$AA$7/2000*$AA$10</f>
        <v>0</v>
      </c>
      <c r="AB59" s="426">
        <f>VLOOKUP($AB$4 &amp;"|"&amp; $AB$8 &amp;"|"&amp; $AB$9,'Emission Factor Look Up'!$A$1:$BO$16,$A59,FALSE)*$AB$7/2000*$AB$10</f>
        <v>0</v>
      </c>
      <c r="AC59" s="426">
        <f>VLOOKUP($AC$4 &amp;"|"&amp; $AC$8 &amp;"|"&amp; $AC$9,'Emission Factor Look Up'!$A$1:$BO$16,$A59,FALSE)*$AC$7/2000*$AC$10</f>
        <v>3.1588559999999998E-8</v>
      </c>
      <c r="AD59" s="427">
        <f t="shared" si="1"/>
        <v>9.2430731000000003E-7</v>
      </c>
    </row>
    <row r="60" spans="1:30">
      <c r="A60" s="190">
        <v>51</v>
      </c>
      <c r="B60" s="428" t="str">
        <f>'Emission Factors'!A53</f>
        <v>POM Fluoranthene</v>
      </c>
      <c r="C60" s="426">
        <f>VLOOKUP($C$4 &amp;"|"&amp; $C$8 &amp;"|"&amp; $C$9,'Emission Factor Look Up'!$A$1:$BO$16,$A60,FALSE)*$C$7/2000*$C$10</f>
        <v>0</v>
      </c>
      <c r="D60" s="426">
        <f>VLOOKUP($D$4 &amp;"|"&amp; $D$8 &amp;"|"&amp; $D$9,'Emission Factor Look Up'!$A$1:$BO$16,$A60,FALSE)*$D$7/2000*$D$10</f>
        <v>0</v>
      </c>
      <c r="E60" s="426">
        <f>VLOOKUP($E$4 &amp;"|"&amp; $E$8 &amp;"|"&amp; $E$9,'Emission Factor Look Up'!$A$1:$BO$16,$A60,FALSE)*$E$7/2000*$E$10</f>
        <v>0</v>
      </c>
      <c r="F60" s="426">
        <f>VLOOKUP($F$4 &amp;"|"&amp; $F$8 &amp;"|"&amp; $F$9,'Emission Factor Look Up'!$A$1:$BO$16,$A60,FALSE)*$F$7/2000*$F$10</f>
        <v>0</v>
      </c>
      <c r="G60" s="426">
        <f>VLOOKUP($G$4 &amp;"|"&amp; $G$8 &amp;"|"&amp; $G$9,'Emission Factor Look Up'!$A$1:$BO$16,$A60,FALSE)*$G$7/2000*$G$10</f>
        <v>0</v>
      </c>
      <c r="H60" s="426">
        <f>VLOOKUP($H$4 &amp;"|"&amp; $H$8 &amp;"|"&amp; $H$9,'Emission Factor Look Up'!$A$1:$BO$16,$A60,FALSE)*$H$7/2000*$H$10</f>
        <v>0</v>
      </c>
      <c r="I60" s="426">
        <f>VLOOKUP($I$4 &amp;"|"&amp; $I$8 &amp;"|"&amp; $I$9,'Emission Factor Look Up'!$A$1:$BO$16,$A60,FALSE)*$I$7/2000*$I$10</f>
        <v>0</v>
      </c>
      <c r="J60" s="426">
        <f>VLOOKUP($J$4 &amp;"|"&amp; $J$8 &amp;"|"&amp; $J$9,'Emission Factor Look Up'!$A$1:$BO$16,$A60,FALSE)*$J$7/2000*$J$10</f>
        <v>0</v>
      </c>
      <c r="K60" s="426">
        <f>VLOOKUP($K$4 &amp;"|"&amp; $K$8 &amp;"|"&amp; $K$9,'Emission Factor Look Up'!$A$1:$BO$16,$A60,FALSE)*$K$7/2000*$K$10</f>
        <v>0</v>
      </c>
      <c r="L60" s="426">
        <f>VLOOKUP($L$4 &amp;"|"&amp; $L$8 &amp;"|"&amp; $L$9,'Emission Factor Look Up'!$A$1:$BO$16,$A60,FALSE)*$L$7/2000*$L$10</f>
        <v>0</v>
      </c>
      <c r="M60" s="426">
        <f>VLOOKUP($M$4 &amp;"|"&amp; $M$8 &amp;"|"&amp; $M$9,'Emission Factor Look Up'!$A$1:$BO$16,$A60,FALSE)*$M$7/2000*$M$10</f>
        <v>3.9952500000000004E-6</v>
      </c>
      <c r="N60" s="426">
        <f>VLOOKUP($N$4 &amp;"|"&amp; $N$8 &amp;"|"&amp; $N$9,'Emission Factor Look Up'!$A$1:$BO$16,$A60,FALSE)*$N$7/2000*$N$10</f>
        <v>7.6575625000000001E-6</v>
      </c>
      <c r="O60" s="426">
        <f>VLOOKUP($O$4 &amp;"|"&amp; $O$8 &amp;"|"&amp; $O$9,'Emission Factor Look Up'!$A$1:$BO$16,$A60,FALSE)*$O$7/2000*$O$10</f>
        <v>0</v>
      </c>
      <c r="P60" s="426">
        <f>VLOOKUP($P$4 &amp;"|"&amp; $P$8 &amp;"|"&amp; $P$9,'Emission Factor Look Up'!$A$1:$BO$16,$A60,FALSE)*$P$7/2000*$P$10</f>
        <v>0</v>
      </c>
      <c r="Q60" s="426">
        <f>VLOOKUP($Q$4 &amp;"|"&amp; $Q$8 &amp;"|"&amp; $Q$9,'Emission Factor Look Up'!$A$1:$BO$16,$A60,FALSE)*$Q$7/2000*$Q$10</f>
        <v>0</v>
      </c>
      <c r="R60" s="426">
        <f>VLOOKUP($R$4 &amp;"|"&amp; $R$8 &amp;"|"&amp; $R$9,'Emission Factor Look Up'!$A$1:$BO$16,$A60,FALSE)*$R$7/2000*$R$10</f>
        <v>0</v>
      </c>
      <c r="S60" s="426">
        <f>VLOOKUP($S$4 &amp;"|"&amp; $S$8 &amp;"|"&amp; $S$9,'Emission Factor Look Up'!$A$1:$BO$16,$A60,FALSE)*$S$7/2000*$S$10</f>
        <v>0</v>
      </c>
      <c r="T60" s="426">
        <f>VLOOKUP($T$4 &amp;"|"&amp; $T$8 &amp;"|"&amp; $T$9,'Emission Factor Look Up'!$A$1:$BO$16,$A60,FALSE)*$T$7/2000*$T$10</f>
        <v>0</v>
      </c>
      <c r="U60" s="426">
        <f>VLOOKUP($U$4 &amp;"|"&amp; $U$8 &amp;"|"&amp; $U$9,'Emission Factor Look Up'!$A$1:$BO$16,$A60,FALSE)*$U$7/2000*$U$10</f>
        <v>0</v>
      </c>
      <c r="V60" s="426">
        <f>VLOOKUP($V$4 &amp;"|"&amp; $V$8 &amp;"|"&amp; $V$9,'Emission Factor Look Up'!$A$1:$BO$16,$A60,FALSE)*$V$7/2000*$V$10</f>
        <v>0</v>
      </c>
      <c r="W60" s="426">
        <f>VLOOKUP($W$4 &amp;"|"&amp; $W$8 &amp;"|"&amp; $W$9,'Emission Factor Look Up'!$A$1:$BO$16,$A60,FALSE)*$W$7/2000*$W$10</f>
        <v>0</v>
      </c>
      <c r="X60" s="426">
        <f>VLOOKUP($X$4 &amp;"|"&amp; $X$8 &amp;"|"&amp; $X$9,'Emission Factor Look Up'!$A$1:$BO$16,$A60,FALSE)*$X$7/2000*$X$10</f>
        <v>0</v>
      </c>
      <c r="Y60" s="426">
        <f>VLOOKUP($Y$4 &amp;"|"&amp; $Y$8 &amp;"|"&amp; $Y$9,'Emission Factor Look Up'!$A$1:$BO$16,$A60,FALSE)*$Y$7/2000*$Y$10</f>
        <v>0</v>
      </c>
      <c r="Z60" s="426">
        <f>VLOOKUP($Z$4 &amp;"|"&amp; $Z$8 &amp;"|"&amp; $Z$9,'Emission Factor Look Up'!$A$1:$BO$16,$A60,FALSE)*$Z$7/2000*$Z$10</f>
        <v>0</v>
      </c>
      <c r="AA60" s="426">
        <f>VLOOKUP($AA$4 &amp;"|"&amp; $AA$8 &amp;"|"&amp; $AA$9,'Emission Factor Look Up'!$A$1:$BO$16,$A60,FALSE)*$AA$7/2000*$AA$10</f>
        <v>0</v>
      </c>
      <c r="AB60" s="426">
        <f>VLOOKUP($AB$4 &amp;"|"&amp; $AB$8 &amp;"|"&amp; $AB$9,'Emission Factor Look Up'!$A$1:$BO$16,$A60,FALSE)*$AB$7/2000*$AB$10</f>
        <v>0</v>
      </c>
      <c r="AC60" s="426">
        <f>VLOOKUP($AC$4 &amp;"|"&amp; $AC$8 &amp;"|"&amp; $AC$9,'Emission Factor Look Up'!$A$1:$BO$16,$A60,FALSE)*$AC$7/2000*$AC$10</f>
        <v>7.6339019999999999E-8</v>
      </c>
      <c r="AD60" s="427">
        <f t="shared" si="1"/>
        <v>1.172915152E-5</v>
      </c>
    </row>
    <row r="61" spans="1:30">
      <c r="A61" s="190">
        <v>52</v>
      </c>
      <c r="B61" s="428" t="str">
        <f>'Emission Factors'!A54</f>
        <v>POM Fluorene</v>
      </c>
      <c r="C61" s="426">
        <f>VLOOKUP($C$4 &amp;"|"&amp; $C$8 &amp;"|"&amp; $C$9,'Emission Factor Look Up'!$A$1:$BO$16,$A61,FALSE)*$C$7/2000*$C$10</f>
        <v>0</v>
      </c>
      <c r="D61" s="426">
        <f>VLOOKUP($D$4 &amp;"|"&amp; $D$8 &amp;"|"&amp; $D$9,'Emission Factor Look Up'!$A$1:$BO$16,$A61,FALSE)*$D$7/2000*$D$10</f>
        <v>0</v>
      </c>
      <c r="E61" s="426">
        <f>VLOOKUP($E$4 &amp;"|"&amp; $E$8 &amp;"|"&amp; $E$9,'Emission Factor Look Up'!$A$1:$BO$16,$A61,FALSE)*$E$7/2000*$E$10</f>
        <v>0</v>
      </c>
      <c r="F61" s="426">
        <f>VLOOKUP($F$4 &amp;"|"&amp; $F$8 &amp;"|"&amp; $F$9,'Emission Factor Look Up'!$A$1:$BO$16,$A61,FALSE)*$F$7/2000*$F$10</f>
        <v>0</v>
      </c>
      <c r="G61" s="426">
        <f>VLOOKUP($G$4 &amp;"|"&amp; $G$8 &amp;"|"&amp; $G$9,'Emission Factor Look Up'!$A$1:$BO$16,$A61,FALSE)*$G$7/2000*$G$10</f>
        <v>0</v>
      </c>
      <c r="H61" s="426">
        <f>VLOOKUP($H$4 &amp;"|"&amp; $H$8 &amp;"|"&amp; $H$9,'Emission Factor Look Up'!$A$1:$BO$16,$A61,FALSE)*$H$7/2000*$H$10</f>
        <v>0</v>
      </c>
      <c r="I61" s="426">
        <f>VLOOKUP($I$4 &amp;"|"&amp; $I$8 &amp;"|"&amp; $I$9,'Emission Factor Look Up'!$A$1:$BO$16,$A61,FALSE)*$I$7/2000*$I$10</f>
        <v>0</v>
      </c>
      <c r="J61" s="426">
        <f>VLOOKUP($J$4 &amp;"|"&amp; $J$8 &amp;"|"&amp; $J$9,'Emission Factor Look Up'!$A$1:$BO$16,$A61,FALSE)*$J$7/2000*$J$10</f>
        <v>0</v>
      </c>
      <c r="K61" s="426">
        <f>VLOOKUP($K$4 &amp;"|"&amp; $K$8 &amp;"|"&amp; $K$9,'Emission Factor Look Up'!$A$1:$BO$16,$A61,FALSE)*$K$7/2000*$K$10</f>
        <v>0</v>
      </c>
      <c r="L61" s="426">
        <f>VLOOKUP($L$4 &amp;"|"&amp; $L$8 &amp;"|"&amp; $L$9,'Emission Factor Look Up'!$A$1:$BO$16,$A61,FALSE)*$L$7/2000*$L$10</f>
        <v>0</v>
      </c>
      <c r="M61" s="426">
        <f>VLOOKUP($M$4 &amp;"|"&amp; $M$8 &amp;"|"&amp; $M$9,'Emission Factor Look Up'!$A$1:$BO$16,$A61,FALSE)*$M$7/2000*$M$10</f>
        <v>1.5435E-5</v>
      </c>
      <c r="N61" s="426">
        <f>VLOOKUP($N$4 &amp;"|"&amp; $N$8 &amp;"|"&amp; $N$9,'Emission Factor Look Up'!$A$1:$BO$16,$A61,FALSE)*$N$7/2000*$N$10</f>
        <v>2.9583750000000003E-5</v>
      </c>
      <c r="O61" s="426">
        <f>VLOOKUP($O$4 &amp;"|"&amp; $O$8 &amp;"|"&amp; $O$9,'Emission Factor Look Up'!$A$1:$BO$16,$A61,FALSE)*$O$7/2000*$O$10</f>
        <v>0</v>
      </c>
      <c r="P61" s="426">
        <f>VLOOKUP($P$4 &amp;"|"&amp; $P$8 &amp;"|"&amp; $P$9,'Emission Factor Look Up'!$A$1:$BO$16,$A61,FALSE)*$P$7/2000*$P$10</f>
        <v>0</v>
      </c>
      <c r="Q61" s="426">
        <f>VLOOKUP($Q$4 &amp;"|"&amp; $Q$8 &amp;"|"&amp; $Q$9,'Emission Factor Look Up'!$A$1:$BO$16,$A61,FALSE)*$Q$7/2000*$Q$10</f>
        <v>0</v>
      </c>
      <c r="R61" s="426">
        <f>VLOOKUP($R$4 &amp;"|"&amp; $R$8 &amp;"|"&amp; $R$9,'Emission Factor Look Up'!$A$1:$BO$16,$A61,FALSE)*$R$7/2000*$R$10</f>
        <v>0</v>
      </c>
      <c r="S61" s="426">
        <f>VLOOKUP($S$4 &amp;"|"&amp; $S$8 &amp;"|"&amp; $S$9,'Emission Factor Look Up'!$A$1:$BO$16,$A61,FALSE)*$S$7/2000*$S$10</f>
        <v>0</v>
      </c>
      <c r="T61" s="426">
        <f>VLOOKUP($T$4 &amp;"|"&amp; $T$8 &amp;"|"&amp; $T$9,'Emission Factor Look Up'!$A$1:$BO$16,$A61,FALSE)*$T$7/2000*$T$10</f>
        <v>0</v>
      </c>
      <c r="U61" s="426">
        <f>VLOOKUP($U$4 &amp;"|"&amp; $U$8 &amp;"|"&amp; $U$9,'Emission Factor Look Up'!$A$1:$BO$16,$A61,FALSE)*$U$7/2000*$U$10</f>
        <v>0</v>
      </c>
      <c r="V61" s="426">
        <f>VLOOKUP($V$4 &amp;"|"&amp; $V$8 &amp;"|"&amp; $V$9,'Emission Factor Look Up'!$A$1:$BO$16,$A61,FALSE)*$V$7/2000*$V$10</f>
        <v>0</v>
      </c>
      <c r="W61" s="426">
        <f>VLOOKUP($W$4 &amp;"|"&amp; $W$8 &amp;"|"&amp; $W$9,'Emission Factor Look Up'!$A$1:$BO$16,$A61,FALSE)*$W$7/2000*$W$10</f>
        <v>0</v>
      </c>
      <c r="X61" s="426">
        <f>VLOOKUP($X$4 &amp;"|"&amp; $X$8 &amp;"|"&amp; $X$9,'Emission Factor Look Up'!$A$1:$BO$16,$A61,FALSE)*$X$7/2000*$X$10</f>
        <v>0</v>
      </c>
      <c r="Y61" s="426">
        <f>VLOOKUP($Y$4 &amp;"|"&amp; $Y$8 &amp;"|"&amp; $Y$9,'Emission Factor Look Up'!$A$1:$BO$16,$A61,FALSE)*$Y$7/2000*$Y$10</f>
        <v>0</v>
      </c>
      <c r="Z61" s="426">
        <f>VLOOKUP($Z$4 &amp;"|"&amp; $Z$8 &amp;"|"&amp; $Z$9,'Emission Factor Look Up'!$A$1:$BO$16,$A61,FALSE)*$Z$7/2000*$Z$10</f>
        <v>0</v>
      </c>
      <c r="AA61" s="426">
        <f>VLOOKUP($AA$4 &amp;"|"&amp; $AA$8 &amp;"|"&amp; $AA$9,'Emission Factor Look Up'!$A$1:$BO$16,$A61,FALSE)*$AA$7/2000*$AA$10</f>
        <v>0</v>
      </c>
      <c r="AB61" s="426">
        <f>VLOOKUP($AB$4 &amp;"|"&amp; $AB$8 &amp;"|"&amp; $AB$9,'Emission Factor Look Up'!$A$1:$BO$16,$A61,FALSE)*$AB$7/2000*$AB$10</f>
        <v>0</v>
      </c>
      <c r="AC61" s="426">
        <f>VLOOKUP($AC$4 &amp;"|"&amp; $AC$8 &amp;"|"&amp; $AC$9,'Emission Factor Look Up'!$A$1:$BO$16,$A61,FALSE)*$AC$7/2000*$AC$10</f>
        <v>7.1074260000000008E-8</v>
      </c>
      <c r="AD61" s="427">
        <f t="shared" si="1"/>
        <v>4.5089824260000004E-5</v>
      </c>
    </row>
    <row r="62" spans="1:30">
      <c r="A62" s="190">
        <v>53</v>
      </c>
      <c r="B62" s="428" t="str">
        <f>'Emission Factors'!A55</f>
        <v>POM Indeno(1,2,3-c,d)pyrene</v>
      </c>
      <c r="C62" s="426">
        <f>VLOOKUP($C$4 &amp;"|"&amp; $C$8 &amp;"|"&amp; $C$9,'Emission Factor Look Up'!$A$1:$BO$16,$A62,FALSE)*$C$7/2000*$C$10</f>
        <v>0</v>
      </c>
      <c r="D62" s="426">
        <f>VLOOKUP($D$4 &amp;"|"&amp; $D$8 &amp;"|"&amp; $D$9,'Emission Factor Look Up'!$A$1:$BO$16,$A62,FALSE)*$D$7/2000*$D$10</f>
        <v>0</v>
      </c>
      <c r="E62" s="426">
        <f>VLOOKUP($E$4 &amp;"|"&amp; $E$8 &amp;"|"&amp; $E$9,'Emission Factor Look Up'!$A$1:$BO$16,$A62,FALSE)*$E$7/2000*$E$10</f>
        <v>0</v>
      </c>
      <c r="F62" s="426">
        <f>VLOOKUP($F$4 &amp;"|"&amp; $F$8 &amp;"|"&amp; $F$9,'Emission Factor Look Up'!$A$1:$BO$16,$A62,FALSE)*$F$7/2000*$F$10</f>
        <v>0</v>
      </c>
      <c r="G62" s="426">
        <f>VLOOKUP($G$4 &amp;"|"&amp; $G$8 &amp;"|"&amp; $G$9,'Emission Factor Look Up'!$A$1:$BO$16,$A62,FALSE)*$G$7/2000*$G$10</f>
        <v>0</v>
      </c>
      <c r="H62" s="426">
        <f>VLOOKUP($H$4 &amp;"|"&amp; $H$8 &amp;"|"&amp; $H$9,'Emission Factor Look Up'!$A$1:$BO$16,$A62,FALSE)*$H$7/2000*$H$10</f>
        <v>0</v>
      </c>
      <c r="I62" s="426">
        <f>VLOOKUP($I$4 &amp;"|"&amp; $I$8 &amp;"|"&amp; $I$9,'Emission Factor Look Up'!$A$1:$BO$16,$A62,FALSE)*$I$7/2000*$I$10</f>
        <v>0</v>
      </c>
      <c r="J62" s="426">
        <f>VLOOKUP($J$4 &amp;"|"&amp; $J$8 &amp;"|"&amp; $J$9,'Emission Factor Look Up'!$A$1:$BO$16,$A62,FALSE)*$J$7/2000*$J$10</f>
        <v>0</v>
      </c>
      <c r="K62" s="426">
        <f>VLOOKUP($K$4 &amp;"|"&amp; $K$8 &amp;"|"&amp; $K$9,'Emission Factor Look Up'!$A$1:$BO$16,$A62,FALSE)*$K$7/2000*$K$10</f>
        <v>0</v>
      </c>
      <c r="L62" s="426">
        <f>VLOOKUP($L$4 &amp;"|"&amp; $L$8 &amp;"|"&amp; $L$9,'Emission Factor Look Up'!$A$1:$BO$16,$A62,FALSE)*$L$7/2000*$L$10</f>
        <v>0</v>
      </c>
      <c r="M62" s="426">
        <f>VLOOKUP($M$4 &amp;"|"&amp; $M$8 &amp;"|"&amp; $M$9,'Emission Factor Look Up'!$A$1:$BO$16,$A62,FALSE)*$M$7/2000*$M$10</f>
        <v>1.9687500000000002E-7</v>
      </c>
      <c r="N62" s="426">
        <f>VLOOKUP($N$4 &amp;"|"&amp; $N$8 &amp;"|"&amp; $N$9,'Emission Factor Look Up'!$A$1:$BO$16,$A62,FALSE)*$N$7/2000*$N$10</f>
        <v>3.7734375000000007E-7</v>
      </c>
      <c r="O62" s="426">
        <f>VLOOKUP($O$4 &amp;"|"&amp; $O$8 &amp;"|"&amp; $O$9,'Emission Factor Look Up'!$A$1:$BO$16,$A62,FALSE)*$O$7/2000*$O$10</f>
        <v>0</v>
      </c>
      <c r="P62" s="426">
        <f>VLOOKUP($P$4 &amp;"|"&amp; $P$8 &amp;"|"&amp; $P$9,'Emission Factor Look Up'!$A$1:$BO$16,$A62,FALSE)*$P$7/2000*$P$10</f>
        <v>0</v>
      </c>
      <c r="Q62" s="426">
        <f>VLOOKUP($Q$4 &amp;"|"&amp; $Q$8 &amp;"|"&amp; $Q$9,'Emission Factor Look Up'!$A$1:$BO$16,$A62,FALSE)*$Q$7/2000*$Q$10</f>
        <v>0</v>
      </c>
      <c r="R62" s="426">
        <f>VLOOKUP($R$4 &amp;"|"&amp; $R$8 &amp;"|"&amp; $R$9,'Emission Factor Look Up'!$A$1:$BO$16,$A62,FALSE)*$R$7/2000*$R$10</f>
        <v>0</v>
      </c>
      <c r="S62" s="426">
        <f>VLOOKUP($S$4 &amp;"|"&amp; $S$8 &amp;"|"&amp; $S$9,'Emission Factor Look Up'!$A$1:$BO$16,$A62,FALSE)*$S$7/2000*$S$10</f>
        <v>0</v>
      </c>
      <c r="T62" s="426">
        <f>VLOOKUP($T$4 &amp;"|"&amp; $T$8 &amp;"|"&amp; $T$9,'Emission Factor Look Up'!$A$1:$BO$16,$A62,FALSE)*$T$7/2000*$T$10</f>
        <v>0</v>
      </c>
      <c r="U62" s="426">
        <f>VLOOKUP($U$4 &amp;"|"&amp; $U$8 &amp;"|"&amp; $U$9,'Emission Factor Look Up'!$A$1:$BO$16,$A62,FALSE)*$U$7/2000*$U$10</f>
        <v>0</v>
      </c>
      <c r="V62" s="426">
        <f>VLOOKUP($V$4 &amp;"|"&amp; $V$8 &amp;"|"&amp; $V$9,'Emission Factor Look Up'!$A$1:$BO$16,$A62,FALSE)*$V$7/2000*$V$10</f>
        <v>0</v>
      </c>
      <c r="W62" s="426">
        <f>VLOOKUP($W$4 &amp;"|"&amp; $W$8 &amp;"|"&amp; $W$9,'Emission Factor Look Up'!$A$1:$BO$16,$A62,FALSE)*$W$7/2000*$W$10</f>
        <v>0</v>
      </c>
      <c r="X62" s="426">
        <f>VLOOKUP($X$4 &amp;"|"&amp; $X$8 &amp;"|"&amp; $X$9,'Emission Factor Look Up'!$A$1:$BO$16,$A62,FALSE)*$X$7/2000*$X$10</f>
        <v>0</v>
      </c>
      <c r="Y62" s="426">
        <f>VLOOKUP($Y$4 &amp;"|"&amp; $Y$8 &amp;"|"&amp; $Y$9,'Emission Factor Look Up'!$A$1:$BO$16,$A62,FALSE)*$Y$7/2000*$Y$10</f>
        <v>0</v>
      </c>
      <c r="Z62" s="426">
        <f>VLOOKUP($Z$4 &amp;"|"&amp; $Z$8 &amp;"|"&amp; $Z$9,'Emission Factor Look Up'!$A$1:$BO$16,$A62,FALSE)*$Z$7/2000*$Z$10</f>
        <v>0</v>
      </c>
      <c r="AA62" s="426">
        <f>VLOOKUP($AA$4 &amp;"|"&amp; $AA$8 &amp;"|"&amp; $AA$9,'Emission Factor Look Up'!$A$1:$BO$16,$A62,FALSE)*$AA$7/2000*$AA$10</f>
        <v>0</v>
      </c>
      <c r="AB62" s="426">
        <f>VLOOKUP($AB$4 &amp;"|"&amp; $AB$8 &amp;"|"&amp; $AB$9,'Emission Factor Look Up'!$A$1:$BO$16,$A62,FALSE)*$AB$7/2000*$AB$10</f>
        <v>0</v>
      </c>
      <c r="AC62" s="426">
        <f>VLOOKUP($AC$4 &amp;"|"&amp; $AC$8 &amp;"|"&amp; $AC$9,'Emission Factor Look Up'!$A$1:$BO$16,$A62,FALSE)*$AC$7/2000*$AC$10</f>
        <v>4.7382840000000003E-8</v>
      </c>
      <c r="AD62" s="427">
        <f t="shared" si="1"/>
        <v>6.2160159000000006E-7</v>
      </c>
    </row>
    <row r="63" spans="1:30">
      <c r="A63" s="190">
        <v>54</v>
      </c>
      <c r="B63" s="428" t="str">
        <f>'Emission Factors'!A56</f>
        <v>POM Naphthalene</v>
      </c>
      <c r="C63" s="426">
        <f>VLOOKUP($C$4 &amp;"|"&amp; $C$8 &amp;"|"&amp; $C$9,'Emission Factor Look Up'!$A$1:$BO$16,$A63,FALSE)*$C$7/2000*$C$10</f>
        <v>6.3374220000000005E-3</v>
      </c>
      <c r="D63" s="426">
        <f>VLOOKUP($D$4 &amp;"|"&amp; $D$8 &amp;"|"&amp; $D$9,'Emission Factor Look Up'!$A$1:$BO$16,$A63,FALSE)*$D$7/2000*$D$10</f>
        <v>6.3374220000000005E-3</v>
      </c>
      <c r="E63" s="426">
        <f>VLOOKUP($E$4 &amp;"|"&amp; $E$8 &amp;"|"&amp; $E$9,'Emission Factor Look Up'!$A$1:$BO$16,$A63,FALSE)*$E$7/2000*$E$10</f>
        <v>6.3374220000000005E-3</v>
      </c>
      <c r="F63" s="426">
        <f>VLOOKUP($F$4 &amp;"|"&amp; $F$8 &amp;"|"&amp; $F$9,'Emission Factor Look Up'!$A$1:$BO$16,$A63,FALSE)*$F$7/2000*$F$10</f>
        <v>6.3374220000000005E-3</v>
      </c>
      <c r="G63" s="426">
        <f>VLOOKUP($G$4 &amp;"|"&amp; $G$8 &amp;"|"&amp; $G$9,'Emission Factor Look Up'!$A$1:$BO$16,$A63,FALSE)*$G$7/2000*$G$10</f>
        <v>6.3374220000000005E-3</v>
      </c>
      <c r="H63" s="426">
        <f>VLOOKUP($H$4 &amp;"|"&amp; $H$8 &amp;"|"&amp; $H$9,'Emission Factor Look Up'!$A$1:$BO$16,$A63,FALSE)*$H$7/2000*$H$10</f>
        <v>6.3374220000000005E-3</v>
      </c>
      <c r="I63" s="426">
        <f>VLOOKUP($I$4 &amp;"|"&amp; $I$8 &amp;"|"&amp; $I$9,'Emission Factor Look Up'!$A$1:$BO$16,$A63,FALSE)*$I$7/2000*$I$10</f>
        <v>2.186496E-3</v>
      </c>
      <c r="J63" s="426">
        <f>VLOOKUP($J$4 &amp;"|"&amp; $J$8 &amp;"|"&amp; $J$9,'Emission Factor Look Up'!$A$1:$BO$16,$A63,FALSE)*$J$7/2000*$J$10</f>
        <v>2.186496E-3</v>
      </c>
      <c r="K63" s="426">
        <f>VLOOKUP($K$4 &amp;"|"&amp; $K$8 &amp;"|"&amp; $K$9,'Emission Factor Look Up'!$A$1:$BO$16,$A63,FALSE)*$K$7/2000*$K$10</f>
        <v>2.186496E-3</v>
      </c>
      <c r="L63" s="426">
        <f>VLOOKUP($L$4 &amp;"|"&amp; $L$8 &amp;"|"&amp; $L$9,'Emission Factor Look Up'!$A$1:$BO$16,$A63,FALSE)*$L$7/2000*$L$10</f>
        <v>2.186496E-3</v>
      </c>
      <c r="M63" s="426">
        <f>VLOOKUP($M$4 &amp;"|"&amp; $M$8 &amp;"|"&amp; $M$9,'Emission Factor Look Up'!$A$1:$BO$16,$A63,FALSE)*$M$7/2000*$M$10</f>
        <v>4.4520000000000001E-5</v>
      </c>
      <c r="N63" s="426">
        <f>VLOOKUP($N$4 &amp;"|"&amp; $N$8 &amp;"|"&amp; $N$9,'Emission Factor Look Up'!$A$1:$BO$16,$A63,FALSE)*$N$7/2000*$N$10</f>
        <v>8.5330000000000011E-5</v>
      </c>
      <c r="O63" s="426">
        <f>VLOOKUP($O$4 &amp;"|"&amp; $O$8 &amp;"|"&amp; $O$9,'Emission Factor Look Up'!$A$1:$BO$16,$A63,FALSE)*$O$7/2000*$O$10</f>
        <v>3.3773235294117649E-4</v>
      </c>
      <c r="P63" s="426">
        <f>VLOOKUP($P$4 &amp;"|"&amp; $P$8 &amp;"|"&amp; $P$9,'Emission Factor Look Up'!$A$1:$BO$16,$A63,FALSE)*$P$7/2000*$P$10</f>
        <v>3.3773235294117649E-4</v>
      </c>
      <c r="Q63" s="426">
        <f>VLOOKUP($Q$4 &amp;"|"&amp; $Q$8 &amp;"|"&amp; $Q$9,'Emission Factor Look Up'!$A$1:$BO$16,$A63,FALSE)*$Q$7/2000*$Q$10</f>
        <v>0</v>
      </c>
      <c r="R63" s="426">
        <f>VLOOKUP($R$4 &amp;"|"&amp; $R$8 &amp;"|"&amp; $R$9,'Emission Factor Look Up'!$A$1:$BO$16,$A63,FALSE)*$R$7/2000*$R$10</f>
        <v>1.0627941176470587E-4</v>
      </c>
      <c r="S63" s="426">
        <f>VLOOKUP($S$4 &amp;"|"&amp; $S$8 &amp;"|"&amp; $S$9,'Emission Factor Look Up'!$A$1:$BO$16,$A63,FALSE)*$S$7/2000*$S$10</f>
        <v>1.0627941176470587E-4</v>
      </c>
      <c r="T63" s="426">
        <f>VLOOKUP($T$4 &amp;"|"&amp; $T$8 &amp;"|"&amp; $T$9,'Emission Factor Look Up'!$A$1:$BO$16,$A63,FALSE)*$T$7/2000*$T$10</f>
        <v>0</v>
      </c>
      <c r="U63" s="426">
        <f>VLOOKUP($U$4 &amp;"|"&amp; $U$8 &amp;"|"&amp; $U$9,'Emission Factor Look Up'!$A$1:$BO$16,$A63,FALSE)*$U$7/2000*$U$10</f>
        <v>0.16174313725490194</v>
      </c>
      <c r="V63" s="426">
        <f>VLOOKUP($V$4 &amp;"|"&amp; $V$8 &amp;"|"&amp; $V$9,'Emission Factor Look Up'!$A$1:$BO$16,$A63,FALSE)*$V$7/2000*$V$10</f>
        <v>0.16174313725490194</v>
      </c>
      <c r="W63" s="426">
        <f>VLOOKUP($W$4 &amp;"|"&amp; $W$8 &amp;"|"&amp; $W$9,'Emission Factor Look Up'!$A$1:$BO$16,$A63,FALSE)*$W$7/2000*$W$10</f>
        <v>0</v>
      </c>
      <c r="X63" s="426">
        <f>VLOOKUP($X$4 &amp;"|"&amp; $X$8 &amp;"|"&amp; $X$9,'Emission Factor Look Up'!$A$1:$BO$16,$A63,FALSE)*$X$7/2000*$X$10</f>
        <v>3.7799019607843133E-2</v>
      </c>
      <c r="Y63" s="426">
        <f>VLOOKUP($Y$4 &amp;"|"&amp; $Y$8 &amp;"|"&amp; $Y$9,'Emission Factor Look Up'!$A$1:$BO$16,$A63,FALSE)*$Y$7/2000*$Y$10</f>
        <v>3.7799019607843133E-2</v>
      </c>
      <c r="Z63" s="426">
        <f>VLOOKUP($Z$4 &amp;"|"&amp; $Z$8 &amp;"|"&amp; $Z$9,'Emission Factor Look Up'!$A$1:$BO$16,$A63,FALSE)*$Z$7/2000*$Z$10</f>
        <v>0</v>
      </c>
      <c r="AA63" s="426">
        <f>VLOOKUP($AA$4 &amp;"|"&amp; $AA$8 &amp;"|"&amp; $AA$9,'Emission Factor Look Up'!$A$1:$BO$16,$A63,FALSE)*$AA$7/2000*$AA$10</f>
        <v>4.9597058823529412E-4</v>
      </c>
      <c r="AB63" s="426">
        <f>VLOOKUP($AB$4 &amp;"|"&amp; $AB$8 &amp;"|"&amp; $AB$9,'Emission Factor Look Up'!$A$1:$BO$16,$A63,FALSE)*$AB$7/2000*$AB$10</f>
        <v>7.7452941176470581E-4</v>
      </c>
      <c r="AC63" s="426">
        <f>VLOOKUP($AC$4 &amp;"|"&amp; $AC$8 &amp;"|"&amp; $AC$9,'Emission Factor Look Up'!$A$1:$BO$16,$A63,FALSE)*$AC$7/2000*$AC$10</f>
        <v>1.5741632399999999E-5</v>
      </c>
      <c r="AD63" s="427">
        <f t="shared" si="1"/>
        <v>0.44815894488730196</v>
      </c>
    </row>
    <row r="64" spans="1:30">
      <c r="A64" s="190">
        <v>55</v>
      </c>
      <c r="B64" s="428" t="str">
        <f>'Emission Factors'!A57</f>
        <v>POM Phenanthrene</v>
      </c>
      <c r="C64" s="426">
        <f>VLOOKUP($C$4 &amp;"|"&amp; $C$8 &amp;"|"&amp; $C$9,'Emission Factor Look Up'!$A$1:$BO$16,$A64,FALSE)*$C$7/2000*$C$10</f>
        <v>0</v>
      </c>
      <c r="D64" s="426">
        <f>VLOOKUP($D$4 &amp;"|"&amp; $D$8 &amp;"|"&amp; $D$9,'Emission Factor Look Up'!$A$1:$BO$16,$A64,FALSE)*$D$7/2000*$D$10</f>
        <v>0</v>
      </c>
      <c r="E64" s="426">
        <f>VLOOKUP($E$4 &amp;"|"&amp; $E$8 &amp;"|"&amp; $E$9,'Emission Factor Look Up'!$A$1:$BO$16,$A64,FALSE)*$E$7/2000*$E$10</f>
        <v>0</v>
      </c>
      <c r="F64" s="426">
        <f>VLOOKUP($F$4 &amp;"|"&amp; $F$8 &amp;"|"&amp; $F$9,'Emission Factor Look Up'!$A$1:$BO$16,$A64,FALSE)*$F$7/2000*$F$10</f>
        <v>0</v>
      </c>
      <c r="G64" s="426">
        <f>VLOOKUP($G$4 &amp;"|"&amp; $G$8 &amp;"|"&amp; $G$9,'Emission Factor Look Up'!$A$1:$BO$16,$A64,FALSE)*$G$7/2000*$G$10</f>
        <v>0</v>
      </c>
      <c r="H64" s="426">
        <f>VLOOKUP($H$4 &amp;"|"&amp; $H$8 &amp;"|"&amp; $H$9,'Emission Factor Look Up'!$A$1:$BO$16,$A64,FALSE)*$H$7/2000*$H$10</f>
        <v>0</v>
      </c>
      <c r="I64" s="426">
        <f>VLOOKUP($I$4 &amp;"|"&amp; $I$8 &amp;"|"&amp; $I$9,'Emission Factor Look Up'!$A$1:$BO$16,$A64,FALSE)*$I$7/2000*$I$10</f>
        <v>0</v>
      </c>
      <c r="J64" s="426">
        <f>VLOOKUP($J$4 &amp;"|"&amp; $J$8 &amp;"|"&amp; $J$9,'Emission Factor Look Up'!$A$1:$BO$16,$A64,FALSE)*$J$7/2000*$J$10</f>
        <v>0</v>
      </c>
      <c r="K64" s="426">
        <f>VLOOKUP($K$4 &amp;"|"&amp; $K$8 &amp;"|"&amp; $K$9,'Emission Factor Look Up'!$A$1:$BO$16,$A64,FALSE)*$K$7/2000*$K$10</f>
        <v>0</v>
      </c>
      <c r="L64" s="426">
        <f>VLOOKUP($L$4 &amp;"|"&amp; $L$8 &amp;"|"&amp; $L$9,'Emission Factor Look Up'!$A$1:$BO$16,$A64,FALSE)*$L$7/2000*$L$10</f>
        <v>0</v>
      </c>
      <c r="M64" s="426">
        <f>VLOOKUP($M$4 &amp;"|"&amp; $M$8 &amp;"|"&amp; $M$9,'Emission Factor Look Up'!$A$1:$BO$16,$A64,FALSE)*$M$7/2000*$M$10</f>
        <v>1.5435E-5</v>
      </c>
      <c r="N64" s="426">
        <f>VLOOKUP($N$4 &amp;"|"&amp; $N$8 &amp;"|"&amp; $N$9,'Emission Factor Look Up'!$A$1:$BO$16,$A64,FALSE)*$N$7/2000*$N$10</f>
        <v>2.9583750000000003E-5</v>
      </c>
      <c r="O64" s="426">
        <f>VLOOKUP($O$4 &amp;"|"&amp; $O$8 &amp;"|"&amp; $O$9,'Emission Factor Look Up'!$A$1:$BO$16,$A64,FALSE)*$O$7/2000*$O$10</f>
        <v>0</v>
      </c>
      <c r="P64" s="426">
        <f>VLOOKUP($P$4 &amp;"|"&amp; $P$8 &amp;"|"&amp; $P$9,'Emission Factor Look Up'!$A$1:$BO$16,$A64,FALSE)*$P$7/2000*$P$10</f>
        <v>0</v>
      </c>
      <c r="Q64" s="426">
        <f>VLOOKUP($Q$4 &amp;"|"&amp; $Q$8 &amp;"|"&amp; $Q$9,'Emission Factor Look Up'!$A$1:$BO$16,$A64,FALSE)*$Q$7/2000*$Q$10</f>
        <v>0</v>
      </c>
      <c r="R64" s="426">
        <f>VLOOKUP($R$4 &amp;"|"&amp; $R$8 &amp;"|"&amp; $R$9,'Emission Factor Look Up'!$A$1:$BO$16,$A64,FALSE)*$R$7/2000*$R$10</f>
        <v>0</v>
      </c>
      <c r="S64" s="426">
        <f>VLOOKUP($S$4 &amp;"|"&amp; $S$8 &amp;"|"&amp; $S$9,'Emission Factor Look Up'!$A$1:$BO$16,$A64,FALSE)*$S$7/2000*$S$10</f>
        <v>0</v>
      </c>
      <c r="T64" s="426">
        <f>VLOOKUP($T$4 &amp;"|"&amp; $T$8 &amp;"|"&amp; $T$9,'Emission Factor Look Up'!$A$1:$BO$16,$A64,FALSE)*$T$7/2000*$T$10</f>
        <v>0</v>
      </c>
      <c r="U64" s="426">
        <f>VLOOKUP($U$4 &amp;"|"&amp; $U$8 &amp;"|"&amp; $U$9,'Emission Factor Look Up'!$A$1:$BO$16,$A64,FALSE)*$U$7/2000*$U$10</f>
        <v>0</v>
      </c>
      <c r="V64" s="426">
        <f>VLOOKUP($V$4 &amp;"|"&amp; $V$8 &amp;"|"&amp; $V$9,'Emission Factor Look Up'!$A$1:$BO$16,$A64,FALSE)*$V$7/2000*$V$10</f>
        <v>0</v>
      </c>
      <c r="W64" s="426">
        <f>VLOOKUP($W$4 &amp;"|"&amp; $W$8 &amp;"|"&amp; $W$9,'Emission Factor Look Up'!$A$1:$BO$16,$A64,FALSE)*$W$7/2000*$W$10</f>
        <v>0</v>
      </c>
      <c r="X64" s="426">
        <f>VLOOKUP($X$4 &amp;"|"&amp; $X$8 &amp;"|"&amp; $X$9,'Emission Factor Look Up'!$A$1:$BO$16,$A64,FALSE)*$X$7/2000*$X$10</f>
        <v>0</v>
      </c>
      <c r="Y64" s="426">
        <f>VLOOKUP($Y$4 &amp;"|"&amp; $Y$8 &amp;"|"&amp; $Y$9,'Emission Factor Look Up'!$A$1:$BO$16,$A64,FALSE)*$Y$7/2000*$Y$10</f>
        <v>0</v>
      </c>
      <c r="Z64" s="426">
        <f>VLOOKUP($Z$4 &amp;"|"&amp; $Z$8 &amp;"|"&amp; $Z$9,'Emission Factor Look Up'!$A$1:$BO$16,$A64,FALSE)*$Z$7/2000*$Z$10</f>
        <v>0</v>
      </c>
      <c r="AA64" s="426">
        <f>VLOOKUP($AA$4 &amp;"|"&amp; $AA$8 &amp;"|"&amp; $AA$9,'Emission Factor Look Up'!$A$1:$BO$16,$A64,FALSE)*$AA$7/2000*$AA$10</f>
        <v>0</v>
      </c>
      <c r="AB64" s="426">
        <f>VLOOKUP($AB$4 &amp;"|"&amp; $AB$8 &amp;"|"&amp; $AB$9,'Emission Factor Look Up'!$A$1:$BO$16,$A64,FALSE)*$AB$7/2000*$AB$10</f>
        <v>0</v>
      </c>
      <c r="AC64" s="426">
        <f>VLOOKUP($AC$4 &amp;"|"&amp; $AC$8 &amp;"|"&amp; $AC$9,'Emission Factor Look Up'!$A$1:$BO$16,$A64,FALSE)*$AC$7/2000*$AC$10</f>
        <v>4.3960746E-7</v>
      </c>
      <c r="AD64" s="427">
        <f t="shared" si="1"/>
        <v>4.5458357460000006E-5</v>
      </c>
    </row>
    <row r="65" spans="1:30">
      <c r="A65" s="190">
        <v>56</v>
      </c>
      <c r="B65" s="428" t="str">
        <f>'Emission Factors'!A58</f>
        <v>POM Pyrene</v>
      </c>
      <c r="C65" s="426">
        <f>VLOOKUP($C$4 &amp;"|"&amp; $C$8 &amp;"|"&amp; $C$9,'Emission Factor Look Up'!$A$1:$BO$16,$A65,FALSE)*$C$7/2000*$C$10</f>
        <v>0</v>
      </c>
      <c r="D65" s="426">
        <f>VLOOKUP($D$4 &amp;"|"&amp; $D$8 &amp;"|"&amp; $D$9,'Emission Factor Look Up'!$A$1:$BO$16,$A65,FALSE)*$D$7/2000*$D$10</f>
        <v>0</v>
      </c>
      <c r="E65" s="426">
        <f>VLOOKUP($E$4 &amp;"|"&amp; $E$8 &amp;"|"&amp; $E$9,'Emission Factor Look Up'!$A$1:$BO$16,$A65,FALSE)*$E$7/2000*$E$10</f>
        <v>0</v>
      </c>
      <c r="F65" s="426">
        <f>VLOOKUP($F$4 &amp;"|"&amp; $F$8 &amp;"|"&amp; $F$9,'Emission Factor Look Up'!$A$1:$BO$16,$A65,FALSE)*$F$7/2000*$F$10</f>
        <v>0</v>
      </c>
      <c r="G65" s="426">
        <f>VLOOKUP($G$4 &amp;"|"&amp; $G$8 &amp;"|"&amp; $G$9,'Emission Factor Look Up'!$A$1:$BO$16,$A65,FALSE)*$G$7/2000*$G$10</f>
        <v>0</v>
      </c>
      <c r="H65" s="426">
        <f>VLOOKUP($H$4 &amp;"|"&amp; $H$8 &amp;"|"&amp; $H$9,'Emission Factor Look Up'!$A$1:$BO$16,$A65,FALSE)*$H$7/2000*$H$10</f>
        <v>0</v>
      </c>
      <c r="I65" s="426">
        <f>VLOOKUP($I$4 &amp;"|"&amp; $I$8 &amp;"|"&amp; $I$9,'Emission Factor Look Up'!$A$1:$BO$16,$A65,FALSE)*$I$7/2000*$I$10</f>
        <v>0</v>
      </c>
      <c r="J65" s="426">
        <f>VLOOKUP($J$4 &amp;"|"&amp; $J$8 &amp;"|"&amp; $J$9,'Emission Factor Look Up'!$A$1:$BO$16,$A65,FALSE)*$J$7/2000*$J$10</f>
        <v>0</v>
      </c>
      <c r="K65" s="426">
        <f>VLOOKUP($K$4 &amp;"|"&amp; $K$8 &amp;"|"&amp; $K$9,'Emission Factor Look Up'!$A$1:$BO$16,$A65,FALSE)*$K$7/2000*$K$10</f>
        <v>0</v>
      </c>
      <c r="L65" s="426">
        <f>VLOOKUP($L$4 &amp;"|"&amp; $L$8 &amp;"|"&amp; $L$9,'Emission Factor Look Up'!$A$1:$BO$16,$A65,FALSE)*$L$7/2000*$L$10</f>
        <v>0</v>
      </c>
      <c r="M65" s="426">
        <f>VLOOKUP($M$4 &amp;"|"&amp; $M$8 &amp;"|"&amp; $M$9,'Emission Factor Look Up'!$A$1:$BO$16,$A65,FALSE)*$M$7/2000*$M$10</f>
        <v>2.5095000000000003E-6</v>
      </c>
      <c r="N65" s="426">
        <f>VLOOKUP($N$4 &amp;"|"&amp; $N$8 &amp;"|"&amp; $N$9,'Emission Factor Look Up'!$A$1:$BO$16,$A65,FALSE)*$N$7/2000*$N$10</f>
        <v>4.8098750000000003E-6</v>
      </c>
      <c r="O65" s="426">
        <f>VLOOKUP($O$4 &amp;"|"&amp; $O$8 &amp;"|"&amp; $O$9,'Emission Factor Look Up'!$A$1:$BO$16,$A65,FALSE)*$O$7/2000*$O$10</f>
        <v>0</v>
      </c>
      <c r="P65" s="426">
        <f>VLOOKUP($P$4 &amp;"|"&amp; $P$8 &amp;"|"&amp; $P$9,'Emission Factor Look Up'!$A$1:$BO$16,$A65,FALSE)*$P$7/2000*$P$10</f>
        <v>0</v>
      </c>
      <c r="Q65" s="426">
        <f>VLOOKUP($Q$4 &amp;"|"&amp; $Q$8 &amp;"|"&amp; $Q$9,'Emission Factor Look Up'!$A$1:$BO$16,$A65,FALSE)*$Q$7/2000*$Q$10</f>
        <v>0</v>
      </c>
      <c r="R65" s="426">
        <f>VLOOKUP($R$4 &amp;"|"&amp; $R$8 &amp;"|"&amp; $R$9,'Emission Factor Look Up'!$A$1:$BO$16,$A65,FALSE)*$R$7/2000*$R$10</f>
        <v>0</v>
      </c>
      <c r="S65" s="426">
        <f>VLOOKUP($S$4 &amp;"|"&amp; $S$8 &amp;"|"&amp; $S$9,'Emission Factor Look Up'!$A$1:$BO$16,$A65,FALSE)*$S$7/2000*$S$10</f>
        <v>0</v>
      </c>
      <c r="T65" s="426">
        <f>VLOOKUP($T$4 &amp;"|"&amp; $T$8 &amp;"|"&amp; $T$9,'Emission Factor Look Up'!$A$1:$BO$16,$A65,FALSE)*$T$7/2000*$T$10</f>
        <v>0</v>
      </c>
      <c r="U65" s="426">
        <f>VLOOKUP($U$4 &amp;"|"&amp; $U$8 &amp;"|"&amp; $U$9,'Emission Factor Look Up'!$A$1:$BO$16,$A65,FALSE)*$U$7/2000*$U$10</f>
        <v>0</v>
      </c>
      <c r="V65" s="426">
        <f>VLOOKUP($V$4 &amp;"|"&amp; $V$8 &amp;"|"&amp; $V$9,'Emission Factor Look Up'!$A$1:$BO$16,$A65,FALSE)*$V$7/2000*$V$10</f>
        <v>0</v>
      </c>
      <c r="W65" s="426">
        <f>VLOOKUP($W$4 &amp;"|"&amp; $W$8 &amp;"|"&amp; $W$9,'Emission Factor Look Up'!$A$1:$BO$16,$A65,FALSE)*$W$7/2000*$W$10</f>
        <v>0</v>
      </c>
      <c r="X65" s="426">
        <f>VLOOKUP($X$4 &amp;"|"&amp; $X$8 &amp;"|"&amp; $X$9,'Emission Factor Look Up'!$A$1:$BO$16,$A65,FALSE)*$X$7/2000*$X$10</f>
        <v>0</v>
      </c>
      <c r="Y65" s="426">
        <f>VLOOKUP($Y$4 &amp;"|"&amp; $Y$8 &amp;"|"&amp; $Y$9,'Emission Factor Look Up'!$A$1:$BO$16,$A65,FALSE)*$Y$7/2000*$Y$10</f>
        <v>0</v>
      </c>
      <c r="Z65" s="426">
        <f>VLOOKUP($Z$4 &amp;"|"&amp; $Z$8 &amp;"|"&amp; $Z$9,'Emission Factor Look Up'!$A$1:$BO$16,$A65,FALSE)*$Z$7/2000*$Z$10</f>
        <v>0</v>
      </c>
      <c r="AA65" s="426">
        <f>VLOOKUP($AA$4 &amp;"|"&amp; $AA$8 &amp;"|"&amp; $AA$9,'Emission Factor Look Up'!$A$1:$BO$16,$A65,FALSE)*$AA$7/2000*$AA$10</f>
        <v>0</v>
      </c>
      <c r="AB65" s="426">
        <f>VLOOKUP($AB$4 &amp;"|"&amp; $AB$8 &amp;"|"&amp; $AB$9,'Emission Factor Look Up'!$A$1:$BO$16,$A65,FALSE)*$AB$7/2000*$AB$10</f>
        <v>0</v>
      </c>
      <c r="AC65" s="426">
        <f>VLOOKUP($AC$4 &amp;"|"&amp; $AC$8 &amp;"|"&amp; $AC$9,'Emission Factor Look Up'!$A$1:$BO$16,$A65,FALSE)*$AC$7/2000*$AC$10</f>
        <v>1.2898661999999999E-7</v>
      </c>
      <c r="AD65" s="427">
        <f t="shared" si="1"/>
        <v>7.4483616200000007E-6</v>
      </c>
    </row>
    <row r="66" spans="1:30">
      <c r="A66" s="190">
        <v>57</v>
      </c>
      <c r="B66" s="428" t="str">
        <f>'Emission Factors'!A59</f>
        <v>Propional[dehyde]</v>
      </c>
      <c r="C66" s="426">
        <f>VLOOKUP($C$4 &amp;"|"&amp; $C$8 &amp;"|"&amp; $C$9,'Emission Factor Look Up'!$A$1:$BO$16,$A66,FALSE)*$C$7/2000*$C$10</f>
        <v>0</v>
      </c>
      <c r="D66" s="426">
        <f>VLOOKUP($D$4 &amp;"|"&amp; $D$8 &amp;"|"&amp; $D$9,'Emission Factor Look Up'!$A$1:$BO$16,$A66,FALSE)*$D$7/2000*$D$10</f>
        <v>0</v>
      </c>
      <c r="E66" s="426">
        <f>VLOOKUP($E$4 &amp;"|"&amp; $E$8 &amp;"|"&amp; $E$9,'Emission Factor Look Up'!$A$1:$BO$16,$A66,FALSE)*$E$7/2000*$E$10</f>
        <v>0</v>
      </c>
      <c r="F66" s="426">
        <f>VLOOKUP($F$4 &amp;"|"&amp; $F$8 &amp;"|"&amp; $F$9,'Emission Factor Look Up'!$A$1:$BO$16,$A66,FALSE)*$F$7/2000*$F$10</f>
        <v>0</v>
      </c>
      <c r="G66" s="426">
        <f>VLOOKUP($G$4 &amp;"|"&amp; $G$8 &amp;"|"&amp; $G$9,'Emission Factor Look Up'!$A$1:$BO$16,$A66,FALSE)*$G$7/2000*$G$10</f>
        <v>0</v>
      </c>
      <c r="H66" s="426">
        <f>VLOOKUP($H$4 &amp;"|"&amp; $H$8 &amp;"|"&amp; $H$9,'Emission Factor Look Up'!$A$1:$BO$16,$A66,FALSE)*$H$7/2000*$H$10</f>
        <v>0</v>
      </c>
      <c r="I66" s="426">
        <f>VLOOKUP($I$4 &amp;"|"&amp; $I$8 &amp;"|"&amp; $I$9,'Emission Factor Look Up'!$A$1:$BO$16,$A66,FALSE)*$I$7/2000*$I$10</f>
        <v>0</v>
      </c>
      <c r="J66" s="426">
        <f>VLOOKUP($J$4 &amp;"|"&amp; $J$8 &amp;"|"&amp; $J$9,'Emission Factor Look Up'!$A$1:$BO$16,$A66,FALSE)*$J$7/2000*$J$10</f>
        <v>0</v>
      </c>
      <c r="K66" s="426">
        <f>VLOOKUP($K$4 &amp;"|"&amp; $K$8 &amp;"|"&amp; $K$9,'Emission Factor Look Up'!$A$1:$BO$16,$A66,FALSE)*$K$7/2000*$K$10</f>
        <v>0</v>
      </c>
      <c r="L66" s="426">
        <f>VLOOKUP($L$4 &amp;"|"&amp; $L$8 &amp;"|"&amp; $L$9,'Emission Factor Look Up'!$A$1:$BO$16,$A66,FALSE)*$L$7/2000*$L$10</f>
        <v>0</v>
      </c>
      <c r="M66" s="426">
        <f>VLOOKUP($M$4 &amp;"|"&amp; $M$8 &amp;"|"&amp; $M$9,'Emission Factor Look Up'!$A$1:$BO$16,$A66,FALSE)*$M$7/2000*$M$10</f>
        <v>0</v>
      </c>
      <c r="N66" s="426">
        <f>VLOOKUP($N$4 &amp;"|"&amp; $N$8 &amp;"|"&amp; $N$9,'Emission Factor Look Up'!$A$1:$BO$16,$A66,FALSE)*$N$7/2000*$N$10</f>
        <v>0</v>
      </c>
      <c r="O66" s="426">
        <f>VLOOKUP($O$4 &amp;"|"&amp; $O$8 &amp;"|"&amp; $O$9,'Emission Factor Look Up'!$A$1:$BO$16,$A66,FALSE)*$O$7/2000*$O$10</f>
        <v>0</v>
      </c>
      <c r="P66" s="426">
        <f>VLOOKUP($P$4 &amp;"|"&amp; $P$8 &amp;"|"&amp; $P$9,'Emission Factor Look Up'!$A$1:$BO$16,$A66,FALSE)*$P$7/2000*$P$10</f>
        <v>0</v>
      </c>
      <c r="Q66" s="426">
        <f>VLOOKUP($Q$4 &amp;"|"&amp; $Q$8 &amp;"|"&amp; $Q$9,'Emission Factor Look Up'!$A$1:$BO$16,$A66,FALSE)*$Q$7/2000*$Q$10</f>
        <v>0</v>
      </c>
      <c r="R66" s="426">
        <f>VLOOKUP($R$4 &amp;"|"&amp; $R$8 &amp;"|"&amp; $R$9,'Emission Factor Look Up'!$A$1:$BO$16,$A66,FALSE)*$R$7/2000*$R$10</f>
        <v>0</v>
      </c>
      <c r="S66" s="426">
        <f>VLOOKUP($S$4 &amp;"|"&amp; $S$8 &amp;"|"&amp; $S$9,'Emission Factor Look Up'!$A$1:$BO$16,$A66,FALSE)*$S$7/2000*$S$10</f>
        <v>0</v>
      </c>
      <c r="T66" s="426">
        <f>VLOOKUP($T$4 &amp;"|"&amp; $T$8 &amp;"|"&amp; $T$9,'Emission Factor Look Up'!$A$1:$BO$16,$A66,FALSE)*$T$7/2000*$T$10</f>
        <v>0</v>
      </c>
      <c r="U66" s="426">
        <f>VLOOKUP($U$4 &amp;"|"&amp; $U$8 &amp;"|"&amp; $U$9,'Emission Factor Look Up'!$A$1:$BO$16,$A66,FALSE)*$U$7/2000*$U$10</f>
        <v>0</v>
      </c>
      <c r="V66" s="426">
        <f>VLOOKUP($V$4 &amp;"|"&amp; $V$8 &amp;"|"&amp; $V$9,'Emission Factor Look Up'!$A$1:$BO$16,$A66,FALSE)*$V$7/2000*$V$10</f>
        <v>0</v>
      </c>
      <c r="W66" s="426">
        <f>VLOOKUP($W$4 &amp;"|"&amp; $W$8 &amp;"|"&amp; $W$9,'Emission Factor Look Up'!$A$1:$BO$16,$A66,FALSE)*$W$7/2000*$W$10</f>
        <v>0</v>
      </c>
      <c r="X66" s="426">
        <f>VLOOKUP($X$4 &amp;"|"&amp; $X$8 &amp;"|"&amp; $X$9,'Emission Factor Look Up'!$A$1:$BO$16,$A66,FALSE)*$X$7/2000*$X$10</f>
        <v>0</v>
      </c>
      <c r="Y66" s="426">
        <f>VLOOKUP($Y$4 &amp;"|"&amp; $Y$8 &amp;"|"&amp; $Y$9,'Emission Factor Look Up'!$A$1:$BO$16,$A66,FALSE)*$Y$7/2000*$Y$10</f>
        <v>0</v>
      </c>
      <c r="Z66" s="426">
        <f>VLOOKUP($Z$4 &amp;"|"&amp; $Z$8 &amp;"|"&amp; $Z$9,'Emission Factor Look Up'!$A$1:$BO$16,$A66,FALSE)*$Z$7/2000*$Z$10</f>
        <v>0</v>
      </c>
      <c r="AA66" s="426">
        <f>VLOOKUP($AA$4 &amp;"|"&amp; $AA$8 &amp;"|"&amp; $AA$9,'Emission Factor Look Up'!$A$1:$BO$16,$A66,FALSE)*$AA$7/2000*$AA$10</f>
        <v>0</v>
      </c>
      <c r="AB66" s="426">
        <f>VLOOKUP($AB$4 &amp;"|"&amp; $AB$8 &amp;"|"&amp; $AB$9,'Emission Factor Look Up'!$A$1:$BO$16,$A66,FALSE)*$AB$7/2000*$AB$10</f>
        <v>0</v>
      </c>
      <c r="AC66" s="426">
        <f>VLOOKUP($AC$4 &amp;"|"&amp; $AC$8 &amp;"|"&amp; $AC$9,'Emission Factor Look Up'!$A$1:$BO$16,$A66,FALSE)*$AC$7/2000*$AC$10</f>
        <v>0</v>
      </c>
      <c r="AD66" s="427">
        <f t="shared" si="1"/>
        <v>0</v>
      </c>
    </row>
    <row r="67" spans="1:30">
      <c r="A67" s="190">
        <v>58</v>
      </c>
      <c r="B67" s="428" t="str">
        <f>'Emission Factors'!A60</f>
        <v>Propylene Oxide</v>
      </c>
      <c r="C67" s="426">
        <f>VLOOKUP($C$4 &amp;"|"&amp; $C$8 &amp;"|"&amp; $C$9,'Emission Factor Look Up'!$A$1:$BO$16,$A67,FALSE)*$C$7/2000*$C$10</f>
        <v>0.14137326</v>
      </c>
      <c r="D67" s="426">
        <f>VLOOKUP($D$4 &amp;"|"&amp; $D$8 &amp;"|"&amp; $D$9,'Emission Factor Look Up'!$A$1:$BO$16,$A67,FALSE)*$D$7/2000*$D$10</f>
        <v>0.14137326</v>
      </c>
      <c r="E67" s="426">
        <f>VLOOKUP($E$4 &amp;"|"&amp; $E$8 &amp;"|"&amp; $E$9,'Emission Factor Look Up'!$A$1:$BO$16,$A67,FALSE)*$E$7/2000*$E$10</f>
        <v>0.14137326</v>
      </c>
      <c r="F67" s="426">
        <f>VLOOKUP($F$4 &amp;"|"&amp; $F$8 &amp;"|"&amp; $F$9,'Emission Factor Look Up'!$A$1:$BO$16,$A67,FALSE)*$F$7/2000*$F$10</f>
        <v>0.14137326</v>
      </c>
      <c r="G67" s="426">
        <f>VLOOKUP($G$4 &amp;"|"&amp; $G$8 &amp;"|"&amp; $G$9,'Emission Factor Look Up'!$A$1:$BO$16,$A67,FALSE)*$G$7/2000*$G$10</f>
        <v>0.14137326</v>
      </c>
      <c r="H67" s="426">
        <f>VLOOKUP($H$4 &amp;"|"&amp; $H$8 &amp;"|"&amp; $H$9,'Emission Factor Look Up'!$A$1:$BO$16,$A67,FALSE)*$H$7/2000*$H$10</f>
        <v>0.14137326</v>
      </c>
      <c r="I67" s="426">
        <f>VLOOKUP($I$4 &amp;"|"&amp; $I$8 &amp;"|"&amp; $I$9,'Emission Factor Look Up'!$A$1:$BO$16,$A67,FALSE)*$I$7/2000*$I$10</f>
        <v>4.8775680000000002E-2</v>
      </c>
      <c r="J67" s="426">
        <f>VLOOKUP($J$4 &amp;"|"&amp; $J$8 &amp;"|"&amp; $J$9,'Emission Factor Look Up'!$A$1:$BO$16,$A67,FALSE)*$J$7/2000*$J$10</f>
        <v>4.8775680000000002E-2</v>
      </c>
      <c r="K67" s="426">
        <f>VLOOKUP($K$4 &amp;"|"&amp; $K$8 &amp;"|"&amp; $K$9,'Emission Factor Look Up'!$A$1:$BO$16,$A67,FALSE)*$K$7/2000*$K$10</f>
        <v>4.8775680000000002E-2</v>
      </c>
      <c r="L67" s="426">
        <f>VLOOKUP($L$4 &amp;"|"&amp; $L$8 &amp;"|"&amp; $L$9,'Emission Factor Look Up'!$A$1:$BO$16,$A67,FALSE)*$L$7/2000*$L$10</f>
        <v>4.8775680000000002E-2</v>
      </c>
      <c r="M67" s="426">
        <f>VLOOKUP($M$4 &amp;"|"&amp; $M$8 &amp;"|"&amp; $M$9,'Emission Factor Look Up'!$A$1:$BO$16,$A67,FALSE)*$M$7/2000*$M$10</f>
        <v>0</v>
      </c>
      <c r="N67" s="426">
        <f>VLOOKUP($N$4 &amp;"|"&amp; $N$8 &amp;"|"&amp; $N$9,'Emission Factor Look Up'!$A$1:$BO$16,$A67,FALSE)*$N$7/2000*$N$10</f>
        <v>0</v>
      </c>
      <c r="O67" s="426">
        <f>VLOOKUP($O$4 &amp;"|"&amp; $O$8 &amp;"|"&amp; $O$9,'Emission Factor Look Up'!$A$1:$BO$16,$A67,FALSE)*$O$7/2000*$O$10</f>
        <v>0</v>
      </c>
      <c r="P67" s="426">
        <f>VLOOKUP($P$4 &amp;"|"&amp; $P$8 &amp;"|"&amp; $P$9,'Emission Factor Look Up'!$A$1:$BO$16,$A67,FALSE)*$P$7/2000*$P$10</f>
        <v>0</v>
      </c>
      <c r="Q67" s="426">
        <f>VLOOKUP($Q$4 &amp;"|"&amp; $Q$8 &amp;"|"&amp; $Q$9,'Emission Factor Look Up'!$A$1:$BO$16,$A67,FALSE)*$Q$7/2000*$Q$10</f>
        <v>0</v>
      </c>
      <c r="R67" s="426">
        <f>VLOOKUP($R$4 &amp;"|"&amp; $R$8 &amp;"|"&amp; $R$9,'Emission Factor Look Up'!$A$1:$BO$16,$A67,FALSE)*$R$7/2000*$R$10</f>
        <v>0</v>
      </c>
      <c r="S67" s="426">
        <f>VLOOKUP($S$4 &amp;"|"&amp; $S$8 &amp;"|"&amp; $S$9,'Emission Factor Look Up'!$A$1:$BO$16,$A67,FALSE)*$S$7/2000*$S$10</f>
        <v>0</v>
      </c>
      <c r="T67" s="426">
        <f>VLOOKUP($T$4 &amp;"|"&amp; $T$8 &amp;"|"&amp; $T$9,'Emission Factor Look Up'!$A$1:$BO$16,$A67,FALSE)*$T$7/2000*$T$10</f>
        <v>0</v>
      </c>
      <c r="U67" s="426">
        <f>VLOOKUP($U$4 &amp;"|"&amp; $U$8 &amp;"|"&amp; $U$9,'Emission Factor Look Up'!$A$1:$BO$16,$A67,FALSE)*$U$7/2000*$U$10</f>
        <v>0</v>
      </c>
      <c r="V67" s="426">
        <f>VLOOKUP($V$4 &amp;"|"&amp; $V$8 &amp;"|"&amp; $V$9,'Emission Factor Look Up'!$A$1:$BO$16,$A67,FALSE)*$V$7/2000*$V$10</f>
        <v>0</v>
      </c>
      <c r="W67" s="426">
        <f>VLOOKUP($W$4 &amp;"|"&amp; $W$8 &amp;"|"&amp; $W$9,'Emission Factor Look Up'!$A$1:$BO$16,$A67,FALSE)*$W$7/2000*$W$10</f>
        <v>0</v>
      </c>
      <c r="X67" s="426">
        <f>VLOOKUP($X$4 &amp;"|"&amp; $X$8 &amp;"|"&amp; $X$9,'Emission Factor Look Up'!$A$1:$BO$16,$A67,FALSE)*$X$7/2000*$X$10</f>
        <v>0</v>
      </c>
      <c r="Y67" s="426">
        <f>VLOOKUP($Y$4 &amp;"|"&amp; $Y$8 &amp;"|"&amp; $Y$9,'Emission Factor Look Up'!$A$1:$BO$16,$A67,FALSE)*$Y$7/2000*$Y$10</f>
        <v>0</v>
      </c>
      <c r="Z67" s="426">
        <f>VLOOKUP($Z$4 &amp;"|"&amp; $Z$8 &amp;"|"&amp; $Z$9,'Emission Factor Look Up'!$A$1:$BO$16,$A67,FALSE)*$Z$7/2000*$Z$10</f>
        <v>0</v>
      </c>
      <c r="AA67" s="426">
        <f>VLOOKUP($AA$4 &amp;"|"&amp; $AA$8 &amp;"|"&amp; $AA$9,'Emission Factor Look Up'!$A$1:$BO$16,$A67,FALSE)*$AA$7/2000*$AA$10</f>
        <v>0</v>
      </c>
      <c r="AB67" s="426">
        <f>VLOOKUP($AB$4 &amp;"|"&amp; $AB$8 &amp;"|"&amp; $AB$9,'Emission Factor Look Up'!$A$1:$BO$16,$A67,FALSE)*$AB$7/2000*$AB$10</f>
        <v>0</v>
      </c>
      <c r="AC67" s="426">
        <f>VLOOKUP($AC$4 &amp;"|"&amp; $AC$8 &amp;"|"&amp; $AC$9,'Emission Factor Look Up'!$A$1:$BO$16,$A67,FALSE)*$AC$7/2000*$AC$10</f>
        <v>0</v>
      </c>
      <c r="AD67" s="427">
        <f t="shared" si="1"/>
        <v>1.0433422799999998</v>
      </c>
    </row>
    <row r="68" spans="1:30">
      <c r="A68" s="190">
        <v>59</v>
      </c>
      <c r="B68" s="428" t="str">
        <f>'Emission Factors'!A61</f>
        <v>Selenium</v>
      </c>
      <c r="C68" s="426">
        <f>VLOOKUP($C$4 &amp;"|"&amp; $C$8 &amp;"|"&amp; $C$9,'Emission Factor Look Up'!$A$1:$BO$16,$A68,FALSE)*$C$7/2000*$C$10</f>
        <v>0</v>
      </c>
      <c r="D68" s="426">
        <f>VLOOKUP($D$4 &amp;"|"&amp; $D$8 &amp;"|"&amp; $D$9,'Emission Factor Look Up'!$A$1:$BO$16,$A68,FALSE)*$D$7/2000*$D$10</f>
        <v>0</v>
      </c>
      <c r="E68" s="426">
        <f>VLOOKUP($E$4 &amp;"|"&amp; $E$8 &amp;"|"&amp; $E$9,'Emission Factor Look Up'!$A$1:$BO$16,$A68,FALSE)*$E$7/2000*$E$10</f>
        <v>0</v>
      </c>
      <c r="F68" s="426">
        <f>VLOOKUP($F$4 &amp;"|"&amp; $F$8 &amp;"|"&amp; $F$9,'Emission Factor Look Up'!$A$1:$BO$16,$A68,FALSE)*$F$7/2000*$F$10</f>
        <v>0</v>
      </c>
      <c r="G68" s="426">
        <f>VLOOKUP($G$4 &amp;"|"&amp; $G$8 &amp;"|"&amp; $G$9,'Emission Factor Look Up'!$A$1:$BO$16,$A68,FALSE)*$G$7/2000*$G$10</f>
        <v>0</v>
      </c>
      <c r="H68" s="426">
        <f>VLOOKUP($H$4 &amp;"|"&amp; $H$8 &amp;"|"&amp; $H$9,'Emission Factor Look Up'!$A$1:$BO$16,$A68,FALSE)*$H$7/2000*$H$10</f>
        <v>0</v>
      </c>
      <c r="I68" s="426">
        <f>VLOOKUP($I$4 &amp;"|"&amp; $I$8 &amp;"|"&amp; $I$9,'Emission Factor Look Up'!$A$1:$BO$16,$A68,FALSE)*$I$7/2000*$I$10</f>
        <v>0</v>
      </c>
      <c r="J68" s="426">
        <f>VLOOKUP($J$4 &amp;"|"&amp; $J$8 &amp;"|"&amp; $J$9,'Emission Factor Look Up'!$A$1:$BO$16,$A68,FALSE)*$J$7/2000*$J$10</f>
        <v>0</v>
      </c>
      <c r="K68" s="426">
        <f>VLOOKUP($K$4 &amp;"|"&amp; $K$8 &amp;"|"&amp; $K$9,'Emission Factor Look Up'!$A$1:$BO$16,$A68,FALSE)*$K$7/2000*$K$10</f>
        <v>0</v>
      </c>
      <c r="L68" s="426">
        <f>VLOOKUP($L$4 &amp;"|"&amp; $L$8 &amp;"|"&amp; $L$9,'Emission Factor Look Up'!$A$1:$BO$16,$A68,FALSE)*$L$7/2000*$L$10</f>
        <v>0</v>
      </c>
      <c r="M68" s="426">
        <f>VLOOKUP($M$4 &amp;"|"&amp; $M$8 &amp;"|"&amp; $M$9,'Emission Factor Look Up'!$A$1:$BO$16,$A68,FALSE)*$M$7/2000*$M$10</f>
        <v>0</v>
      </c>
      <c r="N68" s="426">
        <f>VLOOKUP($N$4 &amp;"|"&amp; $N$8 &amp;"|"&amp; $N$9,'Emission Factor Look Up'!$A$1:$BO$16,$A68,FALSE)*$N$7/2000*$N$10</f>
        <v>0</v>
      </c>
      <c r="O68" s="426">
        <f>VLOOKUP($O$4 &amp;"|"&amp; $O$8 &amp;"|"&amp; $O$9,'Emission Factor Look Up'!$A$1:$BO$16,$A68,FALSE)*$O$7/2000*$O$10</f>
        <v>0</v>
      </c>
      <c r="P68" s="426">
        <f>VLOOKUP($P$4 &amp;"|"&amp; $P$8 &amp;"|"&amp; $P$9,'Emission Factor Look Up'!$A$1:$BO$16,$A68,FALSE)*$P$7/2000*$P$10</f>
        <v>0</v>
      </c>
      <c r="Q68" s="426">
        <f>VLOOKUP($Q$4 &amp;"|"&amp; $Q$8 &amp;"|"&amp; $Q$9,'Emission Factor Look Up'!$A$1:$BO$16,$A68,FALSE)*$Q$7/2000*$Q$10</f>
        <v>0</v>
      </c>
      <c r="R68" s="426">
        <f>VLOOKUP($R$4 &amp;"|"&amp; $R$8 &amp;"|"&amp; $R$9,'Emission Factor Look Up'!$A$1:$BO$16,$A68,FALSE)*$R$7/2000*$R$10</f>
        <v>0</v>
      </c>
      <c r="S68" s="426">
        <f>VLOOKUP($S$4 &amp;"|"&amp; $S$8 &amp;"|"&amp; $S$9,'Emission Factor Look Up'!$A$1:$BO$16,$A68,FALSE)*$S$7/2000*$S$10</f>
        <v>0</v>
      </c>
      <c r="T68" s="426">
        <f>VLOOKUP($T$4 &amp;"|"&amp; $T$8 &amp;"|"&amp; $T$9,'Emission Factor Look Up'!$A$1:$BO$16,$A68,FALSE)*$T$7/2000*$T$10</f>
        <v>0</v>
      </c>
      <c r="U68" s="426">
        <f>VLOOKUP($U$4 &amp;"|"&amp; $U$8 &amp;"|"&amp; $U$9,'Emission Factor Look Up'!$A$1:$BO$16,$A68,FALSE)*$U$7/2000*$U$10</f>
        <v>0</v>
      </c>
      <c r="V68" s="426">
        <f>VLOOKUP($V$4 &amp;"|"&amp; $V$8 &amp;"|"&amp; $V$9,'Emission Factor Look Up'!$A$1:$BO$16,$A68,FALSE)*$V$7/2000*$V$10</f>
        <v>0</v>
      </c>
      <c r="W68" s="426">
        <f>VLOOKUP($W$4 &amp;"|"&amp; $W$8 &amp;"|"&amp; $W$9,'Emission Factor Look Up'!$A$1:$BO$16,$A68,FALSE)*$W$7/2000*$W$10</f>
        <v>0</v>
      </c>
      <c r="X68" s="426">
        <f>VLOOKUP($X$4 &amp;"|"&amp; $X$8 &amp;"|"&amp; $X$9,'Emission Factor Look Up'!$A$1:$BO$16,$A68,FALSE)*$X$7/2000*$X$10</f>
        <v>0</v>
      </c>
      <c r="Y68" s="426">
        <f>VLOOKUP($Y$4 &amp;"|"&amp; $Y$8 &amp;"|"&amp; $Y$9,'Emission Factor Look Up'!$A$1:$BO$16,$A68,FALSE)*$Y$7/2000*$Y$10</f>
        <v>0</v>
      </c>
      <c r="Z68" s="426">
        <f>VLOOKUP($Z$4 &amp;"|"&amp; $Z$8 &amp;"|"&amp; $Z$9,'Emission Factor Look Up'!$A$1:$BO$16,$A68,FALSE)*$Z$7/2000*$Z$10</f>
        <v>0</v>
      </c>
      <c r="AA68" s="426">
        <f>VLOOKUP($AA$4 &amp;"|"&amp; $AA$8 &amp;"|"&amp; $AA$9,'Emission Factor Look Up'!$A$1:$BO$16,$A68,FALSE)*$AA$7/2000*$AA$10</f>
        <v>0</v>
      </c>
      <c r="AB68" s="426">
        <f>VLOOKUP($AB$4 &amp;"|"&amp; $AB$8 &amp;"|"&amp; $AB$9,'Emission Factor Look Up'!$A$1:$BO$16,$A68,FALSE)*$AB$7/2000*$AB$10</f>
        <v>0</v>
      </c>
      <c r="AC68" s="426">
        <f>VLOOKUP($AC$4 &amp;"|"&amp; $AC$8 &amp;"|"&amp; $AC$9,'Emission Factor Look Up'!$A$1:$BO$16,$A68,FALSE)*$AC$7/2000*$AC$10</f>
        <v>0</v>
      </c>
      <c r="AD68" s="427">
        <f t="shared" si="1"/>
        <v>0</v>
      </c>
    </row>
    <row r="69" spans="1:30">
      <c r="A69" s="190">
        <v>60</v>
      </c>
      <c r="B69" s="428" t="str">
        <f>'Emission Factors'!A62</f>
        <v>Styrene</v>
      </c>
      <c r="C69" s="426">
        <f>VLOOKUP($C$4 &amp;"|"&amp; $C$8 &amp;"|"&amp; $C$9,'Emission Factor Look Up'!$A$1:$BO$16,$A69,FALSE)*$C$7/2000*$C$10</f>
        <v>0</v>
      </c>
      <c r="D69" s="426">
        <f>VLOOKUP($D$4 &amp;"|"&amp; $D$8 &amp;"|"&amp; $D$9,'Emission Factor Look Up'!$A$1:$BO$16,$A69,FALSE)*$D$7/2000*$D$10</f>
        <v>0</v>
      </c>
      <c r="E69" s="426">
        <f>VLOOKUP($E$4 &amp;"|"&amp; $E$8 &amp;"|"&amp; $E$9,'Emission Factor Look Up'!$A$1:$BO$16,$A69,FALSE)*$E$7/2000*$E$10</f>
        <v>0</v>
      </c>
      <c r="F69" s="426">
        <f>VLOOKUP($F$4 &amp;"|"&amp; $F$8 &amp;"|"&amp; $F$9,'Emission Factor Look Up'!$A$1:$BO$16,$A69,FALSE)*$F$7/2000*$F$10</f>
        <v>0</v>
      </c>
      <c r="G69" s="426">
        <f>VLOOKUP($G$4 &amp;"|"&amp; $G$8 &amp;"|"&amp; $G$9,'Emission Factor Look Up'!$A$1:$BO$16,$A69,FALSE)*$G$7/2000*$G$10</f>
        <v>0</v>
      </c>
      <c r="H69" s="426">
        <f>VLOOKUP($H$4 &amp;"|"&amp; $H$8 &amp;"|"&amp; $H$9,'Emission Factor Look Up'!$A$1:$BO$16,$A69,FALSE)*$H$7/2000*$H$10</f>
        <v>0</v>
      </c>
      <c r="I69" s="426">
        <f>VLOOKUP($I$4 &amp;"|"&amp; $I$8 &amp;"|"&amp; $I$9,'Emission Factor Look Up'!$A$1:$BO$16,$A69,FALSE)*$I$7/2000*$I$10</f>
        <v>0</v>
      </c>
      <c r="J69" s="426">
        <f>VLOOKUP($J$4 &amp;"|"&amp; $J$8 &amp;"|"&amp; $J$9,'Emission Factor Look Up'!$A$1:$BO$16,$A69,FALSE)*$J$7/2000*$J$10</f>
        <v>0</v>
      </c>
      <c r="K69" s="426">
        <f>VLOOKUP($K$4 &amp;"|"&amp; $K$8 &amp;"|"&amp; $K$9,'Emission Factor Look Up'!$A$1:$BO$16,$A69,FALSE)*$K$7/2000*$K$10</f>
        <v>0</v>
      </c>
      <c r="L69" s="426">
        <f>VLOOKUP($L$4 &amp;"|"&amp; $L$8 &amp;"|"&amp; $L$9,'Emission Factor Look Up'!$A$1:$BO$16,$A69,FALSE)*$L$7/2000*$L$10</f>
        <v>0</v>
      </c>
      <c r="M69" s="426">
        <f>VLOOKUP($M$4 &amp;"|"&amp; $M$8 &amp;"|"&amp; $M$9,'Emission Factor Look Up'!$A$1:$BO$16,$A69,FALSE)*$M$7/2000*$M$10</f>
        <v>0</v>
      </c>
      <c r="N69" s="426">
        <f>VLOOKUP($N$4 &amp;"|"&amp; $N$8 &amp;"|"&amp; $N$9,'Emission Factor Look Up'!$A$1:$BO$16,$A69,FALSE)*$N$7/2000*$N$10</f>
        <v>0</v>
      </c>
      <c r="O69" s="426">
        <f>VLOOKUP($O$4 &amp;"|"&amp; $O$8 &amp;"|"&amp; $O$9,'Emission Factor Look Up'!$A$1:$BO$16,$A69,FALSE)*$O$7/2000*$O$10</f>
        <v>0</v>
      </c>
      <c r="P69" s="426">
        <f>VLOOKUP($P$4 &amp;"|"&amp; $P$8 &amp;"|"&amp; $P$9,'Emission Factor Look Up'!$A$1:$BO$16,$A69,FALSE)*$P$7/2000*$P$10</f>
        <v>0</v>
      </c>
      <c r="Q69" s="426">
        <f>VLOOKUP($Q$4 &amp;"|"&amp; $Q$8 &amp;"|"&amp; $Q$9,'Emission Factor Look Up'!$A$1:$BO$16,$A69,FALSE)*$Q$7/2000*$Q$10</f>
        <v>0</v>
      </c>
      <c r="R69" s="426">
        <f>VLOOKUP($R$4 &amp;"|"&amp; $R$8 &amp;"|"&amp; $R$9,'Emission Factor Look Up'!$A$1:$BO$16,$A69,FALSE)*$R$7/2000*$R$10</f>
        <v>0</v>
      </c>
      <c r="S69" s="426">
        <f>VLOOKUP($S$4 &amp;"|"&amp; $S$8 &amp;"|"&amp; $S$9,'Emission Factor Look Up'!$A$1:$BO$16,$A69,FALSE)*$S$7/2000*$S$10</f>
        <v>0</v>
      </c>
      <c r="T69" s="426">
        <f>VLOOKUP($T$4 &amp;"|"&amp; $T$8 &amp;"|"&amp; $T$9,'Emission Factor Look Up'!$A$1:$BO$16,$A69,FALSE)*$T$7/2000*$T$10</f>
        <v>0</v>
      </c>
      <c r="U69" s="426">
        <f>VLOOKUP($U$4 &amp;"|"&amp; $U$8 &amp;"|"&amp; $U$9,'Emission Factor Look Up'!$A$1:$BO$16,$A69,FALSE)*$U$7/2000*$U$10</f>
        <v>0</v>
      </c>
      <c r="V69" s="426">
        <f>VLOOKUP($V$4 &amp;"|"&amp; $V$8 &amp;"|"&amp; $V$9,'Emission Factor Look Up'!$A$1:$BO$16,$A69,FALSE)*$V$7/2000*$V$10</f>
        <v>0</v>
      </c>
      <c r="W69" s="426">
        <f>VLOOKUP($W$4 &amp;"|"&amp; $W$8 &amp;"|"&amp; $W$9,'Emission Factor Look Up'!$A$1:$BO$16,$A69,FALSE)*$W$7/2000*$W$10</f>
        <v>0</v>
      </c>
      <c r="X69" s="426">
        <f>VLOOKUP($X$4 &amp;"|"&amp; $X$8 &amp;"|"&amp; $X$9,'Emission Factor Look Up'!$A$1:$BO$16,$A69,FALSE)*$X$7/2000*$X$10</f>
        <v>0</v>
      </c>
      <c r="Y69" s="426">
        <f>VLOOKUP($Y$4 &amp;"|"&amp; $Y$8 &amp;"|"&amp; $Y$9,'Emission Factor Look Up'!$A$1:$BO$16,$A69,FALSE)*$Y$7/2000*$Y$10</f>
        <v>0</v>
      </c>
      <c r="Z69" s="426">
        <f>VLOOKUP($Z$4 &amp;"|"&amp; $Z$8 &amp;"|"&amp; $Z$9,'Emission Factor Look Up'!$A$1:$BO$16,$A69,FALSE)*$Z$7/2000*$Z$10</f>
        <v>0</v>
      </c>
      <c r="AA69" s="426">
        <f>VLOOKUP($AA$4 &amp;"|"&amp; $AA$8 &amp;"|"&amp; $AA$9,'Emission Factor Look Up'!$A$1:$BO$16,$A69,FALSE)*$AA$7/2000*$AA$10</f>
        <v>0</v>
      </c>
      <c r="AB69" s="426">
        <f>VLOOKUP($AB$4 &amp;"|"&amp; $AB$8 &amp;"|"&amp; $AB$9,'Emission Factor Look Up'!$A$1:$BO$16,$A69,FALSE)*$AB$7/2000*$AB$10</f>
        <v>0</v>
      </c>
      <c r="AC69" s="426">
        <f>VLOOKUP($AC$4 &amp;"|"&amp; $AC$8 &amp;"|"&amp; $AC$9,'Emission Factor Look Up'!$A$1:$BO$16,$A69,FALSE)*$AC$7/2000*$AC$10</f>
        <v>0</v>
      </c>
      <c r="AD69" s="427">
        <f t="shared" si="1"/>
        <v>0</v>
      </c>
    </row>
    <row r="70" spans="1:30">
      <c r="A70" s="190">
        <v>61</v>
      </c>
      <c r="B70" s="428" t="str">
        <f>'Emission Factors'!A63</f>
        <v>Tetrachloroethylene</v>
      </c>
      <c r="C70" s="426">
        <f>VLOOKUP($C$4 &amp;"|"&amp; $C$8 &amp;"|"&amp; $C$9,'Emission Factor Look Up'!$A$1:$BO$16,$A70,FALSE)*$C$7/2000*$C$10</f>
        <v>0</v>
      </c>
      <c r="D70" s="426">
        <f>VLOOKUP($D$4 &amp;"|"&amp; $D$8 &amp;"|"&amp; $D$9,'Emission Factor Look Up'!$A$1:$BO$16,$A70,FALSE)*$D$7/2000*$D$10</f>
        <v>0</v>
      </c>
      <c r="E70" s="426">
        <f>VLOOKUP($E$4 &amp;"|"&amp; $E$8 &amp;"|"&amp; $E$9,'Emission Factor Look Up'!$A$1:$BO$16,$A70,FALSE)*$E$7/2000*$E$10</f>
        <v>0</v>
      </c>
      <c r="F70" s="426">
        <f>VLOOKUP($F$4 &amp;"|"&amp; $F$8 &amp;"|"&amp; $F$9,'Emission Factor Look Up'!$A$1:$BO$16,$A70,FALSE)*$F$7/2000*$F$10</f>
        <v>0</v>
      </c>
      <c r="G70" s="426">
        <f>VLOOKUP($G$4 &amp;"|"&amp; $G$8 &amp;"|"&amp; $G$9,'Emission Factor Look Up'!$A$1:$BO$16,$A70,FALSE)*$G$7/2000*$G$10</f>
        <v>0</v>
      </c>
      <c r="H70" s="426">
        <f>VLOOKUP($H$4 &amp;"|"&amp; $H$8 &amp;"|"&amp; $H$9,'Emission Factor Look Up'!$A$1:$BO$16,$A70,FALSE)*$H$7/2000*$H$10</f>
        <v>0</v>
      </c>
      <c r="I70" s="426">
        <f>VLOOKUP($I$4 &amp;"|"&amp; $I$8 &amp;"|"&amp; $I$9,'Emission Factor Look Up'!$A$1:$BO$16,$A70,FALSE)*$I$7/2000*$I$10</f>
        <v>0</v>
      </c>
      <c r="J70" s="426">
        <f>VLOOKUP($J$4 &amp;"|"&amp; $J$8 &amp;"|"&amp; $J$9,'Emission Factor Look Up'!$A$1:$BO$16,$A70,FALSE)*$J$7/2000*$J$10</f>
        <v>0</v>
      </c>
      <c r="K70" s="426">
        <f>VLOOKUP($K$4 &amp;"|"&amp; $K$8 &amp;"|"&amp; $K$9,'Emission Factor Look Up'!$A$1:$BO$16,$A70,FALSE)*$K$7/2000*$K$10</f>
        <v>0</v>
      </c>
      <c r="L70" s="426">
        <f>VLOOKUP($L$4 &amp;"|"&amp; $L$8 &amp;"|"&amp; $L$9,'Emission Factor Look Up'!$A$1:$BO$16,$A70,FALSE)*$L$7/2000*$L$10</f>
        <v>0</v>
      </c>
      <c r="M70" s="426">
        <f>VLOOKUP($M$4 &amp;"|"&amp; $M$8 &amp;"|"&amp; $M$9,'Emission Factor Look Up'!$A$1:$BO$16,$A70,FALSE)*$M$7/2000*$M$10</f>
        <v>0</v>
      </c>
      <c r="N70" s="426">
        <f>VLOOKUP($N$4 &amp;"|"&amp; $N$8 &amp;"|"&amp; $N$9,'Emission Factor Look Up'!$A$1:$BO$16,$A70,FALSE)*$N$7/2000*$N$10</f>
        <v>0</v>
      </c>
      <c r="O70" s="426">
        <f>VLOOKUP($O$4 &amp;"|"&amp; $O$8 &amp;"|"&amp; $O$9,'Emission Factor Look Up'!$A$1:$BO$16,$A70,FALSE)*$O$7/2000*$O$10</f>
        <v>0</v>
      </c>
      <c r="P70" s="426">
        <f>VLOOKUP($P$4 &amp;"|"&amp; $P$8 &amp;"|"&amp; $P$9,'Emission Factor Look Up'!$A$1:$BO$16,$A70,FALSE)*$P$7/2000*$P$10</f>
        <v>0</v>
      </c>
      <c r="Q70" s="426">
        <f>VLOOKUP($Q$4 &amp;"|"&amp; $Q$8 &amp;"|"&amp; $Q$9,'Emission Factor Look Up'!$A$1:$BO$16,$A70,FALSE)*$Q$7/2000*$Q$10</f>
        <v>0</v>
      </c>
      <c r="R70" s="426">
        <f>VLOOKUP($R$4 &amp;"|"&amp; $R$8 &amp;"|"&amp; $R$9,'Emission Factor Look Up'!$A$1:$BO$16,$A70,FALSE)*$R$7/2000*$R$10</f>
        <v>0</v>
      </c>
      <c r="S70" s="426">
        <f>VLOOKUP($S$4 &amp;"|"&amp; $S$8 &amp;"|"&amp; $S$9,'Emission Factor Look Up'!$A$1:$BO$16,$A70,FALSE)*$S$7/2000*$S$10</f>
        <v>0</v>
      </c>
      <c r="T70" s="426">
        <f>VLOOKUP($T$4 &amp;"|"&amp; $T$8 &amp;"|"&amp; $T$9,'Emission Factor Look Up'!$A$1:$BO$16,$A70,FALSE)*$T$7/2000*$T$10</f>
        <v>0</v>
      </c>
      <c r="U70" s="426">
        <f>VLOOKUP($U$4 &amp;"|"&amp; $U$8 &amp;"|"&amp; $U$9,'Emission Factor Look Up'!$A$1:$BO$16,$A70,FALSE)*$U$7/2000*$U$10</f>
        <v>0</v>
      </c>
      <c r="V70" s="426">
        <f>VLOOKUP($V$4 &amp;"|"&amp; $V$8 &amp;"|"&amp; $V$9,'Emission Factor Look Up'!$A$1:$BO$16,$A70,FALSE)*$V$7/2000*$V$10</f>
        <v>0</v>
      </c>
      <c r="W70" s="426">
        <f>VLOOKUP($W$4 &amp;"|"&amp; $W$8 &amp;"|"&amp; $W$9,'Emission Factor Look Up'!$A$1:$BO$16,$A70,FALSE)*$W$7/2000*$W$10</f>
        <v>0</v>
      </c>
      <c r="X70" s="426">
        <f>VLOOKUP($X$4 &amp;"|"&amp; $X$8 &amp;"|"&amp; $X$9,'Emission Factor Look Up'!$A$1:$BO$16,$A70,FALSE)*$X$7/2000*$X$10</f>
        <v>0</v>
      </c>
      <c r="Y70" s="426">
        <f>VLOOKUP($Y$4 &amp;"|"&amp; $Y$8 &amp;"|"&amp; $Y$9,'Emission Factor Look Up'!$A$1:$BO$16,$A70,FALSE)*$Y$7/2000*$Y$10</f>
        <v>0</v>
      </c>
      <c r="Z70" s="426">
        <f>VLOOKUP($Z$4 &amp;"|"&amp; $Z$8 &amp;"|"&amp; $Z$9,'Emission Factor Look Up'!$A$1:$BO$16,$A70,FALSE)*$Z$7/2000*$Z$10</f>
        <v>0</v>
      </c>
      <c r="AA70" s="426">
        <f>VLOOKUP($AA$4 &amp;"|"&amp; $AA$8 &amp;"|"&amp; $AA$9,'Emission Factor Look Up'!$A$1:$BO$16,$A70,FALSE)*$AA$7/2000*$AA$10</f>
        <v>0</v>
      </c>
      <c r="AB70" s="426">
        <f>VLOOKUP($AB$4 &amp;"|"&amp; $AB$8 &amp;"|"&amp; $AB$9,'Emission Factor Look Up'!$A$1:$BO$16,$A70,FALSE)*$AB$7/2000*$AB$10</f>
        <v>0</v>
      </c>
      <c r="AC70" s="426">
        <f>VLOOKUP($AC$4 &amp;"|"&amp; $AC$8 &amp;"|"&amp; $AC$9,'Emission Factor Look Up'!$A$1:$BO$16,$A70,FALSE)*$AC$7/2000*$AC$10</f>
        <v>0</v>
      </c>
      <c r="AD70" s="427">
        <f t="shared" si="1"/>
        <v>0</v>
      </c>
    </row>
    <row r="71" spans="1:30">
      <c r="A71" s="190">
        <v>62</v>
      </c>
      <c r="B71" s="428" t="str">
        <f>'Emission Factors'!A64</f>
        <v>Toluene</v>
      </c>
      <c r="C71" s="426">
        <f>VLOOKUP($C$4 &amp;"|"&amp; $C$8 &amp;"|"&amp; $C$9,'Emission Factor Look Up'!$A$1:$BO$16,$A71,FALSE)*$C$7/2000*$C$10</f>
        <v>0.63374220000000003</v>
      </c>
      <c r="D71" s="426">
        <f>VLOOKUP($D$4 &amp;"|"&amp; $D$8 &amp;"|"&amp; $D$9,'Emission Factor Look Up'!$A$1:$BO$16,$A71,FALSE)*$D$7/2000*$D$10</f>
        <v>0.63374220000000003</v>
      </c>
      <c r="E71" s="426">
        <f>VLOOKUP($E$4 &amp;"|"&amp; $E$8 &amp;"|"&amp; $E$9,'Emission Factor Look Up'!$A$1:$BO$16,$A71,FALSE)*$E$7/2000*$E$10</f>
        <v>0.63374220000000003</v>
      </c>
      <c r="F71" s="426">
        <f>VLOOKUP($F$4 &amp;"|"&amp; $F$8 &amp;"|"&amp; $F$9,'Emission Factor Look Up'!$A$1:$BO$16,$A71,FALSE)*$F$7/2000*$F$10</f>
        <v>0.63374220000000003</v>
      </c>
      <c r="G71" s="426">
        <f>VLOOKUP($G$4 &amp;"|"&amp; $G$8 &amp;"|"&amp; $G$9,'Emission Factor Look Up'!$A$1:$BO$16,$A71,FALSE)*$G$7/2000*$G$10</f>
        <v>0.63374220000000003</v>
      </c>
      <c r="H71" s="426">
        <f>VLOOKUP($H$4 &amp;"|"&amp; $H$8 &amp;"|"&amp; $H$9,'Emission Factor Look Up'!$A$1:$BO$16,$A71,FALSE)*$H$7/2000*$H$10</f>
        <v>0.63374220000000003</v>
      </c>
      <c r="I71" s="426">
        <f>VLOOKUP($I$4 &amp;"|"&amp; $I$8 &amp;"|"&amp; $I$9,'Emission Factor Look Up'!$A$1:$BO$16,$A71,FALSE)*$I$7/2000*$I$10</f>
        <v>0.21864959999999994</v>
      </c>
      <c r="J71" s="426">
        <f>VLOOKUP($J$4 &amp;"|"&amp; $J$8 &amp;"|"&amp; $J$9,'Emission Factor Look Up'!$A$1:$BO$16,$A71,FALSE)*$J$7/2000*$J$10</f>
        <v>0.21864959999999994</v>
      </c>
      <c r="K71" s="426">
        <f>VLOOKUP($K$4 &amp;"|"&amp; $K$8 &amp;"|"&amp; $K$9,'Emission Factor Look Up'!$A$1:$BO$16,$A71,FALSE)*$K$7/2000*$K$10</f>
        <v>0.21864959999999994</v>
      </c>
      <c r="L71" s="426">
        <f>VLOOKUP($L$4 &amp;"|"&amp; $L$8 &amp;"|"&amp; $L$9,'Emission Factor Look Up'!$A$1:$BO$16,$A71,FALSE)*$L$7/2000*$L$10</f>
        <v>0.21864959999999994</v>
      </c>
      <c r="M71" s="426">
        <f>VLOOKUP($M$4 &amp;"|"&amp; $M$8 &amp;"|"&amp; $M$9,'Emission Factor Look Up'!$A$1:$BO$16,$A71,FALSE)*$M$7/2000*$M$10</f>
        <v>2.1472500000000003E-4</v>
      </c>
      <c r="N71" s="426">
        <f>VLOOKUP($N$4 &amp;"|"&amp; $N$8 &amp;"|"&amp; $N$9,'Emission Factor Look Up'!$A$1:$BO$16,$A71,FALSE)*$N$7/2000*$N$10</f>
        <v>4.1155625000000007E-4</v>
      </c>
      <c r="O71" s="426">
        <f>VLOOKUP($O$4 &amp;"|"&amp; $O$8 &amp;"|"&amp; $O$9,'Emission Factor Look Up'!$A$1:$BO$16,$A71,FALSE)*$O$7/2000*$O$10</f>
        <v>1.7807705882352941E-3</v>
      </c>
      <c r="P71" s="426">
        <f>VLOOKUP($P$4 &amp;"|"&amp; $P$8 &amp;"|"&amp; $P$9,'Emission Factor Look Up'!$A$1:$BO$16,$A71,FALSE)*$P$7/2000*$P$10</f>
        <v>1.7807705882352941E-3</v>
      </c>
      <c r="Q71" s="426">
        <f>VLOOKUP($Q$4 &amp;"|"&amp; $Q$8 &amp;"|"&amp; $Q$9,'Emission Factor Look Up'!$A$1:$BO$16,$A71,FALSE)*$Q$7/2000*$Q$10</f>
        <v>0</v>
      </c>
      <c r="R71" s="426">
        <f>VLOOKUP($R$4 &amp;"|"&amp; $R$8 &amp;"|"&amp; $R$9,'Emission Factor Look Up'!$A$1:$BO$16,$A71,FALSE)*$R$7/2000*$R$10</f>
        <v>5.603823529411765E-4</v>
      </c>
      <c r="S71" s="426">
        <f>VLOOKUP($S$4 &amp;"|"&amp; $S$8 &amp;"|"&amp; $S$9,'Emission Factor Look Up'!$A$1:$BO$16,$A71,FALSE)*$S$7/2000*$S$10</f>
        <v>5.603823529411765E-4</v>
      </c>
      <c r="T71" s="426">
        <f>VLOOKUP($T$4 &amp;"|"&amp; $T$8 &amp;"|"&amp; $T$9,'Emission Factor Look Up'!$A$1:$BO$16,$A71,FALSE)*$T$7/2000*$T$10</f>
        <v>0</v>
      </c>
      <c r="U71" s="426">
        <f>VLOOKUP($U$4 &amp;"|"&amp; $U$8 &amp;"|"&amp; $U$9,'Emission Factor Look Up'!$A$1:$BO$16,$A71,FALSE)*$U$7/2000*$U$10</f>
        <v>0.85282745098039214</v>
      </c>
      <c r="V71" s="426">
        <f>VLOOKUP($V$4 &amp;"|"&amp; $V$8 &amp;"|"&amp; $V$9,'Emission Factor Look Up'!$A$1:$BO$16,$A71,FALSE)*$V$7/2000*$V$10</f>
        <v>0.85282745098039214</v>
      </c>
      <c r="W71" s="426">
        <f>VLOOKUP($W$4 &amp;"|"&amp; $W$8 &amp;"|"&amp; $W$9,'Emission Factor Look Up'!$A$1:$BO$16,$A71,FALSE)*$W$7/2000*$W$10</f>
        <v>0</v>
      </c>
      <c r="X71" s="426">
        <f>VLOOKUP($X$4 &amp;"|"&amp; $X$8 &amp;"|"&amp; $X$9,'Emission Factor Look Up'!$A$1:$BO$16,$A71,FALSE)*$X$7/2000*$X$10</f>
        <v>0.19930392156862745</v>
      </c>
      <c r="Y71" s="426">
        <f>VLOOKUP($Y$4 &amp;"|"&amp; $Y$8 &amp;"|"&amp; $Y$9,'Emission Factor Look Up'!$A$1:$BO$16,$A71,FALSE)*$Y$7/2000*$Y$10</f>
        <v>0.19930392156862745</v>
      </c>
      <c r="Z71" s="426">
        <f>VLOOKUP($Z$4 &amp;"|"&amp; $Z$8 &amp;"|"&amp; $Z$9,'Emission Factor Look Up'!$A$1:$BO$16,$A71,FALSE)*$Z$7/2000*$Z$10</f>
        <v>0</v>
      </c>
      <c r="AA71" s="426">
        <f>VLOOKUP($AA$4 &amp;"|"&amp; $AA$8 &amp;"|"&amp; $AA$9,'Emission Factor Look Up'!$A$1:$BO$16,$A71,FALSE)*$AA$7/2000*$AA$10</f>
        <v>2.6151176470588238E-3</v>
      </c>
      <c r="AB71" s="426">
        <f>VLOOKUP($AB$4 &amp;"|"&amp; $AB$8 &amp;"|"&amp; $AB$9,'Emission Factor Look Up'!$A$1:$BO$16,$A71,FALSE)*$AB$7/2000*$AB$10</f>
        <v>4.0838823529411768E-3</v>
      </c>
      <c r="AC71" s="426">
        <f>VLOOKUP($AC$4 &amp;"|"&amp; $AC$8 &amp;"|"&amp; $AC$9,'Emission Factor Look Up'!$A$1:$BO$16,$A71,FALSE)*$AC$7/2000*$AC$10</f>
        <v>8.7745122540000005E-5</v>
      </c>
      <c r="AD71" s="427">
        <f t="shared" si="1"/>
        <v>6.7934096773529324</v>
      </c>
    </row>
    <row r="72" spans="1:30">
      <c r="A72" s="190">
        <v>63</v>
      </c>
      <c r="B72" s="428" t="str">
        <f>'Emission Factors'!A65</f>
        <v>Trichloroethylene</v>
      </c>
      <c r="C72" s="426">
        <f>VLOOKUP($C$4 &amp;"|"&amp; $C$8 &amp;"|"&amp; $C$9,'Emission Factor Look Up'!$A$1:$BO$16,$A72,FALSE)*$C$7/2000*$C$10</f>
        <v>0</v>
      </c>
      <c r="D72" s="426">
        <f>VLOOKUP($D$4 &amp;"|"&amp; $D$8 &amp;"|"&amp; $D$9,'Emission Factor Look Up'!$A$1:$BO$16,$A72,FALSE)*$D$7/2000*$D$10</f>
        <v>0</v>
      </c>
      <c r="E72" s="426">
        <f>VLOOKUP($E$4 &amp;"|"&amp; $E$8 &amp;"|"&amp; $E$9,'Emission Factor Look Up'!$A$1:$BO$16,$A72,FALSE)*$E$7/2000*$E$10</f>
        <v>0</v>
      </c>
      <c r="F72" s="426">
        <f>VLOOKUP($F$4 &amp;"|"&amp; $F$8 &amp;"|"&amp; $F$9,'Emission Factor Look Up'!$A$1:$BO$16,$A72,FALSE)*$F$7/2000*$F$10</f>
        <v>0</v>
      </c>
      <c r="G72" s="426">
        <f>VLOOKUP($G$4 &amp;"|"&amp; $G$8 &amp;"|"&amp; $G$9,'Emission Factor Look Up'!$A$1:$BO$16,$A72,FALSE)*$G$7/2000*$G$10</f>
        <v>0</v>
      </c>
      <c r="H72" s="426">
        <f>VLOOKUP($H$4 &amp;"|"&amp; $H$8 &amp;"|"&amp; $H$9,'Emission Factor Look Up'!$A$1:$BO$16,$A72,FALSE)*$H$7/2000*$H$10</f>
        <v>0</v>
      </c>
      <c r="I72" s="426">
        <f>VLOOKUP($I$4 &amp;"|"&amp; $I$8 &amp;"|"&amp; $I$9,'Emission Factor Look Up'!$A$1:$BO$16,$A72,FALSE)*$I$7/2000*$I$10</f>
        <v>0</v>
      </c>
      <c r="J72" s="426">
        <f>VLOOKUP($J$4 &amp;"|"&amp; $J$8 &amp;"|"&amp; $J$9,'Emission Factor Look Up'!$A$1:$BO$16,$A72,FALSE)*$J$7/2000*$J$10</f>
        <v>0</v>
      </c>
      <c r="K72" s="426">
        <f>VLOOKUP($K$4 &amp;"|"&amp; $K$8 &amp;"|"&amp; $K$9,'Emission Factor Look Up'!$A$1:$BO$16,$A72,FALSE)*$K$7/2000*$K$10</f>
        <v>0</v>
      </c>
      <c r="L72" s="426">
        <f>VLOOKUP($L$4 &amp;"|"&amp; $L$8 &amp;"|"&amp; $L$9,'Emission Factor Look Up'!$A$1:$BO$16,$A72,FALSE)*$L$7/2000*$L$10</f>
        <v>0</v>
      </c>
      <c r="M72" s="426">
        <f>VLOOKUP($M$4 &amp;"|"&amp; $M$8 &amp;"|"&amp; $M$9,'Emission Factor Look Up'!$A$1:$BO$16,$A72,FALSE)*$M$7/2000*$M$10</f>
        <v>0</v>
      </c>
      <c r="N72" s="426">
        <f>VLOOKUP($N$4 &amp;"|"&amp; $N$8 &amp;"|"&amp; $N$9,'Emission Factor Look Up'!$A$1:$BO$16,$A72,FALSE)*$N$7/2000*$N$10</f>
        <v>0</v>
      </c>
      <c r="O72" s="426">
        <f>VLOOKUP($O$4 &amp;"|"&amp; $O$8 &amp;"|"&amp; $O$9,'Emission Factor Look Up'!$A$1:$BO$16,$A72,FALSE)*$O$7/2000*$O$10</f>
        <v>0</v>
      </c>
      <c r="P72" s="426">
        <f>VLOOKUP($P$4 &amp;"|"&amp; $P$8 &amp;"|"&amp; $P$9,'Emission Factor Look Up'!$A$1:$BO$16,$A72,FALSE)*$P$7/2000*$P$10</f>
        <v>0</v>
      </c>
      <c r="Q72" s="426">
        <f>VLOOKUP($Q$4 &amp;"|"&amp; $Q$8 &amp;"|"&amp; $Q$9,'Emission Factor Look Up'!$A$1:$BO$16,$A72,FALSE)*$Q$7/2000*$Q$10</f>
        <v>0</v>
      </c>
      <c r="R72" s="426">
        <f>VLOOKUP($R$4 &amp;"|"&amp; $R$8 &amp;"|"&amp; $R$9,'Emission Factor Look Up'!$A$1:$BO$16,$A72,FALSE)*$R$7/2000*$R$10</f>
        <v>0</v>
      </c>
      <c r="S72" s="426">
        <f>VLOOKUP($S$4 &amp;"|"&amp; $S$8 &amp;"|"&amp; $S$9,'Emission Factor Look Up'!$A$1:$BO$16,$A72,FALSE)*$S$7/2000*$S$10</f>
        <v>0</v>
      </c>
      <c r="T72" s="426">
        <f>VLOOKUP($T$4 &amp;"|"&amp; $T$8 &amp;"|"&amp; $T$9,'Emission Factor Look Up'!$A$1:$BO$16,$A72,FALSE)*$T$7/2000*$T$10</f>
        <v>0</v>
      </c>
      <c r="U72" s="426">
        <f>VLOOKUP($U$4 &amp;"|"&amp; $U$8 &amp;"|"&amp; $U$9,'Emission Factor Look Up'!$A$1:$BO$16,$A72,FALSE)*$U$7/2000*$U$10</f>
        <v>0</v>
      </c>
      <c r="V72" s="426">
        <f>VLOOKUP($V$4 &amp;"|"&amp; $V$8 &amp;"|"&amp; $V$9,'Emission Factor Look Up'!$A$1:$BO$16,$A72,FALSE)*$V$7/2000*$V$10</f>
        <v>0</v>
      </c>
      <c r="W72" s="426">
        <f>VLOOKUP($W$4 &amp;"|"&amp; $W$8 &amp;"|"&amp; $W$9,'Emission Factor Look Up'!$A$1:$BO$16,$A72,FALSE)*$W$7/2000*$W$10</f>
        <v>0</v>
      </c>
      <c r="X72" s="426">
        <f>VLOOKUP($X$4 &amp;"|"&amp; $X$8 &amp;"|"&amp; $X$9,'Emission Factor Look Up'!$A$1:$BO$16,$A72,FALSE)*$X$7/2000*$X$10</f>
        <v>0</v>
      </c>
      <c r="Y72" s="426">
        <f>VLOOKUP($Y$4 &amp;"|"&amp; $Y$8 &amp;"|"&amp; $Y$9,'Emission Factor Look Up'!$A$1:$BO$16,$A72,FALSE)*$Y$7/2000*$Y$10</f>
        <v>0</v>
      </c>
      <c r="Z72" s="426">
        <f>VLOOKUP($Z$4 &amp;"|"&amp; $Z$8 &amp;"|"&amp; $Z$9,'Emission Factor Look Up'!$A$1:$BO$16,$A72,FALSE)*$Z$7/2000*$Z$10</f>
        <v>0</v>
      </c>
      <c r="AA72" s="426">
        <f>VLOOKUP($AA$4 &amp;"|"&amp; $AA$8 &amp;"|"&amp; $AA$9,'Emission Factor Look Up'!$A$1:$BO$16,$A72,FALSE)*$AA$7/2000*$AA$10</f>
        <v>0</v>
      </c>
      <c r="AB72" s="426">
        <f>VLOOKUP($AB$4 &amp;"|"&amp; $AB$8 &amp;"|"&amp; $AB$9,'Emission Factor Look Up'!$A$1:$BO$16,$A72,FALSE)*$AB$7/2000*$AB$10</f>
        <v>0</v>
      </c>
      <c r="AC72" s="426">
        <f>VLOOKUP($AC$4 &amp;"|"&amp; $AC$8 &amp;"|"&amp; $AC$9,'Emission Factor Look Up'!$A$1:$BO$16,$A72,FALSE)*$AC$7/2000*$AC$10</f>
        <v>0</v>
      </c>
      <c r="AD72" s="427">
        <f t="shared" si="1"/>
        <v>0</v>
      </c>
    </row>
    <row r="73" spans="1:30">
      <c r="A73" s="190">
        <v>64</v>
      </c>
      <c r="B73" s="428" t="str">
        <f>'Emission Factors'!A66</f>
        <v>Vinyl Chloride</v>
      </c>
      <c r="C73" s="426">
        <f>VLOOKUP($C$4 &amp;"|"&amp; $C$8 &amp;"|"&amp; $C$9,'Emission Factor Look Up'!$A$1:$BO$16,$A73,FALSE)*$C$7/2000*$C$10</f>
        <v>0</v>
      </c>
      <c r="D73" s="426">
        <f>VLOOKUP($D$4 &amp;"|"&amp; $D$8 &amp;"|"&amp; $D$9,'Emission Factor Look Up'!$A$1:$BO$16,$A73,FALSE)*$D$7/2000*$D$10</f>
        <v>0</v>
      </c>
      <c r="E73" s="426">
        <f>VLOOKUP($E$4 &amp;"|"&amp; $E$8 &amp;"|"&amp; $E$9,'Emission Factor Look Up'!$A$1:$BO$16,$A73,FALSE)*$E$7/2000*$E$10</f>
        <v>0</v>
      </c>
      <c r="F73" s="426">
        <f>VLOOKUP($F$4 &amp;"|"&amp; $F$8 &amp;"|"&amp; $F$9,'Emission Factor Look Up'!$A$1:$BO$16,$A73,FALSE)*$F$7/2000*$F$10</f>
        <v>0</v>
      </c>
      <c r="G73" s="426">
        <f>VLOOKUP($G$4 &amp;"|"&amp; $G$8 &amp;"|"&amp; $G$9,'Emission Factor Look Up'!$A$1:$BO$16,$A73,FALSE)*$G$7/2000*$G$10</f>
        <v>0</v>
      </c>
      <c r="H73" s="426">
        <f>VLOOKUP($H$4 &amp;"|"&amp; $H$8 &amp;"|"&amp; $H$9,'Emission Factor Look Up'!$A$1:$BO$16,$A73,FALSE)*$H$7/2000*$H$10</f>
        <v>0</v>
      </c>
      <c r="I73" s="426">
        <f>VLOOKUP($I$4 &amp;"|"&amp; $I$8 &amp;"|"&amp; $I$9,'Emission Factor Look Up'!$A$1:$BO$16,$A73,FALSE)*$I$7/2000*$I$10</f>
        <v>0</v>
      </c>
      <c r="J73" s="426">
        <f>VLOOKUP($J$4 &amp;"|"&amp; $J$8 &amp;"|"&amp; $J$9,'Emission Factor Look Up'!$A$1:$BO$16,$A73,FALSE)*$J$7/2000*$J$10</f>
        <v>0</v>
      </c>
      <c r="K73" s="426">
        <f>VLOOKUP($K$4 &amp;"|"&amp; $K$8 &amp;"|"&amp; $K$9,'Emission Factor Look Up'!$A$1:$BO$16,$A73,FALSE)*$K$7/2000*$K$10</f>
        <v>0</v>
      </c>
      <c r="L73" s="426">
        <f>VLOOKUP($L$4 &amp;"|"&amp; $L$8 &amp;"|"&amp; $L$9,'Emission Factor Look Up'!$A$1:$BO$16,$A73,FALSE)*$L$7/2000*$L$10</f>
        <v>0</v>
      </c>
      <c r="M73" s="426">
        <f>VLOOKUP($M$4 &amp;"|"&amp; $M$8 &amp;"|"&amp; $M$9,'Emission Factor Look Up'!$A$1:$BO$16,$A73,FALSE)*$M$7/2000*$M$10</f>
        <v>0</v>
      </c>
      <c r="N73" s="426">
        <f>VLOOKUP($N$4 &amp;"|"&amp; $N$8 &amp;"|"&amp; $N$9,'Emission Factor Look Up'!$A$1:$BO$16,$A73,FALSE)*$N$7/2000*$N$10</f>
        <v>0</v>
      </c>
      <c r="O73" s="426">
        <f>VLOOKUP($O$4 &amp;"|"&amp; $O$8 &amp;"|"&amp; $O$9,'Emission Factor Look Up'!$A$1:$BO$16,$A73,FALSE)*$O$7/2000*$O$10</f>
        <v>0</v>
      </c>
      <c r="P73" s="426">
        <f>VLOOKUP($P$4 &amp;"|"&amp; $P$8 &amp;"|"&amp; $P$9,'Emission Factor Look Up'!$A$1:$BO$16,$A73,FALSE)*$P$7/2000*$P$10</f>
        <v>0</v>
      </c>
      <c r="Q73" s="426">
        <f>VLOOKUP($Q$4 &amp;"|"&amp; $Q$8 &amp;"|"&amp; $Q$9,'Emission Factor Look Up'!$A$1:$BO$16,$A73,FALSE)*$Q$7/2000*$Q$10</f>
        <v>0</v>
      </c>
      <c r="R73" s="426">
        <f>VLOOKUP($R$4 &amp;"|"&amp; $R$8 &amp;"|"&amp; $R$9,'Emission Factor Look Up'!$A$1:$BO$16,$A73,FALSE)*$R$7/2000*$R$10</f>
        <v>0</v>
      </c>
      <c r="S73" s="426">
        <f>VLOOKUP($S$4 &amp;"|"&amp; $S$8 &amp;"|"&amp; $S$9,'Emission Factor Look Up'!$A$1:$BO$16,$A73,FALSE)*$S$7/2000*$S$10</f>
        <v>0</v>
      </c>
      <c r="T73" s="426">
        <f>VLOOKUP($T$4 &amp;"|"&amp; $T$8 &amp;"|"&amp; $T$9,'Emission Factor Look Up'!$A$1:$BO$16,$A73,FALSE)*$T$7/2000*$T$10</f>
        <v>0</v>
      </c>
      <c r="U73" s="426">
        <f>VLOOKUP($U$4 &amp;"|"&amp; $U$8 &amp;"|"&amp; $U$9,'Emission Factor Look Up'!$A$1:$BO$16,$A73,FALSE)*$U$7/2000*$U$10</f>
        <v>0</v>
      </c>
      <c r="V73" s="426">
        <f>VLOOKUP($V$4 &amp;"|"&amp; $V$8 &amp;"|"&amp; $V$9,'Emission Factor Look Up'!$A$1:$BO$16,$A73,FALSE)*$V$7/2000*$V$10</f>
        <v>0</v>
      </c>
      <c r="W73" s="426">
        <f>VLOOKUP($W$4 &amp;"|"&amp; $W$8 &amp;"|"&amp; $W$9,'Emission Factor Look Up'!$A$1:$BO$16,$A73,FALSE)*$W$7/2000*$W$10</f>
        <v>0</v>
      </c>
      <c r="X73" s="426">
        <f>VLOOKUP($X$4 &amp;"|"&amp; $X$8 &amp;"|"&amp; $X$9,'Emission Factor Look Up'!$A$1:$BO$16,$A73,FALSE)*$X$7/2000*$X$10</f>
        <v>0</v>
      </c>
      <c r="Y73" s="426">
        <f>VLOOKUP($Y$4 &amp;"|"&amp; $Y$8 &amp;"|"&amp; $Y$9,'Emission Factor Look Up'!$A$1:$BO$16,$A73,FALSE)*$Y$7/2000*$Y$10</f>
        <v>0</v>
      </c>
      <c r="Z73" s="426">
        <f>VLOOKUP($Z$4 &amp;"|"&amp; $Z$8 &amp;"|"&amp; $Z$9,'Emission Factor Look Up'!$A$1:$BO$16,$A73,FALSE)*$Z$7/2000*$Z$10</f>
        <v>0</v>
      </c>
      <c r="AA73" s="426">
        <f>VLOOKUP($AA$4 &amp;"|"&amp; $AA$8 &amp;"|"&amp; $AA$9,'Emission Factor Look Up'!$A$1:$BO$16,$A73,FALSE)*$AA$7/2000*$AA$10</f>
        <v>0</v>
      </c>
      <c r="AB73" s="426">
        <f>VLOOKUP($AB$4 &amp;"|"&amp; $AB$8 &amp;"|"&amp; $AB$9,'Emission Factor Look Up'!$A$1:$BO$16,$A73,FALSE)*$AB$7/2000*$AB$10</f>
        <v>0</v>
      </c>
      <c r="AC73" s="426">
        <f>VLOOKUP($AC$4 &amp;"|"&amp; $AC$8 &amp;"|"&amp; $AC$9,'Emission Factor Look Up'!$A$1:$BO$16,$A73,FALSE)*$AC$7/2000*$AC$10</f>
        <v>0</v>
      </c>
      <c r="AD73" s="427">
        <f t="shared" si="1"/>
        <v>0</v>
      </c>
    </row>
    <row r="74" spans="1:30">
      <c r="A74" s="190">
        <v>65</v>
      </c>
      <c r="B74" s="428" t="str">
        <f>'Emission Factors'!A67</f>
        <v>Vinylidene Chloride</v>
      </c>
      <c r="C74" s="426">
        <f>VLOOKUP($C$4 &amp;"|"&amp; $C$8 &amp;"|"&amp; $C$9,'Emission Factor Look Up'!$A$1:$BO$16,$A74,FALSE)*$C$7/2000*$C$10</f>
        <v>0</v>
      </c>
      <c r="D74" s="426">
        <f>VLOOKUP($D$4 &amp;"|"&amp; $D$8 &amp;"|"&amp; $D$9,'Emission Factor Look Up'!$A$1:$BO$16,$A74,FALSE)*$D$7/2000*$D$10</f>
        <v>0</v>
      </c>
      <c r="E74" s="426">
        <f>VLOOKUP($E$4 &amp;"|"&amp; $E$8 &amp;"|"&amp; $E$9,'Emission Factor Look Up'!$A$1:$BO$16,$A74,FALSE)*$E$7/2000*$E$10</f>
        <v>0</v>
      </c>
      <c r="F74" s="426">
        <f>VLOOKUP($F$4 &amp;"|"&amp; $F$8 &amp;"|"&amp; $F$9,'Emission Factor Look Up'!$A$1:$BO$16,$A74,FALSE)*$F$7/2000*$F$10</f>
        <v>0</v>
      </c>
      <c r="G74" s="426">
        <f>VLOOKUP($G$4 &amp;"|"&amp; $G$8 &amp;"|"&amp; $G$9,'Emission Factor Look Up'!$A$1:$BO$16,$A74,FALSE)*$G$7/2000*$G$10</f>
        <v>0</v>
      </c>
      <c r="H74" s="426">
        <f>VLOOKUP($H$4 &amp;"|"&amp; $H$8 &amp;"|"&amp; $H$9,'Emission Factor Look Up'!$A$1:$BO$16,$A74,FALSE)*$H$7/2000*$H$10</f>
        <v>0</v>
      </c>
      <c r="I74" s="426">
        <f>VLOOKUP($I$4 &amp;"|"&amp; $I$8 &amp;"|"&amp; $I$9,'Emission Factor Look Up'!$A$1:$BO$16,$A74,FALSE)*$I$7/2000*$I$10</f>
        <v>0</v>
      </c>
      <c r="J74" s="426">
        <f>VLOOKUP($J$4 &amp;"|"&amp; $J$8 &amp;"|"&amp; $J$9,'Emission Factor Look Up'!$A$1:$BO$16,$A74,FALSE)*$J$7/2000*$J$10</f>
        <v>0</v>
      </c>
      <c r="K74" s="426">
        <f>VLOOKUP($K$4 &amp;"|"&amp; $K$8 &amp;"|"&amp; $K$9,'Emission Factor Look Up'!$A$1:$BO$16,$A74,FALSE)*$K$7/2000*$K$10</f>
        <v>0</v>
      </c>
      <c r="L74" s="426">
        <f>VLOOKUP($L$4 &amp;"|"&amp; $L$8 &amp;"|"&amp; $L$9,'Emission Factor Look Up'!$A$1:$BO$16,$A74,FALSE)*$L$7/2000*$L$10</f>
        <v>0</v>
      </c>
      <c r="M74" s="426">
        <f>VLOOKUP($M$4 &amp;"|"&amp; $M$8 &amp;"|"&amp; $M$9,'Emission Factor Look Up'!$A$1:$BO$16,$A74,FALSE)*$M$7/2000*$M$10</f>
        <v>0</v>
      </c>
      <c r="N74" s="426">
        <f>VLOOKUP($N$4 &amp;"|"&amp; $N$8 &amp;"|"&amp; $N$9,'Emission Factor Look Up'!$A$1:$BO$16,$A74,FALSE)*$N$7/2000*$N$10</f>
        <v>0</v>
      </c>
      <c r="O74" s="426">
        <f>VLOOKUP($O$4 &amp;"|"&amp; $O$8 &amp;"|"&amp; $O$9,'Emission Factor Look Up'!$A$1:$BO$16,$A74,FALSE)*$O$7/2000*$O$10</f>
        <v>0</v>
      </c>
      <c r="P74" s="426">
        <f>VLOOKUP($P$4 &amp;"|"&amp; $P$8 &amp;"|"&amp; $P$9,'Emission Factor Look Up'!$A$1:$BO$16,$A74,FALSE)*$P$7/2000*$P$10</f>
        <v>0</v>
      </c>
      <c r="Q74" s="426">
        <f>VLOOKUP($Q$4 &amp;"|"&amp; $Q$8 &amp;"|"&amp; $Q$9,'Emission Factor Look Up'!$A$1:$BO$16,$A74,FALSE)*$Q$7/2000*$Q$10</f>
        <v>0</v>
      </c>
      <c r="R74" s="426">
        <f>VLOOKUP($R$4 &amp;"|"&amp; $R$8 &amp;"|"&amp; $R$9,'Emission Factor Look Up'!$A$1:$BO$16,$A74,FALSE)*$R$7/2000*$R$10</f>
        <v>0</v>
      </c>
      <c r="S74" s="426">
        <f>VLOOKUP($S$4 &amp;"|"&amp; $S$8 &amp;"|"&amp; $S$9,'Emission Factor Look Up'!$A$1:$BO$16,$A74,FALSE)*$S$7/2000*$S$10</f>
        <v>0</v>
      </c>
      <c r="T74" s="426">
        <f>VLOOKUP($T$4 &amp;"|"&amp; $T$8 &amp;"|"&amp; $T$9,'Emission Factor Look Up'!$A$1:$BO$16,$A74,FALSE)*$T$7/2000*$T$10</f>
        <v>0</v>
      </c>
      <c r="U74" s="426">
        <f>VLOOKUP($U$4 &amp;"|"&amp; $U$8 &amp;"|"&amp; $U$9,'Emission Factor Look Up'!$A$1:$BO$16,$A74,FALSE)*$U$7/2000*$U$10</f>
        <v>0</v>
      </c>
      <c r="V74" s="426">
        <f>VLOOKUP($V$4 &amp;"|"&amp; $V$8 &amp;"|"&amp; $V$9,'Emission Factor Look Up'!$A$1:$BO$16,$A74,FALSE)*$V$7/2000*$V$10</f>
        <v>0</v>
      </c>
      <c r="W74" s="426">
        <f>VLOOKUP($W$4 &amp;"|"&amp; $W$8 &amp;"|"&amp; $W$9,'Emission Factor Look Up'!$A$1:$BO$16,$A74,FALSE)*$W$7/2000*$W$10</f>
        <v>0</v>
      </c>
      <c r="X74" s="426">
        <f>VLOOKUP($X$4 &amp;"|"&amp; $X$8 &amp;"|"&amp; $X$9,'Emission Factor Look Up'!$A$1:$BO$16,$A74,FALSE)*$X$7/2000*$X$10</f>
        <v>0</v>
      </c>
      <c r="Y74" s="426">
        <f>VLOOKUP($Y$4 &amp;"|"&amp; $Y$8 &amp;"|"&amp; $Y$9,'Emission Factor Look Up'!$A$1:$BO$16,$A74,FALSE)*$Y$7/2000*$Y$10</f>
        <v>0</v>
      </c>
      <c r="Z74" s="426">
        <f>VLOOKUP($Z$4 &amp;"|"&amp; $Z$8 &amp;"|"&amp; $Z$9,'Emission Factor Look Up'!$A$1:$BO$16,$A74,FALSE)*$Z$7/2000*$Z$10</f>
        <v>0</v>
      </c>
      <c r="AA74" s="426">
        <f>VLOOKUP($AA$4 &amp;"|"&amp; $AA$8 &amp;"|"&amp; $AA$9,'Emission Factor Look Up'!$A$1:$BO$16,$A74,FALSE)*$AA$7/2000*$AA$10</f>
        <v>0</v>
      </c>
      <c r="AB74" s="426">
        <f>VLOOKUP($AB$4 &amp;"|"&amp; $AB$8 &amp;"|"&amp; $AB$9,'Emission Factor Look Up'!$A$1:$BO$16,$A74,FALSE)*$AB$7/2000*$AB$10</f>
        <v>0</v>
      </c>
      <c r="AC74" s="426">
        <f>VLOOKUP($AC$4 &amp;"|"&amp; $AC$8 &amp;"|"&amp; $AC$9,'Emission Factor Look Up'!$A$1:$BO$16,$A74,FALSE)*$AC$7/2000*$AC$10</f>
        <v>0</v>
      </c>
      <c r="AD74" s="427">
        <f t="shared" si="1"/>
        <v>0</v>
      </c>
    </row>
    <row r="75" spans="1:30">
      <c r="A75" s="190">
        <v>66</v>
      </c>
      <c r="B75" s="428" t="str">
        <f>'Emission Factors'!A68</f>
        <v>Xylenes(m,p,o)</v>
      </c>
      <c r="C75" s="426">
        <f>VLOOKUP($C$4 &amp;"|"&amp; $C$8 &amp;"|"&amp; $C$9,'Emission Factor Look Up'!$A$1:$BO$16,$A75,FALSE)*$C$7/2000*$C$10</f>
        <v>0.31199615999999997</v>
      </c>
      <c r="D75" s="426">
        <f>VLOOKUP($D$4 &amp;"|"&amp; $D$8 &amp;"|"&amp; $D$9,'Emission Factor Look Up'!$A$1:$BO$16,$A75,FALSE)*$D$7/2000*$D$10</f>
        <v>0.31199615999999997</v>
      </c>
      <c r="E75" s="426">
        <f>VLOOKUP($E$4 &amp;"|"&amp; $E$8 &amp;"|"&amp; $E$9,'Emission Factor Look Up'!$A$1:$BO$16,$A75,FALSE)*$E$7/2000*$E$10</f>
        <v>0.31199615999999997</v>
      </c>
      <c r="F75" s="426">
        <f>VLOOKUP($F$4 &amp;"|"&amp; $F$8 &amp;"|"&amp; $F$9,'Emission Factor Look Up'!$A$1:$BO$16,$A75,FALSE)*$F$7/2000*$F$10</f>
        <v>0.31199615999999997</v>
      </c>
      <c r="G75" s="426">
        <f>VLOOKUP($G$4 &amp;"|"&amp; $G$8 &amp;"|"&amp; $G$9,'Emission Factor Look Up'!$A$1:$BO$16,$A75,FALSE)*$G$7/2000*$G$10</f>
        <v>0.31199615999999997</v>
      </c>
      <c r="H75" s="426">
        <f>VLOOKUP($H$4 &amp;"|"&amp; $H$8 &amp;"|"&amp; $H$9,'Emission Factor Look Up'!$A$1:$BO$16,$A75,FALSE)*$H$7/2000*$H$10</f>
        <v>0.31199615999999997</v>
      </c>
      <c r="I75" s="426">
        <f>VLOOKUP($I$4 &amp;"|"&amp; $I$8 &amp;"|"&amp; $I$9,'Emission Factor Look Up'!$A$1:$BO$16,$A75,FALSE)*$I$7/2000*$I$10</f>
        <v>0.10764288</v>
      </c>
      <c r="J75" s="426">
        <f>VLOOKUP($J$4 &amp;"|"&amp; $J$8 &amp;"|"&amp; $J$9,'Emission Factor Look Up'!$A$1:$BO$16,$A75,FALSE)*$J$7/2000*$J$10</f>
        <v>0.10764288</v>
      </c>
      <c r="K75" s="426">
        <f>VLOOKUP($K$4 &amp;"|"&amp; $K$8 &amp;"|"&amp; $K$9,'Emission Factor Look Up'!$A$1:$BO$16,$A75,FALSE)*$K$7/2000*$K$10</f>
        <v>0.10764288</v>
      </c>
      <c r="L75" s="426">
        <f>VLOOKUP($L$4 &amp;"|"&amp; $L$8 &amp;"|"&amp; $L$9,'Emission Factor Look Up'!$A$1:$BO$16,$A75,FALSE)*$L$7/2000*$L$10</f>
        <v>0.10764288</v>
      </c>
      <c r="M75" s="426">
        <f>VLOOKUP($M$4 &amp;"|"&amp; $M$8 &amp;"|"&amp; $M$9,'Emission Factor Look Up'!$A$1:$BO$16,$A75,FALSE)*$M$7/2000*$M$10</f>
        <v>1.4962499999999999E-4</v>
      </c>
      <c r="N75" s="426">
        <f>VLOOKUP($N$4 &amp;"|"&amp; $N$8 &amp;"|"&amp; $N$9,'Emission Factor Look Up'!$A$1:$BO$16,$A75,FALSE)*$N$7/2000*$N$10</f>
        <v>2.8678125000000004E-4</v>
      </c>
      <c r="O75" s="426">
        <f>VLOOKUP($O$4 &amp;"|"&amp; $O$8 &amp;"|"&amp; $O$9,'Emission Factor Look Up'!$A$1:$BO$16,$A75,FALSE)*$O$7/2000*$O$10</f>
        <v>8.9038529411764706E-4</v>
      </c>
      <c r="P75" s="426">
        <f>VLOOKUP($P$4 &amp;"|"&amp; $P$8 &amp;"|"&amp; $P$9,'Emission Factor Look Up'!$A$1:$BO$16,$A75,FALSE)*$P$7/2000*$P$10</f>
        <v>8.9038529411764706E-4</v>
      </c>
      <c r="Q75" s="426">
        <f>VLOOKUP($Q$4 &amp;"|"&amp; $Q$8 &amp;"|"&amp; $Q$9,'Emission Factor Look Up'!$A$1:$BO$16,$A75,FALSE)*$Q$7/2000*$Q$10</f>
        <v>0</v>
      </c>
      <c r="R75" s="426">
        <f>VLOOKUP($R$4 &amp;"|"&amp; $R$8 &amp;"|"&amp; $R$9,'Emission Factor Look Up'!$A$1:$BO$16,$A75,FALSE)*$R$7/2000*$R$10</f>
        <v>2.8019117647058825E-4</v>
      </c>
      <c r="S75" s="426">
        <f>VLOOKUP($S$4 &amp;"|"&amp; $S$8 &amp;"|"&amp; $S$9,'Emission Factor Look Up'!$A$1:$BO$16,$A75,FALSE)*$S$7/2000*$S$10</f>
        <v>2.8019117647058825E-4</v>
      </c>
      <c r="T75" s="426">
        <f>VLOOKUP($T$4 &amp;"|"&amp; $T$8 &amp;"|"&amp; $T$9,'Emission Factor Look Up'!$A$1:$BO$16,$A75,FALSE)*$T$7/2000*$T$10</f>
        <v>0</v>
      </c>
      <c r="U75" s="426">
        <f>VLOOKUP($U$4 &amp;"|"&amp; $U$8 &amp;"|"&amp; $U$9,'Emission Factor Look Up'!$A$1:$BO$16,$A75,FALSE)*$U$7/2000*$U$10</f>
        <v>0.42641372549019607</v>
      </c>
      <c r="V75" s="426">
        <f>VLOOKUP($V$4 &amp;"|"&amp; $V$8 &amp;"|"&amp; $V$9,'Emission Factor Look Up'!$A$1:$BO$16,$A75,FALSE)*$V$7/2000*$V$10</f>
        <v>0.42641372549019607</v>
      </c>
      <c r="W75" s="426">
        <f>VLOOKUP($W$4 &amp;"|"&amp; $W$8 &amp;"|"&amp; $W$9,'Emission Factor Look Up'!$A$1:$BO$16,$A75,FALSE)*$W$7/2000*$W$10</f>
        <v>0</v>
      </c>
      <c r="X75" s="426">
        <f>VLOOKUP($X$4 &amp;"|"&amp; $X$8 &amp;"|"&amp; $X$9,'Emission Factor Look Up'!$A$1:$BO$16,$A75,FALSE)*$X$7/2000*$X$10</f>
        <v>9.9651960784313723E-2</v>
      </c>
      <c r="Y75" s="426">
        <f>VLOOKUP($Y$4 &amp;"|"&amp; $Y$8 &amp;"|"&amp; $Y$9,'Emission Factor Look Up'!$A$1:$BO$16,$A75,FALSE)*$Y$7/2000*$Y$10</f>
        <v>9.9651960784313723E-2</v>
      </c>
      <c r="Z75" s="426">
        <f>VLOOKUP($Z$4 &amp;"|"&amp; $Z$8 &amp;"|"&amp; $Z$9,'Emission Factor Look Up'!$A$1:$BO$16,$A75,FALSE)*$Z$7/2000*$Z$10</f>
        <v>0</v>
      </c>
      <c r="AA75" s="426">
        <f>VLOOKUP($AA$4 &amp;"|"&amp; $AA$8 &amp;"|"&amp; $AA$9,'Emission Factor Look Up'!$A$1:$BO$16,$A75,FALSE)*$AA$7/2000*$AA$10</f>
        <v>1.3075588235294119E-3</v>
      </c>
      <c r="AB75" s="426">
        <f>VLOOKUP($AB$4 &amp;"|"&amp; $AB$8 &amp;"|"&amp; $AB$9,'Emission Factor Look Up'!$A$1:$BO$16,$A75,FALSE)*$AB$7/2000*$AB$10</f>
        <v>2.0419411764705884E-3</v>
      </c>
      <c r="AC75" s="426">
        <f>VLOOKUP($AC$4 &amp;"|"&amp; $AC$8 &amp;"|"&amp; $AC$9,'Emission Factor Look Up'!$A$1:$BO$16,$A75,FALSE)*$AC$7/2000*$AC$10</f>
        <v>0</v>
      </c>
      <c r="AD75" s="427">
        <f t="shared" ref="AD75:AD77" si="2">SUM(C75:AC75)</f>
        <v>3.3608069117401964</v>
      </c>
    </row>
    <row r="76" spans="1:30">
      <c r="A76" s="190">
        <v>67</v>
      </c>
      <c r="B76" s="428" t="str">
        <f>'Emission Factors'!A69</f>
        <v>CDD/CDF</v>
      </c>
      <c r="C76" s="426">
        <f>VLOOKUP($C$4 &amp;"|"&amp; $C$8 &amp;"|"&amp; $C$9,'Emission Factor Look Up'!$A$1:$BO$16,$A76,FALSE)*$C$7/2000*$C$10</f>
        <v>0</v>
      </c>
      <c r="D76" s="426">
        <f>VLOOKUP($D$4 &amp;"|"&amp; $D$8 &amp;"|"&amp; $D$9,'Emission Factor Look Up'!$A$1:$BO$16,$A76,FALSE)*$D$7/2000*$D$10</f>
        <v>0</v>
      </c>
      <c r="E76" s="426">
        <f>VLOOKUP($E$4 &amp;"|"&amp; $E$8 &amp;"|"&amp; $E$9,'Emission Factor Look Up'!$A$1:$BO$16,$A76,FALSE)*$E$7/2000*$E$10</f>
        <v>0</v>
      </c>
      <c r="F76" s="426">
        <f>VLOOKUP($F$4 &amp;"|"&amp; $F$8 &amp;"|"&amp; $F$9,'Emission Factor Look Up'!$A$1:$BO$16,$A76,FALSE)*$F$7/2000*$F$10</f>
        <v>0</v>
      </c>
      <c r="G76" s="426">
        <f>VLOOKUP($G$4 &amp;"|"&amp; $G$8 &amp;"|"&amp; $G$9,'Emission Factor Look Up'!$A$1:$BO$16,$A76,FALSE)*$G$7/2000*$G$10</f>
        <v>0</v>
      </c>
      <c r="H76" s="426">
        <f>VLOOKUP($H$4 &amp;"|"&amp; $H$8 &amp;"|"&amp; $H$9,'Emission Factor Look Up'!$A$1:$BO$16,$A76,FALSE)*$H$7/2000*$H$10</f>
        <v>0</v>
      </c>
      <c r="I76" s="426">
        <f>VLOOKUP($I$4 &amp;"|"&amp; $I$8 &amp;"|"&amp; $I$9,'Emission Factor Look Up'!$A$1:$BO$16,$A76,FALSE)*$I$7/2000*$I$10</f>
        <v>0</v>
      </c>
      <c r="J76" s="426">
        <f>VLOOKUP($J$4 &amp;"|"&amp; $J$8 &amp;"|"&amp; $J$9,'Emission Factor Look Up'!$A$1:$BO$16,$A76,FALSE)*$J$7/2000*$J$10</f>
        <v>0</v>
      </c>
      <c r="K76" s="426">
        <f>VLOOKUP($K$4 &amp;"|"&amp; $K$8 &amp;"|"&amp; $K$9,'Emission Factor Look Up'!$A$1:$BO$16,$A76,FALSE)*$K$7/2000*$K$10</f>
        <v>0</v>
      </c>
      <c r="L76" s="426">
        <f>VLOOKUP($L$4 &amp;"|"&amp; $L$8 &amp;"|"&amp; $L$9,'Emission Factor Look Up'!$A$1:$BO$16,$A76,FALSE)*$L$7/2000*$L$10</f>
        <v>0</v>
      </c>
      <c r="M76" s="426">
        <f>VLOOKUP($M$4 &amp;"|"&amp; $M$8 &amp;"|"&amp; $M$9,'Emission Factor Look Up'!$A$1:$BO$16,$A76,FALSE)*$M$7/2000*$M$10</f>
        <v>0</v>
      </c>
      <c r="N76" s="426">
        <f>VLOOKUP($N$4 &amp;"|"&amp; $N$8 &amp;"|"&amp; $N$9,'Emission Factor Look Up'!$A$1:$BO$16,$A76,FALSE)*$N$7/2000*$N$10</f>
        <v>0</v>
      </c>
      <c r="O76" s="426">
        <f>VLOOKUP($O$4 &amp;"|"&amp; $O$8 &amp;"|"&amp; $O$9,'Emission Factor Look Up'!$A$1:$BO$16,$A76,FALSE)*$O$7/2000*$O$10</f>
        <v>0</v>
      </c>
      <c r="P76" s="426">
        <f>VLOOKUP($P$4 &amp;"|"&amp; $P$8 &amp;"|"&amp; $P$9,'Emission Factor Look Up'!$A$1:$BO$16,$A76,FALSE)*$P$7/2000*$P$10</f>
        <v>0</v>
      </c>
      <c r="Q76" s="426">
        <f>VLOOKUP($Q$4 &amp;"|"&amp; $Q$8 &amp;"|"&amp; $Q$9,'Emission Factor Look Up'!$A$1:$BO$16,$A76,FALSE)*$Q$7/2000*$Q$10</f>
        <v>0</v>
      </c>
      <c r="R76" s="426">
        <f>VLOOKUP($R$4 &amp;"|"&amp; $R$8 &amp;"|"&amp; $R$9,'Emission Factor Look Up'!$A$1:$BO$16,$A76,FALSE)*$R$7/2000*$R$10</f>
        <v>0</v>
      </c>
      <c r="S76" s="426">
        <f>VLOOKUP($S$4 &amp;"|"&amp; $S$8 &amp;"|"&amp; $S$9,'Emission Factor Look Up'!$A$1:$BO$16,$A76,FALSE)*$S$7/2000*$S$10</f>
        <v>0</v>
      </c>
      <c r="T76" s="426">
        <f>VLOOKUP($T$4 &amp;"|"&amp; $T$8 &amp;"|"&amp; $T$9,'Emission Factor Look Up'!$A$1:$BO$16,$A76,FALSE)*$T$7/2000*$T$10</f>
        <v>0</v>
      </c>
      <c r="U76" s="426">
        <f>VLOOKUP($U$4 &amp;"|"&amp; $U$8 &amp;"|"&amp; $U$9,'Emission Factor Look Up'!$A$1:$BO$16,$A76,FALSE)*$U$7/2000*$U$10</f>
        <v>0</v>
      </c>
      <c r="V76" s="426">
        <f>VLOOKUP($V$4 &amp;"|"&amp; $V$8 &amp;"|"&amp; $V$9,'Emission Factor Look Up'!$A$1:$BO$16,$A76,FALSE)*$V$7/2000*$V$10</f>
        <v>0</v>
      </c>
      <c r="W76" s="426">
        <f>VLOOKUP($W$4 &amp;"|"&amp; $W$8 &amp;"|"&amp; $W$9,'Emission Factor Look Up'!$A$1:$BO$16,$A76,FALSE)*$W$7/2000*$W$10</f>
        <v>0</v>
      </c>
      <c r="X76" s="426">
        <f>VLOOKUP($X$4 &amp;"|"&amp; $X$8 &amp;"|"&amp; $X$9,'Emission Factor Look Up'!$A$1:$BO$16,$A76,FALSE)*$X$7/2000*$X$10</f>
        <v>0</v>
      </c>
      <c r="Y76" s="426">
        <f>VLOOKUP($Y$4 &amp;"|"&amp; $Y$8 &amp;"|"&amp; $Y$9,'Emission Factor Look Up'!$A$1:$BO$16,$A76,FALSE)*$Y$7/2000*$Y$10</f>
        <v>0</v>
      </c>
      <c r="Z76" s="426">
        <f>VLOOKUP($Z$4 &amp;"|"&amp; $Z$8 &amp;"|"&amp; $Z$9,'Emission Factor Look Up'!$A$1:$BO$16,$A76,FALSE)*$Z$7/2000*$Z$10</f>
        <v>0</v>
      </c>
      <c r="AA76" s="426">
        <f>VLOOKUP($AA$4 &amp;"|"&amp; $AA$8 &amp;"|"&amp; $AA$9,'Emission Factor Look Up'!$A$1:$BO$16,$A76,FALSE)*$AA$7/2000*$AA$10</f>
        <v>0</v>
      </c>
      <c r="AB76" s="426">
        <f>VLOOKUP($AB$4 &amp;"|"&amp; $AB$8 &amp;"|"&amp; $AB$9,'Emission Factor Look Up'!$A$1:$BO$16,$A76,FALSE)*$AB$7/2000*$AB$10</f>
        <v>0</v>
      </c>
      <c r="AC76" s="426">
        <f>VLOOKUP($AC$4 &amp;"|"&amp; $AC$8 &amp;"|"&amp; $AC$9,'Emission Factor Look Up'!$A$1:$BO$16,$A76,FALSE)*$AC$7/2000*$AC$10</f>
        <v>0</v>
      </c>
      <c r="AD76" s="427">
        <f t="shared" si="2"/>
        <v>0</v>
      </c>
    </row>
    <row r="77" spans="1:30">
      <c r="B77" s="430" t="s">
        <v>763</v>
      </c>
      <c r="C77" s="431">
        <f>SUM(C11:C46,C66:C76)</f>
        <v>5.0081721102000003</v>
      </c>
      <c r="D77" s="431">
        <f t="shared" ref="D77:AC77" si="3">SUM(D11:D46,D66:D76)</f>
        <v>5.0081721102000003</v>
      </c>
      <c r="E77" s="431">
        <f t="shared" si="3"/>
        <v>5.0081721102000003</v>
      </c>
      <c r="F77" s="431">
        <f t="shared" si="3"/>
        <v>5.0081721102000003</v>
      </c>
      <c r="G77" s="431">
        <f t="shared" si="3"/>
        <v>5.0081721102000003</v>
      </c>
      <c r="H77" s="431">
        <f t="shared" si="3"/>
        <v>5.0081721102000003</v>
      </c>
      <c r="I77" s="431">
        <f t="shared" si="3"/>
        <v>1.7278868735999999</v>
      </c>
      <c r="J77" s="431">
        <f t="shared" si="3"/>
        <v>1.7278868735999999</v>
      </c>
      <c r="K77" s="431">
        <f t="shared" si="3"/>
        <v>1.7278868735999999</v>
      </c>
      <c r="L77" s="431">
        <f t="shared" si="3"/>
        <v>1.7278868735999999</v>
      </c>
      <c r="M77" s="431">
        <f t="shared" si="3"/>
        <v>2.1219776025000001E-3</v>
      </c>
      <c r="N77" s="431">
        <f t="shared" si="3"/>
        <v>4.0671237381250001E-3</v>
      </c>
      <c r="O77" s="431">
        <f t="shared" si="3"/>
        <v>9.072752228662051E-2</v>
      </c>
      <c r="P77" s="431">
        <f t="shared" si="3"/>
        <v>9.072752228662051E-2</v>
      </c>
      <c r="Q77" s="431">
        <f t="shared" si="3"/>
        <v>0</v>
      </c>
      <c r="R77" s="431">
        <f t="shared" si="3"/>
        <v>2.8550618901384082E-2</v>
      </c>
      <c r="S77" s="431">
        <f t="shared" si="3"/>
        <v>2.8550618901384082E-2</v>
      </c>
      <c r="T77" s="431">
        <f t="shared" si="3"/>
        <v>0</v>
      </c>
      <c r="U77" s="431">
        <f t="shared" si="3"/>
        <v>43.450246806997313</v>
      </c>
      <c r="V77" s="431">
        <f t="shared" si="3"/>
        <v>43.450246806997313</v>
      </c>
      <c r="W77" s="431">
        <f t="shared" si="3"/>
        <v>0</v>
      </c>
      <c r="X77" s="431">
        <f t="shared" si="3"/>
        <v>10.154228234332949</v>
      </c>
      <c r="Y77" s="431">
        <f t="shared" si="3"/>
        <v>10.154228234332949</v>
      </c>
      <c r="Z77" s="431">
        <f t="shared" si="3"/>
        <v>0</v>
      </c>
      <c r="AA77" s="431">
        <f t="shared" si="3"/>
        <v>0.13323622153979245</v>
      </c>
      <c r="AB77" s="431">
        <f t="shared" si="3"/>
        <v>0.20806752404844292</v>
      </c>
      <c r="AC77" s="431">
        <f t="shared" si="3"/>
        <v>4.8562209417119993E-2</v>
      </c>
      <c r="AD77" s="427">
        <f t="shared" si="2"/>
        <v>144.80414157698252</v>
      </c>
    </row>
    <row r="78" spans="1:30" ht="13.5" thickBot="1">
      <c r="B78" s="432"/>
      <c r="C78" s="433"/>
      <c r="D78" s="433"/>
      <c r="E78" s="434"/>
      <c r="F78" s="433"/>
      <c r="G78" s="433"/>
      <c r="H78" s="433"/>
      <c r="I78" s="433"/>
      <c r="J78" s="434"/>
      <c r="O78" s="435"/>
      <c r="P78" s="435"/>
      <c r="Q78" s="435"/>
      <c r="R78" s="435"/>
      <c r="S78" s="435"/>
      <c r="T78" s="435"/>
      <c r="V78" s="436"/>
      <c r="W78" s="436"/>
      <c r="X78" s="436"/>
      <c r="Y78" s="436"/>
      <c r="Z78" s="436"/>
      <c r="AA78" s="436"/>
      <c r="AB78" s="437"/>
      <c r="AC78" s="438"/>
      <c r="AD78" s="437"/>
    </row>
    <row r="79" spans="1:30" ht="13.5" thickBot="1">
      <c r="D79" s="301" t="s">
        <v>764</v>
      </c>
      <c r="E79" s="439">
        <f>SUM(C77:AC77)</f>
        <v>144.80414157698252</v>
      </c>
      <c r="F79" s="300"/>
      <c r="I79" s="260"/>
      <c r="K79" s="182"/>
      <c r="N79" s="260"/>
      <c r="U79" s="435"/>
      <c r="AD79" s="440"/>
    </row>
    <row r="80" spans="1:30">
      <c r="D80" s="301" t="s">
        <v>765</v>
      </c>
      <c r="E80" s="441">
        <f>SUMIF($C$4:$AC$4,"CT",$C$77:$AC$77)</f>
        <v>36.960580155599999</v>
      </c>
      <c r="F80" s="441"/>
      <c r="G80" s="441"/>
      <c r="H80" s="441"/>
      <c r="I80" s="441"/>
      <c r="J80" s="441"/>
      <c r="K80" s="441"/>
      <c r="L80" s="441"/>
      <c r="N80" s="260"/>
      <c r="Y80" s="435"/>
    </row>
    <row r="81" spans="4:25">
      <c r="D81" s="301" t="s">
        <v>766</v>
      </c>
      <c r="E81" s="441">
        <f>SUMIF($C$4:$AC$4,"Heater",$C$77:$AC$77)</f>
        <v>4.8562209417119993E-2</v>
      </c>
      <c r="F81" s="441"/>
      <c r="G81" s="441"/>
      <c r="H81" s="441"/>
      <c r="I81" s="441"/>
      <c r="J81" s="441"/>
      <c r="K81" s="441"/>
      <c r="L81" s="441"/>
      <c r="N81" s="260"/>
      <c r="Y81" s="435"/>
    </row>
    <row r="82" spans="4:25">
      <c r="D82" s="301" t="s">
        <v>767</v>
      </c>
      <c r="E82" s="441">
        <f>SUMIF($C$4:$AC$4,"ICE",$C$77:$AC$77)</f>
        <v>6.1891013406250002E-3</v>
      </c>
      <c r="F82" s="441"/>
      <c r="G82" s="441"/>
      <c r="H82" s="441"/>
      <c r="I82" s="441"/>
      <c r="J82" s="441"/>
      <c r="K82" s="441"/>
      <c r="L82" s="441"/>
      <c r="N82" s="260"/>
      <c r="Y82" s="435"/>
    </row>
    <row r="83" spans="4:25">
      <c r="D83" s="301" t="s">
        <v>768</v>
      </c>
      <c r="E83" s="441">
        <f>SUMIF($C$4:$AC$4,"CT",$C$77:$AC$77)</f>
        <v>36.960580155599999</v>
      </c>
      <c r="F83" s="441"/>
      <c r="G83" s="441"/>
      <c r="H83" s="441"/>
      <c r="I83" s="441"/>
      <c r="J83" s="441"/>
      <c r="K83" s="441"/>
      <c r="L83" s="441"/>
      <c r="N83" s="260"/>
      <c r="Y83" s="435"/>
    </row>
    <row r="84" spans="4:25">
      <c r="D84" s="301" t="s">
        <v>769</v>
      </c>
      <c r="E84" s="441">
        <f>SUMIF($C$4:$AC$4,"Flare",$C$77:$AC$77)</f>
        <v>107.78881011062477</v>
      </c>
      <c r="F84" s="442"/>
      <c r="G84" s="442"/>
      <c r="H84" s="442"/>
      <c r="I84" s="442"/>
      <c r="J84" s="442"/>
      <c r="K84" s="442"/>
      <c r="L84" s="442"/>
      <c r="N84" s="260"/>
      <c r="R84" s="435"/>
      <c r="Y84" s="435"/>
    </row>
    <row r="85" spans="4:25">
      <c r="D85" s="301" t="s">
        <v>770</v>
      </c>
      <c r="E85" s="441">
        <f>SUMIF($C$4:$AC$4,"Incinerator",$C$77:$AC$77)</f>
        <v>0</v>
      </c>
      <c r="F85" s="442"/>
      <c r="G85" s="442"/>
      <c r="H85" s="442"/>
      <c r="I85" s="442"/>
      <c r="J85" s="442"/>
      <c r="K85" s="442"/>
      <c r="L85" s="442"/>
      <c r="N85" s="260"/>
      <c r="R85" s="435"/>
      <c r="Y85" s="435"/>
    </row>
    <row r="86" spans="4:25">
      <c r="D86" s="301" t="s">
        <v>771</v>
      </c>
      <c r="E86" s="441">
        <f>SUMIF($C$4:$AC$4,"Burner",$C$77:$AC$77)</f>
        <v>0</v>
      </c>
      <c r="F86" s="300"/>
      <c r="G86" s="443"/>
      <c r="H86" s="443"/>
      <c r="I86" s="443"/>
      <c r="J86" s="443"/>
      <c r="K86" s="443"/>
      <c r="L86" s="443"/>
      <c r="N86" s="260"/>
      <c r="P86" s="435"/>
    </row>
    <row r="87" spans="4:25">
      <c r="D87" s="301" t="s">
        <v>772</v>
      </c>
      <c r="E87" s="441">
        <f>SUMIF($C$4:$AC$4,"Tank",$C$77:$AC$77)</f>
        <v>0</v>
      </c>
    </row>
    <row r="88" spans="4:25">
      <c r="D88" s="301" t="s">
        <v>773</v>
      </c>
      <c r="E88" s="441">
        <f>SUMIF($C$4:$AC$4,"Fugitive",$C$77:$AC$77)</f>
        <v>0</v>
      </c>
    </row>
  </sheetData>
  <mergeCells count="1">
    <mergeCell ref="AD1:AD10"/>
  </mergeCells>
  <conditionalFormatting sqref="AD77 E79">
    <cfRule type="cellIs" dxfId="1" priority="2" stopIfTrue="1" operator="greaterThanOrEqual">
      <formula>25</formula>
    </cfRule>
  </conditionalFormatting>
  <conditionalFormatting sqref="AD11:AD77">
    <cfRule type="cellIs" dxfId="0" priority="1" stopIfTrue="1" operator="greaterThanOrEqual">
      <formula>10</formula>
    </cfRule>
  </conditionalFormatting>
  <printOptions gridLines="1"/>
  <pageMargins left="1" right="0.25" top="0.85" bottom="0.85" header="0.5" footer="0.4"/>
  <pageSetup paperSize="3" scale="54" firstPageNumber="17" fitToWidth="2" pageOrder="overThenDown" orientation="landscape" useFirstPageNumber="1" r:id="rId1"/>
  <headerFooter alignWithMargins="0">
    <oddHeader>&amp;L&amp;"Arial,Bold"&amp;22Table 4-4   Alpine HAP Emissions Estimates</oddHeader>
    <oddFooter xml:space="preserve">&amp;L&amp;12ConocoPhillips Alaska, Inc.
Operating Permit Renewal Application
Alpine Central Processing Facility
Permit No. AQ0489TVP01&amp;C&amp;20 4-&amp;P
&amp;R&amp;12March 2008
</oddFooter>
  </headerFooter>
  <colBreaks count="1" manualBreakCount="1">
    <brk id="24" max="9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78"/>
  <sheetViews>
    <sheetView topLeftCell="A16" workbookViewId="0">
      <selection activeCell="C11" sqref="C11"/>
    </sheetView>
  </sheetViews>
  <sheetFormatPr defaultRowHeight="15"/>
  <cols>
    <col min="1" max="1" width="35.85546875" bestFit="1" customWidth="1"/>
    <col min="3" max="3" width="16" bestFit="1" customWidth="1"/>
    <col min="5" max="5" width="16" bestFit="1" customWidth="1"/>
    <col min="7" max="7" width="16" bestFit="1" customWidth="1"/>
    <col min="9" max="9" width="10.28515625" bestFit="1" customWidth="1"/>
    <col min="11" max="11" width="10.28515625" bestFit="1" customWidth="1"/>
    <col min="13" max="13" width="10.28515625" bestFit="1" customWidth="1"/>
    <col min="15" max="15" width="10.28515625" bestFit="1" customWidth="1"/>
  </cols>
  <sheetData>
    <row r="1" spans="1:15">
      <c r="B1" s="684" t="s">
        <v>976</v>
      </c>
      <c r="C1" s="684"/>
      <c r="D1" s="684" t="s">
        <v>976</v>
      </c>
      <c r="E1" s="684"/>
      <c r="F1" s="684" t="s">
        <v>318</v>
      </c>
      <c r="G1" s="684"/>
    </row>
    <row r="2" spans="1:15" ht="65.25" customHeight="1">
      <c r="B2" s="685" t="s">
        <v>982</v>
      </c>
      <c r="C2" s="686"/>
      <c r="D2" s="685" t="s">
        <v>983</v>
      </c>
      <c r="E2" s="686"/>
      <c r="F2" s="685" t="s">
        <v>983</v>
      </c>
      <c r="G2" s="686"/>
      <c r="H2" s="685" t="s">
        <v>125</v>
      </c>
      <c r="I2" s="686"/>
      <c r="J2" s="685" t="s">
        <v>984</v>
      </c>
      <c r="K2" s="686"/>
      <c r="L2" s="685" t="s">
        <v>329</v>
      </c>
      <c r="M2" s="686"/>
      <c r="N2" s="685" t="s">
        <v>369</v>
      </c>
      <c r="O2" s="686"/>
    </row>
    <row r="3" spans="1:15" ht="25.5">
      <c r="A3" s="537" t="s">
        <v>975</v>
      </c>
      <c r="B3" s="535" t="s">
        <v>973</v>
      </c>
      <c r="C3" s="286" t="s">
        <v>974</v>
      </c>
      <c r="D3" s="286" t="s">
        <v>973</v>
      </c>
      <c r="E3" s="286" t="s">
        <v>974</v>
      </c>
      <c r="F3" s="286" t="s">
        <v>973</v>
      </c>
      <c r="G3" s="286" t="s">
        <v>974</v>
      </c>
      <c r="H3" s="286" t="s">
        <v>973</v>
      </c>
      <c r="I3" s="286" t="s">
        <v>974</v>
      </c>
      <c r="J3" s="286" t="s">
        <v>973</v>
      </c>
      <c r="K3" s="286" t="s">
        <v>974</v>
      </c>
      <c r="L3" s="286" t="s">
        <v>973</v>
      </c>
      <c r="M3" s="286" t="s">
        <v>974</v>
      </c>
      <c r="N3" s="286" t="s">
        <v>973</v>
      </c>
      <c r="O3" s="286" t="s">
        <v>974</v>
      </c>
    </row>
    <row r="4" spans="1:15">
      <c r="A4" s="536" t="s">
        <v>298</v>
      </c>
      <c r="B4" s="21">
        <v>9</v>
      </c>
      <c r="C4" s="523" t="s">
        <v>977</v>
      </c>
      <c r="D4" s="21">
        <v>9</v>
      </c>
      <c r="E4" s="523" t="s">
        <v>977</v>
      </c>
      <c r="F4" s="21">
        <v>9</v>
      </c>
      <c r="G4" s="523" t="s">
        <v>977</v>
      </c>
      <c r="H4" s="50">
        <f>0.29828*1.25</f>
        <v>0.37285000000000001</v>
      </c>
      <c r="I4" s="523" t="s">
        <v>980</v>
      </c>
      <c r="J4" s="21">
        <f>2.85*1.25</f>
        <v>3.5625</v>
      </c>
      <c r="K4" s="523" t="s">
        <v>980</v>
      </c>
      <c r="L4" s="50">
        <v>6.8000000000000005E-2</v>
      </c>
      <c r="M4" s="523" t="s">
        <v>793</v>
      </c>
      <c r="N4" s="50">
        <v>0.1</v>
      </c>
      <c r="O4" s="523" t="s">
        <v>793</v>
      </c>
    </row>
    <row r="5" spans="1:15">
      <c r="A5" s="536" t="s">
        <v>35</v>
      </c>
      <c r="B5" s="21">
        <v>25</v>
      </c>
      <c r="C5" s="523" t="s">
        <v>977</v>
      </c>
      <c r="D5" s="21">
        <v>8</v>
      </c>
      <c r="E5" s="523" t="s">
        <v>977</v>
      </c>
      <c r="F5" s="21">
        <v>5</v>
      </c>
      <c r="G5" s="523" t="s">
        <v>977</v>
      </c>
      <c r="H5" s="50">
        <f>2.60995*1.25</f>
        <v>3.2624374999999999</v>
      </c>
      <c r="I5" s="523" t="s">
        <v>980</v>
      </c>
      <c r="J5" s="21">
        <f>2.6*1.25</f>
        <v>3.25</v>
      </c>
      <c r="K5" s="523" t="s">
        <v>980</v>
      </c>
      <c r="L5" s="50">
        <v>0.31</v>
      </c>
      <c r="M5" s="523" t="s">
        <v>793</v>
      </c>
      <c r="N5" s="50">
        <v>8.2352941176470587E-2</v>
      </c>
      <c r="O5" s="523" t="s">
        <v>793</v>
      </c>
    </row>
    <row r="6" spans="1:15">
      <c r="A6" s="536" t="s">
        <v>393</v>
      </c>
      <c r="B6" s="43">
        <v>2.2173529411764702E-3</v>
      </c>
      <c r="C6" s="523" t="s">
        <v>793</v>
      </c>
      <c r="D6" s="43">
        <v>2.2173529411764702E-3</v>
      </c>
      <c r="E6" s="523" t="s">
        <v>793</v>
      </c>
      <c r="F6" s="43">
        <v>2.2173529411764702E-3</v>
      </c>
      <c r="G6" s="523" t="s">
        <v>793</v>
      </c>
      <c r="H6" s="50">
        <f>0.141683*1.25</f>
        <v>0.17710375</v>
      </c>
      <c r="I6" s="523" t="s">
        <v>980</v>
      </c>
      <c r="J6" s="43">
        <f>0.15*1.25</f>
        <v>0.1875</v>
      </c>
      <c r="K6" s="523" t="s">
        <v>980</v>
      </c>
      <c r="L6" s="43">
        <v>0.56999999999999995</v>
      </c>
      <c r="M6" s="523" t="s">
        <v>793</v>
      </c>
      <c r="N6" s="50">
        <v>5.392156862745098E-3</v>
      </c>
      <c r="O6" s="523" t="s">
        <v>793</v>
      </c>
    </row>
    <row r="7" spans="1:15">
      <c r="A7" s="536" t="s">
        <v>6</v>
      </c>
      <c r="B7" s="43">
        <v>6.9688235294117652E-3</v>
      </c>
      <c r="C7" s="523" t="s">
        <v>793</v>
      </c>
      <c r="D7" s="43">
        <v>6.9688235294117652E-3</v>
      </c>
      <c r="E7" s="523" t="s">
        <v>793</v>
      </c>
      <c r="F7" s="43">
        <v>6.9688235294117652E-3</v>
      </c>
      <c r="G7" s="523" t="s">
        <v>793</v>
      </c>
      <c r="H7" s="50">
        <f>0.014914*1.25</f>
        <v>1.8642499999999999E-2</v>
      </c>
      <c r="I7" s="523" t="s">
        <v>980</v>
      </c>
      <c r="J7" s="43">
        <f>0.15*1.25</f>
        <v>0.1875</v>
      </c>
      <c r="K7" s="523" t="s">
        <v>980</v>
      </c>
      <c r="L7" s="490">
        <v>40</v>
      </c>
      <c r="M7" s="523" t="s">
        <v>981</v>
      </c>
      <c r="N7" s="50">
        <v>7.4509803921568611E-3</v>
      </c>
      <c r="O7" s="523" t="s">
        <v>793</v>
      </c>
    </row>
    <row r="8" spans="1:15">
      <c r="A8" s="536" t="s">
        <v>5</v>
      </c>
      <c r="B8" s="43">
        <v>6.9688235294117652E-3</v>
      </c>
      <c r="C8" s="523" t="s">
        <v>793</v>
      </c>
      <c r="D8" s="43">
        <v>6.9688235294117652E-3</v>
      </c>
      <c r="E8" s="523" t="s">
        <v>793</v>
      </c>
      <c r="F8" s="43">
        <v>6.9688235294117652E-3</v>
      </c>
      <c r="G8" s="523" t="s">
        <v>793</v>
      </c>
      <c r="H8" s="50">
        <f>0.014914*1.25</f>
        <v>1.8642499999999999E-2</v>
      </c>
      <c r="I8" s="523" t="s">
        <v>980</v>
      </c>
      <c r="J8" s="43">
        <f>0.15*1.25</f>
        <v>0.1875</v>
      </c>
      <c r="K8" s="523" t="s">
        <v>980</v>
      </c>
      <c r="L8" s="490">
        <v>40</v>
      </c>
      <c r="M8" s="523" t="s">
        <v>981</v>
      </c>
      <c r="N8" s="50">
        <v>7.4509803921568611E-3</v>
      </c>
      <c r="O8" s="523" t="s">
        <v>793</v>
      </c>
    </row>
    <row r="9" spans="1:15">
      <c r="A9" s="559" t="s">
        <v>988</v>
      </c>
      <c r="B9" s="21">
        <v>16</v>
      </c>
      <c r="C9" s="523" t="s">
        <v>978</v>
      </c>
      <c r="D9" s="21">
        <v>16</v>
      </c>
      <c r="E9" s="523" t="s">
        <v>978</v>
      </c>
      <c r="F9" s="21">
        <v>16</v>
      </c>
      <c r="G9" s="523" t="s">
        <v>978</v>
      </c>
      <c r="H9" s="50">
        <v>16</v>
      </c>
      <c r="I9" s="523" t="s">
        <v>978</v>
      </c>
      <c r="J9" s="21">
        <v>15</v>
      </c>
      <c r="K9" s="523" t="s">
        <v>978</v>
      </c>
      <c r="L9" s="21">
        <v>16</v>
      </c>
      <c r="M9" s="523" t="s">
        <v>978</v>
      </c>
      <c r="N9" s="50">
        <v>16</v>
      </c>
      <c r="O9" s="523" t="s">
        <v>978</v>
      </c>
    </row>
    <row r="10" spans="1:15">
      <c r="A10" s="536" t="s">
        <v>97</v>
      </c>
      <c r="B10" s="534">
        <v>53.06</v>
      </c>
      <c r="C10" s="523" t="s">
        <v>979</v>
      </c>
      <c r="D10" s="534">
        <v>53.06</v>
      </c>
      <c r="E10" s="523" t="s">
        <v>979</v>
      </c>
      <c r="F10" s="534">
        <v>53.06</v>
      </c>
      <c r="G10" s="523" t="s">
        <v>979</v>
      </c>
      <c r="H10" s="50">
        <v>73.959999999999994</v>
      </c>
      <c r="I10" s="523" t="s">
        <v>979</v>
      </c>
      <c r="J10" s="534">
        <v>73.959999999999994</v>
      </c>
      <c r="K10" s="523" t="s">
        <v>979</v>
      </c>
      <c r="L10" s="534">
        <v>53.06</v>
      </c>
      <c r="M10" s="523" t="s">
        <v>979</v>
      </c>
      <c r="N10" s="50">
        <v>53.06</v>
      </c>
      <c r="O10" s="523" t="s">
        <v>979</v>
      </c>
    </row>
    <row r="11" spans="1:15">
      <c r="A11" s="536" t="s">
        <v>98</v>
      </c>
      <c r="B11" s="50">
        <v>1E-3</v>
      </c>
      <c r="C11" s="523" t="s">
        <v>979</v>
      </c>
      <c r="D11" s="50">
        <v>1E-3</v>
      </c>
      <c r="E11" s="523" t="s">
        <v>979</v>
      </c>
      <c r="F11" s="50">
        <v>1E-3</v>
      </c>
      <c r="G11" s="523" t="s">
        <v>979</v>
      </c>
      <c r="H11" s="50">
        <v>3.0000000000000001E-3</v>
      </c>
      <c r="I11" s="523" t="s">
        <v>979</v>
      </c>
      <c r="J11" s="50">
        <v>3.0000000000000001E-3</v>
      </c>
      <c r="K11" s="523" t="s">
        <v>979</v>
      </c>
      <c r="L11" s="50">
        <v>1E-3</v>
      </c>
      <c r="M11" s="523" t="s">
        <v>979</v>
      </c>
      <c r="N11" s="50">
        <v>1E-3</v>
      </c>
      <c r="O11" s="523" t="s">
        <v>979</v>
      </c>
    </row>
    <row r="12" spans="1:15">
      <c r="A12" s="536" t="s">
        <v>99</v>
      </c>
      <c r="B12" s="69">
        <v>1E-4</v>
      </c>
      <c r="C12" s="523" t="s">
        <v>979</v>
      </c>
      <c r="D12" s="69">
        <v>1E-4</v>
      </c>
      <c r="E12" s="523" t="s">
        <v>979</v>
      </c>
      <c r="F12" s="69">
        <v>1E-4</v>
      </c>
      <c r="G12" s="523" t="s">
        <v>979</v>
      </c>
      <c r="H12" s="50">
        <v>5.9999999999999995E-4</v>
      </c>
      <c r="I12" s="523" t="s">
        <v>979</v>
      </c>
      <c r="J12" s="69">
        <v>5.9999999999999995E-4</v>
      </c>
      <c r="K12" s="523" t="s">
        <v>979</v>
      </c>
      <c r="L12" s="69">
        <v>1E-4</v>
      </c>
      <c r="M12" s="523" t="s">
        <v>979</v>
      </c>
      <c r="N12" s="50">
        <v>1E-4</v>
      </c>
      <c r="O12" s="523" t="s">
        <v>979</v>
      </c>
    </row>
    <row r="13" spans="1:15">
      <c r="A13" s="536" t="s">
        <v>792</v>
      </c>
      <c r="B13" s="538"/>
      <c r="C13" s="539"/>
      <c r="D13" s="538"/>
      <c r="E13" s="539"/>
      <c r="F13" s="538"/>
      <c r="G13" s="539"/>
      <c r="H13" s="538"/>
      <c r="I13" s="539"/>
      <c r="J13" s="538"/>
      <c r="K13" s="539"/>
      <c r="L13" s="538"/>
      <c r="M13" s="539"/>
      <c r="N13" s="538"/>
      <c r="O13" s="539"/>
    </row>
    <row r="14" spans="1:15">
      <c r="A14" s="536" t="s">
        <v>796</v>
      </c>
      <c r="B14" s="538"/>
      <c r="C14" s="539"/>
      <c r="D14" s="538"/>
      <c r="E14" s="539"/>
      <c r="F14" s="538"/>
      <c r="G14" s="539"/>
      <c r="H14" s="538"/>
      <c r="I14" s="539"/>
      <c r="J14" s="538"/>
      <c r="K14" s="539"/>
      <c r="L14" s="538"/>
      <c r="M14" s="539"/>
      <c r="N14" s="538"/>
      <c r="O14" s="539"/>
    </row>
    <row r="15" spans="1:15">
      <c r="A15" s="536" t="s">
        <v>797</v>
      </c>
      <c r="B15" s="540">
        <v>4.3000000000000001E-7</v>
      </c>
      <c r="C15" s="541" t="s">
        <v>793</v>
      </c>
      <c r="D15" s="540">
        <v>4.3000000000000001E-7</v>
      </c>
      <c r="E15" s="541" t="s">
        <v>793</v>
      </c>
      <c r="F15" s="540">
        <v>4.3000000000000001E-7</v>
      </c>
      <c r="G15" s="541" t="s">
        <v>793</v>
      </c>
      <c r="H15" s="540">
        <v>3.9100000000000002E-5</v>
      </c>
      <c r="I15" s="541" t="s">
        <v>793</v>
      </c>
      <c r="J15" s="540">
        <v>3.9100000000000002E-5</v>
      </c>
      <c r="K15" s="541" t="s">
        <v>793</v>
      </c>
      <c r="L15" s="540"/>
      <c r="M15" s="541"/>
      <c r="N15" s="540"/>
      <c r="O15" s="541"/>
    </row>
    <row r="16" spans="1:15">
      <c r="A16" s="536" t="s">
        <v>802</v>
      </c>
      <c r="B16" s="540"/>
      <c r="C16" s="541"/>
      <c r="D16" s="540"/>
      <c r="E16" s="541"/>
      <c r="F16" s="540"/>
      <c r="G16" s="541"/>
      <c r="H16" s="540"/>
      <c r="I16" s="541"/>
      <c r="J16" s="540"/>
      <c r="K16" s="541"/>
      <c r="L16" s="540"/>
      <c r="M16" s="541"/>
      <c r="N16" s="540"/>
      <c r="O16" s="541"/>
    </row>
    <row r="17" spans="1:15">
      <c r="A17" s="536" t="s">
        <v>803</v>
      </c>
      <c r="B17" s="542"/>
      <c r="C17" s="543"/>
      <c r="D17" s="542"/>
      <c r="E17" s="543"/>
      <c r="F17" s="542"/>
      <c r="G17" s="543"/>
      <c r="H17" s="540"/>
      <c r="I17" s="541"/>
      <c r="J17" s="540"/>
      <c r="K17" s="541"/>
      <c r="L17" s="540"/>
      <c r="M17" s="541"/>
      <c r="N17" s="540"/>
      <c r="O17" s="541"/>
    </row>
    <row r="18" spans="1:15">
      <c r="A18" s="536" t="s">
        <v>804</v>
      </c>
      <c r="B18" s="540"/>
      <c r="C18" s="541"/>
      <c r="D18" s="540"/>
      <c r="E18" s="541"/>
      <c r="F18" s="540"/>
      <c r="G18" s="541"/>
      <c r="H18" s="540"/>
      <c r="I18" s="541"/>
      <c r="J18" s="540"/>
      <c r="K18" s="541"/>
      <c r="L18" s="540"/>
      <c r="M18" s="541"/>
      <c r="N18" s="544"/>
      <c r="O18" s="541"/>
    </row>
    <row r="19" spans="1:15">
      <c r="A19" s="536" t="s">
        <v>805</v>
      </c>
      <c r="B19" s="540">
        <v>4.0000000000000003E-5</v>
      </c>
      <c r="C19" s="541" t="s">
        <v>793</v>
      </c>
      <c r="D19" s="540">
        <v>4.0000000000000003E-5</v>
      </c>
      <c r="E19" s="541" t="s">
        <v>793</v>
      </c>
      <c r="F19" s="540">
        <v>4.0000000000000003E-5</v>
      </c>
      <c r="G19" s="541" t="s">
        <v>793</v>
      </c>
      <c r="H19" s="540">
        <v>7.67E-4</v>
      </c>
      <c r="I19" s="541" t="s">
        <v>793</v>
      </c>
      <c r="J19" s="540">
        <v>7.67E-4</v>
      </c>
      <c r="K19" s="541" t="s">
        <v>793</v>
      </c>
      <c r="L19" s="540">
        <v>4.2156862745098033E-5</v>
      </c>
      <c r="M19" s="541" t="s">
        <v>793</v>
      </c>
      <c r="N19" s="540"/>
      <c r="O19" s="541"/>
    </row>
    <row r="20" spans="1:15">
      <c r="A20" s="536" t="s">
        <v>807</v>
      </c>
      <c r="B20" s="540">
        <v>6.3999999999999997E-6</v>
      </c>
      <c r="C20" s="541" t="s">
        <v>793</v>
      </c>
      <c r="D20" s="540">
        <v>6.3999999999999997E-6</v>
      </c>
      <c r="E20" s="541" t="s">
        <v>793</v>
      </c>
      <c r="F20" s="540">
        <v>6.3999999999999997E-6</v>
      </c>
      <c r="G20" s="541" t="s">
        <v>793</v>
      </c>
      <c r="H20" s="540">
        <v>9.2499999999999999E-5</v>
      </c>
      <c r="I20" s="541" t="s">
        <v>793</v>
      </c>
      <c r="J20" s="540">
        <v>9.2499999999999999E-5</v>
      </c>
      <c r="K20" s="541" t="s">
        <v>793</v>
      </c>
      <c r="L20" s="540">
        <v>9.8039215686274513E-6</v>
      </c>
      <c r="M20" s="541" t="s">
        <v>793</v>
      </c>
      <c r="N20" s="540"/>
      <c r="O20" s="541"/>
    </row>
    <row r="21" spans="1:15">
      <c r="A21" s="536" t="s">
        <v>808</v>
      </c>
      <c r="B21" s="545"/>
      <c r="C21" s="546"/>
      <c r="D21" s="545"/>
      <c r="E21" s="546"/>
      <c r="F21" s="545"/>
      <c r="G21" s="546"/>
      <c r="H21" s="540"/>
      <c r="I21" s="541"/>
      <c r="J21" s="540"/>
      <c r="K21" s="541"/>
      <c r="L21" s="540"/>
      <c r="M21" s="541"/>
      <c r="N21" s="540"/>
      <c r="O21" s="541"/>
    </row>
    <row r="22" spans="1:15">
      <c r="A22" s="536" t="s">
        <v>811</v>
      </c>
      <c r="B22" s="540"/>
      <c r="C22" s="541"/>
      <c r="D22" s="540"/>
      <c r="E22" s="541"/>
      <c r="F22" s="540"/>
      <c r="G22" s="541"/>
      <c r="H22" s="540"/>
      <c r="I22" s="541"/>
      <c r="J22" s="540"/>
      <c r="K22" s="541"/>
      <c r="L22" s="540"/>
      <c r="M22" s="541"/>
      <c r="N22" s="540"/>
      <c r="O22" s="541"/>
    </row>
    <row r="23" spans="1:15">
      <c r="A23" s="536" t="s">
        <v>817</v>
      </c>
      <c r="B23" s="540">
        <v>1.2E-5</v>
      </c>
      <c r="C23" s="541" t="s">
        <v>793</v>
      </c>
      <c r="D23" s="540">
        <v>1.2E-5</v>
      </c>
      <c r="E23" s="541" t="s">
        <v>793</v>
      </c>
      <c r="F23" s="540">
        <v>1.2E-5</v>
      </c>
      <c r="G23" s="541" t="s">
        <v>793</v>
      </c>
      <c r="H23" s="540">
        <v>9.3300000000000002E-4</v>
      </c>
      <c r="I23" s="541" t="s">
        <v>793</v>
      </c>
      <c r="J23" s="540">
        <v>9.3300000000000002E-4</v>
      </c>
      <c r="K23" s="541" t="s">
        <v>793</v>
      </c>
      <c r="L23" s="540">
        <v>1.5588235294117648E-4</v>
      </c>
      <c r="M23" s="541" t="s">
        <v>793</v>
      </c>
      <c r="N23" s="540">
        <v>2.0588000000000001E-6</v>
      </c>
      <c r="O23" s="541" t="s">
        <v>793</v>
      </c>
    </row>
    <row r="24" spans="1:15">
      <c r="A24" s="536" t="s">
        <v>819</v>
      </c>
      <c r="B24" s="540"/>
      <c r="C24" s="541"/>
      <c r="D24" s="540"/>
      <c r="E24" s="541"/>
      <c r="F24" s="540"/>
      <c r="G24" s="541"/>
      <c r="H24" s="540"/>
      <c r="I24" s="541"/>
      <c r="J24" s="540"/>
      <c r="K24" s="541"/>
      <c r="L24" s="540"/>
      <c r="M24" s="541"/>
      <c r="N24" s="540"/>
      <c r="O24" s="541"/>
    </row>
    <row r="25" spans="1:15">
      <c r="A25" s="536" t="s">
        <v>820</v>
      </c>
      <c r="B25" s="540"/>
      <c r="C25" s="541"/>
      <c r="D25" s="540"/>
      <c r="E25" s="541"/>
      <c r="F25" s="540"/>
      <c r="G25" s="541"/>
      <c r="H25" s="540"/>
      <c r="I25" s="541"/>
      <c r="J25" s="540"/>
      <c r="K25" s="541"/>
      <c r="L25" s="540"/>
      <c r="M25" s="541"/>
      <c r="N25" s="540"/>
      <c r="O25" s="541"/>
    </row>
    <row r="26" spans="1:15">
      <c r="A26" s="536" t="s">
        <v>821</v>
      </c>
      <c r="B26" s="540"/>
      <c r="C26" s="541"/>
      <c r="D26" s="540"/>
      <c r="E26" s="541"/>
      <c r="F26" s="540"/>
      <c r="G26" s="541"/>
      <c r="H26" s="540"/>
      <c r="I26" s="541"/>
      <c r="J26" s="540"/>
      <c r="K26" s="541"/>
      <c r="L26" s="540"/>
      <c r="M26" s="541"/>
      <c r="N26" s="540"/>
      <c r="O26" s="541"/>
    </row>
    <row r="27" spans="1:15">
      <c r="A27" s="536" t="s">
        <v>822</v>
      </c>
      <c r="B27" s="542"/>
      <c r="C27" s="543"/>
      <c r="D27" s="542"/>
      <c r="E27" s="543"/>
      <c r="F27" s="542"/>
      <c r="G27" s="543"/>
      <c r="H27" s="540"/>
      <c r="I27" s="541"/>
      <c r="J27" s="540"/>
      <c r="K27" s="541"/>
      <c r="L27" s="540"/>
      <c r="M27" s="541"/>
      <c r="N27" s="540"/>
      <c r="O27" s="541"/>
    </row>
    <row r="28" spans="1:15">
      <c r="A28" s="536" t="s">
        <v>823</v>
      </c>
      <c r="B28" s="542"/>
      <c r="C28" s="543"/>
      <c r="D28" s="542"/>
      <c r="E28" s="543"/>
      <c r="F28" s="542"/>
      <c r="G28" s="543"/>
      <c r="H28" s="540"/>
      <c r="I28" s="541"/>
      <c r="J28" s="540"/>
      <c r="K28" s="541"/>
      <c r="L28" s="540"/>
      <c r="M28" s="541"/>
      <c r="N28" s="540"/>
      <c r="O28" s="541"/>
    </row>
    <row r="29" spans="1:15">
      <c r="A29" s="536" t="s">
        <v>824</v>
      </c>
      <c r="B29" s="542"/>
      <c r="C29" s="543"/>
      <c r="D29" s="542"/>
      <c r="E29" s="543"/>
      <c r="F29" s="542"/>
      <c r="G29" s="543"/>
      <c r="H29" s="540"/>
      <c r="I29" s="541"/>
      <c r="J29" s="540"/>
      <c r="K29" s="541"/>
      <c r="L29" s="540"/>
      <c r="M29" s="541"/>
      <c r="N29" s="540"/>
      <c r="O29" s="541"/>
    </row>
    <row r="30" spans="1:15">
      <c r="A30" s="536" t="s">
        <v>825</v>
      </c>
      <c r="B30" s="540"/>
      <c r="C30" s="541"/>
      <c r="D30" s="540"/>
      <c r="E30" s="541"/>
      <c r="F30" s="540"/>
      <c r="G30" s="541"/>
      <c r="H30" s="540"/>
      <c r="I30" s="541"/>
      <c r="J30" s="540"/>
      <c r="K30" s="541"/>
      <c r="L30" s="540"/>
      <c r="M30" s="541"/>
      <c r="N30" s="540"/>
      <c r="O30" s="541"/>
    </row>
    <row r="31" spans="1:15">
      <c r="A31" s="536" t="s">
        <v>826</v>
      </c>
      <c r="B31" s="540"/>
      <c r="C31" s="541"/>
      <c r="D31" s="540"/>
      <c r="E31" s="541"/>
      <c r="F31" s="540"/>
      <c r="G31" s="541"/>
      <c r="H31" s="540"/>
      <c r="I31" s="541"/>
      <c r="J31" s="540"/>
      <c r="K31" s="541"/>
      <c r="L31" s="540"/>
      <c r="M31" s="541"/>
      <c r="N31" s="540"/>
      <c r="O31" s="541"/>
    </row>
    <row r="32" spans="1:15">
      <c r="A32" s="536" t="s">
        <v>827</v>
      </c>
      <c r="B32" s="545"/>
      <c r="C32" s="546"/>
      <c r="D32" s="545"/>
      <c r="E32" s="546"/>
      <c r="F32" s="545"/>
      <c r="G32" s="546"/>
      <c r="H32" s="540"/>
      <c r="I32" s="541"/>
      <c r="J32" s="540"/>
      <c r="K32" s="541"/>
      <c r="L32" s="540"/>
      <c r="M32" s="541"/>
      <c r="N32" s="540"/>
      <c r="O32" s="541"/>
    </row>
    <row r="33" spans="1:15">
      <c r="A33" s="536" t="s">
        <v>829</v>
      </c>
      <c r="B33" s="540">
        <v>3.1999999999999999E-5</v>
      </c>
      <c r="C33" s="541" t="s">
        <v>793</v>
      </c>
      <c r="D33" s="540">
        <v>3.1999999999999999E-5</v>
      </c>
      <c r="E33" s="541" t="s">
        <v>793</v>
      </c>
      <c r="F33" s="540">
        <v>3.1999999999999999E-5</v>
      </c>
      <c r="G33" s="541" t="s">
        <v>793</v>
      </c>
      <c r="H33" s="540"/>
      <c r="I33" s="541"/>
      <c r="J33" s="540"/>
      <c r="K33" s="541"/>
      <c r="L33" s="540">
        <v>1.415686274509804E-3</v>
      </c>
      <c r="M33" s="541" t="s">
        <v>793</v>
      </c>
      <c r="N33" s="544"/>
      <c r="O33" s="541"/>
    </row>
    <row r="34" spans="1:15">
      <c r="A34" s="536" t="s">
        <v>830</v>
      </c>
      <c r="B34" s="540"/>
      <c r="C34" s="541"/>
      <c r="D34" s="540"/>
      <c r="E34" s="541"/>
      <c r="F34" s="540"/>
      <c r="G34" s="541"/>
      <c r="H34" s="540"/>
      <c r="I34" s="541"/>
      <c r="J34" s="540"/>
      <c r="K34" s="541"/>
      <c r="L34" s="540"/>
      <c r="M34" s="541"/>
      <c r="N34" s="540"/>
      <c r="O34" s="541"/>
    </row>
    <row r="35" spans="1:15">
      <c r="A35" s="536" t="s">
        <v>831</v>
      </c>
      <c r="B35" s="542"/>
      <c r="C35" s="543"/>
      <c r="D35" s="542"/>
      <c r="E35" s="543"/>
      <c r="F35" s="542"/>
      <c r="G35" s="543"/>
      <c r="H35" s="540"/>
      <c r="I35" s="541"/>
      <c r="J35" s="540"/>
      <c r="K35" s="541"/>
      <c r="L35" s="540"/>
      <c r="M35" s="541"/>
      <c r="N35" s="540"/>
      <c r="O35" s="541"/>
    </row>
    <row r="36" spans="1:15">
      <c r="A36" s="536" t="s">
        <v>832</v>
      </c>
      <c r="B36" s="540">
        <v>7.1000000000000002E-4</v>
      </c>
      <c r="C36" s="541" t="s">
        <v>793</v>
      </c>
      <c r="D36" s="540">
        <v>7.1000000000000002E-4</v>
      </c>
      <c r="E36" s="541" t="s">
        <v>793</v>
      </c>
      <c r="F36" s="540">
        <v>7.1000000000000002E-4</v>
      </c>
      <c r="G36" s="541" t="s">
        <v>793</v>
      </c>
      <c r="H36" s="540">
        <v>1.1800000000000001E-3</v>
      </c>
      <c r="I36" s="541" t="s">
        <v>793</v>
      </c>
      <c r="J36" s="540">
        <v>1.1800000000000001E-3</v>
      </c>
      <c r="K36" s="541" t="s">
        <v>793</v>
      </c>
      <c r="L36" s="540">
        <v>1.146078431372549E-3</v>
      </c>
      <c r="M36" s="541" t="s">
        <v>793</v>
      </c>
      <c r="N36" s="540">
        <v>7.3529399999999994E-5</v>
      </c>
      <c r="O36" s="541" t="s">
        <v>793</v>
      </c>
    </row>
    <row r="37" spans="1:15">
      <c r="A37" s="536" t="s">
        <v>834</v>
      </c>
      <c r="B37" s="545"/>
      <c r="C37" s="546"/>
      <c r="D37" s="545"/>
      <c r="E37" s="546"/>
      <c r="F37" s="545"/>
      <c r="G37" s="546"/>
      <c r="H37" s="540"/>
      <c r="I37" s="541"/>
      <c r="J37" s="540"/>
      <c r="K37" s="541"/>
      <c r="L37" s="540"/>
      <c r="M37" s="541"/>
      <c r="N37" s="540"/>
      <c r="O37" s="541"/>
    </row>
    <row r="38" spans="1:15">
      <c r="A38" s="536" t="s">
        <v>835</v>
      </c>
      <c r="B38" s="540"/>
      <c r="C38" s="541"/>
      <c r="D38" s="540"/>
      <c r="E38" s="541"/>
      <c r="F38" s="540"/>
      <c r="G38" s="541"/>
      <c r="H38" s="540"/>
      <c r="I38" s="541"/>
      <c r="J38" s="540"/>
      <c r="K38" s="541"/>
      <c r="L38" s="540"/>
      <c r="M38" s="541"/>
      <c r="N38" s="540">
        <v>4.9019999999999998E-7</v>
      </c>
      <c r="O38" s="541" t="s">
        <v>793</v>
      </c>
    </row>
    <row r="39" spans="1:15">
      <c r="A39" s="536" t="s">
        <v>836</v>
      </c>
      <c r="B39" s="540"/>
      <c r="C39" s="541"/>
      <c r="D39" s="540"/>
      <c r="E39" s="541"/>
      <c r="F39" s="540"/>
      <c r="G39" s="541"/>
      <c r="H39" s="540"/>
      <c r="I39" s="541"/>
      <c r="J39" s="540"/>
      <c r="K39" s="541"/>
      <c r="L39" s="540"/>
      <c r="M39" s="541"/>
      <c r="N39" s="540"/>
      <c r="O39" s="541"/>
    </row>
    <row r="40" spans="1:15">
      <c r="A40" s="536" t="s">
        <v>837</v>
      </c>
      <c r="B40" s="540"/>
      <c r="C40" s="541"/>
      <c r="D40" s="540"/>
      <c r="E40" s="541"/>
      <c r="F40" s="540"/>
      <c r="G40" s="541"/>
      <c r="H40" s="547"/>
      <c r="I40" s="548"/>
      <c r="J40" s="547"/>
      <c r="K40" s="548"/>
      <c r="L40" s="540"/>
      <c r="M40" s="541"/>
      <c r="N40" s="540"/>
      <c r="O40" s="541"/>
    </row>
    <row r="41" spans="1:15">
      <c r="A41" s="536" t="s">
        <v>838</v>
      </c>
      <c r="B41" s="549"/>
      <c r="C41" s="550"/>
      <c r="D41" s="549"/>
      <c r="E41" s="550"/>
      <c r="F41" s="549"/>
      <c r="G41" s="550"/>
      <c r="H41" s="540"/>
      <c r="I41" s="541"/>
      <c r="J41" s="540"/>
      <c r="K41" s="541"/>
      <c r="L41" s="540"/>
      <c r="M41" s="541"/>
      <c r="N41" s="540"/>
      <c r="O41" s="541"/>
    </row>
    <row r="42" spans="1:15">
      <c r="A42" s="536" t="s">
        <v>839</v>
      </c>
      <c r="B42" s="542"/>
      <c r="C42" s="543"/>
      <c r="D42" s="542"/>
      <c r="E42" s="543"/>
      <c r="F42" s="542"/>
      <c r="G42" s="543"/>
      <c r="H42" s="540"/>
      <c r="I42" s="541"/>
      <c r="J42" s="540"/>
      <c r="K42" s="541"/>
      <c r="L42" s="540"/>
      <c r="M42" s="541"/>
      <c r="N42" s="540"/>
      <c r="O42" s="541"/>
    </row>
    <row r="43" spans="1:15">
      <c r="A43" s="536" t="s">
        <v>840</v>
      </c>
      <c r="B43" s="540"/>
      <c r="C43" s="541"/>
      <c r="D43" s="540"/>
      <c r="E43" s="541"/>
      <c r="F43" s="540"/>
      <c r="G43" s="541"/>
      <c r="H43" s="540"/>
      <c r="I43" s="541"/>
      <c r="J43" s="540"/>
      <c r="K43" s="541"/>
      <c r="L43" s="540">
        <v>2.8431372549019608E-5</v>
      </c>
      <c r="M43" s="541" t="s">
        <v>793</v>
      </c>
      <c r="N43" s="540">
        <v>1.7647059E-3</v>
      </c>
      <c r="O43" s="541" t="s">
        <v>793</v>
      </c>
    </row>
    <row r="44" spans="1:15">
      <c r="A44" s="536" t="s">
        <v>841</v>
      </c>
      <c r="B44" s="540"/>
      <c r="C44" s="541"/>
      <c r="D44" s="540"/>
      <c r="E44" s="541"/>
      <c r="F44" s="540"/>
      <c r="G44" s="541"/>
      <c r="H44" s="540"/>
      <c r="I44" s="541"/>
      <c r="J44" s="540"/>
      <c r="K44" s="541"/>
      <c r="L44" s="540"/>
      <c r="M44" s="541"/>
      <c r="N44" s="540"/>
      <c r="O44" s="541"/>
    </row>
    <row r="45" spans="1:15">
      <c r="A45" s="536" t="s">
        <v>842</v>
      </c>
      <c r="B45" s="540">
        <v>2.2000000000000001E-6</v>
      </c>
      <c r="C45" s="541" t="s">
        <v>793</v>
      </c>
      <c r="D45" s="540">
        <v>2.2000000000000001E-6</v>
      </c>
      <c r="E45" s="541" t="s">
        <v>793</v>
      </c>
      <c r="F45" s="540">
        <v>2.2000000000000001E-6</v>
      </c>
      <c r="G45" s="541" t="s">
        <v>793</v>
      </c>
      <c r="H45" s="540">
        <v>1.6799999999999999E-4</v>
      </c>
      <c r="I45" s="541" t="s">
        <v>793</v>
      </c>
      <c r="J45" s="540">
        <v>1.6799999999999999E-4</v>
      </c>
      <c r="K45" s="541" t="s">
        <v>793</v>
      </c>
      <c r="L45" s="540">
        <v>1.3725490196078432E-5</v>
      </c>
      <c r="M45" s="541" t="s">
        <v>793</v>
      </c>
      <c r="N45" s="540"/>
      <c r="O45" s="541"/>
    </row>
    <row r="46" spans="1:15">
      <c r="A46" s="536" t="s">
        <v>843</v>
      </c>
      <c r="B46" s="540"/>
      <c r="C46" s="541"/>
      <c r="D46" s="540"/>
      <c r="E46" s="541"/>
      <c r="F46" s="540"/>
      <c r="G46" s="541"/>
      <c r="H46" s="540"/>
      <c r="I46" s="541"/>
      <c r="J46" s="540"/>
      <c r="K46" s="541"/>
      <c r="L46" s="540"/>
      <c r="M46" s="541"/>
      <c r="N46" s="540"/>
      <c r="O46" s="541"/>
    </row>
    <row r="47" spans="1:15">
      <c r="A47" s="536" t="s">
        <v>844</v>
      </c>
      <c r="B47" s="540"/>
      <c r="C47" s="541"/>
      <c r="D47" s="540"/>
      <c r="E47" s="541"/>
      <c r="F47" s="540"/>
      <c r="G47" s="541"/>
      <c r="H47" s="540"/>
      <c r="I47" s="541"/>
      <c r="J47" s="540"/>
      <c r="K47" s="541"/>
      <c r="L47" s="540"/>
      <c r="M47" s="541"/>
      <c r="N47" s="540"/>
      <c r="O47" s="541"/>
    </row>
    <row r="48" spans="1:15">
      <c r="A48" s="536" t="s">
        <v>848</v>
      </c>
      <c r="B48" s="540"/>
      <c r="C48" s="541"/>
      <c r="D48" s="540"/>
      <c r="E48" s="541"/>
      <c r="F48" s="540"/>
      <c r="G48" s="541"/>
      <c r="H48" s="540"/>
      <c r="I48" s="541"/>
      <c r="J48" s="540"/>
      <c r="K48" s="541"/>
      <c r="L48" s="540"/>
      <c r="M48" s="541"/>
      <c r="N48" s="540">
        <v>2.3499999999999999E-8</v>
      </c>
      <c r="O48" s="541" t="s">
        <v>793</v>
      </c>
    </row>
    <row r="49" spans="1:15">
      <c r="A49" s="536" t="s">
        <v>849</v>
      </c>
      <c r="B49" s="549"/>
      <c r="C49" s="550"/>
      <c r="D49" s="549"/>
      <c r="E49" s="550"/>
      <c r="F49" s="549"/>
      <c r="G49" s="550"/>
      <c r="H49" s="540"/>
      <c r="I49" s="541"/>
      <c r="J49" s="540"/>
      <c r="K49" s="541"/>
      <c r="L49" s="540"/>
      <c r="M49" s="541"/>
      <c r="N49" s="540">
        <v>1.8E-9</v>
      </c>
      <c r="O49" s="541" t="s">
        <v>793</v>
      </c>
    </row>
    <row r="50" spans="1:15">
      <c r="A50" s="536" t="s">
        <v>850</v>
      </c>
      <c r="B50" s="549"/>
      <c r="C50" s="550"/>
      <c r="D50" s="549"/>
      <c r="E50" s="550"/>
      <c r="F50" s="549"/>
      <c r="G50" s="550"/>
      <c r="H50" s="540"/>
      <c r="I50" s="541"/>
      <c r="J50" s="540"/>
      <c r="K50" s="541"/>
      <c r="L50" s="540"/>
      <c r="M50" s="541"/>
      <c r="N50" s="540">
        <v>1.5700000000000002E-8</v>
      </c>
      <c r="O50" s="541" t="s">
        <v>793</v>
      </c>
    </row>
    <row r="51" spans="1:15">
      <c r="A51" s="536" t="s">
        <v>851</v>
      </c>
      <c r="B51" s="549"/>
      <c r="C51" s="550"/>
      <c r="D51" s="549"/>
      <c r="E51" s="550"/>
      <c r="F51" s="549"/>
      <c r="G51" s="550"/>
      <c r="H51" s="540">
        <v>1.42E-6</v>
      </c>
      <c r="I51" s="541" t="s">
        <v>793</v>
      </c>
      <c r="J51" s="540">
        <v>1.42E-6</v>
      </c>
      <c r="K51" s="541" t="s">
        <v>793</v>
      </c>
      <c r="L51" s="540"/>
      <c r="M51" s="541"/>
      <c r="N51" s="540">
        <v>1.8E-9</v>
      </c>
      <c r="O51" s="541" t="s">
        <v>793</v>
      </c>
    </row>
    <row r="52" spans="1:15">
      <c r="A52" s="536" t="s">
        <v>852</v>
      </c>
      <c r="B52" s="549"/>
      <c r="C52" s="550"/>
      <c r="D52" s="549"/>
      <c r="E52" s="550"/>
      <c r="F52" s="549"/>
      <c r="G52" s="550"/>
      <c r="H52" s="540">
        <v>5.0599999999999998E-6</v>
      </c>
      <c r="I52" s="541" t="s">
        <v>793</v>
      </c>
      <c r="J52" s="540">
        <v>5.0599999999999998E-6</v>
      </c>
      <c r="K52" s="541" t="s">
        <v>793</v>
      </c>
      <c r="L52" s="540"/>
      <c r="M52" s="541"/>
      <c r="N52" s="540">
        <v>1.8E-9</v>
      </c>
      <c r="O52" s="541" t="s">
        <v>793</v>
      </c>
    </row>
    <row r="53" spans="1:15">
      <c r="A53" s="536" t="s">
        <v>853</v>
      </c>
      <c r="B53" s="549"/>
      <c r="C53" s="550"/>
      <c r="D53" s="549"/>
      <c r="E53" s="550"/>
      <c r="F53" s="549"/>
      <c r="G53" s="550"/>
      <c r="H53" s="540">
        <v>1.8700000000000001E-6</v>
      </c>
      <c r="I53" s="541" t="s">
        <v>793</v>
      </c>
      <c r="J53" s="540">
        <v>1.8700000000000001E-6</v>
      </c>
      <c r="K53" s="541" t="s">
        <v>793</v>
      </c>
      <c r="L53" s="540"/>
      <c r="M53" s="541"/>
      <c r="N53" s="540">
        <v>2.4E-9</v>
      </c>
      <c r="O53" s="541" t="s">
        <v>793</v>
      </c>
    </row>
    <row r="54" spans="1:15">
      <c r="A54" s="536" t="s">
        <v>854</v>
      </c>
      <c r="B54" s="547"/>
      <c r="C54" s="548"/>
      <c r="D54" s="547"/>
      <c r="E54" s="548"/>
      <c r="F54" s="547"/>
      <c r="G54" s="548"/>
      <c r="H54" s="540">
        <v>1.68E-6</v>
      </c>
      <c r="I54" s="541" t="s">
        <v>793</v>
      </c>
      <c r="J54" s="540">
        <v>1.68E-6</v>
      </c>
      <c r="K54" s="541" t="s">
        <v>793</v>
      </c>
      <c r="L54" s="540"/>
      <c r="M54" s="541"/>
      <c r="N54" s="540">
        <v>1.8E-9</v>
      </c>
      <c r="O54" s="541" t="s">
        <v>793</v>
      </c>
    </row>
    <row r="55" spans="1:15">
      <c r="A55" s="536" t="s">
        <v>855</v>
      </c>
      <c r="B55" s="549"/>
      <c r="C55" s="550"/>
      <c r="D55" s="549"/>
      <c r="E55" s="550"/>
      <c r="F55" s="549"/>
      <c r="G55" s="550"/>
      <c r="H55" s="540">
        <v>1.8799999999999999E-7</v>
      </c>
      <c r="I55" s="541" t="s">
        <v>793</v>
      </c>
      <c r="J55" s="540">
        <v>1.8799999999999999E-7</v>
      </c>
      <c r="K55" s="541" t="s">
        <v>793</v>
      </c>
      <c r="L55" s="540"/>
      <c r="M55" s="541"/>
      <c r="N55" s="540">
        <v>1.2E-9</v>
      </c>
      <c r="O55" s="541" t="s">
        <v>793</v>
      </c>
    </row>
    <row r="56" spans="1:15">
      <c r="A56" s="536" t="s">
        <v>856</v>
      </c>
      <c r="B56" s="549"/>
      <c r="C56" s="550"/>
      <c r="D56" s="549"/>
      <c r="E56" s="550"/>
      <c r="F56" s="549"/>
      <c r="G56" s="550"/>
      <c r="H56" s="540">
        <v>9.9099999999999994E-8</v>
      </c>
      <c r="I56" s="541" t="s">
        <v>793</v>
      </c>
      <c r="J56" s="540">
        <v>9.9099999999999994E-8</v>
      </c>
      <c r="K56" s="541" t="s">
        <v>793</v>
      </c>
      <c r="L56" s="540"/>
      <c r="M56" s="541"/>
      <c r="N56" s="540">
        <v>1.8E-9</v>
      </c>
      <c r="O56" s="541" t="s">
        <v>793</v>
      </c>
    </row>
    <row r="57" spans="1:15">
      <c r="A57" s="536" t="s">
        <v>857</v>
      </c>
      <c r="B57" s="549"/>
      <c r="C57" s="550"/>
      <c r="D57" s="549"/>
      <c r="E57" s="550"/>
      <c r="F57" s="549"/>
      <c r="G57" s="550"/>
      <c r="H57" s="540">
        <v>4.89E-7</v>
      </c>
      <c r="I57" s="541" t="s">
        <v>793</v>
      </c>
      <c r="J57" s="540">
        <v>4.89E-7</v>
      </c>
      <c r="K57" s="541" t="s">
        <v>793</v>
      </c>
      <c r="L57" s="540"/>
      <c r="M57" s="541"/>
      <c r="N57" s="540">
        <v>1.2E-9</v>
      </c>
      <c r="O57" s="541" t="s">
        <v>793</v>
      </c>
    </row>
    <row r="58" spans="1:15">
      <c r="A58" s="536" t="s">
        <v>858</v>
      </c>
      <c r="B58" s="549"/>
      <c r="C58" s="550"/>
      <c r="D58" s="549"/>
      <c r="E58" s="550"/>
      <c r="F58" s="549"/>
      <c r="G58" s="550"/>
      <c r="H58" s="540">
        <v>1.55E-7</v>
      </c>
      <c r="I58" s="541" t="s">
        <v>793</v>
      </c>
      <c r="J58" s="540">
        <v>1.55E-7</v>
      </c>
      <c r="K58" s="541" t="s">
        <v>793</v>
      </c>
      <c r="L58" s="540"/>
      <c r="M58" s="541"/>
      <c r="N58" s="540">
        <v>1.8E-9</v>
      </c>
      <c r="O58" s="541" t="s">
        <v>793</v>
      </c>
    </row>
    <row r="59" spans="1:15">
      <c r="A59" s="536" t="s">
        <v>859</v>
      </c>
      <c r="B59" s="540"/>
      <c r="C59" s="541"/>
      <c r="D59" s="540"/>
      <c r="E59" s="541"/>
      <c r="F59" s="540"/>
      <c r="G59" s="541"/>
      <c r="H59" s="540">
        <v>3.53E-7</v>
      </c>
      <c r="I59" s="541" t="s">
        <v>793</v>
      </c>
      <c r="J59" s="540">
        <v>3.53E-7</v>
      </c>
      <c r="K59" s="541" t="s">
        <v>793</v>
      </c>
      <c r="L59" s="540"/>
      <c r="M59" s="541"/>
      <c r="N59" s="540">
        <v>1.8E-9</v>
      </c>
      <c r="O59" s="541" t="s">
        <v>793</v>
      </c>
    </row>
    <row r="60" spans="1:15">
      <c r="A60" s="536" t="s">
        <v>860</v>
      </c>
      <c r="B60" s="549"/>
      <c r="C60" s="550"/>
      <c r="D60" s="549"/>
      <c r="E60" s="550"/>
      <c r="F60" s="549"/>
      <c r="G60" s="550"/>
      <c r="H60" s="540">
        <v>5.8299999999999997E-7</v>
      </c>
      <c r="I60" s="541" t="s">
        <v>793</v>
      </c>
      <c r="J60" s="540">
        <v>5.8299999999999997E-7</v>
      </c>
      <c r="K60" s="541" t="s">
        <v>793</v>
      </c>
      <c r="L60" s="540"/>
      <c r="M60" s="541"/>
      <c r="N60" s="540">
        <v>1.2E-9</v>
      </c>
      <c r="O60" s="541" t="s">
        <v>793</v>
      </c>
    </row>
    <row r="61" spans="1:15">
      <c r="A61" s="536" t="s">
        <v>861</v>
      </c>
      <c r="B61" s="547"/>
      <c r="C61" s="548"/>
      <c r="D61" s="547"/>
      <c r="E61" s="548"/>
      <c r="F61" s="547"/>
      <c r="G61" s="548"/>
      <c r="H61" s="540">
        <v>7.61E-6</v>
      </c>
      <c r="I61" s="541" t="s">
        <v>793</v>
      </c>
      <c r="J61" s="540">
        <v>7.61E-6</v>
      </c>
      <c r="K61" s="541" t="s">
        <v>793</v>
      </c>
      <c r="L61" s="540"/>
      <c r="M61" s="541"/>
      <c r="N61" s="540">
        <v>2.8999999999999999E-9</v>
      </c>
      <c r="O61" s="541" t="s">
        <v>793</v>
      </c>
    </row>
    <row r="62" spans="1:15">
      <c r="A62" s="536" t="s">
        <v>862</v>
      </c>
      <c r="B62" s="549"/>
      <c r="C62" s="550"/>
      <c r="D62" s="549"/>
      <c r="E62" s="550"/>
      <c r="F62" s="549"/>
      <c r="G62" s="550"/>
      <c r="H62" s="540">
        <v>2.94E-5</v>
      </c>
      <c r="I62" s="541" t="s">
        <v>793</v>
      </c>
      <c r="J62" s="540">
        <v>2.94E-5</v>
      </c>
      <c r="K62" s="541" t="s">
        <v>793</v>
      </c>
      <c r="L62" s="540"/>
      <c r="M62" s="541"/>
      <c r="N62" s="540">
        <v>2.7000000000000002E-9</v>
      </c>
      <c r="O62" s="541" t="s">
        <v>793</v>
      </c>
    </row>
    <row r="63" spans="1:15">
      <c r="A63" s="536" t="s">
        <v>863</v>
      </c>
      <c r="B63" s="549"/>
      <c r="C63" s="550"/>
      <c r="D63" s="549"/>
      <c r="E63" s="550"/>
      <c r="F63" s="549"/>
      <c r="G63" s="550"/>
      <c r="H63" s="540">
        <v>3.7500000000000001E-7</v>
      </c>
      <c r="I63" s="541" t="s">
        <v>793</v>
      </c>
      <c r="J63" s="540">
        <v>3.7500000000000001E-7</v>
      </c>
      <c r="K63" s="541" t="s">
        <v>793</v>
      </c>
      <c r="L63" s="540"/>
      <c r="M63" s="541"/>
      <c r="N63" s="540">
        <v>1.8E-9</v>
      </c>
      <c r="O63" s="541" t="s">
        <v>793</v>
      </c>
    </row>
    <row r="64" spans="1:15">
      <c r="A64" s="536" t="s">
        <v>864</v>
      </c>
      <c r="B64" s="540">
        <v>1.3E-6</v>
      </c>
      <c r="C64" s="541" t="s">
        <v>793</v>
      </c>
      <c r="D64" s="540">
        <v>1.3E-6</v>
      </c>
      <c r="E64" s="541" t="s">
        <v>793</v>
      </c>
      <c r="F64" s="540">
        <v>1.3E-6</v>
      </c>
      <c r="G64" s="541" t="s">
        <v>793</v>
      </c>
      <c r="H64" s="540">
        <v>8.4800000000000001E-5</v>
      </c>
      <c r="I64" s="541" t="s">
        <v>793</v>
      </c>
      <c r="J64" s="540">
        <v>8.4800000000000001E-5</v>
      </c>
      <c r="K64" s="541" t="s">
        <v>793</v>
      </c>
      <c r="L64" s="540">
        <v>1.0784313725490196E-5</v>
      </c>
      <c r="M64" s="541" t="s">
        <v>793</v>
      </c>
      <c r="N64" s="540">
        <v>5.9800000000000003E-7</v>
      </c>
      <c r="O64" s="541" t="s">
        <v>793</v>
      </c>
    </row>
    <row r="65" spans="1:15">
      <c r="A65" s="536" t="s">
        <v>865</v>
      </c>
      <c r="B65" s="540"/>
      <c r="C65" s="541"/>
      <c r="D65" s="540"/>
      <c r="E65" s="541"/>
      <c r="F65" s="540"/>
      <c r="G65" s="541"/>
      <c r="H65" s="540">
        <v>2.94E-5</v>
      </c>
      <c r="I65" s="541" t="s">
        <v>793</v>
      </c>
      <c r="J65" s="540">
        <v>2.94E-5</v>
      </c>
      <c r="K65" s="541" t="s">
        <v>793</v>
      </c>
      <c r="L65" s="540"/>
      <c r="M65" s="541"/>
      <c r="N65" s="540">
        <v>1.6700000000000001E-8</v>
      </c>
      <c r="O65" s="541" t="s">
        <v>793</v>
      </c>
    </row>
    <row r="66" spans="1:15">
      <c r="A66" s="536" t="s">
        <v>866</v>
      </c>
      <c r="B66" s="549"/>
      <c r="C66" s="550"/>
      <c r="D66" s="549"/>
      <c r="E66" s="550"/>
      <c r="F66" s="549"/>
      <c r="G66" s="550"/>
      <c r="H66" s="540">
        <v>4.78E-6</v>
      </c>
      <c r="I66" s="541" t="s">
        <v>793</v>
      </c>
      <c r="J66" s="540">
        <v>4.78E-6</v>
      </c>
      <c r="K66" s="541" t="s">
        <v>793</v>
      </c>
      <c r="L66" s="540"/>
      <c r="M66" s="541"/>
      <c r="N66" s="540">
        <v>4.9E-9</v>
      </c>
      <c r="O66" s="541" t="s">
        <v>793</v>
      </c>
    </row>
    <row r="67" spans="1:15">
      <c r="A67" s="536" t="s">
        <v>867</v>
      </c>
      <c r="B67" s="540"/>
      <c r="C67" s="541"/>
      <c r="D67" s="540"/>
      <c r="E67" s="541"/>
      <c r="F67" s="540"/>
      <c r="G67" s="541"/>
      <c r="H67" s="540"/>
      <c r="I67" s="541"/>
      <c r="J67" s="540"/>
      <c r="K67" s="541"/>
      <c r="L67" s="540"/>
      <c r="M67" s="541"/>
      <c r="N67" s="540"/>
      <c r="O67" s="541"/>
    </row>
    <row r="68" spans="1:15">
      <c r="A68" s="536" t="s">
        <v>868</v>
      </c>
      <c r="B68" s="540">
        <v>2.9E-5</v>
      </c>
      <c r="C68" s="541" t="s">
        <v>793</v>
      </c>
      <c r="D68" s="540">
        <v>2.9E-5</v>
      </c>
      <c r="E68" s="541" t="s">
        <v>793</v>
      </c>
      <c r="F68" s="540">
        <v>2.9E-5</v>
      </c>
      <c r="G68" s="541" t="s">
        <v>793</v>
      </c>
      <c r="H68" s="540"/>
      <c r="I68" s="541"/>
      <c r="J68" s="540"/>
      <c r="K68" s="541"/>
      <c r="L68" s="540"/>
      <c r="M68" s="541"/>
      <c r="N68" s="540"/>
      <c r="O68" s="541"/>
    </row>
    <row r="69" spans="1:15">
      <c r="A69" s="536" t="s">
        <v>869</v>
      </c>
      <c r="B69" s="540"/>
      <c r="C69" s="541"/>
      <c r="D69" s="540"/>
      <c r="E69" s="541"/>
      <c r="F69" s="540"/>
      <c r="G69" s="541"/>
      <c r="H69" s="540"/>
      <c r="I69" s="541"/>
      <c r="J69" s="540"/>
      <c r="K69" s="541"/>
      <c r="L69" s="540"/>
      <c r="M69" s="541"/>
      <c r="N69" s="540"/>
      <c r="O69" s="541"/>
    </row>
    <row r="70" spans="1:15">
      <c r="A70" s="536" t="s">
        <v>870</v>
      </c>
      <c r="B70" s="549"/>
      <c r="C70" s="550"/>
      <c r="D70" s="549"/>
      <c r="E70" s="550"/>
      <c r="F70" s="549"/>
      <c r="G70" s="550"/>
      <c r="H70" s="540"/>
      <c r="I70" s="541"/>
      <c r="J70" s="540"/>
      <c r="K70" s="541"/>
      <c r="L70" s="540"/>
      <c r="M70" s="541"/>
      <c r="N70" s="544"/>
      <c r="O70" s="541"/>
    </row>
    <row r="71" spans="1:15">
      <c r="A71" s="536" t="s">
        <v>871</v>
      </c>
      <c r="B71" s="542"/>
      <c r="C71" s="543"/>
      <c r="D71" s="542"/>
      <c r="E71" s="543"/>
      <c r="F71" s="542"/>
      <c r="G71" s="543"/>
      <c r="H71" s="540"/>
      <c r="I71" s="541"/>
      <c r="J71" s="540"/>
      <c r="K71" s="541"/>
      <c r="L71" s="540"/>
      <c r="M71" s="541"/>
      <c r="N71" s="540"/>
      <c r="O71" s="541"/>
    </row>
    <row r="72" spans="1:15">
      <c r="A72" s="536" t="s">
        <v>872</v>
      </c>
      <c r="B72" s="540">
        <v>1.2999999999999999E-4</v>
      </c>
      <c r="C72" s="541" t="s">
        <v>793</v>
      </c>
      <c r="D72" s="540">
        <v>1.2999999999999999E-4</v>
      </c>
      <c r="E72" s="541" t="s">
        <v>793</v>
      </c>
      <c r="F72" s="540">
        <v>1.2999999999999999E-4</v>
      </c>
      <c r="G72" s="541" t="s">
        <v>793</v>
      </c>
      <c r="H72" s="540">
        <v>4.0900000000000002E-4</v>
      </c>
      <c r="I72" s="541" t="s">
        <v>793</v>
      </c>
      <c r="J72" s="540">
        <v>4.0900000000000002E-4</v>
      </c>
      <c r="K72" s="541" t="s">
        <v>793</v>
      </c>
      <c r="L72" s="540">
        <v>5.6862745098039215E-5</v>
      </c>
      <c r="M72" s="541" t="s">
        <v>793</v>
      </c>
      <c r="N72" s="540">
        <v>3.3332999999999999E-6</v>
      </c>
      <c r="O72" s="541" t="s">
        <v>793</v>
      </c>
    </row>
    <row r="73" spans="1:15">
      <c r="A73" s="536" t="s">
        <v>873</v>
      </c>
      <c r="B73" s="542"/>
      <c r="C73" s="543"/>
      <c r="D73" s="542"/>
      <c r="E73" s="543"/>
      <c r="F73" s="542"/>
      <c r="G73" s="543"/>
      <c r="H73" s="540"/>
      <c r="I73" s="541"/>
      <c r="J73" s="540"/>
      <c r="K73" s="541"/>
      <c r="L73" s="540"/>
      <c r="M73" s="541"/>
      <c r="N73" s="540"/>
      <c r="O73" s="541"/>
    </row>
    <row r="74" spans="1:15">
      <c r="A74" s="536" t="s">
        <v>874</v>
      </c>
      <c r="B74" s="542"/>
      <c r="C74" s="543"/>
      <c r="D74" s="542"/>
      <c r="E74" s="543"/>
      <c r="F74" s="542"/>
      <c r="G74" s="543"/>
      <c r="H74" s="540"/>
      <c r="I74" s="541"/>
      <c r="J74" s="540"/>
      <c r="K74" s="541"/>
      <c r="L74" s="540"/>
      <c r="M74" s="541"/>
      <c r="N74" s="540"/>
      <c r="O74" s="541"/>
    </row>
    <row r="75" spans="1:15">
      <c r="A75" s="536" t="s">
        <v>875</v>
      </c>
      <c r="B75" s="542"/>
      <c r="C75" s="543"/>
      <c r="D75" s="542"/>
      <c r="E75" s="543"/>
      <c r="F75" s="542"/>
      <c r="G75" s="543"/>
      <c r="H75" s="540"/>
      <c r="I75" s="541"/>
      <c r="J75" s="540"/>
      <c r="K75" s="541"/>
      <c r="L75" s="540"/>
      <c r="M75" s="541"/>
      <c r="N75" s="540"/>
      <c r="O75" s="541"/>
    </row>
    <row r="76" spans="1:15">
      <c r="A76" s="536" t="s">
        <v>876</v>
      </c>
      <c r="B76" s="540">
        <v>6.3999999999999997E-5</v>
      </c>
      <c r="C76" s="541" t="s">
        <v>793</v>
      </c>
      <c r="D76" s="540">
        <v>6.3999999999999997E-5</v>
      </c>
      <c r="E76" s="541" t="s">
        <v>793</v>
      </c>
      <c r="F76" s="540">
        <v>6.3999999999999997E-5</v>
      </c>
      <c r="G76" s="541" t="s">
        <v>793</v>
      </c>
      <c r="H76" s="540">
        <v>2.8499999999999999E-4</v>
      </c>
      <c r="I76" s="541" t="s">
        <v>793</v>
      </c>
      <c r="J76" s="540">
        <v>2.8499999999999999E-4</v>
      </c>
      <c r="K76" s="541" t="s">
        <v>793</v>
      </c>
      <c r="L76" s="540">
        <v>2.8431372549019608E-5</v>
      </c>
      <c r="M76" s="541" t="s">
        <v>793</v>
      </c>
      <c r="N76" s="544"/>
      <c r="O76" s="541"/>
    </row>
    <row r="77" spans="1:15">
      <c r="A77" s="536" t="s">
        <v>877</v>
      </c>
      <c r="B77" s="19"/>
      <c r="C77" s="19"/>
      <c r="D77" s="19"/>
      <c r="E77" s="19"/>
      <c r="F77" s="19"/>
      <c r="G77" s="19"/>
      <c r="H77" s="19"/>
      <c r="I77" s="19"/>
      <c r="J77" s="19"/>
      <c r="K77" s="19"/>
      <c r="L77" s="19"/>
      <c r="M77" s="19"/>
      <c r="N77" s="19"/>
      <c r="O77" s="19"/>
    </row>
    <row r="78" spans="1:15">
      <c r="B78" s="463"/>
      <c r="C78" s="463"/>
    </row>
  </sheetData>
  <mergeCells count="10">
    <mergeCell ref="B1:C1"/>
    <mergeCell ref="D1:E1"/>
    <mergeCell ref="F1:G1"/>
    <mergeCell ref="N2:O2"/>
    <mergeCell ref="H2:I2"/>
    <mergeCell ref="J2:K2"/>
    <mergeCell ref="L2:M2"/>
    <mergeCell ref="B2:C2"/>
    <mergeCell ref="D2:E2"/>
    <mergeCell ref="F2:G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7"/>
  <sheetViews>
    <sheetView workbookViewId="0">
      <selection activeCell="A29" sqref="A29:C29"/>
    </sheetView>
  </sheetViews>
  <sheetFormatPr defaultRowHeight="15"/>
  <cols>
    <col min="1" max="1" width="51.7109375" customWidth="1"/>
    <col min="2" max="2" width="18.85546875" bestFit="1" customWidth="1"/>
    <col min="3" max="3" width="25" customWidth="1"/>
    <col min="5" max="5" width="14.42578125" bestFit="1" customWidth="1"/>
    <col min="8" max="8" width="12" customWidth="1"/>
  </cols>
  <sheetData>
    <row r="1" spans="1:8">
      <c r="A1" s="688" t="s">
        <v>1017</v>
      </c>
      <c r="B1" s="568" t="s">
        <v>1002</v>
      </c>
      <c r="C1" s="576" t="s">
        <v>1010</v>
      </c>
      <c r="D1" s="562"/>
    </row>
    <row r="2" spans="1:8">
      <c r="A2" s="689"/>
      <c r="B2" s="558" t="s">
        <v>989</v>
      </c>
      <c r="C2" s="576" t="s">
        <v>1011</v>
      </c>
      <c r="E2" s="690" t="s">
        <v>1001</v>
      </c>
      <c r="F2" s="690"/>
    </row>
    <row r="3" spans="1:8">
      <c r="A3" s="502" t="s">
        <v>995</v>
      </c>
      <c r="B3" s="490">
        <f>'LNG Turbines'!$D$25</f>
        <v>1113</v>
      </c>
      <c r="C3" s="579">
        <f>B3/$F$4*24</f>
        <v>24.574057037718493</v>
      </c>
      <c r="E3" s="564" t="s">
        <v>991</v>
      </c>
      <c r="F3" s="71">
        <f>F4*379.48/'LNG Fuel'!$C$51</f>
        <v>23331.151583710409</v>
      </c>
    </row>
    <row r="4" spans="1:8">
      <c r="A4" s="502" t="s">
        <v>996</v>
      </c>
      <c r="B4" s="490">
        <f>'LNG Turbines'!$D$25</f>
        <v>1113</v>
      </c>
      <c r="C4" s="579">
        <f t="shared" ref="C4:C20" si="0">B4/$F$4*24</f>
        <v>24.574057037718493</v>
      </c>
      <c r="E4" s="564" t="s">
        <v>42</v>
      </c>
      <c r="F4" s="71">
        <v>1087</v>
      </c>
    </row>
    <row r="5" spans="1:8">
      <c r="A5" s="502" t="s">
        <v>997</v>
      </c>
      <c r="B5" s="490">
        <f>'LNG Turbines'!$D$25</f>
        <v>1113</v>
      </c>
      <c r="C5" s="579">
        <f t="shared" si="0"/>
        <v>24.574057037718493</v>
      </c>
      <c r="E5" s="563" t="s">
        <v>990</v>
      </c>
      <c r="F5" s="41">
        <v>0.14424693030000002</v>
      </c>
    </row>
    <row r="6" spans="1:8">
      <c r="A6" s="502" t="s">
        <v>998</v>
      </c>
      <c r="B6" s="490">
        <f>'LNG Turbines'!$D$25</f>
        <v>1113</v>
      </c>
      <c r="C6" s="579">
        <f t="shared" si="0"/>
        <v>24.574057037718493</v>
      </c>
      <c r="E6" s="563" t="s">
        <v>991</v>
      </c>
      <c r="F6" s="561">
        <v>20229</v>
      </c>
    </row>
    <row r="7" spans="1:8">
      <c r="A7" s="502" t="s">
        <v>999</v>
      </c>
      <c r="B7" s="490">
        <f>'LNG Turbines'!$D$25</f>
        <v>1113</v>
      </c>
      <c r="C7" s="579">
        <f t="shared" si="0"/>
        <v>24.574057037718493</v>
      </c>
      <c r="E7" s="566"/>
      <c r="F7" s="567"/>
    </row>
    <row r="8" spans="1:8">
      <c r="A8" s="502" t="s">
        <v>1000</v>
      </c>
      <c r="B8" s="490">
        <f>'LNG Turbines'!$D$25</f>
        <v>1113</v>
      </c>
      <c r="C8" s="579">
        <f t="shared" si="0"/>
        <v>24.574057037718493</v>
      </c>
      <c r="E8" s="665" t="s">
        <v>104</v>
      </c>
      <c r="F8" s="666"/>
    </row>
    <row r="9" spans="1:8">
      <c r="A9" s="128" t="s">
        <v>335</v>
      </c>
      <c r="B9" s="490">
        <f>'LNG Turbines'!$F$25</f>
        <v>384</v>
      </c>
      <c r="C9" s="579">
        <f t="shared" si="0"/>
        <v>8.4783808647654091</v>
      </c>
      <c r="E9" s="51">
        <v>1</v>
      </c>
      <c r="F9" s="54" t="s">
        <v>97</v>
      </c>
    </row>
    <row r="10" spans="1:8">
      <c r="A10" s="128" t="s">
        <v>335</v>
      </c>
      <c r="B10" s="490">
        <f>'LNG Turbines'!$F$25</f>
        <v>384</v>
      </c>
      <c r="C10" s="579">
        <f t="shared" si="0"/>
        <v>8.4783808647654091</v>
      </c>
      <c r="E10" s="51">
        <v>25</v>
      </c>
      <c r="F10" s="54" t="s">
        <v>98</v>
      </c>
    </row>
    <row r="11" spans="1:8">
      <c r="A11" s="128" t="s">
        <v>335</v>
      </c>
      <c r="B11" s="490">
        <f>'LNG Turbines'!$F$25</f>
        <v>384</v>
      </c>
      <c r="C11" s="579">
        <f t="shared" si="0"/>
        <v>8.4783808647654091</v>
      </c>
      <c r="E11" s="51">
        <v>298</v>
      </c>
      <c r="F11" s="54" t="s">
        <v>99</v>
      </c>
    </row>
    <row r="12" spans="1:8">
      <c r="A12" s="128" t="s">
        <v>335</v>
      </c>
      <c r="B12" s="490">
        <f>'LNG Turbines'!$F$25</f>
        <v>384</v>
      </c>
      <c r="C12" s="579">
        <f t="shared" si="0"/>
        <v>8.4783808647654091</v>
      </c>
    </row>
    <row r="13" spans="1:8">
      <c r="A13" s="502" t="s">
        <v>366</v>
      </c>
      <c r="B13" s="490">
        <f>'LNG Flares'!$C$22</f>
        <v>7.15</v>
      </c>
      <c r="C13" s="579">
        <f t="shared" si="0"/>
        <v>0.15786568537258511</v>
      </c>
      <c r="E13" s="684" t="s">
        <v>994</v>
      </c>
      <c r="F13" s="684"/>
      <c r="G13" s="684"/>
      <c r="H13" s="684"/>
    </row>
    <row r="14" spans="1:8">
      <c r="A14" s="128" t="s">
        <v>366</v>
      </c>
      <c r="B14" s="490">
        <f>'LNG Flares'!$C$22</f>
        <v>7.15</v>
      </c>
      <c r="C14" s="579">
        <f t="shared" si="0"/>
        <v>0.15786568537258511</v>
      </c>
      <c r="E14" s="557"/>
      <c r="F14" s="559" t="s">
        <v>325</v>
      </c>
      <c r="G14" s="559" t="s">
        <v>327</v>
      </c>
      <c r="H14" s="557"/>
    </row>
    <row r="15" spans="1:8">
      <c r="A15" s="128" t="s">
        <v>416</v>
      </c>
      <c r="B15" s="490">
        <v>0</v>
      </c>
      <c r="C15" s="579">
        <f t="shared" si="0"/>
        <v>0</v>
      </c>
      <c r="E15" s="560" t="s">
        <v>689</v>
      </c>
      <c r="F15" s="557">
        <v>53.06</v>
      </c>
      <c r="G15" s="557">
        <v>73.959999999999994</v>
      </c>
      <c r="H15" s="557" t="s">
        <v>979</v>
      </c>
    </row>
    <row r="16" spans="1:8">
      <c r="A16" s="128" t="s">
        <v>367</v>
      </c>
      <c r="B16" s="490">
        <f>'LNG Flares'!$D$22</f>
        <v>2.25</v>
      </c>
      <c r="C16" s="579">
        <f t="shared" si="0"/>
        <v>4.9678012879484819E-2</v>
      </c>
      <c r="E16" s="560" t="s">
        <v>690</v>
      </c>
      <c r="F16" s="50">
        <v>1E-3</v>
      </c>
      <c r="G16" s="50">
        <v>3.0000000000000001E-3</v>
      </c>
      <c r="H16" s="557" t="s">
        <v>979</v>
      </c>
    </row>
    <row r="17" spans="1:8">
      <c r="A17" s="128" t="s">
        <v>367</v>
      </c>
      <c r="B17" s="490">
        <f>'LNG Flares'!$D$22</f>
        <v>2.25</v>
      </c>
      <c r="C17" s="579">
        <f t="shared" si="0"/>
        <v>4.9678012879484819E-2</v>
      </c>
      <c r="E17" s="560" t="s">
        <v>691</v>
      </c>
      <c r="F17" s="69">
        <v>1E-4</v>
      </c>
      <c r="G17" s="69">
        <v>5.9999999999999995E-4</v>
      </c>
      <c r="H17" s="557" t="s">
        <v>979</v>
      </c>
    </row>
    <row r="18" spans="1:8">
      <c r="A18" s="128" t="s">
        <v>417</v>
      </c>
      <c r="B18" s="490">
        <v>0</v>
      </c>
      <c r="C18" s="579">
        <f t="shared" si="0"/>
        <v>0</v>
      </c>
    </row>
    <row r="19" spans="1:8">
      <c r="A19" s="128" t="s">
        <v>368</v>
      </c>
      <c r="B19" s="490">
        <f>'LNG Flares'!$E$22</f>
        <v>10.5</v>
      </c>
      <c r="C19" s="579">
        <f t="shared" si="0"/>
        <v>0.23183072677092917</v>
      </c>
      <c r="E19" s="627" t="s">
        <v>64</v>
      </c>
      <c r="F19" s="628"/>
      <c r="G19" s="629"/>
    </row>
    <row r="20" spans="1:8">
      <c r="A20" s="128" t="s">
        <v>369</v>
      </c>
      <c r="B20" s="490">
        <f>'LNG Thermal Oxidizer'!$C$21</f>
        <v>6.01</v>
      </c>
      <c r="C20" s="579">
        <f t="shared" si="0"/>
        <v>0.13269549218031279</v>
      </c>
      <c r="E20" s="565" t="s">
        <v>957</v>
      </c>
      <c r="F20" s="46">
        <v>1000</v>
      </c>
      <c r="G20" s="565" t="s">
        <v>958</v>
      </c>
    </row>
    <row r="21" spans="1:8">
      <c r="A21" s="584" t="s">
        <v>1012</v>
      </c>
      <c r="B21" s="585">
        <f>SUM(B3:B20)</f>
        <v>8249.31</v>
      </c>
      <c r="C21" s="585">
        <f>SUM(C3:C20)</f>
        <v>182.13747930082801</v>
      </c>
      <c r="E21" s="565" t="s">
        <v>992</v>
      </c>
      <c r="F21" s="46">
        <v>8760</v>
      </c>
      <c r="G21" s="565" t="s">
        <v>993</v>
      </c>
    </row>
    <row r="22" spans="1:8">
      <c r="A22" s="691" t="s">
        <v>1018</v>
      </c>
      <c r="B22" s="576" t="s">
        <v>1002</v>
      </c>
      <c r="C22" s="576" t="s">
        <v>1013</v>
      </c>
      <c r="E22" s="565" t="s">
        <v>992</v>
      </c>
      <c r="F22" s="46">
        <v>500</v>
      </c>
      <c r="G22" s="565" t="s">
        <v>993</v>
      </c>
    </row>
    <row r="23" spans="1:8">
      <c r="A23" s="692"/>
      <c r="B23" s="576" t="s">
        <v>989</v>
      </c>
      <c r="C23" s="576" t="s">
        <v>1014</v>
      </c>
      <c r="E23" s="565" t="s">
        <v>992</v>
      </c>
      <c r="F23" s="46">
        <v>144</v>
      </c>
      <c r="G23" s="565" t="s">
        <v>993</v>
      </c>
    </row>
    <row r="24" spans="1:8">
      <c r="A24" s="128" t="s">
        <v>411</v>
      </c>
      <c r="B24" s="490">
        <f>'LNG Diesel Equip'!$C$24</f>
        <v>2.1</v>
      </c>
      <c r="C24" s="490">
        <f>B24/$F$5*24</f>
        <v>349.40084960684942</v>
      </c>
    </row>
    <row r="25" spans="1:8">
      <c r="A25" s="128" t="s">
        <v>412</v>
      </c>
      <c r="B25" s="490">
        <f>'LNG Diesel Equip'!$D$24</f>
        <v>4.0250000000000004</v>
      </c>
      <c r="C25" s="490">
        <f t="shared" ref="C25:C28" si="1">B25/$F$5*24</f>
        <v>669.68496174646145</v>
      </c>
    </row>
    <row r="26" spans="1:8">
      <c r="A26" s="163" t="s">
        <v>400</v>
      </c>
      <c r="B26" s="109">
        <f>'Mobile Trip Assumptions'!$D$30</f>
        <v>6.5310267675008236</v>
      </c>
      <c r="C26" s="490">
        <f t="shared" si="1"/>
        <v>1086.641095890411</v>
      </c>
    </row>
    <row r="27" spans="1:8">
      <c r="A27" s="163" t="s">
        <v>738</v>
      </c>
      <c r="B27" s="490">
        <f>(SUM('Non-Road Emissions'!E5:E23)*7000)/1000000+(SUM('Non-Road Emissions'!C27:C28))</f>
        <v>27.323999999999998</v>
      </c>
      <c r="C27" s="490">
        <f t="shared" si="1"/>
        <v>4546.2041974559779</v>
      </c>
    </row>
    <row r="28" spans="1:8">
      <c r="A28" s="163" t="s">
        <v>938</v>
      </c>
      <c r="B28" s="20">
        <v>6120.2510928138408</v>
      </c>
      <c r="C28" s="490">
        <f t="shared" si="1"/>
        <v>1018295.6817316213</v>
      </c>
    </row>
    <row r="29" spans="1:8">
      <c r="A29" s="584" t="s">
        <v>1015</v>
      </c>
      <c r="B29" s="586">
        <f>SUM(B24:B28)</f>
        <v>6160.2311195813418</v>
      </c>
      <c r="C29" s="586">
        <f>SUM(C24:C28)</f>
        <v>1024947.612836321</v>
      </c>
    </row>
    <row r="30" spans="1:8">
      <c r="A30" s="693" t="s">
        <v>1016</v>
      </c>
      <c r="B30" s="693"/>
      <c r="C30" s="694"/>
    </row>
    <row r="31" spans="1:8">
      <c r="A31" s="695"/>
      <c r="B31" s="695"/>
      <c r="C31" s="692"/>
    </row>
    <row r="32" spans="1:8">
      <c r="A32" s="699" t="s">
        <v>413</v>
      </c>
      <c r="B32" s="700"/>
      <c r="C32" s="701"/>
    </row>
    <row r="33" spans="1:3">
      <c r="A33" s="702" t="s">
        <v>414</v>
      </c>
      <c r="B33" s="703"/>
      <c r="C33" s="704"/>
    </row>
    <row r="34" spans="1:3">
      <c r="A34" s="699" t="s">
        <v>914</v>
      </c>
      <c r="B34" s="700"/>
      <c r="C34" s="701"/>
    </row>
    <row r="35" spans="1:3">
      <c r="A35" s="696" t="s">
        <v>398</v>
      </c>
      <c r="B35" s="697"/>
      <c r="C35" s="698"/>
    </row>
    <row r="36" spans="1:3">
      <c r="A36" s="696" t="s">
        <v>399</v>
      </c>
      <c r="B36" s="697"/>
      <c r="C36" s="698"/>
    </row>
    <row r="37" spans="1:3" ht="7.5" customHeight="1">
      <c r="A37" s="687"/>
      <c r="B37" s="687"/>
      <c r="C37" s="687"/>
    </row>
  </sheetData>
  <mergeCells count="13">
    <mergeCell ref="A37:C37"/>
    <mergeCell ref="E19:G19"/>
    <mergeCell ref="A1:A2"/>
    <mergeCell ref="E2:F2"/>
    <mergeCell ref="E8:F8"/>
    <mergeCell ref="E13:H13"/>
    <mergeCell ref="A22:A23"/>
    <mergeCell ref="A30:C31"/>
    <mergeCell ref="A36:C36"/>
    <mergeCell ref="A35:C35"/>
    <mergeCell ref="A34:C34"/>
    <mergeCell ref="A33:C33"/>
    <mergeCell ref="A32:C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workbookViewId="0">
      <selection activeCell="AA38" sqref="AA38"/>
    </sheetView>
  </sheetViews>
  <sheetFormatPr defaultRowHeight="15"/>
  <cols>
    <col min="2" max="2" width="23.85546875" bestFit="1" customWidth="1"/>
    <col min="3" max="3" width="10" bestFit="1" customWidth="1"/>
    <col min="4" max="4" width="6.5703125" bestFit="1" customWidth="1"/>
    <col min="5" max="5" width="6" bestFit="1" customWidth="1"/>
    <col min="6" max="6" width="6.5703125" bestFit="1" customWidth="1"/>
    <col min="7" max="7" width="6" bestFit="1" customWidth="1"/>
    <col min="8" max="8" width="73" bestFit="1" customWidth="1"/>
  </cols>
  <sheetData>
    <row r="2" spans="2:8">
      <c r="B2" s="1" t="s">
        <v>0</v>
      </c>
      <c r="C2" s="2"/>
      <c r="D2" s="2"/>
      <c r="E2" s="2"/>
      <c r="F2" s="2"/>
      <c r="G2" s="2"/>
      <c r="H2" s="2"/>
    </row>
    <row r="3" spans="2:8">
      <c r="B3" s="2"/>
      <c r="C3" s="2"/>
      <c r="D3" s="2"/>
      <c r="E3" s="2"/>
      <c r="F3" s="2"/>
      <c r="G3" s="2"/>
      <c r="H3" s="2"/>
    </row>
    <row r="4" spans="2:8">
      <c r="B4" s="3" t="s">
        <v>1</v>
      </c>
      <c r="C4" s="4" t="s">
        <v>2</v>
      </c>
      <c r="D4" s="705" t="s">
        <v>3</v>
      </c>
      <c r="E4" s="706"/>
      <c r="F4" s="705" t="s">
        <v>910</v>
      </c>
      <c r="G4" s="706"/>
      <c r="H4" s="4" t="s">
        <v>4</v>
      </c>
    </row>
    <row r="5" spans="2:8">
      <c r="B5" s="5"/>
      <c r="C5" s="6"/>
      <c r="D5" s="7" t="s">
        <v>5</v>
      </c>
      <c r="E5" s="8" t="s">
        <v>6</v>
      </c>
      <c r="F5" s="7" t="s">
        <v>5</v>
      </c>
      <c r="G5" s="8" t="s">
        <v>6</v>
      </c>
      <c r="H5" s="9"/>
    </row>
    <row r="6" spans="2:8" ht="26.25">
      <c r="B6" s="10" t="s">
        <v>7</v>
      </c>
      <c r="C6" s="11">
        <v>0</v>
      </c>
      <c r="D6" s="12">
        <v>9.98E-2</v>
      </c>
      <c r="E6" s="12">
        <v>0.1084826</v>
      </c>
      <c r="F6" s="12">
        <v>0.9002</v>
      </c>
      <c r="G6" s="12">
        <v>0.89151740000000002</v>
      </c>
      <c r="H6" s="13" t="s">
        <v>8</v>
      </c>
    </row>
    <row r="7" spans="2:8">
      <c r="B7" s="14" t="s">
        <v>9</v>
      </c>
      <c r="C7" s="15">
        <v>0</v>
      </c>
      <c r="D7" s="12">
        <v>0.2878787878787879</v>
      </c>
      <c r="E7" s="12">
        <v>0.2878787878787879</v>
      </c>
      <c r="F7" s="12">
        <v>0.71212121212121215</v>
      </c>
      <c r="G7" s="12">
        <v>0.71212121212121215</v>
      </c>
      <c r="H7" s="16" t="s">
        <v>10</v>
      </c>
    </row>
    <row r="8" spans="2:8">
      <c r="B8" s="14" t="s">
        <v>11</v>
      </c>
      <c r="C8" s="15">
        <v>0</v>
      </c>
      <c r="D8" s="12">
        <v>0.37391304347826088</v>
      </c>
      <c r="E8" s="12">
        <v>0.37391304347826088</v>
      </c>
      <c r="F8" s="12">
        <v>0.62608695652173907</v>
      </c>
      <c r="G8" s="12">
        <v>0.62608695652173907</v>
      </c>
      <c r="H8" s="16" t="s">
        <v>10</v>
      </c>
    </row>
    <row r="9" spans="2:8">
      <c r="B9" s="14" t="s">
        <v>12</v>
      </c>
      <c r="C9" s="15">
        <v>0</v>
      </c>
      <c r="D9" s="12">
        <v>0.48943843379701185</v>
      </c>
      <c r="E9" s="12">
        <v>0.48943843379701185</v>
      </c>
      <c r="F9" s="12">
        <v>0.5105615662029882</v>
      </c>
      <c r="G9" s="12">
        <v>0.5105615662029882</v>
      </c>
      <c r="H9" s="16" t="s">
        <v>13</v>
      </c>
    </row>
    <row r="10" spans="2:8">
      <c r="B10" s="14" t="s">
        <v>14</v>
      </c>
      <c r="C10" s="15">
        <v>0</v>
      </c>
      <c r="D10" s="12">
        <v>0.86151079136690645</v>
      </c>
      <c r="E10" s="12">
        <v>0.86561954624781856</v>
      </c>
      <c r="F10" s="12">
        <v>0.13848920863309352</v>
      </c>
      <c r="G10" s="12">
        <v>0.13438045375218152</v>
      </c>
      <c r="H10" s="16" t="s">
        <v>15</v>
      </c>
    </row>
    <row r="11" spans="2:8">
      <c r="B11" s="14" t="s">
        <v>16</v>
      </c>
      <c r="C11" s="15">
        <v>0</v>
      </c>
      <c r="D11" s="12">
        <v>0.48943843379701185</v>
      </c>
      <c r="E11" s="12">
        <v>0.48943843379701185</v>
      </c>
      <c r="F11" s="12">
        <v>0.5105615662029882</v>
      </c>
      <c r="G11" s="12">
        <v>0.5105615662029882</v>
      </c>
      <c r="H11" s="16" t="s">
        <v>13</v>
      </c>
    </row>
    <row r="12" spans="2:8">
      <c r="B12" s="14" t="s">
        <v>17</v>
      </c>
      <c r="C12" s="15">
        <v>0</v>
      </c>
      <c r="D12" s="12">
        <v>0.86151079136690645</v>
      </c>
      <c r="E12" s="12">
        <v>0.86561954624781856</v>
      </c>
      <c r="F12" s="12">
        <v>0.13848920863309352</v>
      </c>
      <c r="G12" s="12">
        <v>0.13438045375218152</v>
      </c>
      <c r="H12" s="16" t="s">
        <v>18</v>
      </c>
    </row>
    <row r="13" spans="2:8">
      <c r="B13" s="14" t="s">
        <v>19</v>
      </c>
      <c r="C13" s="15">
        <v>0</v>
      </c>
      <c r="D13" s="12">
        <v>0.25</v>
      </c>
      <c r="E13" s="12">
        <v>0.25</v>
      </c>
      <c r="F13" s="12">
        <v>0.75000000000000011</v>
      </c>
      <c r="G13" s="12">
        <v>0.75000000000000011</v>
      </c>
      <c r="H13" s="16" t="s">
        <v>20</v>
      </c>
    </row>
    <row r="14" spans="2:8">
      <c r="B14" s="14" t="s">
        <v>21</v>
      </c>
      <c r="C14" s="15">
        <v>0</v>
      </c>
      <c r="D14" s="12">
        <v>0.38967136150234744</v>
      </c>
      <c r="E14" s="12">
        <v>0.45378151260504207</v>
      </c>
      <c r="F14" s="12">
        <v>0.61032863849765262</v>
      </c>
      <c r="G14" s="12">
        <v>0.54621848739495804</v>
      </c>
      <c r="H14" s="16" t="s">
        <v>22</v>
      </c>
    </row>
    <row r="15" spans="2:8">
      <c r="B15" s="14" t="s">
        <v>23</v>
      </c>
      <c r="C15" s="15">
        <v>0</v>
      </c>
      <c r="D15" s="12">
        <v>0.25</v>
      </c>
      <c r="E15" s="12">
        <v>0.25</v>
      </c>
      <c r="F15" s="12">
        <v>0.75000000000000011</v>
      </c>
      <c r="G15" s="12">
        <v>0.75000000000000011</v>
      </c>
      <c r="H15" s="16" t="s">
        <v>20</v>
      </c>
    </row>
    <row r="16" spans="2:8">
      <c r="B16" s="14" t="s">
        <v>24</v>
      </c>
      <c r="C16" s="15">
        <v>0</v>
      </c>
      <c r="D16" s="12">
        <v>0.38967136150234744</v>
      </c>
      <c r="E16" s="12">
        <v>0.45378151260504207</v>
      </c>
      <c r="F16" s="12">
        <v>0.61032863849765262</v>
      </c>
      <c r="G16" s="12">
        <v>0.54621848739495804</v>
      </c>
      <c r="H16" s="16" t="s">
        <v>22</v>
      </c>
    </row>
    <row r="17" spans="2:8">
      <c r="B17" s="14" t="s">
        <v>25</v>
      </c>
      <c r="C17" s="15">
        <v>0</v>
      </c>
      <c r="D17" s="12">
        <v>0.48943843379701185</v>
      </c>
      <c r="E17" s="12">
        <v>0.48943843379701185</v>
      </c>
      <c r="F17" s="12">
        <v>0.5105615662029882</v>
      </c>
      <c r="G17" s="12">
        <v>0.5105615662029882</v>
      </c>
      <c r="H17" s="16" t="s">
        <v>13</v>
      </c>
    </row>
    <row r="18" spans="2:8">
      <c r="B18" s="14" t="s">
        <v>26</v>
      </c>
      <c r="C18" s="15">
        <v>0</v>
      </c>
      <c r="D18" s="12">
        <v>0.86151079136690645</v>
      </c>
      <c r="E18" s="12">
        <v>0.86561954624781856</v>
      </c>
      <c r="F18" s="12">
        <v>0.13848920863309352</v>
      </c>
      <c r="G18" s="12">
        <v>0.13438045375218152</v>
      </c>
      <c r="H18" s="16" t="s">
        <v>18</v>
      </c>
    </row>
    <row r="19" spans="2:8">
      <c r="B19" s="14" t="s">
        <v>27</v>
      </c>
      <c r="C19" s="15">
        <v>0</v>
      </c>
      <c r="D19" s="12">
        <v>0.25</v>
      </c>
      <c r="E19" s="12">
        <v>0.25</v>
      </c>
      <c r="F19" s="12">
        <v>0.75000000000000011</v>
      </c>
      <c r="G19" s="12">
        <v>0.75000000000000011</v>
      </c>
      <c r="H19" s="16" t="s">
        <v>28</v>
      </c>
    </row>
    <row r="20" spans="2:8" ht="26.25">
      <c r="B20" s="17" t="s">
        <v>29</v>
      </c>
      <c r="C20" s="11">
        <v>0</v>
      </c>
      <c r="D20" s="12">
        <v>0</v>
      </c>
      <c r="E20" s="12">
        <v>0</v>
      </c>
      <c r="F20" s="12">
        <v>1</v>
      </c>
      <c r="G20" s="12">
        <v>1</v>
      </c>
      <c r="H20" s="13" t="s">
        <v>30</v>
      </c>
    </row>
    <row r="21" spans="2:8">
      <c r="B21" s="14" t="s">
        <v>31</v>
      </c>
      <c r="C21" s="15">
        <v>0</v>
      </c>
      <c r="D21" s="12">
        <v>0</v>
      </c>
      <c r="E21" s="12">
        <v>0</v>
      </c>
      <c r="F21" s="12">
        <v>0</v>
      </c>
      <c r="G21" s="12">
        <v>0</v>
      </c>
      <c r="H21" s="16" t="s">
        <v>32</v>
      </c>
    </row>
  </sheetData>
  <mergeCells count="2">
    <mergeCell ref="D4:E4"/>
    <mergeCell ref="F4:G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zoomScaleNormal="100" zoomScaleSheetLayoutView="100" workbookViewId="0">
      <selection activeCell="A14" sqref="A14"/>
    </sheetView>
  </sheetViews>
  <sheetFormatPr defaultColWidth="9.140625" defaultRowHeight="12.75"/>
  <cols>
    <col min="1" max="6" width="9.140625" style="190"/>
    <col min="7" max="7" width="10.85546875" style="190" customWidth="1"/>
    <col min="8" max="8" width="11.5703125" style="190" customWidth="1"/>
    <col min="9" max="9" width="12.42578125" style="190" customWidth="1"/>
    <col min="10" max="16384" width="9.140625" style="190"/>
  </cols>
  <sheetData>
    <row r="1" spans="1:5" s="181" customFormat="1">
      <c r="A1" s="180" t="s">
        <v>422</v>
      </c>
    </row>
    <row r="2" spans="1:5" s="181" customFormat="1" ht="12.75" customHeight="1">
      <c r="A2" s="181" t="s">
        <v>423</v>
      </c>
    </row>
    <row r="3" spans="1:5" s="181" customFormat="1" ht="12.75" customHeight="1">
      <c r="A3" s="181" t="s">
        <v>424</v>
      </c>
    </row>
    <row r="4" spans="1:5" s="181" customFormat="1" ht="12.75" customHeight="1">
      <c r="A4" s="181" t="s">
        <v>425</v>
      </c>
    </row>
    <row r="5" spans="1:5" s="181" customFormat="1" ht="12.75" customHeight="1">
      <c r="A5" s="181" t="s">
        <v>426</v>
      </c>
    </row>
    <row r="6" spans="1:5" s="181" customFormat="1" ht="12.75" customHeight="1">
      <c r="A6" s="181" t="s">
        <v>427</v>
      </c>
    </row>
    <row r="7" spans="1:5" s="181" customFormat="1" ht="12.75" customHeight="1">
      <c r="A7" s="181" t="s">
        <v>428</v>
      </c>
    </row>
    <row r="8" spans="1:5" s="181" customFormat="1" ht="12.75" customHeight="1">
      <c r="A8" s="181" t="s">
        <v>429</v>
      </c>
    </row>
    <row r="9" spans="1:5" s="181" customFormat="1" ht="12.75" customHeight="1">
      <c r="A9" s="181" t="s">
        <v>430</v>
      </c>
    </row>
    <row r="10" spans="1:5" s="181" customFormat="1" ht="12.75" customHeight="1">
      <c r="B10" s="181" t="s">
        <v>431</v>
      </c>
    </row>
    <row r="11" spans="1:5" s="181" customFormat="1" ht="12.75" customHeight="1">
      <c r="A11" s="181" t="s">
        <v>432</v>
      </c>
    </row>
    <row r="12" spans="1:5" s="181" customFormat="1" ht="12.75" customHeight="1">
      <c r="A12" s="182" t="s">
        <v>433</v>
      </c>
      <c r="B12" s="182"/>
      <c r="C12" s="182"/>
      <c r="D12" s="182"/>
      <c r="E12" s="182"/>
    </row>
    <row r="13" spans="1:5" s="181" customFormat="1" ht="12.75" customHeight="1">
      <c r="A13" s="183" t="s">
        <v>434</v>
      </c>
      <c r="B13" s="182"/>
      <c r="C13" s="182"/>
      <c r="D13" s="182"/>
      <c r="E13" s="182"/>
    </row>
    <row r="14" spans="1:5" s="181" customFormat="1" ht="12.75" customHeight="1">
      <c r="A14" s="181" t="s">
        <v>435</v>
      </c>
    </row>
    <row r="15" spans="1:5" s="181" customFormat="1" ht="12.75" customHeight="1">
      <c r="A15" s="181" t="s">
        <v>436</v>
      </c>
    </row>
    <row r="16" spans="1:5" s="181" customFormat="1" ht="12.75" customHeight="1">
      <c r="A16" s="181" t="s">
        <v>437</v>
      </c>
    </row>
    <row r="17" spans="1:18" s="181" customFormat="1" ht="12.75" customHeight="1">
      <c r="B17" s="181" t="s">
        <v>438</v>
      </c>
    </row>
    <row r="18" spans="1:18" s="181" customFormat="1" ht="12.75" customHeight="1">
      <c r="B18" s="181" t="s">
        <v>439</v>
      </c>
    </row>
    <row r="19" spans="1:18" s="181" customFormat="1" ht="12.75" customHeight="1">
      <c r="B19" s="181" t="s">
        <v>440</v>
      </c>
    </row>
    <row r="20" spans="1:18" s="181" customFormat="1" ht="12.75" customHeight="1">
      <c r="B20" s="181" t="s">
        <v>441</v>
      </c>
    </row>
    <row r="21" spans="1:18" s="181" customFormat="1" ht="12.75" customHeight="1">
      <c r="A21" s="181" t="s">
        <v>442</v>
      </c>
    </row>
    <row r="22" spans="1:18" s="181" customFormat="1" ht="12.75" customHeight="1">
      <c r="B22" s="181" t="s">
        <v>443</v>
      </c>
    </row>
    <row r="23" spans="1:18" s="181" customFormat="1" ht="12.75" customHeight="1">
      <c r="B23" s="181" t="s">
        <v>444</v>
      </c>
    </row>
    <row r="24" spans="1:18" s="181" customFormat="1" ht="12.75" customHeight="1">
      <c r="A24" s="181" t="s">
        <v>445</v>
      </c>
    </row>
    <row r="25" spans="1:18" s="181" customFormat="1" ht="12.75" customHeight="1">
      <c r="A25" s="181" t="s">
        <v>446</v>
      </c>
    </row>
    <row r="26" spans="1:18" s="181" customFormat="1" ht="12.75" customHeight="1">
      <c r="A26" s="181" t="s">
        <v>447</v>
      </c>
    </row>
    <row r="27" spans="1:18" s="181" customFormat="1" ht="27" customHeight="1">
      <c r="G27" s="184" t="s">
        <v>448</v>
      </c>
      <c r="H27" s="184" t="s">
        <v>449</v>
      </c>
      <c r="I27" s="184" t="s">
        <v>450</v>
      </c>
      <c r="J27" s="185"/>
      <c r="K27" s="185"/>
      <c r="L27" s="185"/>
      <c r="M27" s="185"/>
      <c r="N27" s="185"/>
      <c r="O27" s="185"/>
      <c r="P27" s="185"/>
      <c r="Q27" s="185"/>
      <c r="R27" s="185"/>
    </row>
    <row r="28" spans="1:18" s="181" customFormat="1" ht="15" customHeight="1">
      <c r="B28" s="181" t="s">
        <v>451</v>
      </c>
      <c r="C28" s="181" t="s">
        <v>452</v>
      </c>
      <c r="G28" s="186">
        <f>121</f>
        <v>121</v>
      </c>
      <c r="H28" s="184"/>
      <c r="I28" s="184"/>
      <c r="J28" s="185"/>
      <c r="K28" s="185"/>
      <c r="L28" s="185"/>
      <c r="M28" s="185"/>
      <c r="N28" s="185"/>
      <c r="O28" s="185"/>
      <c r="P28" s="185"/>
      <c r="Q28" s="185"/>
      <c r="R28" s="185"/>
    </row>
    <row r="29" spans="1:18" s="181" customFormat="1" ht="12.75" customHeight="1">
      <c r="B29" s="181" t="s">
        <v>451</v>
      </c>
      <c r="C29" s="181" t="s">
        <v>453</v>
      </c>
      <c r="G29" s="187"/>
      <c r="H29" s="187">
        <f>14</f>
        <v>14</v>
      </c>
      <c r="I29" s="187">
        <f>8</f>
        <v>8</v>
      </c>
      <c r="J29" s="185"/>
      <c r="K29" s="185"/>
      <c r="L29" s="185"/>
      <c r="M29" s="185"/>
      <c r="N29" s="185"/>
      <c r="O29" s="185"/>
      <c r="P29" s="185"/>
      <c r="Q29" s="185"/>
      <c r="R29" s="185"/>
    </row>
    <row r="30" spans="1:18" s="181" customFormat="1" ht="12.75" customHeight="1">
      <c r="B30" s="181" t="s">
        <v>454</v>
      </c>
      <c r="C30" s="181" t="s">
        <v>455</v>
      </c>
      <c r="G30" s="187"/>
      <c r="H30" s="187">
        <f>104</f>
        <v>104</v>
      </c>
      <c r="I30" s="187">
        <f>95</f>
        <v>95</v>
      </c>
      <c r="J30" s="185"/>
      <c r="K30" s="185"/>
      <c r="L30" s="185"/>
      <c r="M30" s="185"/>
      <c r="N30" s="185"/>
      <c r="O30" s="185"/>
      <c r="P30" s="185"/>
      <c r="Q30" s="185"/>
      <c r="R30" s="185"/>
    </row>
    <row r="31" spans="1:18" s="181" customFormat="1" ht="12.75" customHeight="1">
      <c r="B31" s="181" t="s">
        <v>456</v>
      </c>
      <c r="C31" s="181" t="s">
        <v>457</v>
      </c>
      <c r="G31" s="187"/>
      <c r="H31" s="187">
        <f>20</f>
        <v>20</v>
      </c>
      <c r="I31" s="187"/>
      <c r="J31" s="185"/>
      <c r="K31" s="185"/>
      <c r="L31" s="185"/>
      <c r="M31" s="185"/>
      <c r="N31" s="185"/>
      <c r="O31" s="185"/>
      <c r="P31" s="185"/>
      <c r="Q31" s="185"/>
      <c r="R31" s="185"/>
    </row>
    <row r="32" spans="1:18" s="181" customFormat="1" ht="12.75" customHeight="1">
      <c r="B32" s="181" t="s">
        <v>458</v>
      </c>
      <c r="C32" s="181" t="s">
        <v>459</v>
      </c>
      <c r="G32" s="187">
        <f>2</f>
        <v>2</v>
      </c>
      <c r="H32" s="187"/>
      <c r="I32" s="187"/>
      <c r="J32" s="185"/>
      <c r="K32" s="185"/>
      <c r="L32" s="185"/>
      <c r="M32" s="185"/>
      <c r="N32" s="185"/>
      <c r="O32" s="185"/>
      <c r="P32" s="185"/>
      <c r="Q32" s="185"/>
      <c r="R32" s="185"/>
    </row>
    <row r="33" spans="1:18" s="181" customFormat="1" ht="12.75" customHeight="1">
      <c r="B33" s="181" t="s">
        <v>460</v>
      </c>
      <c r="C33" s="181" t="s">
        <v>461</v>
      </c>
      <c r="G33" s="187">
        <f>19</f>
        <v>19</v>
      </c>
      <c r="H33" s="187"/>
      <c r="I33" s="187"/>
      <c r="J33" s="185"/>
      <c r="K33" s="185"/>
      <c r="L33" s="185"/>
      <c r="M33" s="185"/>
      <c r="N33" s="185"/>
      <c r="O33" s="185"/>
      <c r="P33" s="185"/>
      <c r="Q33" s="185"/>
      <c r="R33" s="185"/>
    </row>
    <row r="34" spans="1:18" s="181" customFormat="1" ht="12.75" customHeight="1">
      <c r="B34" s="181" t="s">
        <v>462</v>
      </c>
      <c r="D34" s="181" t="s">
        <v>463</v>
      </c>
      <c r="G34" s="187">
        <f>2</f>
        <v>2</v>
      </c>
      <c r="H34" s="187"/>
      <c r="I34" s="187"/>
      <c r="J34" s="185"/>
      <c r="K34" s="185"/>
      <c r="L34" s="185"/>
      <c r="M34" s="185"/>
      <c r="N34" s="185"/>
      <c r="O34" s="185"/>
      <c r="P34" s="185"/>
      <c r="Q34" s="185"/>
      <c r="R34" s="185"/>
    </row>
    <row r="35" spans="1:18" s="181" customFormat="1" ht="12.75" customHeight="1">
      <c r="B35" s="181" t="s">
        <v>464</v>
      </c>
      <c r="D35" s="181" t="s">
        <v>465</v>
      </c>
      <c r="G35" s="187">
        <f>3</f>
        <v>3</v>
      </c>
      <c r="H35" s="187"/>
      <c r="I35" s="187"/>
      <c r="J35" s="185"/>
      <c r="K35" s="185"/>
      <c r="L35" s="185"/>
      <c r="M35" s="185"/>
      <c r="N35" s="185"/>
      <c r="O35" s="185"/>
      <c r="P35" s="185"/>
      <c r="Q35" s="185"/>
      <c r="R35" s="185"/>
    </row>
    <row r="36" spans="1:18" s="181" customFormat="1" ht="12.75" customHeight="1">
      <c r="B36" s="181" t="s">
        <v>466</v>
      </c>
      <c r="C36" s="181" t="s">
        <v>467</v>
      </c>
      <c r="G36" s="187">
        <f>4</f>
        <v>4</v>
      </c>
      <c r="H36" s="187">
        <f>4</f>
        <v>4</v>
      </c>
      <c r="I36" s="187">
        <f>4</f>
        <v>4</v>
      </c>
      <c r="J36" s="185"/>
      <c r="K36" s="185"/>
      <c r="L36" s="185"/>
      <c r="M36" s="185"/>
      <c r="N36" s="185"/>
      <c r="O36" s="185"/>
      <c r="P36" s="185"/>
      <c r="Q36" s="185"/>
      <c r="R36" s="185"/>
    </row>
    <row r="37" spans="1:18" s="181" customFormat="1" ht="12.75" customHeight="1">
      <c r="G37" s="188">
        <f>SUM(G28:G36)</f>
        <v>151</v>
      </c>
      <c r="H37" s="188">
        <f>SUM(H28:H36)</f>
        <v>142</v>
      </c>
      <c r="I37" s="188">
        <f>SUM(I28:I36)</f>
        <v>107</v>
      </c>
      <c r="J37" s="189"/>
      <c r="K37" s="189"/>
      <c r="L37" s="189"/>
      <c r="M37" s="189"/>
      <c r="N37" s="189"/>
      <c r="O37" s="189"/>
      <c r="P37" s="189"/>
      <c r="Q37" s="189"/>
      <c r="R37" s="189"/>
    </row>
    <row r="38" spans="1:18" s="181" customFormat="1" ht="12.75" customHeight="1">
      <c r="A38" s="181" t="s">
        <v>468</v>
      </c>
    </row>
    <row r="39" spans="1:18" s="181" customFormat="1" ht="12.75" customHeight="1">
      <c r="G39" s="187" t="s">
        <v>469</v>
      </c>
      <c r="H39" s="187" t="s">
        <v>470</v>
      </c>
      <c r="I39" s="187" t="s">
        <v>471</v>
      </c>
      <c r="J39" s="187" t="s">
        <v>472</v>
      </c>
      <c r="K39" s="187" t="s">
        <v>473</v>
      </c>
      <c r="L39" s="187" t="s">
        <v>474</v>
      </c>
      <c r="M39" s="187" t="s">
        <v>475</v>
      </c>
      <c r="N39" s="187" t="s">
        <v>476</v>
      </c>
      <c r="O39" s="187" t="s">
        <v>477</v>
      </c>
      <c r="P39" s="187" t="s">
        <v>478</v>
      </c>
      <c r="Q39" s="187" t="s">
        <v>479</v>
      </c>
      <c r="R39" s="187" t="s">
        <v>480</v>
      </c>
    </row>
    <row r="40" spans="1:18" s="181" customFormat="1" ht="12.75" customHeight="1">
      <c r="B40" s="181" t="s">
        <v>451</v>
      </c>
      <c r="C40" s="181" t="s">
        <v>481</v>
      </c>
      <c r="G40" s="187">
        <v>6</v>
      </c>
      <c r="H40" s="187"/>
      <c r="I40" s="187">
        <v>6</v>
      </c>
      <c r="J40" s="187"/>
      <c r="K40" s="187">
        <v>6</v>
      </c>
      <c r="L40" s="187"/>
      <c r="M40" s="187">
        <v>6</v>
      </c>
      <c r="N40" s="187"/>
      <c r="O40" s="187">
        <v>6</v>
      </c>
      <c r="P40" s="187"/>
      <c r="Q40" s="187">
        <v>6</v>
      </c>
      <c r="R40" s="187"/>
    </row>
    <row r="41" spans="1:18" s="181" customFormat="1" ht="12.75" customHeight="1">
      <c r="B41" s="181" t="s">
        <v>454</v>
      </c>
      <c r="C41" s="181" t="s">
        <v>482</v>
      </c>
      <c r="G41" s="187">
        <v>1</v>
      </c>
      <c r="H41" s="187">
        <v>2</v>
      </c>
      <c r="I41" s="187">
        <v>1</v>
      </c>
      <c r="J41" s="187">
        <v>2</v>
      </c>
      <c r="K41" s="187">
        <v>1</v>
      </c>
      <c r="L41" s="187">
        <v>2</v>
      </c>
      <c r="M41" s="187">
        <v>1</v>
      </c>
      <c r="N41" s="187">
        <v>1</v>
      </c>
      <c r="O41" s="187">
        <v>1</v>
      </c>
      <c r="P41" s="187">
        <v>1</v>
      </c>
      <c r="Q41" s="187">
        <v>1</v>
      </c>
      <c r="R41" s="187">
        <v>1</v>
      </c>
    </row>
    <row r="42" spans="1:18" s="181" customFormat="1" ht="12.75" customHeight="1">
      <c r="B42" s="181" t="s">
        <v>456</v>
      </c>
      <c r="C42" s="181" t="s">
        <v>483</v>
      </c>
      <c r="G42" s="187">
        <v>1</v>
      </c>
      <c r="H42" s="187"/>
      <c r="I42" s="187"/>
      <c r="J42" s="187"/>
      <c r="K42" s="187"/>
      <c r="L42" s="187"/>
      <c r="M42" s="187"/>
      <c r="N42" s="187"/>
      <c r="O42" s="187"/>
      <c r="P42" s="187"/>
      <c r="Q42" s="187"/>
      <c r="R42" s="187"/>
    </row>
    <row r="43" spans="1:18" s="181" customFormat="1" ht="12.75" customHeight="1">
      <c r="B43" s="181" t="s">
        <v>458</v>
      </c>
      <c r="C43" s="181" t="s">
        <v>484</v>
      </c>
      <c r="G43" s="187"/>
      <c r="H43" s="187">
        <v>2</v>
      </c>
      <c r="I43" s="187"/>
      <c r="J43" s="187">
        <v>2</v>
      </c>
      <c r="K43" s="187"/>
      <c r="L43" s="187">
        <v>2</v>
      </c>
      <c r="M43" s="187"/>
      <c r="N43" s="187">
        <v>2</v>
      </c>
      <c r="O43" s="187"/>
      <c r="P43" s="187">
        <v>2</v>
      </c>
      <c r="Q43" s="187"/>
      <c r="R43" s="187">
        <v>2</v>
      </c>
    </row>
    <row r="44" spans="1:18" s="181" customFormat="1" ht="12.75" customHeight="1">
      <c r="B44" s="181" t="s">
        <v>460</v>
      </c>
      <c r="C44" s="181" t="s">
        <v>485</v>
      </c>
      <c r="G44" s="187">
        <v>4</v>
      </c>
      <c r="H44" s="187">
        <v>5</v>
      </c>
      <c r="I44" s="187">
        <v>4</v>
      </c>
      <c r="J44" s="187">
        <v>4</v>
      </c>
      <c r="K44" s="187">
        <v>4</v>
      </c>
      <c r="L44" s="187">
        <v>5</v>
      </c>
      <c r="M44" s="187">
        <v>4</v>
      </c>
      <c r="N44" s="187">
        <v>5</v>
      </c>
      <c r="O44" s="187">
        <v>4</v>
      </c>
      <c r="P44" s="187">
        <v>4</v>
      </c>
      <c r="Q44" s="187">
        <v>4</v>
      </c>
      <c r="R44" s="187">
        <v>5</v>
      </c>
    </row>
    <row r="45" spans="1:18" s="181" customFormat="1" ht="12.75" customHeight="1">
      <c r="B45" s="181" t="s">
        <v>462</v>
      </c>
      <c r="D45" s="181" t="s">
        <v>486</v>
      </c>
      <c r="G45" s="187"/>
      <c r="H45" s="187">
        <v>1</v>
      </c>
      <c r="I45" s="187"/>
      <c r="J45" s="187">
        <v>1</v>
      </c>
      <c r="K45" s="187"/>
      <c r="L45" s="187">
        <v>1</v>
      </c>
      <c r="M45" s="187"/>
      <c r="N45" s="187">
        <v>1</v>
      </c>
      <c r="O45" s="187"/>
      <c r="P45" s="187">
        <v>1</v>
      </c>
      <c r="Q45" s="187"/>
      <c r="R45" s="187">
        <v>1</v>
      </c>
    </row>
    <row r="46" spans="1:18" s="181" customFormat="1" ht="12.75" customHeight="1">
      <c r="B46" s="181" t="s">
        <v>464</v>
      </c>
      <c r="G46" s="187"/>
      <c r="H46" s="187"/>
      <c r="I46" s="187"/>
      <c r="J46" s="187"/>
      <c r="K46" s="187"/>
      <c r="L46" s="187"/>
      <c r="M46" s="187"/>
      <c r="N46" s="187"/>
      <c r="O46" s="187"/>
      <c r="P46" s="187"/>
      <c r="Q46" s="187"/>
      <c r="R46" s="187"/>
    </row>
    <row r="47" spans="1:18" s="181" customFormat="1" ht="12.75" customHeight="1">
      <c r="B47" s="181" t="s">
        <v>466</v>
      </c>
      <c r="C47" s="181" t="s">
        <v>487</v>
      </c>
      <c r="G47" s="187"/>
      <c r="H47" s="187">
        <v>8</v>
      </c>
      <c r="I47" s="187"/>
      <c r="J47" s="187">
        <v>8</v>
      </c>
      <c r="K47" s="187"/>
      <c r="L47" s="187">
        <v>8</v>
      </c>
      <c r="M47" s="187"/>
      <c r="N47" s="187">
        <v>8</v>
      </c>
      <c r="O47" s="187"/>
      <c r="P47" s="187">
        <v>8</v>
      </c>
      <c r="Q47" s="187"/>
      <c r="R47" s="187">
        <v>8</v>
      </c>
    </row>
    <row r="48" spans="1:18" s="181" customFormat="1" ht="12.75" customHeight="1">
      <c r="G48" s="188">
        <f>SUM(G40:G47)</f>
        <v>12</v>
      </c>
      <c r="H48" s="188">
        <f t="shared" ref="H48:R48" si="0">SUM(H40:H47)</f>
        <v>18</v>
      </c>
      <c r="I48" s="188">
        <f t="shared" si="0"/>
        <v>11</v>
      </c>
      <c r="J48" s="188">
        <f t="shared" si="0"/>
        <v>17</v>
      </c>
      <c r="K48" s="188">
        <f t="shared" si="0"/>
        <v>11</v>
      </c>
      <c r="L48" s="188">
        <f t="shared" si="0"/>
        <v>18</v>
      </c>
      <c r="M48" s="188">
        <f t="shared" si="0"/>
        <v>11</v>
      </c>
      <c r="N48" s="188">
        <f t="shared" si="0"/>
        <v>17</v>
      </c>
      <c r="O48" s="188">
        <f t="shared" si="0"/>
        <v>11</v>
      </c>
      <c r="P48" s="188">
        <f t="shared" si="0"/>
        <v>16</v>
      </c>
      <c r="Q48" s="188">
        <f t="shared" si="0"/>
        <v>11</v>
      </c>
      <c r="R48" s="188">
        <f t="shared" si="0"/>
        <v>17</v>
      </c>
    </row>
    <row r="49" spans="1:18" s="181" customFormat="1" ht="12.75" customHeight="1">
      <c r="B49" s="181" t="s">
        <v>488</v>
      </c>
    </row>
    <row r="50" spans="1:18" s="181" customFormat="1" ht="12.75" customHeight="1">
      <c r="B50" s="180" t="s">
        <v>489</v>
      </c>
    </row>
    <row r="51" spans="1:18" s="181" customFormat="1" ht="12.75" customHeight="1">
      <c r="B51" s="181" t="s">
        <v>490</v>
      </c>
      <c r="F51" s="181" t="s">
        <v>491</v>
      </c>
      <c r="G51" s="181">
        <f>G42+G43+G44/3+G40/3+G47/3</f>
        <v>4.333333333333333</v>
      </c>
      <c r="H51" s="181">
        <f t="shared" ref="H51:R51" si="1">H42+H43+H44/3+H40/3+H47/3</f>
        <v>6.3333333333333339</v>
      </c>
      <c r="I51" s="181">
        <f t="shared" si="1"/>
        <v>3.333333333333333</v>
      </c>
      <c r="J51" s="181">
        <f t="shared" si="1"/>
        <v>6</v>
      </c>
      <c r="K51" s="181">
        <f t="shared" si="1"/>
        <v>3.333333333333333</v>
      </c>
      <c r="L51" s="181">
        <f t="shared" si="1"/>
        <v>6.3333333333333339</v>
      </c>
      <c r="M51" s="181">
        <f t="shared" si="1"/>
        <v>3.333333333333333</v>
      </c>
      <c r="N51" s="181">
        <f t="shared" si="1"/>
        <v>6.3333333333333339</v>
      </c>
      <c r="O51" s="181">
        <f t="shared" si="1"/>
        <v>3.333333333333333</v>
      </c>
      <c r="P51" s="181">
        <f t="shared" si="1"/>
        <v>6</v>
      </c>
      <c r="Q51" s="181">
        <f t="shared" si="1"/>
        <v>3.333333333333333</v>
      </c>
      <c r="R51" s="181">
        <f t="shared" si="1"/>
        <v>6.3333333333333339</v>
      </c>
    </row>
    <row r="52" spans="1:18" s="181" customFormat="1" ht="12.75" customHeight="1">
      <c r="B52" s="181" t="s">
        <v>492</v>
      </c>
      <c r="F52" s="181" t="s">
        <v>493</v>
      </c>
      <c r="G52" s="181">
        <f>G40*2/3+G41*0.5+G42+G43+G44*2/3+G45+G47*2/3</f>
        <v>8.1666666666666661</v>
      </c>
      <c r="H52" s="181">
        <f t="shared" ref="H52:R52" si="2">H40*2/3+H41*0.5+H42+H43+H44*2/3+H45+H47*2/3</f>
        <v>12.666666666666668</v>
      </c>
      <c r="I52" s="181">
        <f t="shared" si="2"/>
        <v>7.1666666666666661</v>
      </c>
      <c r="J52" s="181">
        <f t="shared" si="2"/>
        <v>12</v>
      </c>
      <c r="K52" s="181">
        <f t="shared" si="2"/>
        <v>7.1666666666666661</v>
      </c>
      <c r="L52" s="181">
        <f t="shared" si="2"/>
        <v>12.666666666666668</v>
      </c>
      <c r="M52" s="181">
        <f t="shared" si="2"/>
        <v>7.1666666666666661</v>
      </c>
      <c r="N52" s="181">
        <f t="shared" si="2"/>
        <v>12.166666666666668</v>
      </c>
      <c r="O52" s="181">
        <f t="shared" si="2"/>
        <v>7.1666666666666661</v>
      </c>
      <c r="P52" s="181">
        <f t="shared" si="2"/>
        <v>11.5</v>
      </c>
      <c r="Q52" s="181">
        <f t="shared" si="2"/>
        <v>7.1666666666666661</v>
      </c>
      <c r="R52" s="181">
        <f t="shared" si="2"/>
        <v>12.166666666666668</v>
      </c>
    </row>
    <row r="53" spans="1:18" s="181" customFormat="1">
      <c r="A53" s="181" t="s">
        <v>494</v>
      </c>
    </row>
    <row r="54" spans="1:18" s="181" customFormat="1">
      <c r="A54" s="181" t="s">
        <v>495</v>
      </c>
    </row>
    <row r="55" spans="1:18" s="181" customFormat="1">
      <c r="A55" s="181" t="s">
        <v>496</v>
      </c>
    </row>
    <row r="56" spans="1:18" s="181" customFormat="1">
      <c r="A56" s="181" t="s">
        <v>497</v>
      </c>
    </row>
    <row r="57" spans="1:18" s="181" customFormat="1">
      <c r="A57" s="181" t="s">
        <v>498</v>
      </c>
    </row>
    <row r="58" spans="1:18" s="181" customFormat="1">
      <c r="A58" s="181" t="s">
        <v>499</v>
      </c>
    </row>
    <row r="59" spans="1:18" s="181" customFormat="1"/>
    <row r="60" spans="1:18" s="181" customFormat="1">
      <c r="A60" s="181" t="s">
        <v>500</v>
      </c>
      <c r="D60" s="181" t="s">
        <v>501</v>
      </c>
    </row>
    <row r="61" spans="1:18" s="181" customFormat="1"/>
    <row r="62" spans="1:18" s="181" customFormat="1"/>
    <row r="63" spans="1:18" s="181" customFormat="1"/>
    <row r="64" spans="1:18" s="181" customFormat="1"/>
    <row r="65" s="181" customFormat="1"/>
    <row r="66" s="181" customFormat="1"/>
    <row r="67" s="181" customFormat="1"/>
    <row r="68" s="181" customFormat="1"/>
    <row r="69" s="181" customFormat="1"/>
    <row r="70" s="181" customFormat="1"/>
    <row r="71" s="181" customFormat="1"/>
    <row r="72" s="181" customFormat="1"/>
    <row r="73" s="181" customFormat="1"/>
    <row r="74" s="181" customFormat="1"/>
  </sheetData>
  <pageMargins left="0.75" right="0.75" top="1" bottom="1" header="0.5" footer="0.5"/>
  <pageSetup paperSize="3" orientation="landscape" r:id="rId1"/>
  <headerFooter alignWithMargins="0">
    <oddHeader>&amp;L&amp;A&amp;R&amp;D</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U26"/>
  <sheetViews>
    <sheetView showGridLines="0" zoomScaleNormal="100" zoomScaleSheetLayoutView="115" workbookViewId="0">
      <selection activeCell="A14" sqref="A14"/>
    </sheetView>
  </sheetViews>
  <sheetFormatPr defaultColWidth="9.140625" defaultRowHeight="12.75"/>
  <cols>
    <col min="1" max="1" width="9.140625" style="191"/>
    <col min="2" max="2" width="30.5703125" style="181" customWidth="1"/>
    <col min="3" max="3" width="5.28515625" style="181" bestFit="1" customWidth="1"/>
    <col min="4" max="6" width="2.7109375" style="181" customWidth="1"/>
    <col min="7" max="7" width="4.42578125" style="181" customWidth="1"/>
    <col min="8" max="8" width="4.7109375" style="181" customWidth="1"/>
    <col min="9" max="9" width="7.5703125" style="181" customWidth="1"/>
    <col min="10" max="48" width="2.7109375" style="181" hidden="1" customWidth="1"/>
    <col min="49" max="87" width="3.28515625" style="181" hidden="1" customWidth="1"/>
    <col min="88" max="111" width="3.28515625" style="181" customWidth="1"/>
    <col min="112" max="112" width="3.5703125" style="193" customWidth="1"/>
    <col min="113" max="113" width="7.28515625" style="193" customWidth="1"/>
    <col min="114" max="114" width="4.140625" style="193" bestFit="1" customWidth="1"/>
    <col min="115" max="115" width="6.28515625" style="194" bestFit="1" customWidth="1"/>
    <col min="116" max="116" width="4" style="193" bestFit="1" customWidth="1"/>
    <col min="117" max="118" width="4" style="181" bestFit="1" customWidth="1"/>
    <col min="119" max="119" width="4.140625" style="181" bestFit="1" customWidth="1"/>
    <col min="120" max="120" width="4.42578125" style="181" bestFit="1" customWidth="1"/>
    <col min="121" max="122" width="4.7109375" style="181" bestFit="1" customWidth="1"/>
    <col min="123" max="124" width="5" style="181" bestFit="1" customWidth="1"/>
    <col min="125" max="128" width="4.85546875" style="181" bestFit="1" customWidth="1"/>
    <col min="129" max="132" width="5" style="181" bestFit="1" customWidth="1"/>
    <col min="133" max="134" width="5.28515625" style="181" bestFit="1" customWidth="1"/>
    <col min="135" max="138" width="5.140625" style="181" bestFit="1" customWidth="1"/>
    <col min="139" max="140" width="5.28515625" style="181" bestFit="1" customWidth="1"/>
    <col min="141" max="141" width="5" style="181" bestFit="1" customWidth="1"/>
    <col min="142" max="202" width="5" style="181" customWidth="1"/>
    <col min="203" max="203" width="9.85546875" style="181" customWidth="1"/>
    <col min="204" max="16384" width="9.140625" style="181"/>
  </cols>
  <sheetData>
    <row r="1" spans="1:203">
      <c r="C1" s="719" t="s">
        <v>502</v>
      </c>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c r="AO1" s="719"/>
      <c r="AP1" s="719"/>
      <c r="AQ1" s="719"/>
      <c r="AR1" s="719"/>
      <c r="AS1" s="719"/>
      <c r="AT1" s="719"/>
      <c r="AU1" s="719"/>
      <c r="AV1" s="719"/>
      <c r="AW1" s="719"/>
      <c r="AX1" s="192"/>
    </row>
    <row r="2" spans="1:203">
      <c r="A2" s="195"/>
      <c r="B2" s="190" t="s">
        <v>503</v>
      </c>
      <c r="C2" s="720" t="s">
        <v>504</v>
      </c>
      <c r="D2" s="720"/>
      <c r="E2" s="720"/>
      <c r="F2" s="720"/>
      <c r="G2" s="720"/>
      <c r="H2" s="720"/>
      <c r="I2" s="720"/>
      <c r="J2" s="720"/>
      <c r="K2" s="720"/>
      <c r="L2" s="720"/>
      <c r="M2" s="720"/>
      <c r="N2" s="720"/>
      <c r="O2" s="720"/>
      <c r="P2" s="720"/>
      <c r="Q2" s="720"/>
      <c r="R2" s="720"/>
      <c r="S2" s="720"/>
      <c r="T2" s="720"/>
      <c r="U2" s="720"/>
      <c r="V2" s="720"/>
      <c r="W2" s="720"/>
      <c r="X2" s="720"/>
      <c r="Y2" s="720"/>
      <c r="Z2" s="720"/>
      <c r="AA2" s="720"/>
      <c r="AB2" s="720"/>
      <c r="AC2" s="720"/>
      <c r="AD2" s="720"/>
      <c r="AE2" s="720"/>
      <c r="AF2" s="720"/>
      <c r="AG2" s="720"/>
      <c r="AH2" s="720"/>
      <c r="AI2" s="720"/>
      <c r="AJ2" s="720"/>
      <c r="AK2" s="720"/>
      <c r="AL2" s="720"/>
      <c r="AM2" s="720"/>
      <c r="AN2" s="720"/>
      <c r="AO2" s="720"/>
      <c r="AP2" s="720"/>
      <c r="AQ2" s="720"/>
      <c r="AR2" s="720"/>
      <c r="AS2" s="720"/>
      <c r="AT2" s="720"/>
      <c r="AU2" s="720"/>
      <c r="AV2" s="720"/>
      <c r="AW2" s="720"/>
      <c r="AX2" s="196"/>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row>
    <row r="3" spans="1:203">
      <c r="B3" s="193"/>
      <c r="C3" s="721"/>
      <c r="D3" s="721"/>
      <c r="E3" s="721"/>
      <c r="F3" s="721"/>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P3" s="719"/>
      <c r="AQ3" s="719"/>
      <c r="AR3" s="719"/>
      <c r="AS3" s="719"/>
      <c r="AT3" s="719"/>
      <c r="AU3" s="719"/>
      <c r="AV3" s="719"/>
      <c r="AW3" s="719"/>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row>
    <row r="4" spans="1:203">
      <c r="A4" s="197"/>
      <c r="B4" s="722" t="s">
        <v>505</v>
      </c>
      <c r="C4" s="723" t="s">
        <v>506</v>
      </c>
      <c r="D4" s="723" t="s">
        <v>507</v>
      </c>
      <c r="E4" s="723" t="s">
        <v>508</v>
      </c>
      <c r="F4" s="718" t="s">
        <v>509</v>
      </c>
      <c r="G4" s="724" t="s">
        <v>510</v>
      </c>
      <c r="H4" s="724" t="s">
        <v>511</v>
      </c>
      <c r="I4" s="713" t="s">
        <v>512</v>
      </c>
      <c r="J4" s="716" t="s">
        <v>513</v>
      </c>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717"/>
      <c r="AL4" s="717"/>
      <c r="AM4" s="717"/>
      <c r="AN4" s="717"/>
      <c r="AO4" s="717"/>
      <c r="AP4" s="717"/>
      <c r="AQ4" s="717"/>
      <c r="AR4" s="717"/>
      <c r="AS4" s="717"/>
      <c r="AT4" s="717"/>
      <c r="AU4" s="717"/>
      <c r="AV4" s="717"/>
      <c r="AW4" s="717"/>
      <c r="AX4" s="198"/>
      <c r="AY4" s="199"/>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row>
    <row r="5" spans="1:203">
      <c r="A5" s="197"/>
      <c r="B5" s="722"/>
      <c r="C5" s="723"/>
      <c r="D5" s="723"/>
      <c r="E5" s="723"/>
      <c r="F5" s="718"/>
      <c r="G5" s="725"/>
      <c r="H5" s="725"/>
      <c r="I5" s="714"/>
      <c r="J5" s="718" t="s">
        <v>514</v>
      </c>
      <c r="K5" s="708"/>
      <c r="L5" s="708"/>
      <c r="M5" s="708"/>
      <c r="N5" s="708"/>
      <c r="O5" s="709"/>
      <c r="P5" s="718">
        <v>2015</v>
      </c>
      <c r="Q5" s="708"/>
      <c r="R5" s="708"/>
      <c r="S5" s="708"/>
      <c r="T5" s="708"/>
      <c r="U5" s="708"/>
      <c r="V5" s="708"/>
      <c r="W5" s="708"/>
      <c r="X5" s="708"/>
      <c r="Y5" s="708"/>
      <c r="Z5" s="708"/>
      <c r="AA5" s="709"/>
      <c r="AB5" s="718">
        <v>2016</v>
      </c>
      <c r="AC5" s="708"/>
      <c r="AD5" s="708"/>
      <c r="AE5" s="708"/>
      <c r="AF5" s="708"/>
      <c r="AG5" s="708"/>
      <c r="AH5" s="708"/>
      <c r="AI5" s="708"/>
      <c r="AJ5" s="708"/>
      <c r="AK5" s="708"/>
      <c r="AL5" s="708"/>
      <c r="AM5" s="709"/>
      <c r="AN5" s="718">
        <v>2017</v>
      </c>
      <c r="AO5" s="708"/>
      <c r="AP5" s="708"/>
      <c r="AQ5" s="708"/>
      <c r="AR5" s="708"/>
      <c r="AS5" s="708"/>
      <c r="AT5" s="708"/>
      <c r="AU5" s="708"/>
      <c r="AV5" s="708"/>
      <c r="AW5" s="708"/>
      <c r="AX5" s="708"/>
      <c r="AY5" s="709"/>
      <c r="AZ5" s="707">
        <v>2018</v>
      </c>
      <c r="BA5" s="708"/>
      <c r="BB5" s="708"/>
      <c r="BC5" s="708"/>
      <c r="BD5" s="708"/>
      <c r="BE5" s="708"/>
      <c r="BF5" s="708"/>
      <c r="BG5" s="708"/>
      <c r="BH5" s="708"/>
      <c r="BI5" s="708"/>
      <c r="BJ5" s="708"/>
      <c r="BK5" s="709"/>
      <c r="BL5" s="707">
        <v>2019</v>
      </c>
      <c r="BM5" s="708"/>
      <c r="BN5" s="708"/>
      <c r="BO5" s="708"/>
      <c r="BP5" s="708"/>
      <c r="BQ5" s="708"/>
      <c r="BR5" s="708"/>
      <c r="BS5" s="708"/>
      <c r="BT5" s="708"/>
      <c r="BU5" s="708"/>
      <c r="BV5" s="708"/>
      <c r="BW5" s="709"/>
      <c r="BX5" s="707">
        <v>2020</v>
      </c>
      <c r="BY5" s="708"/>
      <c r="BZ5" s="708"/>
      <c r="CA5" s="708"/>
      <c r="CB5" s="708"/>
      <c r="CC5" s="708"/>
      <c r="CD5" s="708"/>
      <c r="CE5" s="708"/>
      <c r="CF5" s="708"/>
      <c r="CG5" s="708"/>
      <c r="CH5" s="708"/>
      <c r="CI5" s="709"/>
      <c r="CJ5" s="707">
        <v>2021</v>
      </c>
      <c r="CK5" s="708"/>
      <c r="CL5" s="708"/>
      <c r="CM5" s="708"/>
      <c r="CN5" s="708"/>
      <c r="CO5" s="708"/>
      <c r="CP5" s="708"/>
      <c r="CQ5" s="708"/>
      <c r="CR5" s="708"/>
      <c r="CS5" s="708"/>
      <c r="CT5" s="708"/>
      <c r="CU5" s="709"/>
      <c r="CV5" s="707">
        <v>2022</v>
      </c>
      <c r="CW5" s="708"/>
      <c r="CX5" s="708"/>
      <c r="CY5" s="708"/>
      <c r="CZ5" s="708"/>
      <c r="DA5" s="708"/>
      <c r="DB5" s="708"/>
      <c r="DC5" s="708"/>
      <c r="DD5" s="708"/>
      <c r="DE5" s="708"/>
      <c r="DF5" s="708"/>
      <c r="DG5" s="709"/>
    </row>
    <row r="6" spans="1:203" ht="17.25">
      <c r="A6" s="201" t="s">
        <v>515</v>
      </c>
      <c r="B6" s="722"/>
      <c r="C6" s="723"/>
      <c r="D6" s="723"/>
      <c r="E6" s="723"/>
      <c r="F6" s="723"/>
      <c r="G6" s="726"/>
      <c r="H6" s="726"/>
      <c r="I6" s="715"/>
      <c r="J6" s="202">
        <v>1</v>
      </c>
      <c r="K6" s="203">
        <v>2</v>
      </c>
      <c r="L6" s="202">
        <v>3</v>
      </c>
      <c r="M6" s="202">
        <v>4</v>
      </c>
      <c r="N6" s="202">
        <v>5</v>
      </c>
      <c r="O6" s="203">
        <v>6</v>
      </c>
      <c r="P6" s="203">
        <v>7</v>
      </c>
      <c r="Q6" s="203">
        <v>8</v>
      </c>
      <c r="R6" s="202">
        <v>9</v>
      </c>
      <c r="S6" s="202">
        <v>10</v>
      </c>
      <c r="T6" s="202">
        <v>11</v>
      </c>
      <c r="U6" s="204">
        <v>12</v>
      </c>
      <c r="V6" s="205">
        <v>13</v>
      </c>
      <c r="W6" s="202">
        <v>14</v>
      </c>
      <c r="X6" s="202">
        <v>15</v>
      </c>
      <c r="Y6" s="202">
        <v>16</v>
      </c>
      <c r="Z6" s="202">
        <v>17</v>
      </c>
      <c r="AA6" s="202">
        <v>18</v>
      </c>
      <c r="AB6" s="202">
        <v>19</v>
      </c>
      <c r="AC6" s="202">
        <v>20</v>
      </c>
      <c r="AD6" s="202">
        <v>21</v>
      </c>
      <c r="AE6" s="202">
        <v>22</v>
      </c>
      <c r="AF6" s="202">
        <v>23</v>
      </c>
      <c r="AG6" s="204">
        <v>24</v>
      </c>
      <c r="AH6" s="205">
        <v>25</v>
      </c>
      <c r="AI6" s="202">
        <v>26</v>
      </c>
      <c r="AJ6" s="202">
        <v>27</v>
      </c>
      <c r="AK6" s="202">
        <v>28</v>
      </c>
      <c r="AL6" s="202">
        <v>29</v>
      </c>
      <c r="AM6" s="202">
        <v>30</v>
      </c>
      <c r="AN6" s="202">
        <v>31</v>
      </c>
      <c r="AO6" s="202">
        <v>32</v>
      </c>
      <c r="AP6" s="202">
        <v>33</v>
      </c>
      <c r="AQ6" s="202">
        <v>34</v>
      </c>
      <c r="AR6" s="202">
        <v>35</v>
      </c>
      <c r="AS6" s="204">
        <v>36</v>
      </c>
      <c r="AT6" s="206">
        <v>37</v>
      </c>
      <c r="AU6" s="207">
        <v>38</v>
      </c>
      <c r="AV6" s="207">
        <v>39</v>
      </c>
      <c r="AW6" s="207">
        <v>40</v>
      </c>
      <c r="AX6" s="207">
        <v>41</v>
      </c>
      <c r="AY6" s="207">
        <v>42</v>
      </c>
      <c r="AZ6" s="208">
        <f>1+AY6</f>
        <v>43</v>
      </c>
      <c r="BA6" s="208">
        <f t="shared" ref="BA6:BK6" si="0">1+AZ6</f>
        <v>44</v>
      </c>
      <c r="BB6" s="208">
        <f t="shared" si="0"/>
        <v>45</v>
      </c>
      <c r="BC6" s="208">
        <f t="shared" si="0"/>
        <v>46</v>
      </c>
      <c r="BD6" s="208">
        <f t="shared" si="0"/>
        <v>47</v>
      </c>
      <c r="BE6" s="208">
        <f t="shared" si="0"/>
        <v>48</v>
      </c>
      <c r="BF6" s="208">
        <f t="shared" si="0"/>
        <v>49</v>
      </c>
      <c r="BG6" s="208">
        <f t="shared" si="0"/>
        <v>50</v>
      </c>
      <c r="BH6" s="208">
        <f t="shared" si="0"/>
        <v>51</v>
      </c>
      <c r="BI6" s="208">
        <f t="shared" si="0"/>
        <v>52</v>
      </c>
      <c r="BJ6" s="208">
        <f t="shared" si="0"/>
        <v>53</v>
      </c>
      <c r="BK6" s="208">
        <f t="shared" si="0"/>
        <v>54</v>
      </c>
      <c r="BL6" s="208">
        <f>1+BK6</f>
        <v>55</v>
      </c>
      <c r="BM6" s="208">
        <f t="shared" ref="BM6:BW6" si="1">1+BL6</f>
        <v>56</v>
      </c>
      <c r="BN6" s="208">
        <f t="shared" si="1"/>
        <v>57</v>
      </c>
      <c r="BO6" s="208">
        <f t="shared" si="1"/>
        <v>58</v>
      </c>
      <c r="BP6" s="208">
        <f t="shared" si="1"/>
        <v>59</v>
      </c>
      <c r="BQ6" s="208">
        <f t="shared" si="1"/>
        <v>60</v>
      </c>
      <c r="BR6" s="208">
        <f t="shared" si="1"/>
        <v>61</v>
      </c>
      <c r="BS6" s="208">
        <f t="shared" si="1"/>
        <v>62</v>
      </c>
      <c r="BT6" s="208">
        <f t="shared" si="1"/>
        <v>63</v>
      </c>
      <c r="BU6" s="208">
        <f t="shared" si="1"/>
        <v>64</v>
      </c>
      <c r="BV6" s="208">
        <f t="shared" si="1"/>
        <v>65</v>
      </c>
      <c r="BW6" s="208">
        <f t="shared" si="1"/>
        <v>66</v>
      </c>
      <c r="BX6" s="208">
        <f>1+BW6</f>
        <v>67</v>
      </c>
      <c r="BY6" s="208">
        <f t="shared" ref="BY6:CI6" si="2">1+BX6</f>
        <v>68</v>
      </c>
      <c r="BZ6" s="208">
        <f t="shared" si="2"/>
        <v>69</v>
      </c>
      <c r="CA6" s="208">
        <f t="shared" si="2"/>
        <v>70</v>
      </c>
      <c r="CB6" s="208">
        <f t="shared" si="2"/>
        <v>71</v>
      </c>
      <c r="CC6" s="208">
        <f t="shared" si="2"/>
        <v>72</v>
      </c>
      <c r="CD6" s="208">
        <f t="shared" si="2"/>
        <v>73</v>
      </c>
      <c r="CE6" s="208">
        <f t="shared" si="2"/>
        <v>74</v>
      </c>
      <c r="CF6" s="208">
        <f t="shared" si="2"/>
        <v>75</v>
      </c>
      <c r="CG6" s="209">
        <f t="shared" si="2"/>
        <v>76</v>
      </c>
      <c r="CH6" s="209">
        <f t="shared" si="2"/>
        <v>77</v>
      </c>
      <c r="CI6" s="209">
        <f t="shared" si="2"/>
        <v>78</v>
      </c>
      <c r="CJ6" s="209">
        <f>1+CI6</f>
        <v>79</v>
      </c>
      <c r="CK6" s="209">
        <f t="shared" ref="CK6:CU6" si="3">1+CJ6</f>
        <v>80</v>
      </c>
      <c r="CL6" s="209">
        <f t="shared" si="3"/>
        <v>81</v>
      </c>
      <c r="CM6" s="209">
        <f t="shared" si="3"/>
        <v>82</v>
      </c>
      <c r="CN6" s="209">
        <f t="shared" si="3"/>
        <v>83</v>
      </c>
      <c r="CO6" s="209">
        <f t="shared" si="3"/>
        <v>84</v>
      </c>
      <c r="CP6" s="209">
        <f t="shared" si="3"/>
        <v>85</v>
      </c>
      <c r="CQ6" s="209">
        <f t="shared" si="3"/>
        <v>86</v>
      </c>
      <c r="CR6" s="209">
        <f t="shared" si="3"/>
        <v>87</v>
      </c>
      <c r="CS6" s="209">
        <f t="shared" si="3"/>
        <v>88</v>
      </c>
      <c r="CT6" s="209">
        <f t="shared" si="3"/>
        <v>89</v>
      </c>
      <c r="CU6" s="209">
        <f t="shared" si="3"/>
        <v>90</v>
      </c>
      <c r="CV6" s="209">
        <f>1+CU6</f>
        <v>91</v>
      </c>
      <c r="CW6" s="209">
        <f t="shared" ref="CW6:DG6" si="4">1+CV6</f>
        <v>92</v>
      </c>
      <c r="CX6" s="209">
        <f t="shared" si="4"/>
        <v>93</v>
      </c>
      <c r="CY6" s="209">
        <f t="shared" si="4"/>
        <v>94</v>
      </c>
      <c r="CZ6" s="209">
        <f t="shared" si="4"/>
        <v>95</v>
      </c>
      <c r="DA6" s="209">
        <f t="shared" si="4"/>
        <v>96</v>
      </c>
      <c r="DB6" s="209">
        <f t="shared" si="4"/>
        <v>97</v>
      </c>
      <c r="DC6" s="209">
        <f t="shared" si="4"/>
        <v>98</v>
      </c>
      <c r="DD6" s="209">
        <f t="shared" si="4"/>
        <v>99</v>
      </c>
      <c r="DE6" s="209">
        <f t="shared" si="4"/>
        <v>100</v>
      </c>
      <c r="DF6" s="209">
        <f t="shared" si="4"/>
        <v>101</v>
      </c>
      <c r="DG6" s="209">
        <f t="shared" si="4"/>
        <v>102</v>
      </c>
      <c r="DH6" s="210" t="s">
        <v>516</v>
      </c>
      <c r="DI6" s="211" t="s">
        <v>517</v>
      </c>
      <c r="DJ6" s="212" t="s">
        <v>518</v>
      </c>
      <c r="DK6" s="212" t="s">
        <v>519</v>
      </c>
      <c r="DL6" s="212" t="s">
        <v>520</v>
      </c>
      <c r="DM6" s="213" t="s">
        <v>521</v>
      </c>
      <c r="DN6" s="213" t="s">
        <v>522</v>
      </c>
      <c r="DO6" s="213" t="s">
        <v>523</v>
      </c>
      <c r="DP6" s="213" t="s">
        <v>524</v>
      </c>
      <c r="DQ6" s="213" t="s">
        <v>525</v>
      </c>
      <c r="DR6" s="213" t="s">
        <v>526</v>
      </c>
      <c r="DS6" s="214" t="s">
        <v>527</v>
      </c>
      <c r="DT6" s="213" t="s">
        <v>528</v>
      </c>
      <c r="DU6" s="213" t="s">
        <v>529</v>
      </c>
      <c r="DV6" s="215" t="s">
        <v>530</v>
      </c>
      <c r="DW6" s="215" t="s">
        <v>531</v>
      </c>
      <c r="DX6" s="215" t="s">
        <v>532</v>
      </c>
      <c r="DY6" s="215" t="s">
        <v>533</v>
      </c>
      <c r="DZ6" s="215" t="s">
        <v>534</v>
      </c>
      <c r="EA6" s="215" t="s">
        <v>535</v>
      </c>
      <c r="EB6" s="215" t="s">
        <v>536</v>
      </c>
      <c r="EC6" s="215" t="s">
        <v>537</v>
      </c>
      <c r="ED6" s="215" t="s">
        <v>538</v>
      </c>
      <c r="EE6" s="215" t="s">
        <v>539</v>
      </c>
      <c r="EF6" s="213" t="s">
        <v>540</v>
      </c>
      <c r="EG6" s="215" t="s">
        <v>541</v>
      </c>
      <c r="EH6" s="215" t="s">
        <v>542</v>
      </c>
      <c r="EI6" s="215" t="s">
        <v>543</v>
      </c>
      <c r="EJ6" s="216" t="s">
        <v>544</v>
      </c>
      <c r="EK6" s="216" t="s">
        <v>545</v>
      </c>
      <c r="EL6" s="216" t="s">
        <v>546</v>
      </c>
      <c r="EM6" s="216" t="s">
        <v>547</v>
      </c>
      <c r="EN6" s="216" t="s">
        <v>548</v>
      </c>
      <c r="EO6" s="216" t="s">
        <v>549</v>
      </c>
      <c r="EP6" s="216" t="s">
        <v>550</v>
      </c>
      <c r="EQ6" s="216" t="s">
        <v>551</v>
      </c>
      <c r="ER6" s="216" t="s">
        <v>552</v>
      </c>
      <c r="ES6" s="216" t="s">
        <v>553</v>
      </c>
      <c r="ET6" s="216" t="s">
        <v>554</v>
      </c>
      <c r="EU6" s="216" t="s">
        <v>555</v>
      </c>
      <c r="EV6" s="216" t="s">
        <v>556</v>
      </c>
      <c r="EW6" s="216" t="s">
        <v>557</v>
      </c>
      <c r="EX6" s="216" t="s">
        <v>558</v>
      </c>
      <c r="EY6" s="216" t="s">
        <v>559</v>
      </c>
      <c r="EZ6" s="216" t="s">
        <v>560</v>
      </c>
      <c r="FA6" s="216" t="s">
        <v>561</v>
      </c>
      <c r="FB6" s="216" t="s">
        <v>562</v>
      </c>
      <c r="FC6" s="216" t="s">
        <v>563</v>
      </c>
      <c r="FD6" s="216" t="s">
        <v>564</v>
      </c>
      <c r="FE6" s="216" t="s">
        <v>565</v>
      </c>
      <c r="FF6" s="216" t="s">
        <v>566</v>
      </c>
      <c r="FG6" s="216" t="s">
        <v>567</v>
      </c>
      <c r="FH6" s="216" t="s">
        <v>568</v>
      </c>
      <c r="FI6" s="216" t="s">
        <v>569</v>
      </c>
      <c r="FJ6" s="216" t="s">
        <v>570</v>
      </c>
      <c r="FK6" s="216" t="s">
        <v>571</v>
      </c>
      <c r="FL6" s="216" t="s">
        <v>572</v>
      </c>
      <c r="FM6" s="216" t="s">
        <v>573</v>
      </c>
      <c r="FN6" s="216" t="s">
        <v>574</v>
      </c>
      <c r="FO6" s="216" t="s">
        <v>575</v>
      </c>
      <c r="FP6" s="216" t="s">
        <v>576</v>
      </c>
      <c r="FQ6" s="216" t="s">
        <v>577</v>
      </c>
      <c r="FR6" s="216" t="s">
        <v>578</v>
      </c>
      <c r="FS6" s="216" t="s">
        <v>579</v>
      </c>
      <c r="FT6" s="216" t="s">
        <v>580</v>
      </c>
      <c r="FU6" s="216" t="s">
        <v>581</v>
      </c>
      <c r="FV6" s="216" t="s">
        <v>582</v>
      </c>
      <c r="FW6" s="216" t="s">
        <v>583</v>
      </c>
      <c r="FX6" s="216" t="s">
        <v>584</v>
      </c>
      <c r="FY6" s="216" t="s">
        <v>585</v>
      </c>
      <c r="FZ6" s="216" t="s">
        <v>586</v>
      </c>
      <c r="GA6" s="216" t="s">
        <v>587</v>
      </c>
      <c r="GB6" s="216" t="s">
        <v>588</v>
      </c>
      <c r="GC6" s="216" t="s">
        <v>589</v>
      </c>
      <c r="GD6" s="216" t="s">
        <v>590</v>
      </c>
      <c r="GE6" s="216" t="s">
        <v>591</v>
      </c>
      <c r="GF6" s="216" t="s">
        <v>592</v>
      </c>
      <c r="GG6" s="216" t="s">
        <v>593</v>
      </c>
      <c r="GH6" s="216" t="s">
        <v>594</v>
      </c>
      <c r="GI6" s="216" t="s">
        <v>595</v>
      </c>
      <c r="GJ6" s="216" t="s">
        <v>596</v>
      </c>
      <c r="GK6" s="216" t="s">
        <v>597</v>
      </c>
      <c r="GL6" s="216" t="s">
        <v>598</v>
      </c>
      <c r="GM6" s="216" t="s">
        <v>599</v>
      </c>
      <c r="GN6" s="216" t="s">
        <v>600</v>
      </c>
      <c r="GO6" s="216" t="s">
        <v>601</v>
      </c>
      <c r="GP6" s="216" t="s">
        <v>602</v>
      </c>
      <c r="GQ6" s="216" t="s">
        <v>603</v>
      </c>
      <c r="GR6" s="216" t="s">
        <v>604</v>
      </c>
      <c r="GS6" s="216" t="s">
        <v>605</v>
      </c>
      <c r="GT6" s="216" t="s">
        <v>606</v>
      </c>
      <c r="GU6" s="217" t="s">
        <v>607</v>
      </c>
    </row>
    <row r="7" spans="1:203">
      <c r="A7" s="218"/>
      <c r="B7" s="710" t="s">
        <v>608</v>
      </c>
      <c r="C7" s="711"/>
      <c r="D7" s="711"/>
      <c r="E7" s="711"/>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c r="AG7" s="711"/>
      <c r="AH7" s="711"/>
      <c r="AI7" s="711"/>
      <c r="AJ7" s="711"/>
      <c r="AK7" s="711"/>
      <c r="AL7" s="711"/>
      <c r="AM7" s="711"/>
      <c r="AN7" s="711"/>
      <c r="AO7" s="711"/>
      <c r="AP7" s="711"/>
      <c r="AQ7" s="711"/>
      <c r="AR7" s="711"/>
      <c r="AS7" s="711"/>
      <c r="AT7" s="711"/>
      <c r="AU7" s="711"/>
      <c r="AV7" s="711"/>
      <c r="AW7" s="711"/>
      <c r="AX7" s="711"/>
      <c r="AY7" s="712"/>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20">
        <f t="shared" ref="DH7:DH15" si="5">SUM(J7:U7)</f>
        <v>0</v>
      </c>
      <c r="DI7" s="220">
        <f t="shared" ref="DI7:DX15" si="6">SUM(K7:V7)</f>
        <v>0</v>
      </c>
      <c r="DJ7" s="220">
        <f t="shared" si="6"/>
        <v>0</v>
      </c>
      <c r="DK7" s="220">
        <f t="shared" si="6"/>
        <v>0</v>
      </c>
      <c r="DL7" s="220">
        <f t="shared" si="6"/>
        <v>0</v>
      </c>
      <c r="DM7" s="220">
        <f t="shared" si="6"/>
        <v>0</v>
      </c>
      <c r="DN7" s="220">
        <f t="shared" si="6"/>
        <v>0</v>
      </c>
      <c r="DO7" s="220">
        <f t="shared" si="6"/>
        <v>0</v>
      </c>
      <c r="DP7" s="220">
        <f t="shared" si="6"/>
        <v>0</v>
      </c>
      <c r="DQ7" s="220">
        <f t="shared" si="6"/>
        <v>0</v>
      </c>
      <c r="DR7" s="220">
        <f t="shared" si="6"/>
        <v>0</v>
      </c>
      <c r="DS7" s="220">
        <f t="shared" si="6"/>
        <v>0</v>
      </c>
      <c r="DT7" s="220">
        <f t="shared" si="6"/>
        <v>0</v>
      </c>
      <c r="DU7" s="220">
        <f t="shared" si="6"/>
        <v>0</v>
      </c>
      <c r="DV7" s="220">
        <f t="shared" si="6"/>
        <v>0</v>
      </c>
      <c r="DW7" s="220">
        <f t="shared" si="6"/>
        <v>0</v>
      </c>
      <c r="DX7" s="220">
        <f t="shared" si="6"/>
        <v>0</v>
      </c>
      <c r="DY7" s="220">
        <f t="shared" ref="DY7:EN15" si="7">SUM(AA7:AL7)</f>
        <v>0</v>
      </c>
      <c r="DZ7" s="220">
        <f t="shared" si="7"/>
        <v>0</v>
      </c>
      <c r="EA7" s="220">
        <f t="shared" si="7"/>
        <v>0</v>
      </c>
      <c r="EB7" s="220">
        <f t="shared" si="7"/>
        <v>0</v>
      </c>
      <c r="EC7" s="220">
        <f t="shared" si="7"/>
        <v>0</v>
      </c>
      <c r="ED7" s="220">
        <f t="shared" si="7"/>
        <v>0</v>
      </c>
      <c r="EE7" s="220">
        <f t="shared" si="7"/>
        <v>0</v>
      </c>
      <c r="EF7" s="220">
        <f t="shared" si="7"/>
        <v>0</v>
      </c>
      <c r="EG7" s="220">
        <f t="shared" si="7"/>
        <v>0</v>
      </c>
      <c r="EH7" s="220">
        <f t="shared" si="7"/>
        <v>0</v>
      </c>
      <c r="EI7" s="220">
        <f t="shared" si="7"/>
        <v>0</v>
      </c>
      <c r="EJ7" s="220">
        <f t="shared" si="7"/>
        <v>0</v>
      </c>
      <c r="EK7" s="220">
        <f t="shared" si="7"/>
        <v>0</v>
      </c>
      <c r="EL7" s="220">
        <f t="shared" si="7"/>
        <v>0</v>
      </c>
      <c r="EM7" s="220">
        <f t="shared" si="7"/>
        <v>0</v>
      </c>
      <c r="EN7" s="220">
        <f t="shared" si="7"/>
        <v>0</v>
      </c>
      <c r="EO7" s="220">
        <f t="shared" ref="EO7:FD15" si="8">SUM(AQ7:BB7)</f>
        <v>0</v>
      </c>
      <c r="EP7" s="220">
        <f t="shared" si="8"/>
        <v>0</v>
      </c>
      <c r="EQ7" s="220">
        <f t="shared" si="8"/>
        <v>0</v>
      </c>
      <c r="ER7" s="220">
        <f t="shared" si="8"/>
        <v>0</v>
      </c>
      <c r="ES7" s="220">
        <f t="shared" si="8"/>
        <v>0</v>
      </c>
      <c r="ET7" s="220">
        <f t="shared" si="8"/>
        <v>0</v>
      </c>
      <c r="EU7" s="220">
        <f t="shared" si="8"/>
        <v>0</v>
      </c>
      <c r="EV7" s="220">
        <f t="shared" si="8"/>
        <v>0</v>
      </c>
      <c r="EW7" s="220">
        <f t="shared" si="8"/>
        <v>0</v>
      </c>
      <c r="EX7" s="220">
        <f t="shared" si="8"/>
        <v>0</v>
      </c>
      <c r="EY7" s="220">
        <f t="shared" si="8"/>
        <v>0</v>
      </c>
      <c r="EZ7" s="220">
        <f t="shared" si="8"/>
        <v>0</v>
      </c>
      <c r="FA7" s="220">
        <f t="shared" si="8"/>
        <v>0</v>
      </c>
      <c r="FB7" s="220">
        <f t="shared" si="8"/>
        <v>0</v>
      </c>
      <c r="FC7" s="220">
        <f t="shared" si="8"/>
        <v>0</v>
      </c>
      <c r="FD7" s="220">
        <f t="shared" si="8"/>
        <v>0</v>
      </c>
      <c r="FE7" s="220">
        <f t="shared" ref="FE7:FT15" si="9">SUM(BG7:BR7)</f>
        <v>0</v>
      </c>
      <c r="FF7" s="220">
        <f t="shared" si="9"/>
        <v>0</v>
      </c>
      <c r="FG7" s="220">
        <f t="shared" si="9"/>
        <v>0</v>
      </c>
      <c r="FH7" s="220">
        <f t="shared" si="9"/>
        <v>0</v>
      </c>
      <c r="FI7" s="220">
        <f t="shared" si="9"/>
        <v>0</v>
      </c>
      <c r="FJ7" s="220">
        <f t="shared" si="9"/>
        <v>0</v>
      </c>
      <c r="FK7" s="220">
        <f t="shared" si="9"/>
        <v>0</v>
      </c>
      <c r="FL7" s="220">
        <f t="shared" si="9"/>
        <v>0</v>
      </c>
      <c r="FM7" s="220">
        <f t="shared" si="9"/>
        <v>0</v>
      </c>
      <c r="FN7" s="220">
        <f t="shared" si="9"/>
        <v>0</v>
      </c>
      <c r="FO7" s="220">
        <f t="shared" si="9"/>
        <v>0</v>
      </c>
      <c r="FP7" s="220">
        <f t="shared" si="9"/>
        <v>0</v>
      </c>
      <c r="FQ7" s="220">
        <f t="shared" si="9"/>
        <v>0</v>
      </c>
      <c r="FR7" s="220">
        <f t="shared" si="9"/>
        <v>0</v>
      </c>
      <c r="FS7" s="220">
        <f t="shared" si="9"/>
        <v>0</v>
      </c>
      <c r="FT7" s="220">
        <f t="shared" si="9"/>
        <v>0</v>
      </c>
      <c r="FU7" s="220">
        <f t="shared" ref="FU7:GJ15" si="10">SUM(BW7:CH7)</f>
        <v>0</v>
      </c>
      <c r="FV7" s="220">
        <f t="shared" si="10"/>
        <v>0</v>
      </c>
      <c r="FW7" s="220">
        <f t="shared" si="10"/>
        <v>0</v>
      </c>
      <c r="FX7" s="220">
        <f t="shared" si="10"/>
        <v>0</v>
      </c>
      <c r="FY7" s="220">
        <f t="shared" si="10"/>
        <v>0</v>
      </c>
      <c r="FZ7" s="220">
        <f t="shared" si="10"/>
        <v>0</v>
      </c>
      <c r="GA7" s="220">
        <f t="shared" si="10"/>
        <v>0</v>
      </c>
      <c r="GB7" s="220">
        <f t="shared" si="10"/>
        <v>0</v>
      </c>
      <c r="GC7" s="220">
        <f t="shared" si="10"/>
        <v>0</v>
      </c>
      <c r="GD7" s="220">
        <f t="shared" si="10"/>
        <v>0</v>
      </c>
      <c r="GE7" s="220">
        <f t="shared" si="10"/>
        <v>0</v>
      </c>
      <c r="GF7" s="220">
        <f t="shared" si="10"/>
        <v>0</v>
      </c>
      <c r="GG7" s="220">
        <f t="shared" si="10"/>
        <v>0</v>
      </c>
      <c r="GH7" s="220">
        <f t="shared" si="10"/>
        <v>0</v>
      </c>
      <c r="GI7" s="220">
        <f t="shared" si="10"/>
        <v>0</v>
      </c>
      <c r="GJ7" s="220">
        <f t="shared" si="10"/>
        <v>0</v>
      </c>
      <c r="GK7" s="220">
        <f t="shared" ref="GK7:GT15" si="11">SUM(CM7:CX7)</f>
        <v>0</v>
      </c>
      <c r="GL7" s="220">
        <f t="shared" si="11"/>
        <v>0</v>
      </c>
      <c r="GM7" s="220">
        <f t="shared" si="11"/>
        <v>0</v>
      </c>
      <c r="GN7" s="220">
        <f t="shared" si="11"/>
        <v>0</v>
      </c>
      <c r="GO7" s="220">
        <f t="shared" si="11"/>
        <v>0</v>
      </c>
      <c r="GP7" s="220">
        <f t="shared" si="11"/>
        <v>0</v>
      </c>
      <c r="GQ7" s="220">
        <f t="shared" si="11"/>
        <v>0</v>
      </c>
      <c r="GR7" s="220">
        <f t="shared" si="11"/>
        <v>0</v>
      </c>
      <c r="GS7" s="220">
        <f t="shared" si="11"/>
        <v>0</v>
      </c>
      <c r="GT7" s="220">
        <f t="shared" si="11"/>
        <v>0</v>
      </c>
      <c r="GU7" s="221">
        <f t="shared" ref="GU7:GU15" si="12">SUM(J7:CF7)</f>
        <v>0</v>
      </c>
    </row>
    <row r="8" spans="1:203">
      <c r="A8" s="218">
        <v>21</v>
      </c>
      <c r="B8" s="222" t="s">
        <v>609</v>
      </c>
      <c r="C8" s="223">
        <v>400</v>
      </c>
      <c r="D8" s="224" t="s">
        <v>308</v>
      </c>
      <c r="E8" s="224"/>
      <c r="F8" s="225"/>
      <c r="G8" s="225"/>
      <c r="H8" s="225"/>
      <c r="I8" s="225">
        <v>10</v>
      </c>
      <c r="J8" s="226"/>
      <c r="K8" s="226"/>
      <c r="L8" s="226"/>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v>1</v>
      </c>
      <c r="AW8" s="227">
        <v>1</v>
      </c>
      <c r="AX8" s="227">
        <v>1</v>
      </c>
      <c r="AY8" s="227">
        <v>1</v>
      </c>
      <c r="AZ8" s="227">
        <v>1</v>
      </c>
      <c r="BA8" s="227">
        <v>1</v>
      </c>
      <c r="BB8" s="227">
        <v>1</v>
      </c>
      <c r="BC8" s="227">
        <v>1</v>
      </c>
      <c r="BD8" s="227">
        <v>1</v>
      </c>
      <c r="BE8" s="227">
        <v>1</v>
      </c>
      <c r="BF8" s="227">
        <v>1</v>
      </c>
      <c r="BG8" s="227">
        <v>1</v>
      </c>
      <c r="BH8" s="227">
        <v>1</v>
      </c>
      <c r="BI8" s="227">
        <v>1</v>
      </c>
      <c r="BJ8" s="227">
        <v>1</v>
      </c>
      <c r="BK8" s="227">
        <v>1</v>
      </c>
      <c r="BL8" s="227">
        <v>1</v>
      </c>
      <c r="BM8" s="227">
        <v>1</v>
      </c>
      <c r="BN8" s="227">
        <v>1</v>
      </c>
      <c r="BO8" s="227">
        <v>1</v>
      </c>
      <c r="BP8" s="227">
        <v>1</v>
      </c>
      <c r="BQ8" s="227">
        <v>1</v>
      </c>
      <c r="BR8" s="227">
        <v>1</v>
      </c>
      <c r="BS8" s="227">
        <v>1</v>
      </c>
      <c r="BT8" s="227">
        <v>1</v>
      </c>
      <c r="BU8" s="227">
        <v>1</v>
      </c>
      <c r="BV8" s="227">
        <v>1</v>
      </c>
      <c r="BW8" s="227">
        <v>1</v>
      </c>
      <c r="BX8" s="227">
        <v>1</v>
      </c>
      <c r="BY8" s="227">
        <v>1</v>
      </c>
      <c r="BZ8" s="227">
        <v>1</v>
      </c>
      <c r="CA8" s="227">
        <v>1</v>
      </c>
      <c r="CB8" s="227">
        <v>1</v>
      </c>
      <c r="CC8" s="227">
        <v>1</v>
      </c>
      <c r="CD8" s="227">
        <v>1</v>
      </c>
      <c r="CE8" s="227">
        <v>1</v>
      </c>
      <c r="CF8" s="227">
        <v>1</v>
      </c>
      <c r="CG8" s="227">
        <v>1</v>
      </c>
      <c r="CH8" s="227">
        <v>1</v>
      </c>
      <c r="CI8" s="227">
        <v>1</v>
      </c>
      <c r="CJ8" s="227">
        <v>1</v>
      </c>
      <c r="CK8" s="227">
        <v>1</v>
      </c>
      <c r="CL8" s="227">
        <v>1</v>
      </c>
      <c r="CM8" s="227">
        <v>1</v>
      </c>
      <c r="CN8" s="227">
        <v>1</v>
      </c>
      <c r="CO8" s="227">
        <v>1</v>
      </c>
      <c r="CP8" s="227">
        <v>1</v>
      </c>
      <c r="CQ8" s="227">
        <v>1</v>
      </c>
      <c r="CR8" s="227">
        <v>1</v>
      </c>
      <c r="CS8" s="227">
        <v>1</v>
      </c>
      <c r="CT8" s="227">
        <v>1</v>
      </c>
      <c r="CU8" s="227">
        <v>1</v>
      </c>
      <c r="CV8" s="227">
        <v>1</v>
      </c>
      <c r="CW8" s="227">
        <v>1</v>
      </c>
      <c r="CX8" s="227">
        <v>1</v>
      </c>
      <c r="CY8" s="227">
        <v>1</v>
      </c>
      <c r="CZ8" s="227">
        <v>1</v>
      </c>
      <c r="DA8" s="227">
        <v>1</v>
      </c>
      <c r="DB8" s="227">
        <v>1</v>
      </c>
      <c r="DC8" s="227">
        <v>1</v>
      </c>
      <c r="DD8" s="227">
        <v>1</v>
      </c>
      <c r="DE8" s="227">
        <v>1</v>
      </c>
      <c r="DF8" s="227">
        <v>1</v>
      </c>
      <c r="DG8" s="227">
        <v>1</v>
      </c>
      <c r="DH8" s="220">
        <f t="shared" si="5"/>
        <v>0</v>
      </c>
      <c r="DI8" s="220">
        <f t="shared" si="6"/>
        <v>0</v>
      </c>
      <c r="DJ8" s="220">
        <f t="shared" si="6"/>
        <v>0</v>
      </c>
      <c r="DK8" s="220">
        <f t="shared" si="6"/>
        <v>0</v>
      </c>
      <c r="DL8" s="220">
        <f t="shared" si="6"/>
        <v>0</v>
      </c>
      <c r="DM8" s="220">
        <f t="shared" si="6"/>
        <v>0</v>
      </c>
      <c r="DN8" s="220">
        <f t="shared" si="6"/>
        <v>0</v>
      </c>
      <c r="DO8" s="220">
        <f t="shared" si="6"/>
        <v>0</v>
      </c>
      <c r="DP8" s="220">
        <f t="shared" si="6"/>
        <v>0</v>
      </c>
      <c r="DQ8" s="220">
        <f t="shared" si="6"/>
        <v>0</v>
      </c>
      <c r="DR8" s="220">
        <f t="shared" si="6"/>
        <v>0</v>
      </c>
      <c r="DS8" s="220">
        <f t="shared" si="6"/>
        <v>0</v>
      </c>
      <c r="DT8" s="220">
        <f t="shared" si="6"/>
        <v>0</v>
      </c>
      <c r="DU8" s="220">
        <f t="shared" si="6"/>
        <v>0</v>
      </c>
      <c r="DV8" s="220">
        <f t="shared" si="6"/>
        <v>0</v>
      </c>
      <c r="DW8" s="220">
        <f t="shared" si="6"/>
        <v>0</v>
      </c>
      <c r="DX8" s="220">
        <f t="shared" si="6"/>
        <v>0</v>
      </c>
      <c r="DY8" s="220">
        <f t="shared" si="7"/>
        <v>0</v>
      </c>
      <c r="DZ8" s="220">
        <f t="shared" si="7"/>
        <v>0</v>
      </c>
      <c r="EA8" s="220">
        <f t="shared" si="7"/>
        <v>0</v>
      </c>
      <c r="EB8" s="220">
        <f t="shared" si="7"/>
        <v>0</v>
      </c>
      <c r="EC8" s="220">
        <f t="shared" si="7"/>
        <v>0</v>
      </c>
      <c r="ED8" s="220">
        <f t="shared" si="7"/>
        <v>0</v>
      </c>
      <c r="EE8" s="220">
        <f t="shared" si="7"/>
        <v>0</v>
      </c>
      <c r="EF8" s="220">
        <f t="shared" si="7"/>
        <v>0</v>
      </c>
      <c r="EG8" s="220">
        <f t="shared" si="7"/>
        <v>0</v>
      </c>
      <c r="EH8" s="220">
        <f t="shared" si="7"/>
        <v>0</v>
      </c>
      <c r="EI8" s="220">
        <f t="shared" si="7"/>
        <v>1</v>
      </c>
      <c r="EJ8" s="220">
        <f t="shared" si="7"/>
        <v>2</v>
      </c>
      <c r="EK8" s="220">
        <f t="shared" si="7"/>
        <v>3</v>
      </c>
      <c r="EL8" s="220">
        <f t="shared" si="7"/>
        <v>4</v>
      </c>
      <c r="EM8" s="220">
        <f t="shared" si="7"/>
        <v>5</v>
      </c>
      <c r="EN8" s="220">
        <f t="shared" si="7"/>
        <v>6</v>
      </c>
      <c r="EO8" s="220">
        <f t="shared" si="8"/>
        <v>7</v>
      </c>
      <c r="EP8" s="220">
        <f t="shared" si="8"/>
        <v>8</v>
      </c>
      <c r="EQ8" s="220">
        <f t="shared" si="8"/>
        <v>9</v>
      </c>
      <c r="ER8" s="220">
        <f t="shared" si="8"/>
        <v>10</v>
      </c>
      <c r="ES8" s="220">
        <f t="shared" si="8"/>
        <v>11</v>
      </c>
      <c r="ET8" s="220">
        <f t="shared" si="8"/>
        <v>12</v>
      </c>
      <c r="EU8" s="220">
        <f t="shared" si="8"/>
        <v>12</v>
      </c>
      <c r="EV8" s="220">
        <f t="shared" si="8"/>
        <v>12</v>
      </c>
      <c r="EW8" s="220">
        <f t="shared" si="8"/>
        <v>12</v>
      </c>
      <c r="EX8" s="220">
        <f t="shared" si="8"/>
        <v>12</v>
      </c>
      <c r="EY8" s="220">
        <f t="shared" si="8"/>
        <v>12</v>
      </c>
      <c r="EZ8" s="220">
        <f t="shared" si="8"/>
        <v>12</v>
      </c>
      <c r="FA8" s="220">
        <f t="shared" si="8"/>
        <v>12</v>
      </c>
      <c r="FB8" s="220">
        <f t="shared" si="8"/>
        <v>12</v>
      </c>
      <c r="FC8" s="220">
        <f t="shared" si="8"/>
        <v>12</v>
      </c>
      <c r="FD8" s="220">
        <f t="shared" si="8"/>
        <v>12</v>
      </c>
      <c r="FE8" s="220">
        <f t="shared" si="9"/>
        <v>12</v>
      </c>
      <c r="FF8" s="220">
        <f t="shared" si="9"/>
        <v>12</v>
      </c>
      <c r="FG8" s="220">
        <f t="shared" si="9"/>
        <v>12</v>
      </c>
      <c r="FH8" s="220">
        <f t="shared" si="9"/>
        <v>12</v>
      </c>
      <c r="FI8" s="220">
        <f t="shared" si="9"/>
        <v>12</v>
      </c>
      <c r="FJ8" s="220">
        <f t="shared" si="9"/>
        <v>12</v>
      </c>
      <c r="FK8" s="220">
        <f t="shared" si="9"/>
        <v>12</v>
      </c>
      <c r="FL8" s="220">
        <f t="shared" si="9"/>
        <v>12</v>
      </c>
      <c r="FM8" s="220">
        <f t="shared" si="9"/>
        <v>12</v>
      </c>
      <c r="FN8" s="220">
        <f t="shared" si="9"/>
        <v>12</v>
      </c>
      <c r="FO8" s="220">
        <f t="shared" si="9"/>
        <v>12</v>
      </c>
      <c r="FP8" s="220">
        <f t="shared" si="9"/>
        <v>12</v>
      </c>
      <c r="FQ8" s="220">
        <f t="shared" si="9"/>
        <v>12</v>
      </c>
      <c r="FR8" s="220">
        <f t="shared" si="9"/>
        <v>12</v>
      </c>
      <c r="FS8" s="220">
        <f t="shared" si="9"/>
        <v>12</v>
      </c>
      <c r="FT8" s="220">
        <f t="shared" si="9"/>
        <v>12</v>
      </c>
      <c r="FU8" s="220">
        <f t="shared" si="10"/>
        <v>12</v>
      </c>
      <c r="FV8" s="220">
        <f t="shared" si="10"/>
        <v>12</v>
      </c>
      <c r="FW8" s="220">
        <f t="shared" si="10"/>
        <v>12</v>
      </c>
      <c r="FX8" s="220">
        <f t="shared" si="10"/>
        <v>12</v>
      </c>
      <c r="FY8" s="220">
        <f t="shared" si="10"/>
        <v>12</v>
      </c>
      <c r="FZ8" s="220">
        <f t="shared" si="10"/>
        <v>12</v>
      </c>
      <c r="GA8" s="220">
        <f t="shared" si="10"/>
        <v>12</v>
      </c>
      <c r="GB8" s="220">
        <f t="shared" si="10"/>
        <v>12</v>
      </c>
      <c r="GC8" s="220">
        <f t="shared" si="10"/>
        <v>12</v>
      </c>
      <c r="GD8" s="220">
        <f t="shared" si="10"/>
        <v>12</v>
      </c>
      <c r="GE8" s="220">
        <f t="shared" si="10"/>
        <v>12</v>
      </c>
      <c r="GF8" s="220">
        <f t="shared" si="10"/>
        <v>12</v>
      </c>
      <c r="GG8" s="220">
        <f t="shared" si="10"/>
        <v>12</v>
      </c>
      <c r="GH8" s="220">
        <f t="shared" si="10"/>
        <v>12</v>
      </c>
      <c r="GI8" s="220">
        <f t="shared" si="10"/>
        <v>12</v>
      </c>
      <c r="GJ8" s="220">
        <f t="shared" si="10"/>
        <v>12</v>
      </c>
      <c r="GK8" s="220">
        <f t="shared" si="11"/>
        <v>12</v>
      </c>
      <c r="GL8" s="220">
        <f t="shared" si="11"/>
        <v>12</v>
      </c>
      <c r="GM8" s="220">
        <f t="shared" si="11"/>
        <v>12</v>
      </c>
      <c r="GN8" s="220">
        <f t="shared" si="11"/>
        <v>12</v>
      </c>
      <c r="GO8" s="220">
        <f t="shared" si="11"/>
        <v>12</v>
      </c>
      <c r="GP8" s="220">
        <f t="shared" si="11"/>
        <v>12</v>
      </c>
      <c r="GQ8" s="220">
        <f t="shared" si="11"/>
        <v>12</v>
      </c>
      <c r="GR8" s="220">
        <f t="shared" si="11"/>
        <v>12</v>
      </c>
      <c r="GS8" s="220">
        <f t="shared" si="11"/>
        <v>12</v>
      </c>
      <c r="GT8" s="220">
        <f t="shared" si="11"/>
        <v>12</v>
      </c>
      <c r="GU8" s="221">
        <f t="shared" si="12"/>
        <v>37</v>
      </c>
    </row>
    <row r="9" spans="1:203">
      <c r="A9" s="218">
        <v>22</v>
      </c>
      <c r="B9" s="222" t="s">
        <v>610</v>
      </c>
      <c r="C9" s="223">
        <v>400</v>
      </c>
      <c r="D9" s="224" t="s">
        <v>308</v>
      </c>
      <c r="E9" s="224"/>
      <c r="F9" s="225"/>
      <c r="G9" s="225"/>
      <c r="H9" s="225"/>
      <c r="I9" s="225">
        <v>150</v>
      </c>
      <c r="J9" s="226"/>
      <c r="K9" s="226"/>
      <c r="L9" s="226"/>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v>1</v>
      </c>
      <c r="AW9" s="227">
        <v>1</v>
      </c>
      <c r="AX9" s="227">
        <v>1</v>
      </c>
      <c r="AY9" s="227">
        <v>1</v>
      </c>
      <c r="AZ9" s="227">
        <v>1</v>
      </c>
      <c r="BA9" s="227">
        <v>1</v>
      </c>
      <c r="BB9" s="227">
        <v>1</v>
      </c>
      <c r="BC9" s="227">
        <v>1</v>
      </c>
      <c r="BD9" s="227">
        <v>1</v>
      </c>
      <c r="BE9" s="227">
        <v>1</v>
      </c>
      <c r="BF9" s="227">
        <v>1</v>
      </c>
      <c r="BG9" s="227">
        <v>1</v>
      </c>
      <c r="BH9" s="227">
        <v>1</v>
      </c>
      <c r="BI9" s="227">
        <v>1</v>
      </c>
      <c r="BJ9" s="227">
        <v>1</v>
      </c>
      <c r="BK9" s="227">
        <v>1</v>
      </c>
      <c r="BL9" s="227">
        <v>1</v>
      </c>
      <c r="BM9" s="227">
        <v>1</v>
      </c>
      <c r="BN9" s="227">
        <v>1</v>
      </c>
      <c r="BO9" s="227">
        <v>1</v>
      </c>
      <c r="BP9" s="227">
        <v>1</v>
      </c>
      <c r="BQ9" s="227">
        <v>1</v>
      </c>
      <c r="BR9" s="227">
        <v>1</v>
      </c>
      <c r="BS9" s="227">
        <v>1</v>
      </c>
      <c r="BT9" s="227">
        <v>1</v>
      </c>
      <c r="BU9" s="227">
        <v>1</v>
      </c>
      <c r="BV9" s="227">
        <v>1</v>
      </c>
      <c r="BW9" s="227">
        <v>1</v>
      </c>
      <c r="BX9" s="227">
        <v>1</v>
      </c>
      <c r="BY9" s="227">
        <v>1</v>
      </c>
      <c r="BZ9" s="227">
        <v>1</v>
      </c>
      <c r="CA9" s="227">
        <v>1</v>
      </c>
      <c r="CB9" s="227">
        <v>1</v>
      </c>
      <c r="CC9" s="227">
        <v>1</v>
      </c>
      <c r="CD9" s="227">
        <v>1</v>
      </c>
      <c r="CE9" s="227">
        <v>1</v>
      </c>
      <c r="CF9" s="227">
        <v>1</v>
      </c>
      <c r="CG9" s="227">
        <v>1</v>
      </c>
      <c r="CH9" s="227">
        <v>1</v>
      </c>
      <c r="CI9" s="227">
        <v>1</v>
      </c>
      <c r="CJ9" s="227">
        <v>1</v>
      </c>
      <c r="CK9" s="227">
        <v>1</v>
      </c>
      <c r="CL9" s="227">
        <v>1</v>
      </c>
      <c r="CM9" s="227">
        <v>1</v>
      </c>
      <c r="CN9" s="227">
        <v>1</v>
      </c>
      <c r="CO9" s="227">
        <v>1</v>
      </c>
      <c r="CP9" s="227">
        <v>1</v>
      </c>
      <c r="CQ9" s="227">
        <v>1</v>
      </c>
      <c r="CR9" s="227">
        <v>1</v>
      </c>
      <c r="CS9" s="227">
        <v>1</v>
      </c>
      <c r="CT9" s="227">
        <v>1</v>
      </c>
      <c r="CU9" s="227">
        <v>1</v>
      </c>
      <c r="CV9" s="227">
        <v>1</v>
      </c>
      <c r="CW9" s="227">
        <v>1</v>
      </c>
      <c r="CX9" s="227">
        <v>1</v>
      </c>
      <c r="CY9" s="227">
        <v>1</v>
      </c>
      <c r="CZ9" s="227">
        <v>1</v>
      </c>
      <c r="DA9" s="227">
        <v>1</v>
      </c>
      <c r="DB9" s="227">
        <v>1</v>
      </c>
      <c r="DC9" s="227">
        <v>1</v>
      </c>
      <c r="DD9" s="227">
        <v>1</v>
      </c>
      <c r="DE9" s="227">
        <v>1</v>
      </c>
      <c r="DF9" s="227">
        <v>1</v>
      </c>
      <c r="DG9" s="227">
        <v>1</v>
      </c>
      <c r="DH9" s="220">
        <f t="shared" si="5"/>
        <v>0</v>
      </c>
      <c r="DI9" s="220">
        <f t="shared" si="6"/>
        <v>0</v>
      </c>
      <c r="DJ9" s="220">
        <f t="shared" si="6"/>
        <v>0</v>
      </c>
      <c r="DK9" s="220">
        <f t="shared" si="6"/>
        <v>0</v>
      </c>
      <c r="DL9" s="220">
        <f t="shared" si="6"/>
        <v>0</v>
      </c>
      <c r="DM9" s="220">
        <f t="shared" si="6"/>
        <v>0</v>
      </c>
      <c r="DN9" s="220">
        <f t="shared" si="6"/>
        <v>0</v>
      </c>
      <c r="DO9" s="220">
        <f t="shared" si="6"/>
        <v>0</v>
      </c>
      <c r="DP9" s="220">
        <f t="shared" si="6"/>
        <v>0</v>
      </c>
      <c r="DQ9" s="220">
        <f t="shared" si="6"/>
        <v>0</v>
      </c>
      <c r="DR9" s="220">
        <f t="shared" si="6"/>
        <v>0</v>
      </c>
      <c r="DS9" s="220">
        <f t="shared" si="6"/>
        <v>0</v>
      </c>
      <c r="DT9" s="220">
        <f t="shared" si="6"/>
        <v>0</v>
      </c>
      <c r="DU9" s="220">
        <f t="shared" si="6"/>
        <v>0</v>
      </c>
      <c r="DV9" s="220">
        <f t="shared" si="6"/>
        <v>0</v>
      </c>
      <c r="DW9" s="220">
        <f t="shared" si="6"/>
        <v>0</v>
      </c>
      <c r="DX9" s="220">
        <f t="shared" si="6"/>
        <v>0</v>
      </c>
      <c r="DY9" s="220">
        <f t="shared" si="7"/>
        <v>0</v>
      </c>
      <c r="DZ9" s="220">
        <f t="shared" si="7"/>
        <v>0</v>
      </c>
      <c r="EA9" s="220">
        <f t="shared" si="7"/>
        <v>0</v>
      </c>
      <c r="EB9" s="220">
        <f t="shared" si="7"/>
        <v>0</v>
      </c>
      <c r="EC9" s="220">
        <f t="shared" si="7"/>
        <v>0</v>
      </c>
      <c r="ED9" s="220">
        <f t="shared" si="7"/>
        <v>0</v>
      </c>
      <c r="EE9" s="220">
        <f t="shared" si="7"/>
        <v>0</v>
      </c>
      <c r="EF9" s="220">
        <f t="shared" si="7"/>
        <v>0</v>
      </c>
      <c r="EG9" s="220">
        <f t="shared" si="7"/>
        <v>0</v>
      </c>
      <c r="EH9" s="220">
        <f t="shared" si="7"/>
        <v>0</v>
      </c>
      <c r="EI9" s="220">
        <f t="shared" si="7"/>
        <v>1</v>
      </c>
      <c r="EJ9" s="220">
        <f t="shared" si="7"/>
        <v>2</v>
      </c>
      <c r="EK9" s="220">
        <f t="shared" si="7"/>
        <v>3</v>
      </c>
      <c r="EL9" s="220">
        <f t="shared" si="7"/>
        <v>4</v>
      </c>
      <c r="EM9" s="220">
        <f t="shared" si="7"/>
        <v>5</v>
      </c>
      <c r="EN9" s="220">
        <f t="shared" si="7"/>
        <v>6</v>
      </c>
      <c r="EO9" s="220">
        <f t="shared" si="8"/>
        <v>7</v>
      </c>
      <c r="EP9" s="220">
        <f t="shared" si="8"/>
        <v>8</v>
      </c>
      <c r="EQ9" s="220">
        <f t="shared" si="8"/>
        <v>9</v>
      </c>
      <c r="ER9" s="220">
        <f t="shared" si="8"/>
        <v>10</v>
      </c>
      <c r="ES9" s="220">
        <f t="shared" si="8"/>
        <v>11</v>
      </c>
      <c r="ET9" s="220">
        <f t="shared" si="8"/>
        <v>12</v>
      </c>
      <c r="EU9" s="220">
        <f t="shared" si="8"/>
        <v>12</v>
      </c>
      <c r="EV9" s="220">
        <f t="shared" si="8"/>
        <v>12</v>
      </c>
      <c r="EW9" s="220">
        <f t="shared" si="8"/>
        <v>12</v>
      </c>
      <c r="EX9" s="220">
        <f t="shared" si="8"/>
        <v>12</v>
      </c>
      <c r="EY9" s="220">
        <f t="shared" si="8"/>
        <v>12</v>
      </c>
      <c r="EZ9" s="220">
        <f t="shared" si="8"/>
        <v>12</v>
      </c>
      <c r="FA9" s="220">
        <f t="shared" si="8"/>
        <v>12</v>
      </c>
      <c r="FB9" s="220">
        <f t="shared" si="8"/>
        <v>12</v>
      </c>
      <c r="FC9" s="220">
        <f t="shared" si="8"/>
        <v>12</v>
      </c>
      <c r="FD9" s="220">
        <f t="shared" si="8"/>
        <v>12</v>
      </c>
      <c r="FE9" s="220">
        <f t="shared" si="9"/>
        <v>12</v>
      </c>
      <c r="FF9" s="220">
        <f t="shared" si="9"/>
        <v>12</v>
      </c>
      <c r="FG9" s="220">
        <f t="shared" si="9"/>
        <v>12</v>
      </c>
      <c r="FH9" s="220">
        <f t="shared" si="9"/>
        <v>12</v>
      </c>
      <c r="FI9" s="220">
        <f t="shared" si="9"/>
        <v>12</v>
      </c>
      <c r="FJ9" s="220">
        <f t="shared" si="9"/>
        <v>12</v>
      </c>
      <c r="FK9" s="220">
        <f t="shared" si="9"/>
        <v>12</v>
      </c>
      <c r="FL9" s="220">
        <f t="shared" si="9"/>
        <v>12</v>
      </c>
      <c r="FM9" s="220">
        <f t="shared" si="9"/>
        <v>12</v>
      </c>
      <c r="FN9" s="220">
        <f t="shared" si="9"/>
        <v>12</v>
      </c>
      <c r="FO9" s="220">
        <f t="shared" si="9"/>
        <v>12</v>
      </c>
      <c r="FP9" s="220">
        <f t="shared" si="9"/>
        <v>12</v>
      </c>
      <c r="FQ9" s="220">
        <f t="shared" si="9"/>
        <v>12</v>
      </c>
      <c r="FR9" s="220">
        <f t="shared" si="9"/>
        <v>12</v>
      </c>
      <c r="FS9" s="220">
        <f t="shared" si="9"/>
        <v>12</v>
      </c>
      <c r="FT9" s="220">
        <f t="shared" si="9"/>
        <v>12</v>
      </c>
      <c r="FU9" s="220">
        <f t="shared" si="10"/>
        <v>12</v>
      </c>
      <c r="FV9" s="220">
        <f t="shared" si="10"/>
        <v>12</v>
      </c>
      <c r="FW9" s="220">
        <f t="shared" si="10"/>
        <v>12</v>
      </c>
      <c r="FX9" s="220">
        <f t="shared" si="10"/>
        <v>12</v>
      </c>
      <c r="FY9" s="220">
        <f t="shared" si="10"/>
        <v>12</v>
      </c>
      <c r="FZ9" s="220">
        <f t="shared" si="10"/>
        <v>12</v>
      </c>
      <c r="GA9" s="220">
        <f t="shared" si="10"/>
        <v>12</v>
      </c>
      <c r="GB9" s="220">
        <f t="shared" si="10"/>
        <v>12</v>
      </c>
      <c r="GC9" s="220">
        <f t="shared" si="10"/>
        <v>12</v>
      </c>
      <c r="GD9" s="220">
        <f t="shared" si="10"/>
        <v>12</v>
      </c>
      <c r="GE9" s="220">
        <f t="shared" si="10"/>
        <v>12</v>
      </c>
      <c r="GF9" s="220">
        <f t="shared" si="10"/>
        <v>12</v>
      </c>
      <c r="GG9" s="220">
        <f t="shared" si="10"/>
        <v>12</v>
      </c>
      <c r="GH9" s="220">
        <f t="shared" si="10"/>
        <v>12</v>
      </c>
      <c r="GI9" s="220">
        <f t="shared" si="10"/>
        <v>12</v>
      </c>
      <c r="GJ9" s="220">
        <f t="shared" si="10"/>
        <v>12</v>
      </c>
      <c r="GK9" s="220">
        <f t="shared" si="11"/>
        <v>12</v>
      </c>
      <c r="GL9" s="220">
        <f t="shared" si="11"/>
        <v>12</v>
      </c>
      <c r="GM9" s="220">
        <f t="shared" si="11"/>
        <v>12</v>
      </c>
      <c r="GN9" s="220">
        <f t="shared" si="11"/>
        <v>12</v>
      </c>
      <c r="GO9" s="220">
        <f t="shared" si="11"/>
        <v>12</v>
      </c>
      <c r="GP9" s="220">
        <f t="shared" si="11"/>
        <v>12</v>
      </c>
      <c r="GQ9" s="220">
        <f t="shared" si="11"/>
        <v>12</v>
      </c>
      <c r="GR9" s="220">
        <f t="shared" si="11"/>
        <v>12</v>
      </c>
      <c r="GS9" s="220">
        <f t="shared" si="11"/>
        <v>12</v>
      </c>
      <c r="GT9" s="220">
        <f t="shared" si="11"/>
        <v>12</v>
      </c>
      <c r="GU9" s="221">
        <f t="shared" si="12"/>
        <v>37</v>
      </c>
    </row>
    <row r="10" spans="1:203">
      <c r="A10" s="218">
        <v>23</v>
      </c>
      <c r="B10" s="222" t="s">
        <v>611</v>
      </c>
      <c r="C10" s="223">
        <v>400</v>
      </c>
      <c r="D10" s="223" t="s">
        <v>308</v>
      </c>
      <c r="E10" s="223"/>
      <c r="F10" s="228"/>
      <c r="G10" s="228"/>
      <c r="H10" s="228"/>
      <c r="I10" s="228">
        <v>12</v>
      </c>
      <c r="J10" s="229"/>
      <c r="K10" s="229"/>
      <c r="L10" s="229"/>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v>17</v>
      </c>
      <c r="AW10" s="230">
        <v>17</v>
      </c>
      <c r="AX10" s="230">
        <v>17</v>
      </c>
      <c r="AY10" s="230">
        <v>17</v>
      </c>
      <c r="AZ10" s="230">
        <v>17</v>
      </c>
      <c r="BA10" s="230">
        <v>17</v>
      </c>
      <c r="BB10" s="230">
        <v>17</v>
      </c>
      <c r="BC10" s="230">
        <v>17</v>
      </c>
      <c r="BD10" s="227">
        <v>35</v>
      </c>
      <c r="BE10" s="227">
        <f>'Mobile Equip Assumptions'!G37+35</f>
        <v>186</v>
      </c>
      <c r="BF10" s="227">
        <v>35</v>
      </c>
      <c r="BG10" s="227">
        <v>35</v>
      </c>
      <c r="BH10" s="227">
        <v>35</v>
      </c>
      <c r="BI10" s="227">
        <v>35</v>
      </c>
      <c r="BJ10" s="227">
        <v>35</v>
      </c>
      <c r="BK10" s="227">
        <v>35</v>
      </c>
      <c r="BL10" s="227">
        <v>35</v>
      </c>
      <c r="BM10" s="227">
        <v>35</v>
      </c>
      <c r="BN10" s="227">
        <v>35</v>
      </c>
      <c r="BO10" s="227">
        <v>35</v>
      </c>
      <c r="BP10" s="227">
        <v>35</v>
      </c>
      <c r="BQ10" s="227">
        <f>'Mobile Equip Assumptions'!H37+52</f>
        <v>194</v>
      </c>
      <c r="BR10" s="227">
        <v>52</v>
      </c>
      <c r="BS10" s="227">
        <v>52</v>
      </c>
      <c r="BT10" s="227">
        <v>52</v>
      </c>
      <c r="BU10" s="227">
        <v>52</v>
      </c>
      <c r="BV10" s="227">
        <v>52</v>
      </c>
      <c r="BW10" s="227">
        <v>52</v>
      </c>
      <c r="BX10" s="227">
        <v>52</v>
      </c>
      <c r="BY10" s="227">
        <v>52</v>
      </c>
      <c r="BZ10" s="227">
        <v>52</v>
      </c>
      <c r="CA10" s="227">
        <v>52</v>
      </c>
      <c r="CB10" s="227">
        <f>'Mobile Equip Assumptions'!I37+52</f>
        <v>159</v>
      </c>
      <c r="CC10" s="227">
        <v>52</v>
      </c>
      <c r="CD10" s="227">
        <v>52</v>
      </c>
      <c r="CE10" s="227">
        <v>52</v>
      </c>
      <c r="CF10" s="227">
        <v>52</v>
      </c>
      <c r="CG10" s="227">
        <v>52</v>
      </c>
      <c r="CH10" s="227">
        <v>52</v>
      </c>
      <c r="CI10" s="227">
        <v>52</v>
      </c>
      <c r="CJ10" s="227">
        <v>52</v>
      </c>
      <c r="CK10" s="227">
        <v>52</v>
      </c>
      <c r="CL10" s="227">
        <v>52</v>
      </c>
      <c r="CM10" s="227">
        <v>52</v>
      </c>
      <c r="CN10" s="227">
        <v>52</v>
      </c>
      <c r="CO10" s="227">
        <v>52</v>
      </c>
      <c r="CP10" s="227">
        <v>52</v>
      </c>
      <c r="CQ10" s="227">
        <v>52</v>
      </c>
      <c r="CR10" s="227">
        <v>52</v>
      </c>
      <c r="CS10" s="227">
        <v>52</v>
      </c>
      <c r="CT10" s="227">
        <v>52</v>
      </c>
      <c r="CU10" s="227">
        <v>52</v>
      </c>
      <c r="CV10" s="227">
        <v>52</v>
      </c>
      <c r="CW10" s="227">
        <v>52</v>
      </c>
      <c r="CX10" s="227">
        <v>52</v>
      </c>
      <c r="CY10" s="227">
        <v>52</v>
      </c>
      <c r="CZ10" s="227">
        <v>52</v>
      </c>
      <c r="DA10" s="227">
        <v>52</v>
      </c>
      <c r="DB10" s="227">
        <v>52</v>
      </c>
      <c r="DC10" s="227">
        <v>52</v>
      </c>
      <c r="DD10" s="227">
        <v>52</v>
      </c>
      <c r="DE10" s="227">
        <v>52</v>
      </c>
      <c r="DF10" s="227">
        <v>52</v>
      </c>
      <c r="DG10" s="227">
        <v>52</v>
      </c>
      <c r="DH10" s="220"/>
      <c r="DI10" s="220"/>
      <c r="DJ10" s="220"/>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220"/>
      <c r="FE10" s="220"/>
      <c r="FF10" s="220"/>
      <c r="FG10" s="220"/>
      <c r="FH10" s="220"/>
      <c r="FI10" s="220"/>
      <c r="FJ10" s="220"/>
      <c r="FK10" s="220"/>
      <c r="FL10" s="220"/>
      <c r="FM10" s="220"/>
      <c r="FN10" s="220"/>
      <c r="FO10" s="220"/>
      <c r="FP10" s="220"/>
      <c r="FQ10" s="220"/>
      <c r="FR10" s="220"/>
      <c r="FS10" s="220"/>
      <c r="FT10" s="220"/>
      <c r="FU10" s="220"/>
      <c r="FV10" s="220"/>
      <c r="FW10" s="220"/>
      <c r="FX10" s="220"/>
      <c r="FY10" s="220"/>
      <c r="FZ10" s="220"/>
      <c r="GA10" s="220"/>
      <c r="GB10" s="220"/>
      <c r="GC10" s="220"/>
      <c r="GD10" s="220"/>
      <c r="GE10" s="220"/>
      <c r="GF10" s="220"/>
      <c r="GG10" s="220"/>
      <c r="GH10" s="220"/>
      <c r="GI10" s="220"/>
      <c r="GJ10" s="220"/>
      <c r="GK10" s="220"/>
      <c r="GL10" s="220"/>
      <c r="GM10" s="220"/>
      <c r="GN10" s="220"/>
      <c r="GO10" s="220"/>
      <c r="GP10" s="220"/>
      <c r="GQ10" s="220"/>
      <c r="GR10" s="220"/>
      <c r="GS10" s="220"/>
      <c r="GT10" s="220"/>
      <c r="GU10" s="221"/>
    </row>
    <row r="11" spans="1:203">
      <c r="A11" s="218">
        <v>24</v>
      </c>
      <c r="B11" s="222" t="s">
        <v>612</v>
      </c>
      <c r="C11" s="223">
        <v>400</v>
      </c>
      <c r="D11" s="223" t="s">
        <v>308</v>
      </c>
      <c r="E11" s="223"/>
      <c r="F11" s="228"/>
      <c r="G11" s="228"/>
      <c r="H11" s="228"/>
      <c r="I11" s="228">
        <v>10</v>
      </c>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v>1</v>
      </c>
      <c r="AW11" s="229">
        <v>1</v>
      </c>
      <c r="AX11" s="229">
        <v>1</v>
      </c>
      <c r="AY11" s="229">
        <v>1</v>
      </c>
      <c r="AZ11" s="229">
        <v>1</v>
      </c>
      <c r="BA11" s="229">
        <v>1</v>
      </c>
      <c r="BB11" s="229">
        <v>1</v>
      </c>
      <c r="BC11" s="229">
        <v>1</v>
      </c>
      <c r="BD11" s="229">
        <v>1</v>
      </c>
      <c r="BE11" s="229">
        <v>1</v>
      </c>
      <c r="BF11" s="229">
        <v>1</v>
      </c>
      <c r="BG11" s="229">
        <v>1</v>
      </c>
      <c r="BH11" s="229">
        <v>1</v>
      </c>
      <c r="BI11" s="229">
        <v>1</v>
      </c>
      <c r="BJ11" s="229">
        <v>1</v>
      </c>
      <c r="BK11" s="229">
        <v>1</v>
      </c>
      <c r="BL11" s="229">
        <v>1</v>
      </c>
      <c r="BM11" s="229">
        <v>1</v>
      </c>
      <c r="BN11" s="229">
        <v>1</v>
      </c>
      <c r="BO11" s="229">
        <v>1</v>
      </c>
      <c r="BP11" s="229">
        <v>1</v>
      </c>
      <c r="BQ11" s="229">
        <v>1</v>
      </c>
      <c r="BR11" s="229">
        <v>1</v>
      </c>
      <c r="BS11" s="229">
        <v>1</v>
      </c>
      <c r="BT11" s="229">
        <v>1</v>
      </c>
      <c r="BU11" s="229">
        <v>1</v>
      </c>
      <c r="BV11" s="229">
        <v>1</v>
      </c>
      <c r="BW11" s="229">
        <v>1</v>
      </c>
      <c r="BX11" s="229">
        <v>1</v>
      </c>
      <c r="BY11" s="229">
        <v>1</v>
      </c>
      <c r="BZ11" s="229">
        <v>1</v>
      </c>
      <c r="CA11" s="229">
        <v>1</v>
      </c>
      <c r="CB11" s="229">
        <v>1</v>
      </c>
      <c r="CC11" s="229">
        <v>1</v>
      </c>
      <c r="CD11" s="229">
        <v>1</v>
      </c>
      <c r="CE11" s="229">
        <v>1</v>
      </c>
      <c r="CF11" s="229">
        <v>1</v>
      </c>
      <c r="CG11" s="229">
        <v>1</v>
      </c>
      <c r="CH11" s="229">
        <v>1</v>
      </c>
      <c r="CI11" s="229">
        <v>1</v>
      </c>
      <c r="CJ11" s="229">
        <v>1</v>
      </c>
      <c r="CK11" s="229">
        <v>1</v>
      </c>
      <c r="CL11" s="229">
        <v>1</v>
      </c>
      <c r="CM11" s="229">
        <v>1</v>
      </c>
      <c r="CN11" s="229">
        <v>1</v>
      </c>
      <c r="CO11" s="229">
        <v>1</v>
      </c>
      <c r="CP11" s="229">
        <v>1</v>
      </c>
      <c r="CQ11" s="229">
        <v>1</v>
      </c>
      <c r="CR11" s="229">
        <v>1</v>
      </c>
      <c r="CS11" s="229">
        <v>1</v>
      </c>
      <c r="CT11" s="229">
        <v>1</v>
      </c>
      <c r="CU11" s="229">
        <v>1</v>
      </c>
      <c r="CV11" s="229">
        <v>1</v>
      </c>
      <c r="CW11" s="229">
        <v>1</v>
      </c>
      <c r="CX11" s="229">
        <v>1</v>
      </c>
      <c r="CY11" s="229">
        <v>1</v>
      </c>
      <c r="CZ11" s="229">
        <v>1</v>
      </c>
      <c r="DA11" s="229">
        <v>1</v>
      </c>
      <c r="DB11" s="229">
        <v>1</v>
      </c>
      <c r="DC11" s="229">
        <v>1</v>
      </c>
      <c r="DD11" s="229">
        <v>1</v>
      </c>
      <c r="DE11" s="229">
        <v>1</v>
      </c>
      <c r="DF11" s="229">
        <v>1</v>
      </c>
      <c r="DG11" s="229">
        <v>1</v>
      </c>
      <c r="DH11" s="220">
        <f t="shared" si="5"/>
        <v>0</v>
      </c>
      <c r="DI11" s="220">
        <f t="shared" si="6"/>
        <v>0</v>
      </c>
      <c r="DJ11" s="220">
        <f t="shared" si="6"/>
        <v>0</v>
      </c>
      <c r="DK11" s="220">
        <f t="shared" si="6"/>
        <v>0</v>
      </c>
      <c r="DL11" s="220">
        <f t="shared" si="6"/>
        <v>0</v>
      </c>
      <c r="DM11" s="220">
        <f t="shared" si="6"/>
        <v>0</v>
      </c>
      <c r="DN11" s="220">
        <f t="shared" si="6"/>
        <v>0</v>
      </c>
      <c r="DO11" s="220">
        <f t="shared" si="6"/>
        <v>0</v>
      </c>
      <c r="DP11" s="220">
        <f t="shared" si="6"/>
        <v>0</v>
      </c>
      <c r="DQ11" s="220">
        <f t="shared" si="6"/>
        <v>0</v>
      </c>
      <c r="DR11" s="220">
        <f t="shared" si="6"/>
        <v>0</v>
      </c>
      <c r="DS11" s="220">
        <f t="shared" si="6"/>
        <v>0</v>
      </c>
      <c r="DT11" s="220">
        <f t="shared" si="6"/>
        <v>0</v>
      </c>
      <c r="DU11" s="220">
        <f t="shared" si="6"/>
        <v>0</v>
      </c>
      <c r="DV11" s="220">
        <f t="shared" si="6"/>
        <v>0</v>
      </c>
      <c r="DW11" s="220">
        <f t="shared" si="6"/>
        <v>0</v>
      </c>
      <c r="DX11" s="220">
        <f t="shared" si="6"/>
        <v>0</v>
      </c>
      <c r="DY11" s="220">
        <f t="shared" si="7"/>
        <v>0</v>
      </c>
      <c r="DZ11" s="220">
        <f t="shared" si="7"/>
        <v>0</v>
      </c>
      <c r="EA11" s="220">
        <f t="shared" si="7"/>
        <v>0</v>
      </c>
      <c r="EB11" s="220">
        <f t="shared" si="7"/>
        <v>0</v>
      </c>
      <c r="EC11" s="220">
        <f t="shared" si="7"/>
        <v>0</v>
      </c>
      <c r="ED11" s="220">
        <f t="shared" si="7"/>
        <v>0</v>
      </c>
      <c r="EE11" s="220">
        <f t="shared" si="7"/>
        <v>0</v>
      </c>
      <c r="EF11" s="220">
        <f t="shared" si="7"/>
        <v>0</v>
      </c>
      <c r="EG11" s="220">
        <f t="shared" si="7"/>
        <v>0</v>
      </c>
      <c r="EH11" s="220">
        <f t="shared" si="7"/>
        <v>0</v>
      </c>
      <c r="EI11" s="220">
        <f t="shared" si="7"/>
        <v>1</v>
      </c>
      <c r="EJ11" s="220">
        <f t="shared" si="7"/>
        <v>2</v>
      </c>
      <c r="EK11" s="220">
        <f t="shared" si="7"/>
        <v>3</v>
      </c>
      <c r="EL11" s="220">
        <f t="shared" si="7"/>
        <v>4</v>
      </c>
      <c r="EM11" s="220">
        <f t="shared" si="7"/>
        <v>5</v>
      </c>
      <c r="EN11" s="220">
        <f t="shared" si="7"/>
        <v>6</v>
      </c>
      <c r="EO11" s="220">
        <f t="shared" si="8"/>
        <v>7</v>
      </c>
      <c r="EP11" s="220">
        <f t="shared" si="8"/>
        <v>8</v>
      </c>
      <c r="EQ11" s="220">
        <f t="shared" si="8"/>
        <v>9</v>
      </c>
      <c r="ER11" s="220">
        <f t="shared" si="8"/>
        <v>10</v>
      </c>
      <c r="ES11" s="220">
        <f t="shared" si="8"/>
        <v>11</v>
      </c>
      <c r="ET11" s="220">
        <f t="shared" si="8"/>
        <v>12</v>
      </c>
      <c r="EU11" s="220">
        <f t="shared" si="8"/>
        <v>12</v>
      </c>
      <c r="EV11" s="220">
        <f t="shared" si="8"/>
        <v>12</v>
      </c>
      <c r="EW11" s="220">
        <f t="shared" si="8"/>
        <v>12</v>
      </c>
      <c r="EX11" s="220">
        <f t="shared" si="8"/>
        <v>12</v>
      </c>
      <c r="EY11" s="220">
        <f t="shared" si="8"/>
        <v>12</v>
      </c>
      <c r="EZ11" s="220">
        <f t="shared" si="8"/>
        <v>12</v>
      </c>
      <c r="FA11" s="220">
        <f t="shared" si="8"/>
        <v>12</v>
      </c>
      <c r="FB11" s="220">
        <f t="shared" si="8"/>
        <v>12</v>
      </c>
      <c r="FC11" s="220">
        <f t="shared" si="8"/>
        <v>12</v>
      </c>
      <c r="FD11" s="220">
        <f t="shared" si="8"/>
        <v>12</v>
      </c>
      <c r="FE11" s="220">
        <f t="shared" si="9"/>
        <v>12</v>
      </c>
      <c r="FF11" s="220">
        <f t="shared" si="9"/>
        <v>12</v>
      </c>
      <c r="FG11" s="220">
        <f t="shared" si="9"/>
        <v>12</v>
      </c>
      <c r="FH11" s="220">
        <f t="shared" si="9"/>
        <v>12</v>
      </c>
      <c r="FI11" s="220">
        <f t="shared" si="9"/>
        <v>12</v>
      </c>
      <c r="FJ11" s="220">
        <f t="shared" si="9"/>
        <v>12</v>
      </c>
      <c r="FK11" s="220">
        <f t="shared" si="9"/>
        <v>12</v>
      </c>
      <c r="FL11" s="220">
        <f t="shared" si="9"/>
        <v>12</v>
      </c>
      <c r="FM11" s="220">
        <f t="shared" si="9"/>
        <v>12</v>
      </c>
      <c r="FN11" s="220">
        <f t="shared" si="9"/>
        <v>12</v>
      </c>
      <c r="FO11" s="220">
        <f t="shared" si="9"/>
        <v>12</v>
      </c>
      <c r="FP11" s="220">
        <f t="shared" si="9"/>
        <v>12</v>
      </c>
      <c r="FQ11" s="220">
        <f t="shared" si="9"/>
        <v>12</v>
      </c>
      <c r="FR11" s="220">
        <f t="shared" si="9"/>
        <v>12</v>
      </c>
      <c r="FS11" s="220">
        <f t="shared" si="9"/>
        <v>12</v>
      </c>
      <c r="FT11" s="220">
        <f t="shared" si="9"/>
        <v>12</v>
      </c>
      <c r="FU11" s="220">
        <f t="shared" si="10"/>
        <v>12</v>
      </c>
      <c r="FV11" s="220">
        <f t="shared" si="10"/>
        <v>12</v>
      </c>
      <c r="FW11" s="220">
        <f t="shared" si="10"/>
        <v>12</v>
      </c>
      <c r="FX11" s="220">
        <f t="shared" si="10"/>
        <v>12</v>
      </c>
      <c r="FY11" s="220">
        <f t="shared" si="10"/>
        <v>12</v>
      </c>
      <c r="FZ11" s="220">
        <f t="shared" si="10"/>
        <v>12</v>
      </c>
      <c r="GA11" s="220">
        <f t="shared" si="10"/>
        <v>12</v>
      </c>
      <c r="GB11" s="220">
        <f t="shared" si="10"/>
        <v>12</v>
      </c>
      <c r="GC11" s="220">
        <f t="shared" si="10"/>
        <v>12</v>
      </c>
      <c r="GD11" s="220">
        <f t="shared" si="10"/>
        <v>12</v>
      </c>
      <c r="GE11" s="220">
        <f t="shared" si="10"/>
        <v>12</v>
      </c>
      <c r="GF11" s="220">
        <f t="shared" si="10"/>
        <v>12</v>
      </c>
      <c r="GG11" s="220">
        <f t="shared" si="10"/>
        <v>12</v>
      </c>
      <c r="GH11" s="220">
        <f t="shared" si="10"/>
        <v>12</v>
      </c>
      <c r="GI11" s="220">
        <f t="shared" si="10"/>
        <v>12</v>
      </c>
      <c r="GJ11" s="220">
        <f t="shared" si="10"/>
        <v>12</v>
      </c>
      <c r="GK11" s="220">
        <f t="shared" si="11"/>
        <v>12</v>
      </c>
      <c r="GL11" s="220">
        <f t="shared" si="11"/>
        <v>12</v>
      </c>
      <c r="GM11" s="220">
        <f t="shared" si="11"/>
        <v>12</v>
      </c>
      <c r="GN11" s="220">
        <f t="shared" si="11"/>
        <v>12</v>
      </c>
      <c r="GO11" s="220">
        <f t="shared" si="11"/>
        <v>12</v>
      </c>
      <c r="GP11" s="220">
        <f t="shared" si="11"/>
        <v>12</v>
      </c>
      <c r="GQ11" s="220">
        <f t="shared" si="11"/>
        <v>12</v>
      </c>
      <c r="GR11" s="220">
        <f t="shared" si="11"/>
        <v>12</v>
      </c>
      <c r="GS11" s="220">
        <f t="shared" si="11"/>
        <v>12</v>
      </c>
      <c r="GT11" s="220">
        <f t="shared" si="11"/>
        <v>12</v>
      </c>
      <c r="GU11" s="221">
        <f t="shared" si="12"/>
        <v>37</v>
      </c>
    </row>
    <row r="12" spans="1:203">
      <c r="A12" s="218">
        <v>25</v>
      </c>
      <c r="B12" s="222" t="s">
        <v>443</v>
      </c>
      <c r="C12" s="223">
        <v>400</v>
      </c>
      <c r="D12" s="223" t="s">
        <v>308</v>
      </c>
      <c r="E12" s="223"/>
      <c r="F12" s="228"/>
      <c r="G12" s="228"/>
      <c r="H12" s="228"/>
      <c r="I12" s="228">
        <v>20</v>
      </c>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v>1</v>
      </c>
      <c r="AW12" s="229">
        <v>1</v>
      </c>
      <c r="AX12" s="229">
        <v>1</v>
      </c>
      <c r="AY12" s="229">
        <v>1</v>
      </c>
      <c r="AZ12" s="229">
        <v>1</v>
      </c>
      <c r="BA12" s="229">
        <v>1</v>
      </c>
      <c r="BB12" s="229">
        <v>1</v>
      </c>
      <c r="BC12" s="229">
        <v>1</v>
      </c>
      <c r="BD12" s="229">
        <v>1</v>
      </c>
      <c r="BE12" s="229">
        <v>1</v>
      </c>
      <c r="BF12" s="229">
        <v>1</v>
      </c>
      <c r="BG12" s="229">
        <v>1</v>
      </c>
      <c r="BH12" s="229">
        <v>1</v>
      </c>
      <c r="BI12" s="229">
        <v>1</v>
      </c>
      <c r="BJ12" s="229">
        <v>1</v>
      </c>
      <c r="BK12" s="229">
        <v>1</v>
      </c>
      <c r="BL12" s="229">
        <v>1</v>
      </c>
      <c r="BM12" s="229">
        <v>1</v>
      </c>
      <c r="BN12" s="229">
        <v>1</v>
      </c>
      <c r="BO12" s="229">
        <v>1</v>
      </c>
      <c r="BP12" s="229">
        <v>1</v>
      </c>
      <c r="BQ12" s="229">
        <v>1</v>
      </c>
      <c r="BR12" s="229">
        <v>1</v>
      </c>
      <c r="BS12" s="229">
        <v>1</v>
      </c>
      <c r="BT12" s="229">
        <v>1</v>
      </c>
      <c r="BU12" s="229">
        <v>1</v>
      </c>
      <c r="BV12" s="229">
        <v>1</v>
      </c>
      <c r="BW12" s="229">
        <v>1</v>
      </c>
      <c r="BX12" s="229">
        <v>1</v>
      </c>
      <c r="BY12" s="229">
        <v>1</v>
      </c>
      <c r="BZ12" s="229">
        <v>1</v>
      </c>
      <c r="CA12" s="229">
        <v>1</v>
      </c>
      <c r="CB12" s="229">
        <v>1</v>
      </c>
      <c r="CC12" s="229">
        <v>1</v>
      </c>
      <c r="CD12" s="229">
        <v>1</v>
      </c>
      <c r="CE12" s="229">
        <v>1</v>
      </c>
      <c r="CF12" s="229">
        <v>1</v>
      </c>
      <c r="CG12" s="229">
        <v>1</v>
      </c>
      <c r="CH12" s="229">
        <v>1</v>
      </c>
      <c r="CI12" s="229">
        <v>1</v>
      </c>
      <c r="CJ12" s="229">
        <v>1</v>
      </c>
      <c r="CK12" s="229">
        <v>1</v>
      </c>
      <c r="CL12" s="229">
        <v>1</v>
      </c>
      <c r="CM12" s="229">
        <v>1</v>
      </c>
      <c r="CN12" s="229">
        <v>1</v>
      </c>
      <c r="CO12" s="229">
        <v>1</v>
      </c>
      <c r="CP12" s="229">
        <v>1</v>
      </c>
      <c r="CQ12" s="229">
        <v>1</v>
      </c>
      <c r="CR12" s="229">
        <v>1</v>
      </c>
      <c r="CS12" s="229">
        <v>1</v>
      </c>
      <c r="CT12" s="229">
        <v>1</v>
      </c>
      <c r="CU12" s="229">
        <v>1</v>
      </c>
      <c r="CV12" s="229">
        <v>1</v>
      </c>
      <c r="CW12" s="229">
        <v>1</v>
      </c>
      <c r="CX12" s="229">
        <v>1</v>
      </c>
      <c r="CY12" s="229">
        <v>1</v>
      </c>
      <c r="CZ12" s="229">
        <v>1</v>
      </c>
      <c r="DA12" s="229">
        <v>1</v>
      </c>
      <c r="DB12" s="229">
        <v>1</v>
      </c>
      <c r="DC12" s="229">
        <v>1</v>
      </c>
      <c r="DD12" s="229">
        <v>1</v>
      </c>
      <c r="DE12" s="229">
        <v>1</v>
      </c>
      <c r="DF12" s="229">
        <v>1</v>
      </c>
      <c r="DG12" s="229">
        <v>1</v>
      </c>
      <c r="DH12" s="220">
        <f t="shared" si="5"/>
        <v>0</v>
      </c>
      <c r="DI12" s="220">
        <f t="shared" si="6"/>
        <v>0</v>
      </c>
      <c r="DJ12" s="220">
        <f t="shared" si="6"/>
        <v>0</v>
      </c>
      <c r="DK12" s="220">
        <f t="shared" si="6"/>
        <v>0</v>
      </c>
      <c r="DL12" s="220">
        <f t="shared" si="6"/>
        <v>0</v>
      </c>
      <c r="DM12" s="220">
        <f t="shared" si="6"/>
        <v>0</v>
      </c>
      <c r="DN12" s="220">
        <f t="shared" si="6"/>
        <v>0</v>
      </c>
      <c r="DO12" s="220">
        <f t="shared" si="6"/>
        <v>0</v>
      </c>
      <c r="DP12" s="220">
        <f t="shared" si="6"/>
        <v>0</v>
      </c>
      <c r="DQ12" s="220">
        <f t="shared" si="6"/>
        <v>0</v>
      </c>
      <c r="DR12" s="220">
        <f t="shared" si="6"/>
        <v>0</v>
      </c>
      <c r="DS12" s="220">
        <f t="shared" si="6"/>
        <v>0</v>
      </c>
      <c r="DT12" s="220">
        <f t="shared" si="6"/>
        <v>0</v>
      </c>
      <c r="DU12" s="220">
        <f t="shared" si="6"/>
        <v>0</v>
      </c>
      <c r="DV12" s="220">
        <f t="shared" si="6"/>
        <v>0</v>
      </c>
      <c r="DW12" s="220">
        <f t="shared" si="6"/>
        <v>0</v>
      </c>
      <c r="DX12" s="220">
        <f t="shared" si="6"/>
        <v>0</v>
      </c>
      <c r="DY12" s="220">
        <f t="shared" si="7"/>
        <v>0</v>
      </c>
      <c r="DZ12" s="220">
        <f t="shared" si="7"/>
        <v>0</v>
      </c>
      <c r="EA12" s="220">
        <f t="shared" si="7"/>
        <v>0</v>
      </c>
      <c r="EB12" s="220">
        <f t="shared" si="7"/>
        <v>0</v>
      </c>
      <c r="EC12" s="220">
        <f t="shared" si="7"/>
        <v>0</v>
      </c>
      <c r="ED12" s="220">
        <f t="shared" si="7"/>
        <v>0</v>
      </c>
      <c r="EE12" s="220">
        <f t="shared" si="7"/>
        <v>0</v>
      </c>
      <c r="EF12" s="220">
        <f t="shared" si="7"/>
        <v>0</v>
      </c>
      <c r="EG12" s="220">
        <f t="shared" si="7"/>
        <v>0</v>
      </c>
      <c r="EH12" s="220">
        <f t="shared" si="7"/>
        <v>0</v>
      </c>
      <c r="EI12" s="220">
        <f t="shared" si="7"/>
        <v>1</v>
      </c>
      <c r="EJ12" s="220">
        <f t="shared" si="7"/>
        <v>2</v>
      </c>
      <c r="EK12" s="220">
        <f t="shared" si="7"/>
        <v>3</v>
      </c>
      <c r="EL12" s="220">
        <f t="shared" si="7"/>
        <v>4</v>
      </c>
      <c r="EM12" s="220">
        <f t="shared" si="7"/>
        <v>5</v>
      </c>
      <c r="EN12" s="220">
        <f t="shared" si="7"/>
        <v>6</v>
      </c>
      <c r="EO12" s="220">
        <f t="shared" si="8"/>
        <v>7</v>
      </c>
      <c r="EP12" s="220">
        <f t="shared" si="8"/>
        <v>8</v>
      </c>
      <c r="EQ12" s="220">
        <f t="shared" si="8"/>
        <v>9</v>
      </c>
      <c r="ER12" s="220">
        <f t="shared" si="8"/>
        <v>10</v>
      </c>
      <c r="ES12" s="220">
        <f t="shared" si="8"/>
        <v>11</v>
      </c>
      <c r="ET12" s="220">
        <f t="shared" si="8"/>
        <v>12</v>
      </c>
      <c r="EU12" s="220">
        <f t="shared" si="8"/>
        <v>12</v>
      </c>
      <c r="EV12" s="220">
        <f t="shared" si="8"/>
        <v>12</v>
      </c>
      <c r="EW12" s="220">
        <f t="shared" si="8"/>
        <v>12</v>
      </c>
      <c r="EX12" s="220">
        <f t="shared" si="8"/>
        <v>12</v>
      </c>
      <c r="EY12" s="220">
        <f t="shared" si="8"/>
        <v>12</v>
      </c>
      <c r="EZ12" s="220">
        <f t="shared" si="8"/>
        <v>12</v>
      </c>
      <c r="FA12" s="220">
        <f t="shared" si="8"/>
        <v>12</v>
      </c>
      <c r="FB12" s="220">
        <f t="shared" si="8"/>
        <v>12</v>
      </c>
      <c r="FC12" s="220">
        <f t="shared" si="8"/>
        <v>12</v>
      </c>
      <c r="FD12" s="220">
        <f t="shared" si="8"/>
        <v>12</v>
      </c>
      <c r="FE12" s="220">
        <f t="shared" si="9"/>
        <v>12</v>
      </c>
      <c r="FF12" s="220">
        <f t="shared" si="9"/>
        <v>12</v>
      </c>
      <c r="FG12" s="220">
        <f t="shared" si="9"/>
        <v>12</v>
      </c>
      <c r="FH12" s="220">
        <f t="shared" si="9"/>
        <v>12</v>
      </c>
      <c r="FI12" s="220">
        <f t="shared" si="9"/>
        <v>12</v>
      </c>
      <c r="FJ12" s="220">
        <f t="shared" si="9"/>
        <v>12</v>
      </c>
      <c r="FK12" s="220">
        <f t="shared" si="9"/>
        <v>12</v>
      </c>
      <c r="FL12" s="220">
        <f t="shared" si="9"/>
        <v>12</v>
      </c>
      <c r="FM12" s="220">
        <f t="shared" si="9"/>
        <v>12</v>
      </c>
      <c r="FN12" s="220">
        <f t="shared" si="9"/>
        <v>12</v>
      </c>
      <c r="FO12" s="220">
        <f t="shared" si="9"/>
        <v>12</v>
      </c>
      <c r="FP12" s="220">
        <f t="shared" si="9"/>
        <v>12</v>
      </c>
      <c r="FQ12" s="220">
        <f t="shared" si="9"/>
        <v>12</v>
      </c>
      <c r="FR12" s="220">
        <f t="shared" si="9"/>
        <v>12</v>
      </c>
      <c r="FS12" s="220">
        <f t="shared" si="9"/>
        <v>12</v>
      </c>
      <c r="FT12" s="220">
        <f t="shared" si="9"/>
        <v>12</v>
      </c>
      <c r="FU12" s="220">
        <f t="shared" si="10"/>
        <v>12</v>
      </c>
      <c r="FV12" s="220">
        <f t="shared" si="10"/>
        <v>12</v>
      </c>
      <c r="FW12" s="220">
        <f t="shared" si="10"/>
        <v>12</v>
      </c>
      <c r="FX12" s="220">
        <f t="shared" si="10"/>
        <v>12</v>
      </c>
      <c r="FY12" s="220">
        <f t="shared" si="10"/>
        <v>12</v>
      </c>
      <c r="FZ12" s="220">
        <f t="shared" si="10"/>
        <v>12</v>
      </c>
      <c r="GA12" s="220">
        <f t="shared" si="10"/>
        <v>12</v>
      </c>
      <c r="GB12" s="220">
        <f t="shared" si="10"/>
        <v>12</v>
      </c>
      <c r="GC12" s="220">
        <f t="shared" si="10"/>
        <v>12</v>
      </c>
      <c r="GD12" s="220">
        <f t="shared" si="10"/>
        <v>12</v>
      </c>
      <c r="GE12" s="220">
        <f t="shared" si="10"/>
        <v>12</v>
      </c>
      <c r="GF12" s="220">
        <f t="shared" si="10"/>
        <v>12</v>
      </c>
      <c r="GG12" s="220">
        <f t="shared" si="10"/>
        <v>12</v>
      </c>
      <c r="GH12" s="220">
        <f t="shared" si="10"/>
        <v>12</v>
      </c>
      <c r="GI12" s="220">
        <f t="shared" si="10"/>
        <v>12</v>
      </c>
      <c r="GJ12" s="220">
        <f t="shared" si="10"/>
        <v>12</v>
      </c>
      <c r="GK12" s="220">
        <f t="shared" si="11"/>
        <v>12</v>
      </c>
      <c r="GL12" s="220">
        <f t="shared" si="11"/>
        <v>12</v>
      </c>
      <c r="GM12" s="220">
        <f t="shared" si="11"/>
        <v>12</v>
      </c>
      <c r="GN12" s="220">
        <f t="shared" si="11"/>
        <v>12</v>
      </c>
      <c r="GO12" s="220">
        <f t="shared" si="11"/>
        <v>12</v>
      </c>
      <c r="GP12" s="220">
        <f t="shared" si="11"/>
        <v>12</v>
      </c>
      <c r="GQ12" s="220">
        <f t="shared" si="11"/>
        <v>12</v>
      </c>
      <c r="GR12" s="220">
        <f t="shared" si="11"/>
        <v>12</v>
      </c>
      <c r="GS12" s="220">
        <f t="shared" si="11"/>
        <v>12</v>
      </c>
      <c r="GT12" s="220">
        <f t="shared" si="11"/>
        <v>12</v>
      </c>
      <c r="GU12" s="221">
        <f t="shared" si="12"/>
        <v>37</v>
      </c>
    </row>
    <row r="13" spans="1:203">
      <c r="A13" s="218">
        <v>26</v>
      </c>
      <c r="B13" s="222" t="s">
        <v>613</v>
      </c>
      <c r="C13" s="223">
        <v>400</v>
      </c>
      <c r="D13" s="223" t="s">
        <v>308</v>
      </c>
      <c r="E13" s="223"/>
      <c r="F13" s="228"/>
      <c r="G13" s="228"/>
      <c r="H13" s="228"/>
      <c r="I13" s="228">
        <v>10</v>
      </c>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v>1</v>
      </c>
      <c r="AW13" s="229">
        <v>1</v>
      </c>
      <c r="AX13" s="229">
        <v>1</v>
      </c>
      <c r="AY13" s="229">
        <v>1</v>
      </c>
      <c r="AZ13" s="229">
        <v>1</v>
      </c>
      <c r="BA13" s="229">
        <v>1</v>
      </c>
      <c r="BB13" s="229">
        <v>1</v>
      </c>
      <c r="BC13" s="229">
        <v>1</v>
      </c>
      <c r="BD13" s="229">
        <v>1</v>
      </c>
      <c r="BE13" s="229">
        <v>1</v>
      </c>
      <c r="BF13" s="229">
        <v>1</v>
      </c>
      <c r="BG13" s="229">
        <v>1</v>
      </c>
      <c r="BH13" s="229">
        <v>1</v>
      </c>
      <c r="BI13" s="229">
        <v>1</v>
      </c>
      <c r="BJ13" s="229">
        <v>1</v>
      </c>
      <c r="BK13" s="229">
        <v>1</v>
      </c>
      <c r="BL13" s="229">
        <v>1</v>
      </c>
      <c r="BM13" s="229">
        <v>1</v>
      </c>
      <c r="BN13" s="229">
        <v>1</v>
      </c>
      <c r="BO13" s="229">
        <v>1</v>
      </c>
      <c r="BP13" s="229">
        <v>1</v>
      </c>
      <c r="BQ13" s="229">
        <v>1</v>
      </c>
      <c r="BR13" s="229">
        <v>1</v>
      </c>
      <c r="BS13" s="229">
        <v>1</v>
      </c>
      <c r="BT13" s="229">
        <v>1</v>
      </c>
      <c r="BU13" s="229">
        <v>1</v>
      </c>
      <c r="BV13" s="229">
        <v>1</v>
      </c>
      <c r="BW13" s="229">
        <v>1</v>
      </c>
      <c r="BX13" s="229">
        <v>1</v>
      </c>
      <c r="BY13" s="229">
        <v>1</v>
      </c>
      <c r="BZ13" s="229">
        <v>1</v>
      </c>
      <c r="CA13" s="229">
        <v>1</v>
      </c>
      <c r="CB13" s="229">
        <v>1</v>
      </c>
      <c r="CC13" s="229">
        <v>1</v>
      </c>
      <c r="CD13" s="229">
        <v>1</v>
      </c>
      <c r="CE13" s="229">
        <v>1</v>
      </c>
      <c r="CF13" s="229">
        <v>1</v>
      </c>
      <c r="CG13" s="229">
        <v>1</v>
      </c>
      <c r="CH13" s="229">
        <v>1</v>
      </c>
      <c r="CI13" s="229">
        <v>1</v>
      </c>
      <c r="CJ13" s="229">
        <v>1</v>
      </c>
      <c r="CK13" s="229">
        <v>1</v>
      </c>
      <c r="CL13" s="229">
        <v>1</v>
      </c>
      <c r="CM13" s="229">
        <v>1</v>
      </c>
      <c r="CN13" s="229">
        <v>1</v>
      </c>
      <c r="CO13" s="229">
        <v>1</v>
      </c>
      <c r="CP13" s="229">
        <v>1</v>
      </c>
      <c r="CQ13" s="229">
        <v>1</v>
      </c>
      <c r="CR13" s="229">
        <v>1</v>
      </c>
      <c r="CS13" s="229">
        <v>1</v>
      </c>
      <c r="CT13" s="229">
        <v>1</v>
      </c>
      <c r="CU13" s="229">
        <v>1</v>
      </c>
      <c r="CV13" s="229">
        <v>1</v>
      </c>
      <c r="CW13" s="229">
        <v>1</v>
      </c>
      <c r="CX13" s="229">
        <v>1</v>
      </c>
      <c r="CY13" s="229">
        <v>1</v>
      </c>
      <c r="CZ13" s="229">
        <v>1</v>
      </c>
      <c r="DA13" s="229">
        <v>1</v>
      </c>
      <c r="DB13" s="229">
        <v>1</v>
      </c>
      <c r="DC13" s="229">
        <v>1</v>
      </c>
      <c r="DD13" s="229">
        <v>1</v>
      </c>
      <c r="DE13" s="229">
        <v>1</v>
      </c>
      <c r="DF13" s="229">
        <v>1</v>
      </c>
      <c r="DG13" s="229">
        <v>1</v>
      </c>
      <c r="DH13" s="220">
        <f t="shared" si="5"/>
        <v>0</v>
      </c>
      <c r="DI13" s="220">
        <f t="shared" si="6"/>
        <v>0</v>
      </c>
      <c r="DJ13" s="220">
        <f t="shared" si="6"/>
        <v>0</v>
      </c>
      <c r="DK13" s="220">
        <f t="shared" si="6"/>
        <v>0</v>
      </c>
      <c r="DL13" s="220">
        <f t="shared" si="6"/>
        <v>0</v>
      </c>
      <c r="DM13" s="220">
        <f t="shared" si="6"/>
        <v>0</v>
      </c>
      <c r="DN13" s="220">
        <f t="shared" si="6"/>
        <v>0</v>
      </c>
      <c r="DO13" s="220">
        <f t="shared" si="6"/>
        <v>0</v>
      </c>
      <c r="DP13" s="220">
        <f t="shared" si="6"/>
        <v>0</v>
      </c>
      <c r="DQ13" s="220">
        <f t="shared" si="6"/>
        <v>0</v>
      </c>
      <c r="DR13" s="220">
        <f t="shared" si="6"/>
        <v>0</v>
      </c>
      <c r="DS13" s="220">
        <f t="shared" si="6"/>
        <v>0</v>
      </c>
      <c r="DT13" s="220">
        <f t="shared" si="6"/>
        <v>0</v>
      </c>
      <c r="DU13" s="220">
        <f t="shared" si="6"/>
        <v>0</v>
      </c>
      <c r="DV13" s="220">
        <f t="shared" si="6"/>
        <v>0</v>
      </c>
      <c r="DW13" s="220">
        <f t="shared" si="6"/>
        <v>0</v>
      </c>
      <c r="DX13" s="220">
        <f t="shared" si="6"/>
        <v>0</v>
      </c>
      <c r="DY13" s="220">
        <f t="shared" si="7"/>
        <v>0</v>
      </c>
      <c r="DZ13" s="220">
        <f t="shared" si="7"/>
        <v>0</v>
      </c>
      <c r="EA13" s="220">
        <f t="shared" si="7"/>
        <v>0</v>
      </c>
      <c r="EB13" s="220">
        <f t="shared" si="7"/>
        <v>0</v>
      </c>
      <c r="EC13" s="220">
        <f t="shared" si="7"/>
        <v>0</v>
      </c>
      <c r="ED13" s="220">
        <f t="shared" si="7"/>
        <v>0</v>
      </c>
      <c r="EE13" s="220">
        <f t="shared" si="7"/>
        <v>0</v>
      </c>
      <c r="EF13" s="220">
        <f t="shared" si="7"/>
        <v>0</v>
      </c>
      <c r="EG13" s="220">
        <f t="shared" si="7"/>
        <v>0</v>
      </c>
      <c r="EH13" s="220">
        <f t="shared" si="7"/>
        <v>0</v>
      </c>
      <c r="EI13" s="220">
        <f t="shared" si="7"/>
        <v>1</v>
      </c>
      <c r="EJ13" s="220">
        <f t="shared" si="7"/>
        <v>2</v>
      </c>
      <c r="EK13" s="220">
        <f t="shared" si="7"/>
        <v>3</v>
      </c>
      <c r="EL13" s="220">
        <f t="shared" si="7"/>
        <v>4</v>
      </c>
      <c r="EM13" s="220">
        <f t="shared" si="7"/>
        <v>5</v>
      </c>
      <c r="EN13" s="220">
        <f t="shared" si="7"/>
        <v>6</v>
      </c>
      <c r="EO13" s="220">
        <f t="shared" si="8"/>
        <v>7</v>
      </c>
      <c r="EP13" s="220">
        <f t="shared" si="8"/>
        <v>8</v>
      </c>
      <c r="EQ13" s="220">
        <f t="shared" si="8"/>
        <v>9</v>
      </c>
      <c r="ER13" s="220">
        <f t="shared" si="8"/>
        <v>10</v>
      </c>
      <c r="ES13" s="220">
        <f t="shared" si="8"/>
        <v>11</v>
      </c>
      <c r="ET13" s="220">
        <f t="shared" si="8"/>
        <v>12</v>
      </c>
      <c r="EU13" s="220">
        <f t="shared" si="8"/>
        <v>12</v>
      </c>
      <c r="EV13" s="220">
        <f t="shared" si="8"/>
        <v>12</v>
      </c>
      <c r="EW13" s="220">
        <f t="shared" si="8"/>
        <v>12</v>
      </c>
      <c r="EX13" s="220">
        <f t="shared" si="8"/>
        <v>12</v>
      </c>
      <c r="EY13" s="220">
        <f t="shared" si="8"/>
        <v>12</v>
      </c>
      <c r="EZ13" s="220">
        <f t="shared" si="8"/>
        <v>12</v>
      </c>
      <c r="FA13" s="220">
        <f t="shared" si="8"/>
        <v>12</v>
      </c>
      <c r="FB13" s="220">
        <f t="shared" si="8"/>
        <v>12</v>
      </c>
      <c r="FC13" s="220">
        <f t="shared" si="8"/>
        <v>12</v>
      </c>
      <c r="FD13" s="220">
        <f t="shared" si="8"/>
        <v>12</v>
      </c>
      <c r="FE13" s="220">
        <f t="shared" si="9"/>
        <v>12</v>
      </c>
      <c r="FF13" s="220">
        <f t="shared" si="9"/>
        <v>12</v>
      </c>
      <c r="FG13" s="220">
        <f t="shared" si="9"/>
        <v>12</v>
      </c>
      <c r="FH13" s="220">
        <f t="shared" si="9"/>
        <v>12</v>
      </c>
      <c r="FI13" s="220">
        <f t="shared" si="9"/>
        <v>12</v>
      </c>
      <c r="FJ13" s="220">
        <f t="shared" si="9"/>
        <v>12</v>
      </c>
      <c r="FK13" s="220">
        <f t="shared" si="9"/>
        <v>12</v>
      </c>
      <c r="FL13" s="220">
        <f t="shared" si="9"/>
        <v>12</v>
      </c>
      <c r="FM13" s="220">
        <f t="shared" si="9"/>
        <v>12</v>
      </c>
      <c r="FN13" s="220">
        <f t="shared" si="9"/>
        <v>12</v>
      </c>
      <c r="FO13" s="220">
        <f t="shared" si="9"/>
        <v>12</v>
      </c>
      <c r="FP13" s="220">
        <f t="shared" si="9"/>
        <v>12</v>
      </c>
      <c r="FQ13" s="220">
        <f t="shared" si="9"/>
        <v>12</v>
      </c>
      <c r="FR13" s="220">
        <f t="shared" si="9"/>
        <v>12</v>
      </c>
      <c r="FS13" s="220">
        <f t="shared" si="9"/>
        <v>12</v>
      </c>
      <c r="FT13" s="220">
        <f t="shared" si="9"/>
        <v>12</v>
      </c>
      <c r="FU13" s="220">
        <f t="shared" si="10"/>
        <v>12</v>
      </c>
      <c r="FV13" s="220">
        <f t="shared" si="10"/>
        <v>12</v>
      </c>
      <c r="FW13" s="220">
        <f t="shared" si="10"/>
        <v>12</v>
      </c>
      <c r="FX13" s="220">
        <f t="shared" si="10"/>
        <v>12</v>
      </c>
      <c r="FY13" s="220">
        <f t="shared" si="10"/>
        <v>12</v>
      </c>
      <c r="FZ13" s="220">
        <f t="shared" si="10"/>
        <v>12</v>
      </c>
      <c r="GA13" s="220">
        <f t="shared" si="10"/>
        <v>12</v>
      </c>
      <c r="GB13" s="220">
        <f t="shared" si="10"/>
        <v>12</v>
      </c>
      <c r="GC13" s="220">
        <f t="shared" si="10"/>
        <v>12</v>
      </c>
      <c r="GD13" s="220">
        <f t="shared" si="10"/>
        <v>12</v>
      </c>
      <c r="GE13" s="220">
        <f t="shared" si="10"/>
        <v>12</v>
      </c>
      <c r="GF13" s="220">
        <f t="shared" si="10"/>
        <v>12</v>
      </c>
      <c r="GG13" s="220">
        <f t="shared" si="10"/>
        <v>12</v>
      </c>
      <c r="GH13" s="220">
        <f t="shared" si="10"/>
        <v>12</v>
      </c>
      <c r="GI13" s="220">
        <f t="shared" si="10"/>
        <v>12</v>
      </c>
      <c r="GJ13" s="220">
        <f t="shared" si="10"/>
        <v>12</v>
      </c>
      <c r="GK13" s="220">
        <f t="shared" si="11"/>
        <v>12</v>
      </c>
      <c r="GL13" s="220">
        <f t="shared" si="11"/>
        <v>12</v>
      </c>
      <c r="GM13" s="220">
        <f t="shared" si="11"/>
        <v>12</v>
      </c>
      <c r="GN13" s="220">
        <f t="shared" si="11"/>
        <v>12</v>
      </c>
      <c r="GO13" s="220">
        <f t="shared" si="11"/>
        <v>12</v>
      </c>
      <c r="GP13" s="220">
        <f t="shared" si="11"/>
        <v>12</v>
      </c>
      <c r="GQ13" s="220">
        <f t="shared" si="11"/>
        <v>12</v>
      </c>
      <c r="GR13" s="220">
        <f t="shared" si="11"/>
        <v>12</v>
      </c>
      <c r="GS13" s="220">
        <f t="shared" si="11"/>
        <v>12</v>
      </c>
      <c r="GT13" s="220">
        <f t="shared" si="11"/>
        <v>12</v>
      </c>
      <c r="GU13" s="221">
        <f>SUM(J13:CF13)</f>
        <v>37</v>
      </c>
    </row>
    <row r="14" spans="1:203">
      <c r="A14" s="218">
        <v>27</v>
      </c>
      <c r="B14" s="222" t="s">
        <v>614</v>
      </c>
      <c r="C14" s="223">
        <v>400</v>
      </c>
      <c r="D14" s="223" t="s">
        <v>308</v>
      </c>
      <c r="E14" s="223"/>
      <c r="F14" s="228"/>
      <c r="G14" s="228"/>
      <c r="H14" s="228"/>
      <c r="I14" s="228">
        <v>10</v>
      </c>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v>1</v>
      </c>
      <c r="AW14" s="229">
        <v>1</v>
      </c>
      <c r="AX14" s="229">
        <v>1</v>
      </c>
      <c r="AY14" s="229">
        <v>1</v>
      </c>
      <c r="AZ14" s="229">
        <v>1</v>
      </c>
      <c r="BA14" s="229">
        <v>1</v>
      </c>
      <c r="BB14" s="229">
        <v>1</v>
      </c>
      <c r="BC14" s="229">
        <v>1</v>
      </c>
      <c r="BD14" s="229">
        <v>1</v>
      </c>
      <c r="BE14" s="229">
        <v>1</v>
      </c>
      <c r="BF14" s="229">
        <v>1</v>
      </c>
      <c r="BG14" s="229">
        <v>1</v>
      </c>
      <c r="BH14" s="229">
        <v>1</v>
      </c>
      <c r="BI14" s="229">
        <v>1</v>
      </c>
      <c r="BJ14" s="229">
        <v>1</v>
      </c>
      <c r="BK14" s="229">
        <v>1</v>
      </c>
      <c r="BL14" s="229">
        <v>1</v>
      </c>
      <c r="BM14" s="229">
        <v>1</v>
      </c>
      <c r="BN14" s="229">
        <v>1</v>
      </c>
      <c r="BO14" s="229">
        <v>1</v>
      </c>
      <c r="BP14" s="229">
        <v>1</v>
      </c>
      <c r="BQ14" s="229">
        <v>1</v>
      </c>
      <c r="BR14" s="229">
        <v>1</v>
      </c>
      <c r="BS14" s="229">
        <v>1</v>
      </c>
      <c r="BT14" s="229">
        <v>1</v>
      </c>
      <c r="BU14" s="229">
        <v>1</v>
      </c>
      <c r="BV14" s="229">
        <v>1</v>
      </c>
      <c r="BW14" s="229">
        <v>1</v>
      </c>
      <c r="BX14" s="229">
        <v>1</v>
      </c>
      <c r="BY14" s="229">
        <v>1</v>
      </c>
      <c r="BZ14" s="229">
        <v>1</v>
      </c>
      <c r="CA14" s="229">
        <v>1</v>
      </c>
      <c r="CB14" s="229">
        <v>1</v>
      </c>
      <c r="CC14" s="229">
        <v>1</v>
      </c>
      <c r="CD14" s="229">
        <v>1</v>
      </c>
      <c r="CE14" s="229">
        <v>1</v>
      </c>
      <c r="CF14" s="229">
        <v>1</v>
      </c>
      <c r="CG14" s="229">
        <v>1</v>
      </c>
      <c r="CH14" s="229">
        <v>1</v>
      </c>
      <c r="CI14" s="229">
        <v>1</v>
      </c>
      <c r="CJ14" s="229">
        <v>1</v>
      </c>
      <c r="CK14" s="229">
        <v>1</v>
      </c>
      <c r="CL14" s="229">
        <v>1</v>
      </c>
      <c r="CM14" s="229">
        <v>1</v>
      </c>
      <c r="CN14" s="229">
        <v>1</v>
      </c>
      <c r="CO14" s="229">
        <v>1</v>
      </c>
      <c r="CP14" s="229">
        <v>1</v>
      </c>
      <c r="CQ14" s="229">
        <v>1</v>
      </c>
      <c r="CR14" s="229">
        <v>1</v>
      </c>
      <c r="CS14" s="229">
        <v>1</v>
      </c>
      <c r="CT14" s="229">
        <v>1</v>
      </c>
      <c r="CU14" s="229">
        <v>1</v>
      </c>
      <c r="CV14" s="229">
        <v>1</v>
      </c>
      <c r="CW14" s="229">
        <v>1</v>
      </c>
      <c r="CX14" s="229">
        <v>1</v>
      </c>
      <c r="CY14" s="229">
        <v>1</v>
      </c>
      <c r="CZ14" s="229">
        <v>1</v>
      </c>
      <c r="DA14" s="229">
        <v>1</v>
      </c>
      <c r="DB14" s="229">
        <v>1</v>
      </c>
      <c r="DC14" s="229">
        <v>1</v>
      </c>
      <c r="DD14" s="229">
        <v>1</v>
      </c>
      <c r="DE14" s="229">
        <v>1</v>
      </c>
      <c r="DF14" s="229">
        <v>1</v>
      </c>
      <c r="DG14" s="229">
        <v>1</v>
      </c>
      <c r="DH14" s="220">
        <f t="shared" si="5"/>
        <v>0</v>
      </c>
      <c r="DI14" s="220">
        <f t="shared" si="6"/>
        <v>0</v>
      </c>
      <c r="DJ14" s="220">
        <f t="shared" si="6"/>
        <v>0</v>
      </c>
      <c r="DK14" s="220">
        <f t="shared" si="6"/>
        <v>0</v>
      </c>
      <c r="DL14" s="220">
        <f t="shared" si="6"/>
        <v>0</v>
      </c>
      <c r="DM14" s="220">
        <f t="shared" si="6"/>
        <v>0</v>
      </c>
      <c r="DN14" s="220">
        <f t="shared" si="6"/>
        <v>0</v>
      </c>
      <c r="DO14" s="220">
        <f t="shared" si="6"/>
        <v>0</v>
      </c>
      <c r="DP14" s="220">
        <f t="shared" si="6"/>
        <v>0</v>
      </c>
      <c r="DQ14" s="220">
        <f t="shared" si="6"/>
        <v>0</v>
      </c>
      <c r="DR14" s="220">
        <f t="shared" si="6"/>
        <v>0</v>
      </c>
      <c r="DS14" s="220">
        <f t="shared" si="6"/>
        <v>0</v>
      </c>
      <c r="DT14" s="220">
        <f t="shared" si="6"/>
        <v>0</v>
      </c>
      <c r="DU14" s="220">
        <f t="shared" si="6"/>
        <v>0</v>
      </c>
      <c r="DV14" s="220">
        <f t="shared" si="6"/>
        <v>0</v>
      </c>
      <c r="DW14" s="220">
        <f t="shared" si="6"/>
        <v>0</v>
      </c>
      <c r="DX14" s="220">
        <f t="shared" si="6"/>
        <v>0</v>
      </c>
      <c r="DY14" s="220">
        <f t="shared" si="7"/>
        <v>0</v>
      </c>
      <c r="DZ14" s="220">
        <f t="shared" si="7"/>
        <v>0</v>
      </c>
      <c r="EA14" s="220">
        <f t="shared" si="7"/>
        <v>0</v>
      </c>
      <c r="EB14" s="220">
        <f t="shared" si="7"/>
        <v>0</v>
      </c>
      <c r="EC14" s="220">
        <f t="shared" si="7"/>
        <v>0</v>
      </c>
      <c r="ED14" s="220">
        <f t="shared" si="7"/>
        <v>0</v>
      </c>
      <c r="EE14" s="220">
        <f t="shared" si="7"/>
        <v>0</v>
      </c>
      <c r="EF14" s="220">
        <f t="shared" si="7"/>
        <v>0</v>
      </c>
      <c r="EG14" s="220">
        <f t="shared" si="7"/>
        <v>0</v>
      </c>
      <c r="EH14" s="220">
        <f t="shared" si="7"/>
        <v>0</v>
      </c>
      <c r="EI14" s="220">
        <f t="shared" si="7"/>
        <v>1</v>
      </c>
      <c r="EJ14" s="220">
        <f t="shared" si="7"/>
        <v>2</v>
      </c>
      <c r="EK14" s="220">
        <f t="shared" si="7"/>
        <v>3</v>
      </c>
      <c r="EL14" s="220">
        <f t="shared" si="7"/>
        <v>4</v>
      </c>
      <c r="EM14" s="220">
        <f t="shared" si="7"/>
        <v>5</v>
      </c>
      <c r="EN14" s="220">
        <f t="shared" si="7"/>
        <v>6</v>
      </c>
      <c r="EO14" s="220">
        <f t="shared" si="8"/>
        <v>7</v>
      </c>
      <c r="EP14" s="220">
        <f t="shared" si="8"/>
        <v>8</v>
      </c>
      <c r="EQ14" s="220">
        <f t="shared" si="8"/>
        <v>9</v>
      </c>
      <c r="ER14" s="220">
        <f t="shared" si="8"/>
        <v>10</v>
      </c>
      <c r="ES14" s="220">
        <f t="shared" si="8"/>
        <v>11</v>
      </c>
      <c r="ET14" s="220">
        <f t="shared" si="8"/>
        <v>12</v>
      </c>
      <c r="EU14" s="220">
        <f t="shared" si="8"/>
        <v>12</v>
      </c>
      <c r="EV14" s="220">
        <f t="shared" si="8"/>
        <v>12</v>
      </c>
      <c r="EW14" s="220">
        <f t="shared" si="8"/>
        <v>12</v>
      </c>
      <c r="EX14" s="220">
        <f t="shared" si="8"/>
        <v>12</v>
      </c>
      <c r="EY14" s="220">
        <f t="shared" si="8"/>
        <v>12</v>
      </c>
      <c r="EZ14" s="220">
        <f t="shared" si="8"/>
        <v>12</v>
      </c>
      <c r="FA14" s="220">
        <f t="shared" si="8"/>
        <v>12</v>
      </c>
      <c r="FB14" s="220">
        <f t="shared" si="8"/>
        <v>12</v>
      </c>
      <c r="FC14" s="220">
        <f t="shared" si="8"/>
        <v>12</v>
      </c>
      <c r="FD14" s="220">
        <f t="shared" si="8"/>
        <v>12</v>
      </c>
      <c r="FE14" s="220">
        <f t="shared" si="9"/>
        <v>12</v>
      </c>
      <c r="FF14" s="220">
        <f t="shared" si="9"/>
        <v>12</v>
      </c>
      <c r="FG14" s="220">
        <f t="shared" si="9"/>
        <v>12</v>
      </c>
      <c r="FH14" s="220">
        <f t="shared" si="9"/>
        <v>12</v>
      </c>
      <c r="FI14" s="220">
        <f t="shared" si="9"/>
        <v>12</v>
      </c>
      <c r="FJ14" s="220">
        <f t="shared" si="9"/>
        <v>12</v>
      </c>
      <c r="FK14" s="220">
        <f t="shared" si="9"/>
        <v>12</v>
      </c>
      <c r="FL14" s="220">
        <f t="shared" si="9"/>
        <v>12</v>
      </c>
      <c r="FM14" s="220">
        <f t="shared" si="9"/>
        <v>12</v>
      </c>
      <c r="FN14" s="220">
        <f t="shared" si="9"/>
        <v>12</v>
      </c>
      <c r="FO14" s="220">
        <f t="shared" si="9"/>
        <v>12</v>
      </c>
      <c r="FP14" s="220">
        <f t="shared" si="9"/>
        <v>12</v>
      </c>
      <c r="FQ14" s="220">
        <f t="shared" si="9"/>
        <v>12</v>
      </c>
      <c r="FR14" s="220">
        <f t="shared" si="9"/>
        <v>12</v>
      </c>
      <c r="FS14" s="220">
        <f t="shared" si="9"/>
        <v>12</v>
      </c>
      <c r="FT14" s="220">
        <f t="shared" si="9"/>
        <v>12</v>
      </c>
      <c r="FU14" s="220">
        <f t="shared" si="10"/>
        <v>12</v>
      </c>
      <c r="FV14" s="220">
        <f t="shared" si="10"/>
        <v>12</v>
      </c>
      <c r="FW14" s="220">
        <f t="shared" si="10"/>
        <v>12</v>
      </c>
      <c r="FX14" s="220">
        <f t="shared" si="10"/>
        <v>12</v>
      </c>
      <c r="FY14" s="220">
        <f t="shared" si="10"/>
        <v>12</v>
      </c>
      <c r="FZ14" s="220">
        <f t="shared" si="10"/>
        <v>12</v>
      </c>
      <c r="GA14" s="220">
        <f t="shared" si="10"/>
        <v>12</v>
      </c>
      <c r="GB14" s="220">
        <f t="shared" si="10"/>
        <v>12</v>
      </c>
      <c r="GC14" s="220">
        <f t="shared" si="10"/>
        <v>12</v>
      </c>
      <c r="GD14" s="220">
        <f t="shared" si="10"/>
        <v>12</v>
      </c>
      <c r="GE14" s="220">
        <f t="shared" si="10"/>
        <v>12</v>
      </c>
      <c r="GF14" s="220">
        <f t="shared" si="10"/>
        <v>12</v>
      </c>
      <c r="GG14" s="220">
        <f t="shared" si="10"/>
        <v>12</v>
      </c>
      <c r="GH14" s="220">
        <f t="shared" si="10"/>
        <v>12</v>
      </c>
      <c r="GI14" s="220">
        <f t="shared" si="10"/>
        <v>12</v>
      </c>
      <c r="GJ14" s="220">
        <f t="shared" si="10"/>
        <v>12</v>
      </c>
      <c r="GK14" s="220">
        <f t="shared" si="11"/>
        <v>12</v>
      </c>
      <c r="GL14" s="220">
        <f t="shared" si="11"/>
        <v>12</v>
      </c>
      <c r="GM14" s="220">
        <f t="shared" si="11"/>
        <v>12</v>
      </c>
      <c r="GN14" s="220">
        <f t="shared" si="11"/>
        <v>12</v>
      </c>
      <c r="GO14" s="220">
        <f t="shared" si="11"/>
        <v>12</v>
      </c>
      <c r="GP14" s="220">
        <f t="shared" si="11"/>
        <v>12</v>
      </c>
      <c r="GQ14" s="220">
        <f t="shared" si="11"/>
        <v>12</v>
      </c>
      <c r="GR14" s="220">
        <f t="shared" si="11"/>
        <v>12</v>
      </c>
      <c r="GS14" s="220">
        <f t="shared" si="11"/>
        <v>12</v>
      </c>
      <c r="GT14" s="220">
        <f t="shared" si="11"/>
        <v>12</v>
      </c>
      <c r="GU14" s="221">
        <f t="shared" si="12"/>
        <v>37</v>
      </c>
    </row>
    <row r="15" spans="1:203">
      <c r="A15" s="218">
        <v>28</v>
      </c>
      <c r="B15" s="222" t="s">
        <v>615</v>
      </c>
      <c r="C15" s="223">
        <v>400</v>
      </c>
      <c r="D15" s="223" t="s">
        <v>308</v>
      </c>
      <c r="E15" s="223"/>
      <c r="F15" s="228"/>
      <c r="G15" s="228"/>
      <c r="H15" s="228"/>
      <c r="I15" s="228">
        <v>0</v>
      </c>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v>0</v>
      </c>
      <c r="AW15" s="229">
        <v>0</v>
      </c>
      <c r="AX15" s="229">
        <v>0</v>
      </c>
      <c r="AY15" s="229">
        <v>0</v>
      </c>
      <c r="AZ15" s="229">
        <v>0</v>
      </c>
      <c r="BA15" s="229">
        <v>0</v>
      </c>
      <c r="BB15" s="229">
        <v>0</v>
      </c>
      <c r="BC15" s="229">
        <v>0</v>
      </c>
      <c r="BD15" s="229">
        <v>0</v>
      </c>
      <c r="BE15" s="229">
        <v>0</v>
      </c>
      <c r="BF15" s="229">
        <v>0</v>
      </c>
      <c r="BG15" s="229">
        <v>0</v>
      </c>
      <c r="BH15" s="229">
        <v>0</v>
      </c>
      <c r="BI15" s="229">
        <v>0</v>
      </c>
      <c r="BJ15" s="229">
        <v>0</v>
      </c>
      <c r="BK15" s="229">
        <v>0</v>
      </c>
      <c r="BL15" s="229">
        <v>0</v>
      </c>
      <c r="BM15" s="229">
        <v>0</v>
      </c>
      <c r="BN15" s="229">
        <v>0</v>
      </c>
      <c r="BO15" s="229">
        <v>0</v>
      </c>
      <c r="BP15" s="229">
        <v>0</v>
      </c>
      <c r="BQ15" s="229">
        <v>0</v>
      </c>
      <c r="BR15" s="229">
        <v>0</v>
      </c>
      <c r="BS15" s="229">
        <v>0</v>
      </c>
      <c r="BT15" s="229">
        <v>0</v>
      </c>
      <c r="BU15" s="229">
        <v>0</v>
      </c>
      <c r="BV15" s="229">
        <v>0</v>
      </c>
      <c r="BW15" s="229">
        <v>0</v>
      </c>
      <c r="BX15" s="229">
        <v>0</v>
      </c>
      <c r="BY15" s="229">
        <v>0</v>
      </c>
      <c r="BZ15" s="229">
        <v>0</v>
      </c>
      <c r="CA15" s="229">
        <v>0</v>
      </c>
      <c r="CB15" s="229">
        <v>0</v>
      </c>
      <c r="CC15" s="229">
        <v>0</v>
      </c>
      <c r="CD15" s="229">
        <v>0</v>
      </c>
      <c r="CE15" s="229">
        <v>0</v>
      </c>
      <c r="CF15" s="229">
        <v>0</v>
      </c>
      <c r="CG15" s="229">
        <v>0</v>
      </c>
      <c r="CH15" s="229">
        <v>0</v>
      </c>
      <c r="CI15" s="229">
        <v>0</v>
      </c>
      <c r="CJ15" s="229">
        <v>0</v>
      </c>
      <c r="CK15" s="229">
        <v>0</v>
      </c>
      <c r="CL15" s="229">
        <v>0</v>
      </c>
      <c r="CM15" s="229">
        <v>0</v>
      </c>
      <c r="CN15" s="229">
        <v>0</v>
      </c>
      <c r="CO15" s="229">
        <v>0</v>
      </c>
      <c r="CP15" s="229">
        <v>0</v>
      </c>
      <c r="CQ15" s="229">
        <v>0</v>
      </c>
      <c r="CR15" s="229">
        <v>0</v>
      </c>
      <c r="CS15" s="229">
        <v>0</v>
      </c>
      <c r="CT15" s="229">
        <v>0</v>
      </c>
      <c r="CU15" s="229">
        <v>0</v>
      </c>
      <c r="CV15" s="229">
        <v>0</v>
      </c>
      <c r="CW15" s="229">
        <v>0</v>
      </c>
      <c r="CX15" s="229">
        <v>0</v>
      </c>
      <c r="CY15" s="229">
        <v>0</v>
      </c>
      <c r="CZ15" s="229">
        <v>0</v>
      </c>
      <c r="DA15" s="229">
        <v>0</v>
      </c>
      <c r="DB15" s="229">
        <v>0</v>
      </c>
      <c r="DC15" s="229">
        <v>0</v>
      </c>
      <c r="DD15" s="229">
        <v>0</v>
      </c>
      <c r="DE15" s="229">
        <v>0</v>
      </c>
      <c r="DF15" s="229">
        <v>0</v>
      </c>
      <c r="DG15" s="229">
        <v>0</v>
      </c>
      <c r="DH15" s="220">
        <f t="shared" si="5"/>
        <v>0</v>
      </c>
      <c r="DI15" s="220">
        <f t="shared" si="6"/>
        <v>0</v>
      </c>
      <c r="DJ15" s="220">
        <f t="shared" si="6"/>
        <v>0</v>
      </c>
      <c r="DK15" s="220">
        <f t="shared" si="6"/>
        <v>0</v>
      </c>
      <c r="DL15" s="220">
        <f t="shared" si="6"/>
        <v>0</v>
      </c>
      <c r="DM15" s="220">
        <f t="shared" si="6"/>
        <v>0</v>
      </c>
      <c r="DN15" s="220">
        <f t="shared" si="6"/>
        <v>0</v>
      </c>
      <c r="DO15" s="220">
        <f t="shared" si="6"/>
        <v>0</v>
      </c>
      <c r="DP15" s="220">
        <f t="shared" si="6"/>
        <v>0</v>
      </c>
      <c r="DQ15" s="220">
        <f t="shared" si="6"/>
        <v>0</v>
      </c>
      <c r="DR15" s="220">
        <f t="shared" si="6"/>
        <v>0</v>
      </c>
      <c r="DS15" s="220">
        <f t="shared" si="6"/>
        <v>0</v>
      </c>
      <c r="DT15" s="220">
        <f t="shared" si="6"/>
        <v>0</v>
      </c>
      <c r="DU15" s="220">
        <f t="shared" si="6"/>
        <v>0</v>
      </c>
      <c r="DV15" s="220">
        <f t="shared" si="6"/>
        <v>0</v>
      </c>
      <c r="DW15" s="220">
        <f t="shared" si="6"/>
        <v>0</v>
      </c>
      <c r="DX15" s="220">
        <f t="shared" si="6"/>
        <v>0</v>
      </c>
      <c r="DY15" s="220">
        <f t="shared" si="7"/>
        <v>0</v>
      </c>
      <c r="DZ15" s="220">
        <f t="shared" si="7"/>
        <v>0</v>
      </c>
      <c r="EA15" s="220">
        <f t="shared" si="7"/>
        <v>0</v>
      </c>
      <c r="EB15" s="220">
        <f t="shared" si="7"/>
        <v>0</v>
      </c>
      <c r="EC15" s="220">
        <f t="shared" si="7"/>
        <v>0</v>
      </c>
      <c r="ED15" s="220">
        <f t="shared" si="7"/>
        <v>0</v>
      </c>
      <c r="EE15" s="220">
        <f t="shared" si="7"/>
        <v>0</v>
      </c>
      <c r="EF15" s="220">
        <f t="shared" si="7"/>
        <v>0</v>
      </c>
      <c r="EG15" s="220">
        <f t="shared" si="7"/>
        <v>0</v>
      </c>
      <c r="EH15" s="220">
        <f t="shared" si="7"/>
        <v>0</v>
      </c>
      <c r="EI15" s="220">
        <f t="shared" si="7"/>
        <v>0</v>
      </c>
      <c r="EJ15" s="220">
        <f t="shared" si="7"/>
        <v>0</v>
      </c>
      <c r="EK15" s="220">
        <f t="shared" si="7"/>
        <v>0</v>
      </c>
      <c r="EL15" s="220">
        <f t="shared" si="7"/>
        <v>0</v>
      </c>
      <c r="EM15" s="220">
        <f t="shared" si="7"/>
        <v>0</v>
      </c>
      <c r="EN15" s="220">
        <f t="shared" si="7"/>
        <v>0</v>
      </c>
      <c r="EO15" s="220">
        <f t="shared" si="8"/>
        <v>0</v>
      </c>
      <c r="EP15" s="220">
        <f t="shared" si="8"/>
        <v>0</v>
      </c>
      <c r="EQ15" s="220">
        <f t="shared" si="8"/>
        <v>0</v>
      </c>
      <c r="ER15" s="220">
        <f t="shared" si="8"/>
        <v>0</v>
      </c>
      <c r="ES15" s="220">
        <f t="shared" si="8"/>
        <v>0</v>
      </c>
      <c r="ET15" s="220">
        <f t="shared" si="8"/>
        <v>0</v>
      </c>
      <c r="EU15" s="220">
        <f t="shared" si="8"/>
        <v>0</v>
      </c>
      <c r="EV15" s="220">
        <f t="shared" si="8"/>
        <v>0</v>
      </c>
      <c r="EW15" s="220">
        <f t="shared" si="8"/>
        <v>0</v>
      </c>
      <c r="EX15" s="220">
        <f t="shared" si="8"/>
        <v>0</v>
      </c>
      <c r="EY15" s="220">
        <f t="shared" si="8"/>
        <v>0</v>
      </c>
      <c r="EZ15" s="220">
        <f t="shared" si="8"/>
        <v>0</v>
      </c>
      <c r="FA15" s="220">
        <f t="shared" si="8"/>
        <v>0</v>
      </c>
      <c r="FB15" s="220">
        <f t="shared" si="8"/>
        <v>0</v>
      </c>
      <c r="FC15" s="220">
        <f t="shared" si="8"/>
        <v>0</v>
      </c>
      <c r="FD15" s="220">
        <f t="shared" si="8"/>
        <v>0</v>
      </c>
      <c r="FE15" s="220">
        <f t="shared" si="9"/>
        <v>0</v>
      </c>
      <c r="FF15" s="220">
        <f t="shared" si="9"/>
        <v>0</v>
      </c>
      <c r="FG15" s="220">
        <f t="shared" si="9"/>
        <v>0</v>
      </c>
      <c r="FH15" s="220">
        <f t="shared" si="9"/>
        <v>0</v>
      </c>
      <c r="FI15" s="220">
        <f t="shared" si="9"/>
        <v>0</v>
      </c>
      <c r="FJ15" s="220">
        <f t="shared" si="9"/>
        <v>0</v>
      </c>
      <c r="FK15" s="220">
        <f t="shared" si="9"/>
        <v>0</v>
      </c>
      <c r="FL15" s="220">
        <f t="shared" si="9"/>
        <v>0</v>
      </c>
      <c r="FM15" s="220">
        <f t="shared" si="9"/>
        <v>0</v>
      </c>
      <c r="FN15" s="220">
        <f t="shared" si="9"/>
        <v>0</v>
      </c>
      <c r="FO15" s="220">
        <f t="shared" si="9"/>
        <v>0</v>
      </c>
      <c r="FP15" s="220">
        <f t="shared" si="9"/>
        <v>0</v>
      </c>
      <c r="FQ15" s="220">
        <f t="shared" si="9"/>
        <v>0</v>
      </c>
      <c r="FR15" s="220">
        <f t="shared" si="9"/>
        <v>0</v>
      </c>
      <c r="FS15" s="220">
        <f t="shared" si="9"/>
        <v>0</v>
      </c>
      <c r="FT15" s="220">
        <f t="shared" si="9"/>
        <v>0</v>
      </c>
      <c r="FU15" s="220">
        <f t="shared" si="10"/>
        <v>0</v>
      </c>
      <c r="FV15" s="220">
        <f t="shared" si="10"/>
        <v>0</v>
      </c>
      <c r="FW15" s="220">
        <f t="shared" si="10"/>
        <v>0</v>
      </c>
      <c r="FX15" s="220">
        <f t="shared" si="10"/>
        <v>0</v>
      </c>
      <c r="FY15" s="220">
        <f t="shared" si="10"/>
        <v>0</v>
      </c>
      <c r="FZ15" s="220">
        <f t="shared" si="10"/>
        <v>0</v>
      </c>
      <c r="GA15" s="220">
        <f t="shared" si="10"/>
        <v>0</v>
      </c>
      <c r="GB15" s="220">
        <f t="shared" si="10"/>
        <v>0</v>
      </c>
      <c r="GC15" s="220">
        <f t="shared" si="10"/>
        <v>0</v>
      </c>
      <c r="GD15" s="220">
        <f t="shared" si="10"/>
        <v>0</v>
      </c>
      <c r="GE15" s="220">
        <f t="shared" si="10"/>
        <v>0</v>
      </c>
      <c r="GF15" s="220">
        <f t="shared" si="10"/>
        <v>0</v>
      </c>
      <c r="GG15" s="220">
        <f t="shared" si="10"/>
        <v>0</v>
      </c>
      <c r="GH15" s="220">
        <f t="shared" si="10"/>
        <v>0</v>
      </c>
      <c r="GI15" s="220">
        <f t="shared" si="10"/>
        <v>0</v>
      </c>
      <c r="GJ15" s="220">
        <f t="shared" si="10"/>
        <v>0</v>
      </c>
      <c r="GK15" s="220">
        <f t="shared" si="11"/>
        <v>0</v>
      </c>
      <c r="GL15" s="220">
        <f t="shared" si="11"/>
        <v>0</v>
      </c>
      <c r="GM15" s="220">
        <f t="shared" si="11"/>
        <v>0</v>
      </c>
      <c r="GN15" s="220">
        <f t="shared" si="11"/>
        <v>0</v>
      </c>
      <c r="GO15" s="220">
        <f t="shared" si="11"/>
        <v>0</v>
      </c>
      <c r="GP15" s="220">
        <f t="shared" si="11"/>
        <v>0</v>
      </c>
      <c r="GQ15" s="220">
        <f t="shared" si="11"/>
        <v>0</v>
      </c>
      <c r="GR15" s="220">
        <f t="shared" si="11"/>
        <v>0</v>
      </c>
      <c r="GS15" s="220">
        <f t="shared" si="11"/>
        <v>0</v>
      </c>
      <c r="GT15" s="220">
        <f t="shared" si="11"/>
        <v>0</v>
      </c>
      <c r="GU15" s="221">
        <f t="shared" si="12"/>
        <v>0</v>
      </c>
    </row>
    <row r="16" spans="1:203">
      <c r="A16" s="218" t="s">
        <v>616</v>
      </c>
      <c r="B16" s="231" t="s">
        <v>617</v>
      </c>
      <c r="C16" s="232">
        <v>300</v>
      </c>
      <c r="D16" s="223" t="s">
        <v>308</v>
      </c>
      <c r="E16" s="223"/>
      <c r="F16" s="228"/>
      <c r="G16" s="228"/>
      <c r="H16" s="228"/>
      <c r="I16" s="228">
        <f>12*30</f>
        <v>360</v>
      </c>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v>1</v>
      </c>
      <c r="AW16" s="229">
        <v>1</v>
      </c>
      <c r="AX16" s="229">
        <v>1</v>
      </c>
      <c r="AY16" s="229">
        <v>1</v>
      </c>
      <c r="AZ16" s="229">
        <v>1</v>
      </c>
      <c r="BA16" s="229">
        <v>1</v>
      </c>
      <c r="BB16" s="229">
        <v>1</v>
      </c>
      <c r="BC16" s="229">
        <v>1</v>
      </c>
      <c r="BD16" s="229">
        <v>1</v>
      </c>
      <c r="BE16" s="229">
        <v>1</v>
      </c>
      <c r="BF16" s="229">
        <v>1</v>
      </c>
      <c r="BG16" s="229">
        <v>1</v>
      </c>
      <c r="BH16" s="229">
        <v>1</v>
      </c>
      <c r="BI16" s="229">
        <v>1</v>
      </c>
      <c r="BJ16" s="229">
        <v>1</v>
      </c>
      <c r="BK16" s="229">
        <v>1</v>
      </c>
      <c r="BL16" s="229">
        <v>1</v>
      </c>
      <c r="BM16" s="229">
        <v>1</v>
      </c>
      <c r="BN16" s="229">
        <v>1</v>
      </c>
      <c r="BO16" s="229">
        <v>1</v>
      </c>
      <c r="BP16" s="229">
        <v>1</v>
      </c>
      <c r="BQ16" s="229">
        <v>1</v>
      </c>
      <c r="BR16" s="229">
        <v>1</v>
      </c>
      <c r="BS16" s="229">
        <v>1</v>
      </c>
      <c r="BT16" s="229">
        <v>1</v>
      </c>
      <c r="BU16" s="229">
        <v>1</v>
      </c>
      <c r="BV16" s="229">
        <v>1</v>
      </c>
      <c r="BW16" s="229">
        <v>1</v>
      </c>
      <c r="BX16" s="229">
        <v>1</v>
      </c>
      <c r="BY16" s="229">
        <v>1</v>
      </c>
      <c r="BZ16" s="229">
        <v>1</v>
      </c>
      <c r="CA16" s="229">
        <v>1</v>
      </c>
      <c r="CB16" s="229">
        <v>1</v>
      </c>
      <c r="CC16" s="229">
        <v>1</v>
      </c>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c r="EH16" s="220"/>
      <c r="EI16" s="220"/>
      <c r="EJ16" s="220"/>
      <c r="EK16" s="220"/>
      <c r="EL16" s="220"/>
      <c r="EM16" s="220"/>
      <c r="EN16" s="220"/>
      <c r="EO16" s="220"/>
      <c r="EP16" s="220"/>
      <c r="EQ16" s="220"/>
      <c r="ER16" s="220"/>
      <c r="ES16" s="220"/>
      <c r="ET16" s="220"/>
      <c r="EU16" s="220"/>
      <c r="EV16" s="220"/>
      <c r="EW16" s="220"/>
      <c r="EX16" s="220"/>
      <c r="EY16" s="220"/>
      <c r="EZ16" s="220"/>
      <c r="FA16" s="220"/>
      <c r="FB16" s="220"/>
      <c r="FC16" s="220"/>
      <c r="FD16" s="220"/>
      <c r="FE16" s="220"/>
      <c r="FF16" s="220"/>
      <c r="FG16" s="220"/>
      <c r="FH16" s="220"/>
      <c r="FI16" s="220"/>
      <c r="FJ16" s="220"/>
      <c r="FK16" s="220"/>
      <c r="FL16" s="220"/>
      <c r="FM16" s="220"/>
      <c r="FN16" s="220"/>
      <c r="FO16" s="220"/>
      <c r="FP16" s="220"/>
      <c r="FQ16" s="220"/>
      <c r="FR16" s="220"/>
      <c r="FS16" s="220"/>
      <c r="FT16" s="220"/>
      <c r="FU16" s="220"/>
      <c r="FV16" s="220"/>
      <c r="FW16" s="220"/>
      <c r="FX16" s="220"/>
      <c r="FY16" s="220"/>
      <c r="FZ16" s="220"/>
      <c r="GA16" s="220"/>
      <c r="GB16" s="220"/>
      <c r="GC16" s="220"/>
      <c r="GD16" s="220"/>
      <c r="GE16" s="220"/>
      <c r="GF16" s="220"/>
      <c r="GG16" s="220"/>
      <c r="GH16" s="220"/>
      <c r="GI16" s="220"/>
      <c r="GJ16" s="220"/>
      <c r="GK16" s="220"/>
      <c r="GL16" s="220"/>
      <c r="GM16" s="220"/>
      <c r="GN16" s="220"/>
      <c r="GO16" s="220"/>
      <c r="GP16" s="220"/>
      <c r="GQ16" s="220"/>
      <c r="GR16" s="220"/>
      <c r="GS16" s="220"/>
      <c r="GT16" s="220"/>
      <c r="GU16" s="233"/>
    </row>
    <row r="17" spans="1:203">
      <c r="A17" s="218" t="s">
        <v>618</v>
      </c>
      <c r="B17" s="231" t="s">
        <v>619</v>
      </c>
      <c r="C17" s="232">
        <v>300</v>
      </c>
      <c r="D17" s="223" t="s">
        <v>308</v>
      </c>
      <c r="E17" s="223"/>
      <c r="F17" s="228"/>
      <c r="G17" s="228"/>
      <c r="H17" s="228"/>
      <c r="I17" s="228">
        <v>20</v>
      </c>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v>1</v>
      </c>
      <c r="CE17" s="229">
        <v>1</v>
      </c>
      <c r="CF17" s="229">
        <v>1</v>
      </c>
      <c r="CG17" s="229">
        <v>1</v>
      </c>
      <c r="CH17" s="229">
        <v>1</v>
      </c>
      <c r="CI17" s="229">
        <v>1</v>
      </c>
      <c r="CJ17" s="229">
        <v>1</v>
      </c>
      <c r="CK17" s="229">
        <v>1</v>
      </c>
      <c r="CL17" s="229">
        <v>1</v>
      </c>
      <c r="CM17" s="229">
        <v>1</v>
      </c>
      <c r="CN17" s="229">
        <v>1</v>
      </c>
      <c r="CO17" s="229">
        <v>1</v>
      </c>
      <c r="CP17" s="229">
        <v>1</v>
      </c>
      <c r="CQ17" s="229">
        <v>1</v>
      </c>
      <c r="CR17" s="229">
        <v>1</v>
      </c>
      <c r="CS17" s="229">
        <v>1</v>
      </c>
      <c r="CT17" s="229">
        <v>1</v>
      </c>
      <c r="CU17" s="229">
        <v>1</v>
      </c>
      <c r="CV17" s="229">
        <v>1</v>
      </c>
      <c r="CW17" s="229">
        <v>1</v>
      </c>
      <c r="CX17" s="229">
        <v>1</v>
      </c>
      <c r="CY17" s="229">
        <v>1</v>
      </c>
      <c r="CZ17" s="229">
        <v>1</v>
      </c>
      <c r="DA17" s="229">
        <v>1</v>
      </c>
      <c r="DB17" s="229">
        <v>1</v>
      </c>
      <c r="DC17" s="229">
        <v>1</v>
      </c>
      <c r="DD17" s="229">
        <v>1</v>
      </c>
      <c r="DE17" s="229">
        <v>1</v>
      </c>
      <c r="DF17" s="229">
        <v>1</v>
      </c>
      <c r="DG17" s="229">
        <v>1</v>
      </c>
      <c r="DH17" s="220"/>
      <c r="DI17" s="220"/>
      <c r="DJ17" s="220"/>
      <c r="DK17" s="220"/>
      <c r="DL17" s="220"/>
      <c r="DM17" s="220"/>
      <c r="DN17" s="220"/>
      <c r="DO17" s="220"/>
      <c r="DP17" s="220"/>
      <c r="DQ17" s="220"/>
      <c r="DR17" s="220"/>
      <c r="DS17" s="220"/>
      <c r="DT17" s="220"/>
      <c r="DU17" s="220"/>
      <c r="DV17" s="220"/>
      <c r="DW17" s="220"/>
      <c r="DX17" s="220"/>
      <c r="DY17" s="220"/>
      <c r="DZ17" s="220"/>
      <c r="EA17" s="220"/>
      <c r="EB17" s="220"/>
      <c r="EC17" s="220"/>
      <c r="ED17" s="220"/>
      <c r="EE17" s="220"/>
      <c r="EF17" s="220"/>
      <c r="EG17" s="220"/>
      <c r="EH17" s="220"/>
      <c r="EI17" s="220"/>
      <c r="EJ17" s="220"/>
      <c r="EK17" s="220"/>
      <c r="EL17" s="220"/>
      <c r="EM17" s="220"/>
      <c r="EN17" s="220"/>
      <c r="EO17" s="220"/>
      <c r="EP17" s="220"/>
      <c r="EQ17" s="220"/>
      <c r="ER17" s="220"/>
      <c r="ES17" s="220"/>
      <c r="ET17" s="220"/>
      <c r="EU17" s="220"/>
      <c r="EV17" s="220"/>
      <c r="EW17" s="220"/>
      <c r="EX17" s="220"/>
      <c r="EY17" s="220"/>
      <c r="EZ17" s="220"/>
      <c r="FA17" s="220"/>
      <c r="FB17" s="220"/>
      <c r="FC17" s="220"/>
      <c r="FD17" s="220"/>
      <c r="FE17" s="220"/>
      <c r="FF17" s="220"/>
      <c r="FG17" s="220"/>
      <c r="FH17" s="220"/>
      <c r="FI17" s="220"/>
      <c r="FJ17" s="220"/>
      <c r="FK17" s="220"/>
      <c r="FL17" s="220"/>
      <c r="FM17" s="220"/>
      <c r="FN17" s="220"/>
      <c r="FO17" s="220"/>
      <c r="FP17" s="220"/>
      <c r="FQ17" s="220"/>
      <c r="FR17" s="220"/>
      <c r="FS17" s="220"/>
      <c r="FT17" s="220"/>
      <c r="FU17" s="220"/>
      <c r="FV17" s="220"/>
      <c r="FW17" s="220"/>
      <c r="FX17" s="220"/>
      <c r="FY17" s="220"/>
      <c r="FZ17" s="220"/>
      <c r="GA17" s="220"/>
      <c r="GB17" s="220"/>
      <c r="GC17" s="220"/>
      <c r="GD17" s="220"/>
      <c r="GE17" s="220"/>
      <c r="GF17" s="220"/>
      <c r="GG17" s="220"/>
      <c r="GH17" s="220"/>
      <c r="GI17" s="220"/>
      <c r="GJ17" s="220"/>
      <c r="GK17" s="220"/>
      <c r="GL17" s="220"/>
      <c r="GM17" s="220"/>
      <c r="GN17" s="220"/>
      <c r="GO17" s="220"/>
      <c r="GP17" s="220"/>
      <c r="GQ17" s="220"/>
      <c r="GR17" s="220"/>
      <c r="GS17" s="220"/>
      <c r="GT17" s="220"/>
      <c r="GU17" s="233"/>
    </row>
    <row r="18" spans="1:203">
      <c r="A18" s="218">
        <v>30</v>
      </c>
      <c r="B18" s="231" t="s">
        <v>620</v>
      </c>
      <c r="C18" s="232">
        <v>400</v>
      </c>
      <c r="D18" s="223" t="s">
        <v>308</v>
      </c>
      <c r="E18" s="223"/>
      <c r="F18" s="228"/>
      <c r="G18" s="228"/>
      <c r="H18" s="228"/>
      <c r="I18" s="228">
        <v>150</v>
      </c>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v>1</v>
      </c>
      <c r="AW18" s="229">
        <v>1</v>
      </c>
      <c r="AX18" s="229">
        <v>1</v>
      </c>
      <c r="AY18" s="229">
        <v>1</v>
      </c>
      <c r="AZ18" s="229">
        <v>1</v>
      </c>
      <c r="BA18" s="229">
        <v>1</v>
      </c>
      <c r="BB18" s="229">
        <v>1</v>
      </c>
      <c r="BC18" s="229">
        <v>1</v>
      </c>
      <c r="BD18" s="229">
        <v>1</v>
      </c>
      <c r="BE18" s="229">
        <v>1</v>
      </c>
      <c r="BF18" s="229">
        <v>1</v>
      </c>
      <c r="BG18" s="229">
        <v>1</v>
      </c>
      <c r="BH18" s="229">
        <v>1</v>
      </c>
      <c r="BI18" s="229">
        <v>1</v>
      </c>
      <c r="BJ18" s="229">
        <v>1</v>
      </c>
      <c r="BK18" s="229">
        <v>1</v>
      </c>
      <c r="BL18" s="229">
        <v>1</v>
      </c>
      <c r="BM18" s="229">
        <v>1</v>
      </c>
      <c r="BN18" s="229">
        <v>1</v>
      </c>
      <c r="BO18" s="229">
        <v>1</v>
      </c>
      <c r="BP18" s="229">
        <v>1</v>
      </c>
      <c r="BQ18" s="229">
        <v>1</v>
      </c>
      <c r="BR18" s="229">
        <v>1</v>
      </c>
      <c r="BS18" s="229">
        <v>1</v>
      </c>
      <c r="BT18" s="229">
        <v>1</v>
      </c>
      <c r="BU18" s="229">
        <v>1</v>
      </c>
      <c r="BV18" s="229">
        <v>1</v>
      </c>
      <c r="BW18" s="229">
        <v>1</v>
      </c>
      <c r="BX18" s="229">
        <v>1</v>
      </c>
      <c r="BY18" s="229">
        <v>1</v>
      </c>
      <c r="BZ18" s="229">
        <v>1</v>
      </c>
      <c r="CA18" s="229">
        <v>1</v>
      </c>
      <c r="CB18" s="229">
        <v>1</v>
      </c>
      <c r="CC18" s="229">
        <v>1</v>
      </c>
      <c r="CD18" s="229">
        <v>1</v>
      </c>
      <c r="CE18" s="229">
        <v>1</v>
      </c>
      <c r="CF18" s="229">
        <v>1</v>
      </c>
      <c r="CG18" s="229">
        <v>1</v>
      </c>
      <c r="CH18" s="229">
        <v>1</v>
      </c>
      <c r="CI18" s="229">
        <v>1</v>
      </c>
      <c r="CJ18" s="229">
        <v>1</v>
      </c>
      <c r="CK18" s="229">
        <v>1</v>
      </c>
      <c r="CL18" s="229">
        <v>1</v>
      </c>
      <c r="CM18" s="229">
        <v>1</v>
      </c>
      <c r="CN18" s="229">
        <v>1</v>
      </c>
      <c r="CO18" s="229">
        <v>1</v>
      </c>
      <c r="CP18" s="229">
        <v>1</v>
      </c>
      <c r="CQ18" s="229">
        <v>1</v>
      </c>
      <c r="CR18" s="229">
        <v>1</v>
      </c>
      <c r="CS18" s="229">
        <v>1</v>
      </c>
      <c r="CT18" s="229">
        <v>1</v>
      </c>
      <c r="CU18" s="229">
        <v>1</v>
      </c>
      <c r="CV18" s="229">
        <v>1</v>
      </c>
      <c r="CW18" s="229">
        <v>1</v>
      </c>
      <c r="CX18" s="229">
        <v>1</v>
      </c>
      <c r="CY18" s="229">
        <v>1</v>
      </c>
      <c r="CZ18" s="229">
        <v>1</v>
      </c>
      <c r="DA18" s="229">
        <v>1</v>
      </c>
      <c r="DB18" s="229">
        <v>1</v>
      </c>
      <c r="DC18" s="229">
        <v>1</v>
      </c>
      <c r="DD18" s="229">
        <v>1</v>
      </c>
      <c r="DE18" s="229">
        <v>1</v>
      </c>
      <c r="DF18" s="229">
        <v>1</v>
      </c>
      <c r="DG18" s="229">
        <v>1</v>
      </c>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c r="GQ18" s="220"/>
      <c r="GR18" s="220"/>
      <c r="GS18" s="220"/>
      <c r="GT18" s="220"/>
      <c r="GU18" s="233"/>
    </row>
    <row r="19" spans="1:203" ht="13.5" thickBot="1">
      <c r="A19" s="218">
        <v>31</v>
      </c>
      <c r="B19" s="231" t="s">
        <v>621</v>
      </c>
      <c r="C19" s="232">
        <v>400</v>
      </c>
      <c r="D19" s="223" t="s">
        <v>308</v>
      </c>
      <c r="E19" s="223"/>
      <c r="F19" s="228"/>
      <c r="G19" s="228"/>
      <c r="H19" s="228"/>
      <c r="I19" s="228">
        <v>10</v>
      </c>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v>1</v>
      </c>
      <c r="AW19" s="229">
        <v>1</v>
      </c>
      <c r="AX19" s="229">
        <v>1</v>
      </c>
      <c r="AY19" s="229">
        <v>1</v>
      </c>
      <c r="AZ19" s="229">
        <v>1</v>
      </c>
      <c r="BA19" s="229">
        <v>1</v>
      </c>
      <c r="BB19" s="229">
        <v>1</v>
      </c>
      <c r="BC19" s="229">
        <v>1</v>
      </c>
      <c r="BD19" s="229">
        <v>1</v>
      </c>
      <c r="BE19" s="229">
        <v>1</v>
      </c>
      <c r="BF19" s="229">
        <v>1</v>
      </c>
      <c r="BG19" s="229">
        <v>1</v>
      </c>
      <c r="BH19" s="229">
        <v>1</v>
      </c>
      <c r="BI19" s="229">
        <v>1</v>
      </c>
      <c r="BJ19" s="229">
        <v>1</v>
      </c>
      <c r="BK19" s="229">
        <v>1</v>
      </c>
      <c r="BL19" s="229">
        <v>1</v>
      </c>
      <c r="BM19" s="229">
        <v>1</v>
      </c>
      <c r="BN19" s="229">
        <v>1</v>
      </c>
      <c r="BO19" s="229">
        <v>1</v>
      </c>
      <c r="BP19" s="229">
        <v>1</v>
      </c>
      <c r="BQ19" s="229">
        <v>1</v>
      </c>
      <c r="BR19" s="229">
        <v>1</v>
      </c>
      <c r="BS19" s="229">
        <v>1</v>
      </c>
      <c r="BT19" s="229">
        <v>1</v>
      </c>
      <c r="BU19" s="229">
        <v>1</v>
      </c>
      <c r="BV19" s="229">
        <v>1</v>
      </c>
      <c r="BW19" s="229">
        <v>1</v>
      </c>
      <c r="BX19" s="229">
        <v>1</v>
      </c>
      <c r="BY19" s="229">
        <v>1</v>
      </c>
      <c r="BZ19" s="229">
        <v>1</v>
      </c>
      <c r="CA19" s="229">
        <v>1</v>
      </c>
      <c r="CB19" s="229">
        <v>1</v>
      </c>
      <c r="CC19" s="229">
        <v>1</v>
      </c>
      <c r="CD19" s="229">
        <v>1</v>
      </c>
      <c r="CE19" s="229">
        <v>1</v>
      </c>
      <c r="CF19" s="229">
        <v>1</v>
      </c>
      <c r="CG19" s="229">
        <v>1</v>
      </c>
      <c r="CH19" s="229">
        <v>1</v>
      </c>
      <c r="CI19" s="229">
        <v>1</v>
      </c>
      <c r="CJ19" s="229">
        <v>1</v>
      </c>
      <c r="CK19" s="229">
        <v>1</v>
      </c>
      <c r="CL19" s="229">
        <v>1</v>
      </c>
      <c r="CM19" s="229">
        <v>1</v>
      </c>
      <c r="CN19" s="229">
        <v>1</v>
      </c>
      <c r="CO19" s="229">
        <v>1</v>
      </c>
      <c r="CP19" s="229">
        <v>1</v>
      </c>
      <c r="CQ19" s="229">
        <v>1</v>
      </c>
      <c r="CR19" s="229">
        <v>1</v>
      </c>
      <c r="CS19" s="229">
        <v>1</v>
      </c>
      <c r="CT19" s="229">
        <v>1</v>
      </c>
      <c r="CU19" s="229">
        <v>1</v>
      </c>
      <c r="CV19" s="229">
        <v>1</v>
      </c>
      <c r="CW19" s="229">
        <v>1</v>
      </c>
      <c r="CX19" s="229">
        <v>1</v>
      </c>
      <c r="CY19" s="229">
        <v>1</v>
      </c>
      <c r="CZ19" s="229">
        <v>1</v>
      </c>
      <c r="DA19" s="229">
        <v>1</v>
      </c>
      <c r="DB19" s="229">
        <v>1</v>
      </c>
      <c r="DC19" s="229">
        <v>1</v>
      </c>
      <c r="DD19" s="229">
        <v>1</v>
      </c>
      <c r="DE19" s="229">
        <v>1</v>
      </c>
      <c r="DF19" s="229">
        <v>1</v>
      </c>
      <c r="DG19" s="229">
        <v>1</v>
      </c>
      <c r="DH19" s="220"/>
      <c r="DI19" s="220"/>
      <c r="DJ19" s="220"/>
      <c r="DK19" s="220"/>
      <c r="DL19" s="220"/>
      <c r="DM19" s="220"/>
      <c r="DN19" s="220"/>
      <c r="DO19" s="220"/>
      <c r="DP19" s="220"/>
      <c r="DQ19" s="220"/>
      <c r="DR19" s="220"/>
      <c r="DS19" s="220"/>
      <c r="DT19" s="220"/>
      <c r="DU19" s="220"/>
      <c r="DV19" s="220"/>
      <c r="DW19" s="220"/>
      <c r="DX19" s="220"/>
      <c r="DY19" s="220"/>
      <c r="DZ19" s="220"/>
      <c r="EA19" s="220"/>
      <c r="EB19" s="220"/>
      <c r="EC19" s="220"/>
      <c r="ED19" s="220"/>
      <c r="EE19" s="220"/>
      <c r="EF19" s="220"/>
      <c r="EG19" s="220"/>
      <c r="EH19" s="220"/>
      <c r="EI19" s="220"/>
      <c r="EJ19" s="220"/>
      <c r="EK19" s="220"/>
      <c r="EL19" s="220"/>
      <c r="EM19" s="220"/>
      <c r="EN19" s="220"/>
      <c r="EO19" s="220"/>
      <c r="EP19" s="220"/>
      <c r="EQ19" s="220"/>
      <c r="ER19" s="220"/>
      <c r="ES19" s="220"/>
      <c r="ET19" s="220"/>
      <c r="EU19" s="220"/>
      <c r="EV19" s="220"/>
      <c r="EW19" s="220"/>
      <c r="EX19" s="220"/>
      <c r="EY19" s="220"/>
      <c r="EZ19" s="220"/>
      <c r="FA19" s="220"/>
      <c r="FB19" s="220"/>
      <c r="FC19" s="220"/>
      <c r="FD19" s="220"/>
      <c r="FE19" s="220"/>
      <c r="FF19" s="220"/>
      <c r="FG19" s="220"/>
      <c r="FH19" s="220"/>
      <c r="FI19" s="220"/>
      <c r="FJ19" s="220"/>
      <c r="FK19" s="220"/>
      <c r="FL19" s="220"/>
      <c r="FM19" s="220"/>
      <c r="FN19" s="220"/>
      <c r="FO19" s="220"/>
      <c r="FP19" s="220"/>
      <c r="FQ19" s="220"/>
      <c r="FR19" s="220"/>
      <c r="FS19" s="220"/>
      <c r="FT19" s="220"/>
      <c r="FU19" s="220"/>
      <c r="FV19" s="220"/>
      <c r="FW19" s="220"/>
      <c r="FX19" s="220"/>
      <c r="FY19" s="220"/>
      <c r="FZ19" s="220"/>
      <c r="GA19" s="220"/>
      <c r="GB19" s="220"/>
      <c r="GC19" s="220"/>
      <c r="GD19" s="220"/>
      <c r="GE19" s="220"/>
      <c r="GF19" s="220"/>
      <c r="GG19" s="220"/>
      <c r="GH19" s="220"/>
      <c r="GI19" s="220"/>
      <c r="GJ19" s="220"/>
      <c r="GK19" s="220"/>
      <c r="GL19" s="220"/>
      <c r="GM19" s="220"/>
      <c r="GN19" s="220"/>
      <c r="GO19" s="220"/>
      <c r="GP19" s="220"/>
      <c r="GQ19" s="220"/>
      <c r="GR19" s="220"/>
      <c r="GS19" s="220"/>
      <c r="GT19" s="220"/>
      <c r="GU19" s="233"/>
    </row>
    <row r="20" spans="1:203" s="182" customFormat="1">
      <c r="A20" s="224"/>
      <c r="B20" s="234" t="s">
        <v>622</v>
      </c>
      <c r="C20" s="235"/>
      <c r="D20" s="235"/>
      <c r="E20" s="235"/>
      <c r="F20" s="236"/>
      <c r="G20" s="236"/>
      <c r="H20" s="236"/>
      <c r="I20" s="236"/>
      <c r="J20" s="237">
        <f t="shared" ref="J20:BU20" si="13">SUM(J7:J19)</f>
        <v>0</v>
      </c>
      <c r="K20" s="237">
        <f t="shared" si="13"/>
        <v>0</v>
      </c>
      <c r="L20" s="237">
        <f t="shared" si="13"/>
        <v>0</v>
      </c>
      <c r="M20" s="237">
        <f t="shared" si="13"/>
        <v>0</v>
      </c>
      <c r="N20" s="237">
        <f t="shared" si="13"/>
        <v>0</v>
      </c>
      <c r="O20" s="237">
        <f t="shared" si="13"/>
        <v>0</v>
      </c>
      <c r="P20" s="237">
        <f t="shared" si="13"/>
        <v>0</v>
      </c>
      <c r="Q20" s="237">
        <f t="shared" si="13"/>
        <v>0</v>
      </c>
      <c r="R20" s="237">
        <f t="shared" si="13"/>
        <v>0</v>
      </c>
      <c r="S20" s="237">
        <f t="shared" si="13"/>
        <v>0</v>
      </c>
      <c r="T20" s="237">
        <f t="shared" si="13"/>
        <v>0</v>
      </c>
      <c r="U20" s="237">
        <f t="shared" si="13"/>
        <v>0</v>
      </c>
      <c r="V20" s="237">
        <f t="shared" si="13"/>
        <v>0</v>
      </c>
      <c r="W20" s="237">
        <f t="shared" si="13"/>
        <v>0</v>
      </c>
      <c r="X20" s="237">
        <f t="shared" si="13"/>
        <v>0</v>
      </c>
      <c r="Y20" s="237">
        <f t="shared" si="13"/>
        <v>0</v>
      </c>
      <c r="Z20" s="237">
        <f t="shared" si="13"/>
        <v>0</v>
      </c>
      <c r="AA20" s="237">
        <f t="shared" si="13"/>
        <v>0</v>
      </c>
      <c r="AB20" s="237">
        <f t="shared" si="13"/>
        <v>0</v>
      </c>
      <c r="AC20" s="237">
        <f t="shared" si="13"/>
        <v>0</v>
      </c>
      <c r="AD20" s="237">
        <f t="shared" si="13"/>
        <v>0</v>
      </c>
      <c r="AE20" s="237">
        <f t="shared" si="13"/>
        <v>0</v>
      </c>
      <c r="AF20" s="237">
        <f t="shared" si="13"/>
        <v>0</v>
      </c>
      <c r="AG20" s="237">
        <f t="shared" si="13"/>
        <v>0</v>
      </c>
      <c r="AH20" s="237">
        <f t="shared" si="13"/>
        <v>0</v>
      </c>
      <c r="AI20" s="237">
        <f t="shared" si="13"/>
        <v>0</v>
      </c>
      <c r="AJ20" s="237">
        <f t="shared" si="13"/>
        <v>0</v>
      </c>
      <c r="AK20" s="237">
        <f t="shared" si="13"/>
        <v>0</v>
      </c>
      <c r="AL20" s="237">
        <f t="shared" si="13"/>
        <v>0</v>
      </c>
      <c r="AM20" s="237">
        <f t="shared" si="13"/>
        <v>0</v>
      </c>
      <c r="AN20" s="237">
        <f t="shared" si="13"/>
        <v>0</v>
      </c>
      <c r="AO20" s="237">
        <f t="shared" si="13"/>
        <v>0</v>
      </c>
      <c r="AP20" s="237">
        <f t="shared" si="13"/>
        <v>0</v>
      </c>
      <c r="AQ20" s="237">
        <f t="shared" si="13"/>
        <v>0</v>
      </c>
      <c r="AR20" s="237">
        <f t="shared" si="13"/>
        <v>0</v>
      </c>
      <c r="AS20" s="237">
        <f t="shared" si="13"/>
        <v>0</v>
      </c>
      <c r="AT20" s="237">
        <f t="shared" si="13"/>
        <v>0</v>
      </c>
      <c r="AU20" s="237">
        <f t="shared" si="13"/>
        <v>0</v>
      </c>
      <c r="AV20" s="237">
        <f t="shared" si="13"/>
        <v>26</v>
      </c>
      <c r="AW20" s="237">
        <f t="shared" si="13"/>
        <v>26</v>
      </c>
      <c r="AX20" s="237">
        <f t="shared" si="13"/>
        <v>26</v>
      </c>
      <c r="AY20" s="237">
        <f t="shared" si="13"/>
        <v>26</v>
      </c>
      <c r="AZ20" s="237">
        <f t="shared" si="13"/>
        <v>26</v>
      </c>
      <c r="BA20" s="237">
        <f t="shared" si="13"/>
        <v>26</v>
      </c>
      <c r="BB20" s="237">
        <f t="shared" si="13"/>
        <v>26</v>
      </c>
      <c r="BC20" s="237">
        <f t="shared" si="13"/>
        <v>26</v>
      </c>
      <c r="BD20" s="237">
        <f t="shared" si="13"/>
        <v>44</v>
      </c>
      <c r="BE20" s="237">
        <f t="shared" si="13"/>
        <v>195</v>
      </c>
      <c r="BF20" s="237">
        <f t="shared" si="13"/>
        <v>44</v>
      </c>
      <c r="BG20" s="237">
        <f t="shared" si="13"/>
        <v>44</v>
      </c>
      <c r="BH20" s="237">
        <f t="shared" si="13"/>
        <v>44</v>
      </c>
      <c r="BI20" s="237">
        <f t="shared" si="13"/>
        <v>44</v>
      </c>
      <c r="BJ20" s="237">
        <f t="shared" si="13"/>
        <v>44</v>
      </c>
      <c r="BK20" s="237">
        <f t="shared" si="13"/>
        <v>44</v>
      </c>
      <c r="BL20" s="237">
        <f t="shared" si="13"/>
        <v>44</v>
      </c>
      <c r="BM20" s="237">
        <f t="shared" si="13"/>
        <v>44</v>
      </c>
      <c r="BN20" s="237">
        <f t="shared" si="13"/>
        <v>44</v>
      </c>
      <c r="BO20" s="237">
        <f t="shared" si="13"/>
        <v>44</v>
      </c>
      <c r="BP20" s="237">
        <f t="shared" si="13"/>
        <v>44</v>
      </c>
      <c r="BQ20" s="237">
        <f t="shared" si="13"/>
        <v>203</v>
      </c>
      <c r="BR20" s="237">
        <f t="shared" si="13"/>
        <v>61</v>
      </c>
      <c r="BS20" s="237">
        <f t="shared" si="13"/>
        <v>61</v>
      </c>
      <c r="BT20" s="237">
        <f t="shared" si="13"/>
        <v>61</v>
      </c>
      <c r="BU20" s="237">
        <f t="shared" si="13"/>
        <v>61</v>
      </c>
      <c r="BV20" s="237">
        <f t="shared" ref="BV20:DG20" si="14">SUM(BV7:BV19)</f>
        <v>61</v>
      </c>
      <c r="BW20" s="237">
        <f t="shared" si="14"/>
        <v>61</v>
      </c>
      <c r="BX20" s="237">
        <f t="shared" si="14"/>
        <v>61</v>
      </c>
      <c r="BY20" s="237">
        <f t="shared" si="14"/>
        <v>61</v>
      </c>
      <c r="BZ20" s="237">
        <f t="shared" si="14"/>
        <v>61</v>
      </c>
      <c r="CA20" s="237">
        <f t="shared" si="14"/>
        <v>61</v>
      </c>
      <c r="CB20" s="237">
        <f t="shared" si="14"/>
        <v>168</v>
      </c>
      <c r="CC20" s="237">
        <f t="shared" si="14"/>
        <v>61</v>
      </c>
      <c r="CD20" s="237">
        <f t="shared" si="14"/>
        <v>61</v>
      </c>
      <c r="CE20" s="237">
        <f t="shared" si="14"/>
        <v>61</v>
      </c>
      <c r="CF20" s="237">
        <f t="shared" si="14"/>
        <v>61</v>
      </c>
      <c r="CG20" s="237">
        <f t="shared" si="14"/>
        <v>61</v>
      </c>
      <c r="CH20" s="237">
        <f t="shared" si="14"/>
        <v>61</v>
      </c>
      <c r="CI20" s="237">
        <f t="shared" si="14"/>
        <v>61</v>
      </c>
      <c r="CJ20" s="237">
        <f t="shared" si="14"/>
        <v>61</v>
      </c>
      <c r="CK20" s="237">
        <f t="shared" si="14"/>
        <v>61</v>
      </c>
      <c r="CL20" s="237">
        <f t="shared" si="14"/>
        <v>61</v>
      </c>
      <c r="CM20" s="237">
        <f t="shared" si="14"/>
        <v>61</v>
      </c>
      <c r="CN20" s="237">
        <f t="shared" si="14"/>
        <v>61</v>
      </c>
      <c r="CO20" s="237">
        <f t="shared" si="14"/>
        <v>61</v>
      </c>
      <c r="CP20" s="237">
        <f t="shared" si="14"/>
        <v>61</v>
      </c>
      <c r="CQ20" s="237">
        <f t="shared" si="14"/>
        <v>61</v>
      </c>
      <c r="CR20" s="237">
        <f t="shared" si="14"/>
        <v>61</v>
      </c>
      <c r="CS20" s="237">
        <f t="shared" si="14"/>
        <v>61</v>
      </c>
      <c r="CT20" s="237">
        <f t="shared" si="14"/>
        <v>61</v>
      </c>
      <c r="CU20" s="237">
        <f t="shared" si="14"/>
        <v>61</v>
      </c>
      <c r="CV20" s="237">
        <f t="shared" si="14"/>
        <v>61</v>
      </c>
      <c r="CW20" s="237">
        <f t="shared" si="14"/>
        <v>61</v>
      </c>
      <c r="CX20" s="237">
        <f t="shared" si="14"/>
        <v>61</v>
      </c>
      <c r="CY20" s="237">
        <f t="shared" si="14"/>
        <v>61</v>
      </c>
      <c r="CZ20" s="237">
        <f t="shared" si="14"/>
        <v>61</v>
      </c>
      <c r="DA20" s="237">
        <f t="shared" si="14"/>
        <v>61</v>
      </c>
      <c r="DB20" s="237">
        <f t="shared" si="14"/>
        <v>61</v>
      </c>
      <c r="DC20" s="237">
        <f t="shared" si="14"/>
        <v>61</v>
      </c>
      <c r="DD20" s="237">
        <f t="shared" si="14"/>
        <v>61</v>
      </c>
      <c r="DE20" s="237">
        <f t="shared" si="14"/>
        <v>61</v>
      </c>
      <c r="DF20" s="237">
        <f t="shared" si="14"/>
        <v>61</v>
      </c>
      <c r="DG20" s="237">
        <f t="shared" si="14"/>
        <v>61</v>
      </c>
      <c r="DH20" s="237">
        <f t="shared" ref="DH20:EK20" si="15">SUM(DH7:DH15)</f>
        <v>0</v>
      </c>
      <c r="DI20" s="237">
        <f t="shared" si="15"/>
        <v>0</v>
      </c>
      <c r="DJ20" s="237">
        <f t="shared" si="15"/>
        <v>0</v>
      </c>
      <c r="DK20" s="237">
        <f t="shared" si="15"/>
        <v>0</v>
      </c>
      <c r="DL20" s="237">
        <f t="shared" si="15"/>
        <v>0</v>
      </c>
      <c r="DM20" s="237">
        <f t="shared" si="15"/>
        <v>0</v>
      </c>
      <c r="DN20" s="237">
        <f t="shared" si="15"/>
        <v>0</v>
      </c>
      <c r="DO20" s="237">
        <f t="shared" si="15"/>
        <v>0</v>
      </c>
      <c r="DP20" s="237">
        <f t="shared" si="15"/>
        <v>0</v>
      </c>
      <c r="DQ20" s="237">
        <f t="shared" si="15"/>
        <v>0</v>
      </c>
      <c r="DR20" s="237">
        <f t="shared" si="15"/>
        <v>0</v>
      </c>
      <c r="DS20" s="237">
        <f t="shared" si="15"/>
        <v>0</v>
      </c>
      <c r="DT20" s="237">
        <f t="shared" si="15"/>
        <v>0</v>
      </c>
      <c r="DU20" s="237">
        <f t="shared" si="15"/>
        <v>0</v>
      </c>
      <c r="DV20" s="237">
        <f t="shared" si="15"/>
        <v>0</v>
      </c>
      <c r="DW20" s="237">
        <f t="shared" si="15"/>
        <v>0</v>
      </c>
      <c r="DX20" s="237">
        <f t="shared" si="15"/>
        <v>0</v>
      </c>
      <c r="DY20" s="237">
        <f t="shared" si="15"/>
        <v>0</v>
      </c>
      <c r="DZ20" s="237">
        <f t="shared" si="15"/>
        <v>0</v>
      </c>
      <c r="EA20" s="237">
        <f t="shared" si="15"/>
        <v>0</v>
      </c>
      <c r="EB20" s="237">
        <f t="shared" si="15"/>
        <v>0</v>
      </c>
      <c r="EC20" s="237">
        <f t="shared" si="15"/>
        <v>0</v>
      </c>
      <c r="ED20" s="237">
        <f t="shared" si="15"/>
        <v>0</v>
      </c>
      <c r="EE20" s="237">
        <f t="shared" si="15"/>
        <v>0</v>
      </c>
      <c r="EF20" s="237">
        <f t="shared" si="15"/>
        <v>0</v>
      </c>
      <c r="EG20" s="237">
        <f t="shared" si="15"/>
        <v>0</v>
      </c>
      <c r="EH20" s="237">
        <f t="shared" si="15"/>
        <v>0</v>
      </c>
      <c r="EI20" s="237">
        <f t="shared" si="15"/>
        <v>6</v>
      </c>
      <c r="EJ20" s="237">
        <f t="shared" si="15"/>
        <v>12</v>
      </c>
      <c r="EK20" s="237">
        <f t="shared" si="15"/>
        <v>18</v>
      </c>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7"/>
      <c r="GE20" s="237"/>
      <c r="GF20" s="237"/>
      <c r="GG20" s="237"/>
      <c r="GH20" s="237"/>
      <c r="GI20" s="237"/>
      <c r="GJ20" s="237"/>
      <c r="GK20" s="237"/>
      <c r="GL20" s="237"/>
      <c r="GM20" s="237"/>
      <c r="GN20" s="237"/>
      <c r="GO20" s="237"/>
      <c r="GP20" s="237"/>
      <c r="GQ20" s="237"/>
      <c r="GR20" s="237"/>
      <c r="GS20" s="237"/>
      <c r="GT20" s="237"/>
      <c r="GU20" s="237">
        <f>SUM(GU7:GU15)</f>
        <v>222</v>
      </c>
    </row>
    <row r="21" spans="1:203">
      <c r="B21" s="238"/>
      <c r="C21" s="239"/>
      <c r="D21" s="239"/>
      <c r="E21" s="239"/>
      <c r="F21" s="240"/>
      <c r="G21" s="240"/>
      <c r="H21" s="240"/>
      <c r="I21" s="240"/>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41"/>
      <c r="DF21" s="241"/>
      <c r="DG21" s="241"/>
      <c r="DH21" s="241"/>
      <c r="DI21" s="242"/>
      <c r="DJ21" s="241"/>
      <c r="DK21" s="241"/>
      <c r="DL21" s="241"/>
      <c r="DM21" s="241"/>
      <c r="DN21" s="241"/>
      <c r="DO21" s="241"/>
      <c r="DP21" s="241"/>
      <c r="DQ21" s="241"/>
      <c r="DR21" s="241"/>
      <c r="DS21" s="241"/>
      <c r="DT21" s="241"/>
      <c r="DU21" s="241"/>
      <c r="DV21" s="241"/>
      <c r="DW21" s="241"/>
      <c r="DX21" s="241"/>
      <c r="DY21" s="241"/>
      <c r="DZ21" s="241"/>
      <c r="EA21" s="241"/>
      <c r="EB21" s="241"/>
      <c r="EC21" s="241"/>
      <c r="ED21" s="241"/>
      <c r="EE21" s="241"/>
      <c r="EF21" s="241"/>
      <c r="EG21" s="241"/>
      <c r="EH21" s="241"/>
      <c r="EI21" s="241"/>
      <c r="EJ21" s="241"/>
      <c r="EK21" s="241"/>
      <c r="EL21" s="241"/>
      <c r="EM21" s="241"/>
      <c r="EN21" s="241"/>
      <c r="EO21" s="241"/>
      <c r="EP21" s="241"/>
      <c r="EQ21" s="241"/>
      <c r="ER21" s="241"/>
      <c r="ES21" s="241"/>
      <c r="ET21" s="241"/>
      <c r="EU21" s="241"/>
      <c r="EV21" s="241"/>
      <c r="EW21" s="241"/>
      <c r="EX21" s="241"/>
      <c r="EY21" s="241"/>
      <c r="EZ21" s="241"/>
      <c r="FA21" s="241"/>
      <c r="FB21" s="241"/>
      <c r="FC21" s="241"/>
      <c r="FD21" s="241"/>
      <c r="FE21" s="241"/>
      <c r="FF21" s="241"/>
      <c r="FG21" s="241"/>
      <c r="FH21" s="241"/>
      <c r="FI21" s="241"/>
      <c r="FJ21" s="241"/>
      <c r="FK21" s="241"/>
      <c r="FL21" s="241"/>
      <c r="FM21" s="241"/>
      <c r="FN21" s="241"/>
      <c r="FO21" s="241"/>
      <c r="FP21" s="241"/>
      <c r="FQ21" s="241"/>
      <c r="FR21" s="241"/>
      <c r="FS21" s="241"/>
      <c r="FT21" s="241"/>
      <c r="FU21" s="241"/>
      <c r="FV21" s="241"/>
      <c r="FW21" s="241"/>
      <c r="FX21" s="241"/>
      <c r="FY21" s="241"/>
      <c r="FZ21" s="241"/>
      <c r="GA21" s="241"/>
      <c r="GB21" s="241"/>
      <c r="GC21" s="241"/>
      <c r="GD21" s="241"/>
      <c r="GE21" s="241"/>
      <c r="GF21" s="241"/>
      <c r="GG21" s="241"/>
      <c r="GH21" s="241"/>
      <c r="GI21" s="241"/>
      <c r="GJ21" s="241"/>
      <c r="GK21" s="241"/>
      <c r="GL21" s="241"/>
      <c r="GM21" s="241"/>
      <c r="GN21" s="241"/>
      <c r="GO21" s="241"/>
      <c r="GP21" s="241"/>
      <c r="GQ21" s="241"/>
      <c r="GR21" s="241"/>
      <c r="GS21" s="241"/>
      <c r="GT21" s="241"/>
      <c r="GU21" s="243"/>
    </row>
    <row r="22" spans="1:203" s="250" customFormat="1" ht="8.25">
      <c r="A22" s="191"/>
      <c r="B22" s="244" t="s">
        <v>623</v>
      </c>
      <c r="C22" s="245"/>
      <c r="D22" s="245"/>
      <c r="E22" s="245"/>
      <c r="F22" s="246"/>
      <c r="G22" s="246"/>
      <c r="H22" s="246"/>
      <c r="I22" s="246"/>
      <c r="J22" s="246"/>
      <c r="K22" s="246"/>
      <c r="L22" s="246"/>
      <c r="M22" s="246"/>
      <c r="N22" s="246"/>
      <c r="O22" s="247"/>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c r="CU22" s="246"/>
      <c r="CV22" s="246"/>
      <c r="CW22" s="246"/>
      <c r="CX22" s="246"/>
      <c r="CY22" s="246"/>
      <c r="CZ22" s="246"/>
      <c r="DA22" s="246"/>
      <c r="DB22" s="246"/>
      <c r="DC22" s="246"/>
      <c r="DD22" s="246"/>
      <c r="DE22" s="246"/>
      <c r="DF22" s="246"/>
      <c r="DG22" s="246"/>
      <c r="DH22" s="248"/>
      <c r="DI22" s="248"/>
      <c r="DJ22" s="248"/>
      <c r="DK22" s="249"/>
      <c r="DL22" s="248"/>
    </row>
    <row r="23" spans="1:203" s="250" customFormat="1" ht="8.25">
      <c r="A23" s="191"/>
      <c r="B23" s="251" t="s">
        <v>624</v>
      </c>
      <c r="C23" s="245"/>
      <c r="D23" s="245"/>
      <c r="E23" s="245"/>
      <c r="F23" s="246"/>
      <c r="G23" s="246"/>
      <c r="H23" s="246"/>
      <c r="I23" s="246"/>
      <c r="J23" s="246"/>
      <c r="K23" s="246"/>
      <c r="L23" s="246"/>
      <c r="M23" s="246"/>
      <c r="N23" s="246"/>
      <c r="O23" s="247"/>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c r="CE23" s="246"/>
      <c r="CF23" s="246"/>
      <c r="CG23" s="246"/>
      <c r="CH23" s="246"/>
      <c r="CI23" s="246"/>
      <c r="CJ23" s="246"/>
      <c r="CK23" s="246"/>
      <c r="CL23" s="246"/>
      <c r="CM23" s="246"/>
      <c r="CN23" s="246"/>
      <c r="CO23" s="246"/>
      <c r="CP23" s="246"/>
      <c r="CQ23" s="246"/>
      <c r="CR23" s="246"/>
      <c r="CS23" s="246"/>
      <c r="CT23" s="246"/>
      <c r="CU23" s="246"/>
      <c r="CV23" s="246"/>
      <c r="CW23" s="246"/>
      <c r="CX23" s="246"/>
      <c r="CY23" s="246"/>
      <c r="CZ23" s="246"/>
      <c r="DA23" s="246"/>
      <c r="DB23" s="246"/>
      <c r="DC23" s="246"/>
      <c r="DD23" s="246"/>
      <c r="DE23" s="246"/>
      <c r="DF23" s="246"/>
      <c r="DG23" s="246"/>
      <c r="DH23" s="248"/>
      <c r="DI23" s="248"/>
      <c r="DJ23" s="248"/>
      <c r="DK23" s="249"/>
      <c r="DL23" s="248"/>
    </row>
    <row r="24" spans="1:203" ht="50.25">
      <c r="B24" s="252" t="s">
        <v>625</v>
      </c>
      <c r="C24" s="253"/>
      <c r="F24" s="253"/>
      <c r="G24" s="253"/>
      <c r="H24" s="253"/>
      <c r="I24" s="253"/>
      <c r="J24" s="253"/>
      <c r="K24" s="253"/>
      <c r="L24" s="253"/>
      <c r="M24" s="253"/>
      <c r="N24" s="253"/>
      <c r="O24" s="254"/>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3"/>
      <c r="BG24" s="253"/>
      <c r="BH24" s="253"/>
      <c r="BI24" s="253"/>
      <c r="BJ24" s="253"/>
      <c r="BK24" s="253"/>
      <c r="BL24" s="253"/>
      <c r="BM24" s="253"/>
      <c r="BN24" s="253"/>
      <c r="BO24" s="253"/>
      <c r="BP24" s="253"/>
      <c r="BQ24" s="253"/>
      <c r="BR24" s="253"/>
      <c r="BS24" s="253"/>
      <c r="BT24" s="253"/>
      <c r="BU24" s="253"/>
      <c r="BV24" s="253"/>
      <c r="BW24" s="253"/>
      <c r="BX24" s="253"/>
      <c r="BY24" s="253"/>
      <c r="BZ24" s="253"/>
      <c r="CA24" s="253"/>
      <c r="CB24" s="253"/>
      <c r="CC24" s="253"/>
      <c r="CD24" s="253"/>
      <c r="CE24" s="253"/>
      <c r="CF24" s="253"/>
      <c r="CG24" s="253"/>
      <c r="CH24" s="253"/>
      <c r="CI24" s="253"/>
      <c r="CJ24" s="253"/>
      <c r="CK24" s="253"/>
      <c r="CL24" s="253"/>
      <c r="CM24" s="253"/>
      <c r="CN24" s="253"/>
      <c r="CO24" s="253"/>
      <c r="CP24" s="253"/>
      <c r="CQ24" s="253"/>
      <c r="CR24" s="253"/>
      <c r="CS24" s="253"/>
      <c r="CT24" s="253"/>
      <c r="CU24" s="253"/>
      <c r="CV24" s="253"/>
      <c r="CW24" s="253"/>
      <c r="CX24" s="253"/>
      <c r="CY24" s="253"/>
      <c r="CZ24" s="253"/>
      <c r="DA24" s="253"/>
      <c r="DB24" s="253"/>
      <c r="DC24" s="253"/>
      <c r="DD24" s="253"/>
      <c r="DE24" s="253"/>
      <c r="DF24" s="253"/>
      <c r="DG24" s="253"/>
      <c r="DK24" s="194" t="s">
        <v>626</v>
      </c>
      <c r="DL24" s="255">
        <f>MAX(DH20:EJ20)</f>
        <v>12</v>
      </c>
    </row>
    <row r="25" spans="1:203" ht="9" customHeight="1">
      <c r="B25" s="256" t="s">
        <v>627</v>
      </c>
      <c r="E25" s="257">
        <f>MAX(J20:DG20)</f>
        <v>203</v>
      </c>
    </row>
    <row r="26" spans="1:203" ht="9" customHeight="1">
      <c r="B26" s="258" t="s">
        <v>628</v>
      </c>
    </row>
  </sheetData>
  <mergeCells count="22">
    <mergeCell ref="C1:AW1"/>
    <mergeCell ref="C2:AW2"/>
    <mergeCell ref="C3:AW3"/>
    <mergeCell ref="B4:B6"/>
    <mergeCell ref="C4:C6"/>
    <mergeCell ref="D4:D6"/>
    <mergeCell ref="E4:E6"/>
    <mergeCell ref="F4:F6"/>
    <mergeCell ref="G4:G6"/>
    <mergeCell ref="H4:H6"/>
    <mergeCell ref="B7:AY7"/>
    <mergeCell ref="I4:I6"/>
    <mergeCell ref="J4:AW4"/>
    <mergeCell ref="J5:O5"/>
    <mergeCell ref="P5:AA5"/>
    <mergeCell ref="AB5:AM5"/>
    <mergeCell ref="AN5:AY5"/>
    <mergeCell ref="AZ5:BK5"/>
    <mergeCell ref="BL5:BW5"/>
    <mergeCell ref="BX5:CI5"/>
    <mergeCell ref="CJ5:CU5"/>
    <mergeCell ref="CV5:DG5"/>
  </mergeCells>
  <pageMargins left="0.17" right="0.17" top="1" bottom="1" header="0.5" footer="0.5"/>
  <pageSetup paperSize="3" scale="82" fitToWidth="3" orientation="landscape" r:id="rId1"/>
  <headerFooter alignWithMargins="0">
    <oddHeader>&amp;LAPP Proprietary&amp;COnsite Operating Equipment
 and Vehicle Emission Sources&amp;R&amp;D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T50"/>
  <sheetViews>
    <sheetView showGridLines="0" topLeftCell="A3" zoomScaleNormal="100" zoomScaleSheetLayoutView="115" workbookViewId="0">
      <pane ySplit="5" topLeftCell="A8" activePane="bottomLeft" state="frozen"/>
      <selection activeCell="A14" sqref="A14"/>
      <selection pane="bottomLeft" activeCell="B8" sqref="B8:C14"/>
    </sheetView>
  </sheetViews>
  <sheetFormatPr defaultColWidth="9.140625" defaultRowHeight="12.75"/>
  <cols>
    <col min="1" max="1" width="34.85546875" style="181" customWidth="1"/>
    <col min="2" max="2" width="3.140625" style="181" customWidth="1"/>
    <col min="3" max="5" width="2.7109375" style="181" customWidth="1"/>
    <col min="6" max="6" width="3.85546875" style="181" customWidth="1"/>
    <col min="7" max="7" width="3.7109375" style="181" customWidth="1"/>
    <col min="8" max="8" width="7.85546875" style="181" customWidth="1"/>
    <col min="9" max="47" width="2.7109375" style="181" hidden="1" customWidth="1"/>
    <col min="48" max="86" width="3.28515625" style="181" hidden="1" customWidth="1"/>
    <col min="87" max="110" width="3.28515625" style="181" customWidth="1"/>
    <col min="111" max="111" width="3.5703125" style="193" customWidth="1"/>
    <col min="112" max="112" width="7.28515625" style="193" customWidth="1"/>
    <col min="113" max="113" width="4.140625" style="193" bestFit="1" customWidth="1"/>
    <col min="114" max="114" width="6.28515625" style="194" bestFit="1" customWidth="1"/>
    <col min="115" max="115" width="4.85546875" style="193" bestFit="1" customWidth="1"/>
    <col min="116" max="117" width="4" style="181" bestFit="1" customWidth="1"/>
    <col min="118" max="118" width="4.140625" style="181" bestFit="1" customWidth="1"/>
    <col min="119" max="119" width="4.42578125" style="181" bestFit="1" customWidth="1"/>
    <col min="120" max="121" width="4.7109375" style="181" bestFit="1" customWidth="1"/>
    <col min="122" max="123" width="5" style="181" bestFit="1" customWidth="1"/>
    <col min="124" max="127" width="4.85546875" style="181" bestFit="1" customWidth="1"/>
    <col min="128" max="131" width="5" style="181" bestFit="1" customWidth="1"/>
    <col min="132" max="133" width="5.28515625" style="181" bestFit="1" customWidth="1"/>
    <col min="134" max="137" width="5.140625" style="181" bestFit="1" customWidth="1"/>
    <col min="138" max="139" width="5.28515625" style="181" bestFit="1" customWidth="1"/>
    <col min="140" max="140" width="5" style="181" bestFit="1" customWidth="1"/>
    <col min="141" max="201" width="5" style="181" customWidth="1"/>
    <col min="202" max="202" width="9.85546875" style="181" customWidth="1"/>
    <col min="203" max="16384" width="9.140625" style="181"/>
  </cols>
  <sheetData>
    <row r="1" spans="1:202">
      <c r="B1" s="719" t="s">
        <v>502</v>
      </c>
      <c r="C1" s="719"/>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c r="AO1" s="719"/>
      <c r="AP1" s="719"/>
      <c r="AQ1" s="719"/>
      <c r="AR1" s="719"/>
      <c r="AS1" s="719"/>
      <c r="AT1" s="719"/>
      <c r="AU1" s="719"/>
      <c r="AV1" s="719"/>
      <c r="AW1" s="192"/>
    </row>
    <row r="2" spans="1:202">
      <c r="B2" s="719" t="s">
        <v>629</v>
      </c>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19"/>
      <c r="AS2" s="719"/>
      <c r="AT2" s="719"/>
      <c r="AU2" s="719"/>
      <c r="AV2" s="719"/>
      <c r="AW2" s="259"/>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row>
    <row r="3" spans="1:202">
      <c r="B3" s="195"/>
      <c r="C3" s="260" t="s">
        <v>503</v>
      </c>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row>
    <row r="4" spans="1:202">
      <c r="A4" s="193"/>
      <c r="B4" s="733" t="s">
        <v>630</v>
      </c>
      <c r="C4" s="733"/>
      <c r="D4" s="733"/>
      <c r="E4" s="733"/>
      <c r="F4" s="720"/>
      <c r="G4" s="720"/>
      <c r="H4" s="720"/>
      <c r="I4" s="720"/>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0"/>
      <c r="AK4" s="720"/>
      <c r="AL4" s="720"/>
      <c r="AM4" s="720"/>
      <c r="AN4" s="720"/>
      <c r="AO4" s="720"/>
      <c r="AP4" s="720"/>
      <c r="AQ4" s="720"/>
      <c r="AR4" s="720"/>
      <c r="AS4" s="720"/>
      <c r="AT4" s="720"/>
      <c r="AU4" s="720"/>
      <c r="AV4" s="720"/>
      <c r="AW4" s="196"/>
      <c r="AX4" s="196"/>
      <c r="AY4" s="196"/>
      <c r="AZ4" s="196"/>
      <c r="BA4" s="196"/>
      <c r="BB4" s="196"/>
      <c r="BC4" s="196"/>
      <c r="BD4" s="196"/>
      <c r="BE4" s="196"/>
      <c r="BF4" s="196"/>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row>
    <row r="5" spans="1:202" s="182" customFormat="1" ht="12.75" customHeight="1">
      <c r="A5" s="728" t="s">
        <v>631</v>
      </c>
      <c r="B5" s="734" t="s">
        <v>506</v>
      </c>
      <c r="C5" s="734" t="s">
        <v>507</v>
      </c>
      <c r="D5" s="734" t="s">
        <v>508</v>
      </c>
      <c r="E5" s="716" t="s">
        <v>509</v>
      </c>
      <c r="F5" s="727" t="s">
        <v>510</v>
      </c>
      <c r="G5" s="727" t="s">
        <v>511</v>
      </c>
      <c r="H5" s="727" t="s">
        <v>512</v>
      </c>
      <c r="I5" s="718" t="s">
        <v>632</v>
      </c>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c r="AO5" s="729"/>
      <c r="AP5" s="729"/>
      <c r="AQ5" s="729"/>
      <c r="AR5" s="729"/>
      <c r="AS5" s="729"/>
      <c r="AT5" s="729"/>
      <c r="AU5" s="729"/>
      <c r="AV5" s="729"/>
      <c r="AW5" s="261"/>
      <c r="AX5" s="262"/>
      <c r="AY5" s="263"/>
      <c r="AZ5" s="263"/>
      <c r="BA5" s="263"/>
      <c r="BB5" s="263"/>
      <c r="BC5" s="263"/>
      <c r="BD5" s="263"/>
      <c r="BE5" s="263"/>
      <c r="BF5" s="263"/>
      <c r="BG5" s="263"/>
      <c r="BH5" s="263"/>
      <c r="BI5" s="263"/>
      <c r="BJ5" s="263"/>
      <c r="BK5" s="263"/>
      <c r="BL5" s="263"/>
      <c r="BM5" s="263"/>
      <c r="BN5" s="263"/>
      <c r="BO5" s="263"/>
      <c r="BP5" s="263"/>
      <c r="BQ5" s="263"/>
      <c r="BR5" s="263"/>
      <c r="BS5" s="263"/>
      <c r="BT5" s="263"/>
      <c r="BU5" s="263"/>
      <c r="BV5" s="263"/>
      <c r="BW5" s="263"/>
      <c r="BX5" s="263"/>
      <c r="BY5" s="263"/>
      <c r="BZ5" s="263"/>
      <c r="CA5" s="263"/>
      <c r="CB5" s="263"/>
      <c r="CC5" s="263"/>
      <c r="CD5" s="263"/>
      <c r="CE5" s="263"/>
      <c r="CF5" s="263"/>
      <c r="CG5" s="263"/>
      <c r="CH5" s="263"/>
      <c r="CI5" s="263"/>
      <c r="CJ5" s="263"/>
      <c r="CK5" s="263"/>
      <c r="CL5" s="263"/>
      <c r="CM5" s="263"/>
      <c r="CN5" s="263"/>
      <c r="CO5" s="263"/>
      <c r="CP5" s="263"/>
      <c r="CQ5" s="263"/>
      <c r="CR5" s="263"/>
      <c r="CS5" s="263"/>
      <c r="CT5" s="263"/>
      <c r="CU5" s="263"/>
      <c r="CV5" s="263"/>
      <c r="CW5" s="263"/>
      <c r="CX5" s="263"/>
      <c r="CY5" s="263"/>
      <c r="CZ5" s="263"/>
      <c r="DA5" s="263"/>
      <c r="DB5" s="263"/>
      <c r="DC5" s="263"/>
      <c r="DD5" s="263"/>
      <c r="DE5" s="263"/>
      <c r="DF5" s="263"/>
      <c r="DG5" s="194"/>
      <c r="DH5" s="194"/>
      <c r="DI5" s="194"/>
      <c r="DJ5" s="194"/>
      <c r="DK5" s="194"/>
    </row>
    <row r="6" spans="1:202" s="182" customFormat="1" ht="12.75" customHeight="1">
      <c r="A6" s="728"/>
      <c r="B6" s="734"/>
      <c r="C6" s="734"/>
      <c r="D6" s="734"/>
      <c r="E6" s="716"/>
      <c r="F6" s="727"/>
      <c r="G6" s="727"/>
      <c r="H6" s="727"/>
      <c r="I6" s="718" t="s">
        <v>514</v>
      </c>
      <c r="J6" s="730"/>
      <c r="K6" s="730"/>
      <c r="L6" s="730"/>
      <c r="M6" s="730"/>
      <c r="N6" s="731"/>
      <c r="O6" s="718">
        <v>2015</v>
      </c>
      <c r="P6" s="730"/>
      <c r="Q6" s="730"/>
      <c r="R6" s="730"/>
      <c r="S6" s="730"/>
      <c r="T6" s="730"/>
      <c r="U6" s="730"/>
      <c r="V6" s="730"/>
      <c r="W6" s="730"/>
      <c r="X6" s="730"/>
      <c r="Y6" s="730"/>
      <c r="Z6" s="731"/>
      <c r="AA6" s="718">
        <v>2016</v>
      </c>
      <c r="AB6" s="730"/>
      <c r="AC6" s="730"/>
      <c r="AD6" s="730"/>
      <c r="AE6" s="730"/>
      <c r="AF6" s="730"/>
      <c r="AG6" s="730"/>
      <c r="AH6" s="730"/>
      <c r="AI6" s="730"/>
      <c r="AJ6" s="730"/>
      <c r="AK6" s="730"/>
      <c r="AL6" s="731"/>
      <c r="AM6" s="718">
        <v>2017</v>
      </c>
      <c r="AN6" s="730"/>
      <c r="AO6" s="730"/>
      <c r="AP6" s="730"/>
      <c r="AQ6" s="730"/>
      <c r="AR6" s="730"/>
      <c r="AS6" s="730"/>
      <c r="AT6" s="730"/>
      <c r="AU6" s="730"/>
      <c r="AV6" s="730"/>
      <c r="AW6" s="730"/>
      <c r="AX6" s="731"/>
      <c r="AY6" s="732">
        <v>2018</v>
      </c>
      <c r="AZ6" s="730"/>
      <c r="BA6" s="730"/>
      <c r="BB6" s="730"/>
      <c r="BC6" s="730"/>
      <c r="BD6" s="730"/>
      <c r="BE6" s="730"/>
      <c r="BF6" s="730"/>
      <c r="BG6" s="730"/>
      <c r="BH6" s="730"/>
      <c r="BI6" s="730"/>
      <c r="BJ6" s="731"/>
      <c r="BK6" s="732">
        <v>2019</v>
      </c>
      <c r="BL6" s="730"/>
      <c r="BM6" s="730"/>
      <c r="BN6" s="730"/>
      <c r="BO6" s="730"/>
      <c r="BP6" s="730"/>
      <c r="BQ6" s="730"/>
      <c r="BR6" s="730"/>
      <c r="BS6" s="730"/>
      <c r="BT6" s="730"/>
      <c r="BU6" s="730"/>
      <c r="BV6" s="731"/>
      <c r="BW6" s="732">
        <v>2020</v>
      </c>
      <c r="BX6" s="730"/>
      <c r="BY6" s="730"/>
      <c r="BZ6" s="730"/>
      <c r="CA6" s="730"/>
      <c r="CB6" s="730"/>
      <c r="CC6" s="730"/>
      <c r="CD6" s="730"/>
      <c r="CE6" s="730"/>
      <c r="CF6" s="730"/>
      <c r="CG6" s="730"/>
      <c r="CH6" s="731"/>
      <c r="CI6" s="732">
        <v>2021</v>
      </c>
      <c r="CJ6" s="730"/>
      <c r="CK6" s="730"/>
      <c r="CL6" s="730"/>
      <c r="CM6" s="730"/>
      <c r="CN6" s="730"/>
      <c r="CO6" s="730"/>
      <c r="CP6" s="730"/>
      <c r="CQ6" s="730"/>
      <c r="CR6" s="730"/>
      <c r="CS6" s="730"/>
      <c r="CT6" s="731"/>
      <c r="CU6" s="732">
        <v>2022</v>
      </c>
      <c r="CV6" s="730"/>
      <c r="CW6" s="730"/>
      <c r="CX6" s="730"/>
      <c r="CY6" s="730"/>
      <c r="CZ6" s="730"/>
      <c r="DA6" s="730"/>
      <c r="DB6" s="730"/>
      <c r="DC6" s="730"/>
      <c r="DD6" s="730"/>
      <c r="DE6" s="730"/>
      <c r="DF6" s="731"/>
      <c r="DG6" s="194"/>
      <c r="DH6" s="194"/>
      <c r="DI6" s="194"/>
      <c r="DJ6" s="194"/>
      <c r="DK6" s="194"/>
    </row>
    <row r="7" spans="1:202" ht="17.25">
      <c r="A7" s="728"/>
      <c r="B7" s="734"/>
      <c r="C7" s="734"/>
      <c r="D7" s="734"/>
      <c r="E7" s="734"/>
      <c r="F7" s="728"/>
      <c r="G7" s="728"/>
      <c r="H7" s="728"/>
      <c r="I7" s="264">
        <v>1</v>
      </c>
      <c r="J7" s="265">
        <v>2</v>
      </c>
      <c r="K7" s="264">
        <v>3</v>
      </c>
      <c r="L7" s="264">
        <v>4</v>
      </c>
      <c r="M7" s="264">
        <v>5</v>
      </c>
      <c r="N7" s="265">
        <v>6</v>
      </c>
      <c r="O7" s="265">
        <v>7</v>
      </c>
      <c r="P7" s="265">
        <v>8</v>
      </c>
      <c r="Q7" s="264">
        <v>9</v>
      </c>
      <c r="R7" s="264">
        <v>10</v>
      </c>
      <c r="S7" s="264">
        <v>11</v>
      </c>
      <c r="T7" s="266">
        <v>12</v>
      </c>
      <c r="U7" s="267">
        <v>13</v>
      </c>
      <c r="V7" s="264">
        <v>14</v>
      </c>
      <c r="W7" s="264">
        <v>15</v>
      </c>
      <c r="X7" s="264">
        <v>16</v>
      </c>
      <c r="Y7" s="264">
        <v>17</v>
      </c>
      <c r="Z7" s="264">
        <v>18</v>
      </c>
      <c r="AA7" s="264">
        <v>19</v>
      </c>
      <c r="AB7" s="264">
        <v>20</v>
      </c>
      <c r="AC7" s="264">
        <v>21</v>
      </c>
      <c r="AD7" s="264">
        <v>22</v>
      </c>
      <c r="AE7" s="264">
        <v>23</v>
      </c>
      <c r="AF7" s="266">
        <v>24</v>
      </c>
      <c r="AG7" s="267">
        <v>25</v>
      </c>
      <c r="AH7" s="264">
        <v>26</v>
      </c>
      <c r="AI7" s="264">
        <v>27</v>
      </c>
      <c r="AJ7" s="264">
        <v>28</v>
      </c>
      <c r="AK7" s="264">
        <v>29</v>
      </c>
      <c r="AL7" s="264">
        <v>30</v>
      </c>
      <c r="AM7" s="264">
        <v>31</v>
      </c>
      <c r="AN7" s="264">
        <v>32</v>
      </c>
      <c r="AO7" s="264">
        <v>33</v>
      </c>
      <c r="AP7" s="264">
        <v>34</v>
      </c>
      <c r="AQ7" s="264">
        <v>35</v>
      </c>
      <c r="AR7" s="266">
        <v>36</v>
      </c>
      <c r="AS7" s="268">
        <v>37</v>
      </c>
      <c r="AT7" s="269">
        <v>38</v>
      </c>
      <c r="AU7" s="269">
        <v>39</v>
      </c>
      <c r="AV7" s="269">
        <v>40</v>
      </c>
      <c r="AW7" s="269">
        <v>41</v>
      </c>
      <c r="AX7" s="269">
        <v>42</v>
      </c>
      <c r="AY7" s="270">
        <f>1+AX7</f>
        <v>43</v>
      </c>
      <c r="AZ7" s="270">
        <f t="shared" ref="AZ7:BJ7" si="0">1+AY7</f>
        <v>44</v>
      </c>
      <c r="BA7" s="270">
        <f t="shared" si="0"/>
        <v>45</v>
      </c>
      <c r="BB7" s="270">
        <f t="shared" si="0"/>
        <v>46</v>
      </c>
      <c r="BC7" s="270">
        <f t="shared" si="0"/>
        <v>47</v>
      </c>
      <c r="BD7" s="271">
        <f t="shared" si="0"/>
        <v>48</v>
      </c>
      <c r="BE7" s="270">
        <f t="shared" si="0"/>
        <v>49</v>
      </c>
      <c r="BF7" s="270">
        <f t="shared" si="0"/>
        <v>50</v>
      </c>
      <c r="BG7" s="270">
        <f t="shared" si="0"/>
        <v>51</v>
      </c>
      <c r="BH7" s="270">
        <f t="shared" si="0"/>
        <v>52</v>
      </c>
      <c r="BI7" s="270">
        <f t="shared" si="0"/>
        <v>53</v>
      </c>
      <c r="BJ7" s="270">
        <f t="shared" si="0"/>
        <v>54</v>
      </c>
      <c r="BK7" s="270">
        <f>1+BJ7</f>
        <v>55</v>
      </c>
      <c r="BL7" s="270">
        <f t="shared" ref="BL7:BV7" si="1">1+BK7</f>
        <v>56</v>
      </c>
      <c r="BM7" s="270">
        <f t="shared" si="1"/>
        <v>57</v>
      </c>
      <c r="BN7" s="270">
        <f t="shared" si="1"/>
        <v>58</v>
      </c>
      <c r="BO7" s="270">
        <f t="shared" si="1"/>
        <v>59</v>
      </c>
      <c r="BP7" s="271">
        <f t="shared" si="1"/>
        <v>60</v>
      </c>
      <c r="BQ7" s="270">
        <f t="shared" si="1"/>
        <v>61</v>
      </c>
      <c r="BR7" s="270">
        <f t="shared" si="1"/>
        <v>62</v>
      </c>
      <c r="BS7" s="270">
        <f t="shared" si="1"/>
        <v>63</v>
      </c>
      <c r="BT7" s="270">
        <f t="shared" si="1"/>
        <v>64</v>
      </c>
      <c r="BU7" s="270">
        <f t="shared" si="1"/>
        <v>65</v>
      </c>
      <c r="BV7" s="270">
        <f t="shared" si="1"/>
        <v>66</v>
      </c>
      <c r="BW7" s="270">
        <f>1+BV7</f>
        <v>67</v>
      </c>
      <c r="BX7" s="270">
        <f t="shared" ref="BX7:CH7" si="2">1+BW7</f>
        <v>68</v>
      </c>
      <c r="BY7" s="270">
        <f t="shared" si="2"/>
        <v>69</v>
      </c>
      <c r="BZ7" s="270">
        <f t="shared" si="2"/>
        <v>70</v>
      </c>
      <c r="CA7" s="270">
        <f t="shared" si="2"/>
        <v>71</v>
      </c>
      <c r="CB7" s="271">
        <f t="shared" si="2"/>
        <v>72</v>
      </c>
      <c r="CC7" s="270">
        <f t="shared" si="2"/>
        <v>73</v>
      </c>
      <c r="CD7" s="270">
        <f t="shared" si="2"/>
        <v>74</v>
      </c>
      <c r="CE7" s="270">
        <f t="shared" si="2"/>
        <v>75</v>
      </c>
      <c r="CF7" s="272">
        <f t="shared" si="2"/>
        <v>76</v>
      </c>
      <c r="CG7" s="272">
        <f t="shared" si="2"/>
        <v>77</v>
      </c>
      <c r="CH7" s="272">
        <f t="shared" si="2"/>
        <v>78</v>
      </c>
      <c r="CI7" s="272">
        <f>1+CH7</f>
        <v>79</v>
      </c>
      <c r="CJ7" s="272">
        <f t="shared" ref="CJ7:CT7" si="3">1+CI7</f>
        <v>80</v>
      </c>
      <c r="CK7" s="272">
        <f t="shared" si="3"/>
        <v>81</v>
      </c>
      <c r="CL7" s="272">
        <f t="shared" si="3"/>
        <v>82</v>
      </c>
      <c r="CM7" s="272">
        <f t="shared" si="3"/>
        <v>83</v>
      </c>
      <c r="CN7" s="272">
        <f t="shared" si="3"/>
        <v>84</v>
      </c>
      <c r="CO7" s="272">
        <f t="shared" si="3"/>
        <v>85</v>
      </c>
      <c r="CP7" s="272">
        <f t="shared" si="3"/>
        <v>86</v>
      </c>
      <c r="CQ7" s="272">
        <f t="shared" si="3"/>
        <v>87</v>
      </c>
      <c r="CR7" s="272">
        <f t="shared" si="3"/>
        <v>88</v>
      </c>
      <c r="CS7" s="272">
        <f t="shared" si="3"/>
        <v>89</v>
      </c>
      <c r="CT7" s="272">
        <f t="shared" si="3"/>
        <v>90</v>
      </c>
      <c r="CU7" s="272">
        <f>1+CT7</f>
        <v>91</v>
      </c>
      <c r="CV7" s="272">
        <f t="shared" ref="CV7:DF7" si="4">1+CU7</f>
        <v>92</v>
      </c>
      <c r="CW7" s="272">
        <f t="shared" si="4"/>
        <v>93</v>
      </c>
      <c r="CX7" s="272">
        <f t="shared" si="4"/>
        <v>94</v>
      </c>
      <c r="CY7" s="272">
        <f t="shared" si="4"/>
        <v>95</v>
      </c>
      <c r="CZ7" s="272">
        <f t="shared" si="4"/>
        <v>96</v>
      </c>
      <c r="DA7" s="272">
        <f t="shared" si="4"/>
        <v>97</v>
      </c>
      <c r="DB7" s="272">
        <f t="shared" si="4"/>
        <v>98</v>
      </c>
      <c r="DC7" s="272">
        <f t="shared" si="4"/>
        <v>99</v>
      </c>
      <c r="DD7" s="272">
        <f t="shared" si="4"/>
        <v>100</v>
      </c>
      <c r="DE7" s="272">
        <f t="shared" si="4"/>
        <v>101</v>
      </c>
      <c r="DF7" s="272">
        <f t="shared" si="4"/>
        <v>102</v>
      </c>
      <c r="DG7" s="273" t="s">
        <v>516</v>
      </c>
      <c r="DH7" s="274" t="s">
        <v>517</v>
      </c>
      <c r="DI7" s="275" t="s">
        <v>518</v>
      </c>
      <c r="DJ7" s="275" t="s">
        <v>519</v>
      </c>
      <c r="DK7" s="275" t="s">
        <v>520</v>
      </c>
      <c r="DL7" s="276" t="s">
        <v>521</v>
      </c>
      <c r="DM7" s="276" t="s">
        <v>522</v>
      </c>
      <c r="DN7" s="276" t="s">
        <v>523</v>
      </c>
      <c r="DO7" s="276" t="s">
        <v>524</v>
      </c>
      <c r="DP7" s="276" t="s">
        <v>525</v>
      </c>
      <c r="DQ7" s="276" t="s">
        <v>526</v>
      </c>
      <c r="DR7" s="277" t="s">
        <v>527</v>
      </c>
      <c r="DS7" s="276" t="s">
        <v>528</v>
      </c>
      <c r="DT7" s="276" t="s">
        <v>529</v>
      </c>
      <c r="DU7" s="278" t="s">
        <v>530</v>
      </c>
      <c r="DV7" s="278" t="s">
        <v>531</v>
      </c>
      <c r="DW7" s="278" t="s">
        <v>532</v>
      </c>
      <c r="DX7" s="278" t="s">
        <v>533</v>
      </c>
      <c r="DY7" s="278" t="s">
        <v>534</v>
      </c>
      <c r="DZ7" s="278" t="s">
        <v>535</v>
      </c>
      <c r="EA7" s="278" t="s">
        <v>536</v>
      </c>
      <c r="EB7" s="278" t="s">
        <v>537</v>
      </c>
      <c r="EC7" s="278" t="s">
        <v>538</v>
      </c>
      <c r="ED7" s="278" t="s">
        <v>539</v>
      </c>
      <c r="EE7" s="276" t="s">
        <v>540</v>
      </c>
      <c r="EF7" s="278" t="s">
        <v>541</v>
      </c>
      <c r="EG7" s="278" t="s">
        <v>542</v>
      </c>
      <c r="EH7" s="278" t="s">
        <v>543</v>
      </c>
      <c r="EI7" s="279" t="s">
        <v>544</v>
      </c>
      <c r="EJ7" s="279" t="s">
        <v>545</v>
      </c>
      <c r="EK7" s="279" t="s">
        <v>546</v>
      </c>
      <c r="EL7" s="279" t="s">
        <v>547</v>
      </c>
      <c r="EM7" s="279" t="s">
        <v>548</v>
      </c>
      <c r="EN7" s="279" t="s">
        <v>549</v>
      </c>
      <c r="EO7" s="279" t="s">
        <v>550</v>
      </c>
      <c r="EP7" s="279" t="s">
        <v>551</v>
      </c>
      <c r="EQ7" s="279" t="s">
        <v>552</v>
      </c>
      <c r="ER7" s="279" t="s">
        <v>553</v>
      </c>
      <c r="ES7" s="279" t="s">
        <v>554</v>
      </c>
      <c r="ET7" s="279" t="s">
        <v>555</v>
      </c>
      <c r="EU7" s="279" t="s">
        <v>556</v>
      </c>
      <c r="EV7" s="279" t="s">
        <v>557</v>
      </c>
      <c r="EW7" s="279" t="s">
        <v>558</v>
      </c>
      <c r="EX7" s="279" t="s">
        <v>559</v>
      </c>
      <c r="EY7" s="279" t="s">
        <v>560</v>
      </c>
      <c r="EZ7" s="279" t="s">
        <v>561</v>
      </c>
      <c r="FA7" s="279" t="s">
        <v>562</v>
      </c>
      <c r="FB7" s="279" t="s">
        <v>563</v>
      </c>
      <c r="FC7" s="279" t="s">
        <v>564</v>
      </c>
      <c r="FD7" s="279" t="s">
        <v>565</v>
      </c>
      <c r="FE7" s="279" t="s">
        <v>566</v>
      </c>
      <c r="FF7" s="279" t="s">
        <v>567</v>
      </c>
      <c r="FG7" s="279" t="s">
        <v>568</v>
      </c>
      <c r="FH7" s="279" t="s">
        <v>569</v>
      </c>
      <c r="FI7" s="279" t="s">
        <v>570</v>
      </c>
      <c r="FJ7" s="279" t="s">
        <v>571</v>
      </c>
      <c r="FK7" s="279" t="s">
        <v>572</v>
      </c>
      <c r="FL7" s="279" t="s">
        <v>573</v>
      </c>
      <c r="FM7" s="279" t="s">
        <v>574</v>
      </c>
      <c r="FN7" s="279" t="s">
        <v>575</v>
      </c>
      <c r="FO7" s="279" t="s">
        <v>576</v>
      </c>
      <c r="FP7" s="279" t="s">
        <v>577</v>
      </c>
      <c r="FQ7" s="279" t="s">
        <v>578</v>
      </c>
      <c r="FR7" s="279" t="s">
        <v>579</v>
      </c>
      <c r="FS7" s="279" t="s">
        <v>580</v>
      </c>
      <c r="FT7" s="279" t="s">
        <v>581</v>
      </c>
      <c r="FU7" s="279" t="s">
        <v>582</v>
      </c>
      <c r="FV7" s="279" t="s">
        <v>583</v>
      </c>
      <c r="FW7" s="279" t="s">
        <v>584</v>
      </c>
      <c r="FX7" s="279" t="s">
        <v>585</v>
      </c>
      <c r="FY7" s="279" t="s">
        <v>586</v>
      </c>
      <c r="FZ7" s="279" t="s">
        <v>587</v>
      </c>
      <c r="GA7" s="279" t="s">
        <v>588</v>
      </c>
      <c r="GB7" s="279" t="s">
        <v>589</v>
      </c>
      <c r="GC7" s="279" t="s">
        <v>590</v>
      </c>
      <c r="GD7" s="279" t="s">
        <v>591</v>
      </c>
      <c r="GE7" s="279" t="s">
        <v>592</v>
      </c>
      <c r="GF7" s="279" t="s">
        <v>593</v>
      </c>
      <c r="GG7" s="279" t="s">
        <v>594</v>
      </c>
      <c r="GH7" s="279" t="s">
        <v>595</v>
      </c>
      <c r="GI7" s="279" t="s">
        <v>596</v>
      </c>
      <c r="GJ7" s="279" t="s">
        <v>597</v>
      </c>
      <c r="GK7" s="279" t="s">
        <v>598</v>
      </c>
      <c r="GL7" s="279" t="s">
        <v>599</v>
      </c>
      <c r="GM7" s="279" t="s">
        <v>600</v>
      </c>
      <c r="GN7" s="279" t="s">
        <v>601</v>
      </c>
      <c r="GO7" s="279" t="s">
        <v>602</v>
      </c>
      <c r="GP7" s="279" t="s">
        <v>603</v>
      </c>
      <c r="GQ7" s="279" t="s">
        <v>604</v>
      </c>
      <c r="GR7" s="279" t="s">
        <v>605</v>
      </c>
      <c r="GS7" s="279" t="s">
        <v>606</v>
      </c>
      <c r="GT7" s="280" t="s">
        <v>607</v>
      </c>
    </row>
    <row r="8" spans="1:202" s="182" customFormat="1">
      <c r="A8" s="222" t="s">
        <v>633</v>
      </c>
      <c r="B8" s="224">
        <v>300</v>
      </c>
      <c r="C8" s="224" t="s">
        <v>634</v>
      </c>
      <c r="D8" s="224"/>
      <c r="E8" s="281"/>
      <c r="F8" s="281"/>
      <c r="G8" s="281"/>
      <c r="H8" s="281">
        <v>120</v>
      </c>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v>2</v>
      </c>
      <c r="AT8" s="227">
        <v>2</v>
      </c>
      <c r="AU8" s="227">
        <v>2</v>
      </c>
      <c r="AV8" s="227">
        <v>2</v>
      </c>
      <c r="AW8" s="227">
        <v>2</v>
      </c>
      <c r="AX8" s="227">
        <v>2</v>
      </c>
      <c r="AY8" s="227">
        <v>2</v>
      </c>
      <c r="AZ8" s="227">
        <v>2</v>
      </c>
      <c r="BA8" s="227">
        <v>2</v>
      </c>
      <c r="BB8" s="227">
        <v>2</v>
      </c>
      <c r="BC8" s="227">
        <v>2</v>
      </c>
      <c r="BD8" s="227">
        <v>2</v>
      </c>
      <c r="BE8" s="227">
        <v>2</v>
      </c>
      <c r="BF8" s="227">
        <v>2</v>
      </c>
      <c r="BG8" s="227">
        <v>2</v>
      </c>
      <c r="BH8" s="227">
        <v>2</v>
      </c>
      <c r="BI8" s="227">
        <v>2</v>
      </c>
      <c r="BJ8" s="227">
        <v>2</v>
      </c>
      <c r="BK8" s="227">
        <v>2</v>
      </c>
      <c r="BL8" s="227">
        <v>2</v>
      </c>
      <c r="BM8" s="227">
        <v>2</v>
      </c>
      <c r="BN8" s="227">
        <v>2</v>
      </c>
      <c r="BO8" s="227">
        <v>2</v>
      </c>
      <c r="BP8" s="227">
        <v>2</v>
      </c>
      <c r="BQ8" s="227">
        <v>2</v>
      </c>
      <c r="BR8" s="227">
        <v>2</v>
      </c>
      <c r="BS8" s="227">
        <v>2</v>
      </c>
      <c r="BT8" s="227">
        <v>2</v>
      </c>
      <c r="BU8" s="227">
        <v>2</v>
      </c>
      <c r="BV8" s="227">
        <v>2</v>
      </c>
      <c r="BW8" s="227">
        <v>2</v>
      </c>
      <c r="BX8" s="227">
        <v>2</v>
      </c>
      <c r="BY8" s="227">
        <v>2</v>
      </c>
      <c r="BZ8" s="227">
        <v>2</v>
      </c>
      <c r="CA8" s="227">
        <v>2</v>
      </c>
      <c r="CB8" s="227">
        <v>2</v>
      </c>
      <c r="CC8" s="227">
        <v>2</v>
      </c>
      <c r="CD8" s="227">
        <v>2</v>
      </c>
      <c r="CE8" s="227">
        <v>2</v>
      </c>
      <c r="CF8" s="227">
        <v>2</v>
      </c>
      <c r="CG8" s="227">
        <v>2</v>
      </c>
      <c r="CH8" s="227">
        <v>2</v>
      </c>
      <c r="CI8" s="227">
        <v>2</v>
      </c>
      <c r="CJ8" s="227">
        <v>2</v>
      </c>
      <c r="CK8" s="227">
        <v>2</v>
      </c>
      <c r="CL8" s="227">
        <v>2</v>
      </c>
      <c r="CM8" s="227">
        <v>2</v>
      </c>
      <c r="CN8" s="227">
        <v>2</v>
      </c>
      <c r="CO8" s="227">
        <v>2</v>
      </c>
      <c r="CP8" s="227">
        <v>2</v>
      </c>
      <c r="CQ8" s="227">
        <v>2</v>
      </c>
      <c r="CR8" s="227">
        <v>2</v>
      </c>
      <c r="CS8" s="227">
        <v>2</v>
      </c>
      <c r="CT8" s="227">
        <v>2</v>
      </c>
      <c r="CU8" s="227">
        <v>2</v>
      </c>
      <c r="CV8" s="227">
        <v>2</v>
      </c>
      <c r="CW8" s="227">
        <v>2</v>
      </c>
      <c r="CX8" s="227">
        <v>2</v>
      </c>
      <c r="CY8" s="227">
        <v>2</v>
      </c>
      <c r="CZ8" s="227">
        <v>2</v>
      </c>
      <c r="DA8" s="227">
        <v>2</v>
      </c>
      <c r="DB8" s="227">
        <v>2</v>
      </c>
      <c r="DC8" s="227">
        <v>2</v>
      </c>
      <c r="DD8" s="227">
        <v>2</v>
      </c>
      <c r="DE8" s="227">
        <v>2</v>
      </c>
      <c r="DF8" s="227">
        <v>2</v>
      </c>
      <c r="DG8" s="282">
        <f t="shared" ref="DG8:EI8" si="5">SUM(I8:T8)</f>
        <v>0</v>
      </c>
      <c r="DH8" s="282">
        <f t="shared" si="5"/>
        <v>0</v>
      </c>
      <c r="DI8" s="282">
        <f t="shared" si="5"/>
        <v>0</v>
      </c>
      <c r="DJ8" s="282">
        <f t="shared" si="5"/>
        <v>0</v>
      </c>
      <c r="DK8" s="282">
        <f t="shared" si="5"/>
        <v>0</v>
      </c>
      <c r="DL8" s="282">
        <f t="shared" si="5"/>
        <v>0</v>
      </c>
      <c r="DM8" s="282">
        <f t="shared" si="5"/>
        <v>0</v>
      </c>
      <c r="DN8" s="282">
        <f t="shared" si="5"/>
        <v>0</v>
      </c>
      <c r="DO8" s="282">
        <f t="shared" si="5"/>
        <v>0</v>
      </c>
      <c r="DP8" s="282">
        <f t="shared" si="5"/>
        <v>0</v>
      </c>
      <c r="DQ8" s="282">
        <f t="shared" si="5"/>
        <v>0</v>
      </c>
      <c r="DR8" s="282">
        <f t="shared" si="5"/>
        <v>0</v>
      </c>
      <c r="DS8" s="282">
        <f t="shared" si="5"/>
        <v>0</v>
      </c>
      <c r="DT8" s="282">
        <f t="shared" si="5"/>
        <v>0</v>
      </c>
      <c r="DU8" s="282">
        <f t="shared" si="5"/>
        <v>0</v>
      </c>
      <c r="DV8" s="282">
        <f t="shared" si="5"/>
        <v>0</v>
      </c>
      <c r="DW8" s="282">
        <f t="shared" si="5"/>
        <v>0</v>
      </c>
      <c r="DX8" s="282">
        <f t="shared" si="5"/>
        <v>0</v>
      </c>
      <c r="DY8" s="282">
        <f t="shared" si="5"/>
        <v>0</v>
      </c>
      <c r="DZ8" s="282">
        <f t="shared" si="5"/>
        <v>0</v>
      </c>
      <c r="EA8" s="282">
        <f t="shared" si="5"/>
        <v>0</v>
      </c>
      <c r="EB8" s="282">
        <f t="shared" si="5"/>
        <v>0</v>
      </c>
      <c r="EC8" s="282">
        <f t="shared" si="5"/>
        <v>0</v>
      </c>
      <c r="ED8" s="282">
        <f t="shared" si="5"/>
        <v>0</v>
      </c>
      <c r="EE8" s="282">
        <f t="shared" si="5"/>
        <v>0</v>
      </c>
      <c r="EF8" s="282">
        <f t="shared" si="5"/>
        <v>2</v>
      </c>
      <c r="EG8" s="282">
        <f t="shared" si="5"/>
        <v>4</v>
      </c>
      <c r="EH8" s="282">
        <f t="shared" si="5"/>
        <v>6</v>
      </c>
      <c r="EI8" s="282">
        <f t="shared" si="5"/>
        <v>8</v>
      </c>
      <c r="EJ8" s="282">
        <f t="shared" ref="EJ8:GS8" si="6">SUM(AL8:AX8)</f>
        <v>12</v>
      </c>
      <c r="EK8" s="282">
        <f t="shared" si="6"/>
        <v>14</v>
      </c>
      <c r="EL8" s="282">
        <f t="shared" si="6"/>
        <v>16</v>
      </c>
      <c r="EM8" s="282">
        <f t="shared" si="6"/>
        <v>18</v>
      </c>
      <c r="EN8" s="282">
        <f t="shared" si="6"/>
        <v>20</v>
      </c>
      <c r="EO8" s="282">
        <f t="shared" si="6"/>
        <v>22</v>
      </c>
      <c r="EP8" s="282">
        <f t="shared" si="6"/>
        <v>24</v>
      </c>
      <c r="EQ8" s="282">
        <f t="shared" si="6"/>
        <v>26</v>
      </c>
      <c r="ER8" s="282">
        <f t="shared" si="6"/>
        <v>26</v>
      </c>
      <c r="ES8" s="282">
        <f t="shared" si="6"/>
        <v>26</v>
      </c>
      <c r="ET8" s="282">
        <f t="shared" si="6"/>
        <v>26</v>
      </c>
      <c r="EU8" s="282">
        <f t="shared" si="6"/>
        <v>26</v>
      </c>
      <c r="EV8" s="282">
        <f t="shared" si="6"/>
        <v>26</v>
      </c>
      <c r="EW8" s="282">
        <f t="shared" si="6"/>
        <v>26</v>
      </c>
      <c r="EX8" s="282">
        <f t="shared" si="6"/>
        <v>26</v>
      </c>
      <c r="EY8" s="282">
        <f t="shared" si="6"/>
        <v>26</v>
      </c>
      <c r="EZ8" s="282">
        <f t="shared" si="6"/>
        <v>26</v>
      </c>
      <c r="FA8" s="282">
        <f t="shared" si="6"/>
        <v>26</v>
      </c>
      <c r="FB8" s="282">
        <f t="shared" si="6"/>
        <v>26</v>
      </c>
      <c r="FC8" s="282">
        <f t="shared" si="6"/>
        <v>26</v>
      </c>
      <c r="FD8" s="282">
        <f t="shared" si="6"/>
        <v>26</v>
      </c>
      <c r="FE8" s="282">
        <f t="shared" si="6"/>
        <v>26</v>
      </c>
      <c r="FF8" s="282">
        <f t="shared" si="6"/>
        <v>26</v>
      </c>
      <c r="FG8" s="282">
        <f t="shared" si="6"/>
        <v>26</v>
      </c>
      <c r="FH8" s="282">
        <f t="shared" si="6"/>
        <v>26</v>
      </c>
      <c r="FI8" s="282">
        <f t="shared" si="6"/>
        <v>26</v>
      </c>
      <c r="FJ8" s="282">
        <f t="shared" si="6"/>
        <v>26</v>
      </c>
      <c r="FK8" s="282">
        <f t="shared" si="6"/>
        <v>26</v>
      </c>
      <c r="FL8" s="282">
        <f t="shared" si="6"/>
        <v>26</v>
      </c>
      <c r="FM8" s="282">
        <f t="shared" si="6"/>
        <v>26</v>
      </c>
      <c r="FN8" s="282">
        <f t="shared" si="6"/>
        <v>26</v>
      </c>
      <c r="FO8" s="282">
        <f t="shared" si="6"/>
        <v>26</v>
      </c>
      <c r="FP8" s="282">
        <f t="shared" si="6"/>
        <v>26</v>
      </c>
      <c r="FQ8" s="282">
        <f t="shared" si="6"/>
        <v>26</v>
      </c>
      <c r="FR8" s="282">
        <f t="shared" si="6"/>
        <v>26</v>
      </c>
      <c r="FS8" s="282">
        <f t="shared" si="6"/>
        <v>26</v>
      </c>
      <c r="FT8" s="282">
        <f t="shared" si="6"/>
        <v>26</v>
      </c>
      <c r="FU8" s="282">
        <f t="shared" si="6"/>
        <v>26</v>
      </c>
      <c r="FV8" s="282">
        <f t="shared" si="6"/>
        <v>26</v>
      </c>
      <c r="FW8" s="282">
        <f t="shared" si="6"/>
        <v>26</v>
      </c>
      <c r="FX8" s="282">
        <f t="shared" si="6"/>
        <v>26</v>
      </c>
      <c r="FY8" s="282">
        <f t="shared" si="6"/>
        <v>26</v>
      </c>
      <c r="FZ8" s="282">
        <f t="shared" si="6"/>
        <v>26</v>
      </c>
      <c r="GA8" s="282">
        <f t="shared" si="6"/>
        <v>26</v>
      </c>
      <c r="GB8" s="282">
        <f t="shared" si="6"/>
        <v>26</v>
      </c>
      <c r="GC8" s="282">
        <f t="shared" si="6"/>
        <v>26</v>
      </c>
      <c r="GD8" s="282">
        <f t="shared" si="6"/>
        <v>26</v>
      </c>
      <c r="GE8" s="282">
        <f t="shared" si="6"/>
        <v>26</v>
      </c>
      <c r="GF8" s="282">
        <f t="shared" si="6"/>
        <v>26</v>
      </c>
      <c r="GG8" s="282">
        <f t="shared" si="6"/>
        <v>26</v>
      </c>
      <c r="GH8" s="282">
        <f t="shared" si="6"/>
        <v>26</v>
      </c>
      <c r="GI8" s="282">
        <f t="shared" si="6"/>
        <v>26</v>
      </c>
      <c r="GJ8" s="282">
        <f t="shared" si="6"/>
        <v>26</v>
      </c>
      <c r="GK8" s="282">
        <f t="shared" si="6"/>
        <v>26</v>
      </c>
      <c r="GL8" s="282">
        <f t="shared" si="6"/>
        <v>26</v>
      </c>
      <c r="GM8" s="282">
        <f t="shared" si="6"/>
        <v>26</v>
      </c>
      <c r="GN8" s="282">
        <f t="shared" si="6"/>
        <v>26</v>
      </c>
      <c r="GO8" s="282">
        <f t="shared" si="6"/>
        <v>26</v>
      </c>
      <c r="GP8" s="282">
        <f t="shared" si="6"/>
        <v>26</v>
      </c>
      <c r="GQ8" s="282">
        <f t="shared" si="6"/>
        <v>26</v>
      </c>
      <c r="GR8" s="282">
        <f t="shared" si="6"/>
        <v>26</v>
      </c>
      <c r="GS8" s="282">
        <f t="shared" si="6"/>
        <v>24</v>
      </c>
      <c r="GT8" s="283">
        <f>SUM(I8:CE8)</f>
        <v>78</v>
      </c>
    </row>
    <row r="9" spans="1:202" s="182" customFormat="1">
      <c r="A9" s="222" t="s">
        <v>635</v>
      </c>
      <c r="B9" s="224"/>
      <c r="C9" s="224" t="s">
        <v>634</v>
      </c>
      <c r="D9" s="224"/>
      <c r="E9" s="281"/>
      <c r="F9" s="281"/>
      <c r="G9" s="281"/>
      <c r="H9" s="281">
        <v>300</v>
      </c>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v>4</v>
      </c>
      <c r="AX9" s="227">
        <v>4</v>
      </c>
      <c r="AY9" s="227">
        <v>4</v>
      </c>
      <c r="AZ9" s="227">
        <v>4</v>
      </c>
      <c r="BA9" s="227">
        <v>4</v>
      </c>
      <c r="BB9" s="227"/>
      <c r="BC9" s="227"/>
      <c r="BD9" s="227"/>
      <c r="BE9" s="227"/>
      <c r="BF9" s="227"/>
      <c r="BG9" s="227"/>
      <c r="BH9" s="227"/>
      <c r="BI9" s="227">
        <v>4</v>
      </c>
      <c r="BJ9" s="227">
        <v>4</v>
      </c>
      <c r="BK9" s="227">
        <v>4</v>
      </c>
      <c r="BL9" s="227">
        <v>4</v>
      </c>
      <c r="BM9" s="227">
        <v>4</v>
      </c>
      <c r="BN9" s="227"/>
      <c r="BO9" s="227"/>
      <c r="BP9" s="227"/>
      <c r="BQ9" s="227"/>
      <c r="BR9" s="227"/>
      <c r="BS9" s="227"/>
      <c r="BT9" s="227"/>
      <c r="BU9" s="227">
        <v>4</v>
      </c>
      <c r="BV9" s="227">
        <v>4</v>
      </c>
      <c r="BW9" s="227">
        <v>4</v>
      </c>
      <c r="BX9" s="227">
        <v>4</v>
      </c>
      <c r="BY9" s="227">
        <v>4</v>
      </c>
      <c r="BZ9" s="227"/>
      <c r="CA9" s="227"/>
      <c r="CB9" s="227"/>
      <c r="CC9" s="227"/>
      <c r="CD9" s="227"/>
      <c r="CE9" s="227"/>
      <c r="CF9" s="227"/>
      <c r="CG9" s="227">
        <v>4</v>
      </c>
      <c r="CH9" s="227">
        <v>4</v>
      </c>
      <c r="CI9" s="227">
        <v>4</v>
      </c>
      <c r="CJ9" s="227">
        <v>4</v>
      </c>
      <c r="CK9" s="227">
        <v>4</v>
      </c>
      <c r="CL9" s="227"/>
      <c r="CM9" s="227"/>
      <c r="CN9" s="227"/>
      <c r="CO9" s="227"/>
      <c r="CP9" s="227"/>
      <c r="CQ9" s="227"/>
      <c r="CR9" s="227"/>
      <c r="CS9" s="227">
        <v>4</v>
      </c>
      <c r="CT9" s="227">
        <v>4</v>
      </c>
      <c r="CU9" s="227">
        <v>4</v>
      </c>
      <c r="CV9" s="227">
        <v>4</v>
      </c>
      <c r="CW9" s="227">
        <v>4</v>
      </c>
      <c r="CX9" s="227"/>
      <c r="CY9" s="227"/>
      <c r="CZ9" s="227"/>
      <c r="DA9" s="227"/>
      <c r="DB9" s="227"/>
      <c r="DC9" s="227"/>
      <c r="DD9" s="227"/>
      <c r="DE9" s="227">
        <v>4</v>
      </c>
      <c r="DF9" s="227">
        <v>4</v>
      </c>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c r="GK9" s="282"/>
      <c r="GL9" s="282"/>
      <c r="GM9" s="282"/>
      <c r="GN9" s="282"/>
      <c r="GO9" s="282"/>
      <c r="GP9" s="282"/>
      <c r="GQ9" s="282"/>
      <c r="GR9" s="282"/>
      <c r="GS9" s="282"/>
      <c r="GT9" s="283"/>
    </row>
    <row r="10" spans="1:202" s="182" customFormat="1">
      <c r="A10" s="222" t="s">
        <v>636</v>
      </c>
      <c r="B10" s="224">
        <v>250</v>
      </c>
      <c r="C10" s="224" t="s">
        <v>634</v>
      </c>
      <c r="D10" s="224"/>
      <c r="E10" s="281"/>
      <c r="F10" s="281"/>
      <c r="G10" s="281"/>
      <c r="H10" s="281">
        <v>300</v>
      </c>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v>1</v>
      </c>
      <c r="AT10" s="227">
        <v>1</v>
      </c>
      <c r="AU10" s="227">
        <v>1</v>
      </c>
      <c r="AV10" s="227">
        <v>1</v>
      </c>
      <c r="AW10" s="227">
        <v>1</v>
      </c>
      <c r="AX10" s="227">
        <v>1</v>
      </c>
      <c r="AY10" s="227">
        <v>1</v>
      </c>
      <c r="AZ10" s="227">
        <v>1</v>
      </c>
      <c r="BA10" s="227">
        <v>1</v>
      </c>
      <c r="BB10" s="227">
        <v>1</v>
      </c>
      <c r="BC10" s="227">
        <v>1</v>
      </c>
      <c r="BD10" s="227">
        <v>1</v>
      </c>
      <c r="BE10" s="227">
        <v>1</v>
      </c>
      <c r="BF10" s="227">
        <v>1</v>
      </c>
      <c r="BG10" s="227">
        <v>1</v>
      </c>
      <c r="BH10" s="227">
        <v>1</v>
      </c>
      <c r="BI10" s="227">
        <v>1</v>
      </c>
      <c r="BJ10" s="227">
        <v>1</v>
      </c>
      <c r="BK10" s="227">
        <v>1</v>
      </c>
      <c r="BL10" s="227">
        <v>1</v>
      </c>
      <c r="BM10" s="227">
        <v>1</v>
      </c>
      <c r="BN10" s="227">
        <v>1</v>
      </c>
      <c r="BO10" s="227">
        <v>1</v>
      </c>
      <c r="BP10" s="227">
        <v>1</v>
      </c>
      <c r="BQ10" s="227">
        <v>1</v>
      </c>
      <c r="BR10" s="227">
        <v>1</v>
      </c>
      <c r="BS10" s="227">
        <v>1</v>
      </c>
      <c r="BT10" s="227">
        <v>1</v>
      </c>
      <c r="BU10" s="227">
        <v>1</v>
      </c>
      <c r="BV10" s="227">
        <v>1</v>
      </c>
      <c r="BW10" s="227">
        <v>1</v>
      </c>
      <c r="BX10" s="227">
        <v>1</v>
      </c>
      <c r="BY10" s="227">
        <v>1</v>
      </c>
      <c r="BZ10" s="227">
        <v>1</v>
      </c>
      <c r="CA10" s="227">
        <v>1</v>
      </c>
      <c r="CB10" s="227">
        <v>1</v>
      </c>
      <c r="CC10" s="227">
        <v>1</v>
      </c>
      <c r="CD10" s="227">
        <v>1</v>
      </c>
      <c r="CE10" s="227">
        <v>1</v>
      </c>
      <c r="CF10" s="227">
        <v>1</v>
      </c>
      <c r="CG10" s="227">
        <v>1</v>
      </c>
      <c r="CH10" s="227">
        <v>1</v>
      </c>
      <c r="CI10" s="227">
        <v>1</v>
      </c>
      <c r="CJ10" s="227">
        <v>1</v>
      </c>
      <c r="CK10" s="227">
        <v>1</v>
      </c>
      <c r="CL10" s="227">
        <v>1</v>
      </c>
      <c r="CM10" s="227">
        <v>1</v>
      </c>
      <c r="CN10" s="227">
        <v>1</v>
      </c>
      <c r="CO10" s="227">
        <v>1</v>
      </c>
      <c r="CP10" s="227">
        <v>1</v>
      </c>
      <c r="CQ10" s="227">
        <v>1</v>
      </c>
      <c r="CR10" s="227">
        <v>1</v>
      </c>
      <c r="CS10" s="227">
        <v>1</v>
      </c>
      <c r="CT10" s="227">
        <v>1</v>
      </c>
      <c r="CU10" s="227">
        <v>1</v>
      </c>
      <c r="CV10" s="227">
        <v>1</v>
      </c>
      <c r="CW10" s="227">
        <v>1</v>
      </c>
      <c r="CX10" s="227">
        <v>1</v>
      </c>
      <c r="CY10" s="227">
        <v>1</v>
      </c>
      <c r="CZ10" s="227">
        <v>1</v>
      </c>
      <c r="DA10" s="227">
        <v>1</v>
      </c>
      <c r="DB10" s="227">
        <v>1</v>
      </c>
      <c r="DC10" s="227">
        <v>1</v>
      </c>
      <c r="DD10" s="227">
        <v>1</v>
      </c>
      <c r="DE10" s="227">
        <v>1</v>
      </c>
      <c r="DF10" s="227">
        <v>1</v>
      </c>
      <c r="DG10" s="282"/>
      <c r="DH10" s="282"/>
      <c r="DI10" s="282"/>
      <c r="DJ10" s="282"/>
      <c r="DK10" s="282"/>
      <c r="DL10" s="282"/>
      <c r="DM10" s="282"/>
      <c r="DN10" s="282"/>
      <c r="DO10" s="282"/>
      <c r="DP10" s="282"/>
      <c r="DQ10" s="282"/>
      <c r="DR10" s="282"/>
      <c r="DS10" s="282"/>
      <c r="DT10" s="282"/>
      <c r="DU10" s="282"/>
      <c r="DV10" s="282"/>
      <c r="DW10" s="282"/>
      <c r="DX10" s="282"/>
      <c r="DY10" s="282"/>
      <c r="DZ10" s="282"/>
      <c r="EA10" s="282"/>
      <c r="EB10" s="282"/>
      <c r="EC10" s="282"/>
      <c r="ED10" s="282"/>
      <c r="EE10" s="282"/>
      <c r="EF10" s="282"/>
      <c r="EG10" s="282"/>
      <c r="EH10" s="282"/>
      <c r="EI10" s="282"/>
      <c r="EJ10" s="282"/>
      <c r="EK10" s="282"/>
      <c r="EL10" s="282"/>
      <c r="EM10" s="282"/>
      <c r="EN10" s="282"/>
      <c r="EO10" s="282"/>
      <c r="EP10" s="282"/>
      <c r="EQ10" s="282"/>
      <c r="ER10" s="282"/>
      <c r="ES10" s="282"/>
      <c r="ET10" s="282"/>
      <c r="EU10" s="282"/>
      <c r="EV10" s="282"/>
      <c r="EW10" s="282"/>
      <c r="EX10" s="282"/>
      <c r="EY10" s="282"/>
      <c r="EZ10" s="282"/>
      <c r="FA10" s="282"/>
      <c r="FB10" s="282"/>
      <c r="FC10" s="282"/>
      <c r="FD10" s="282"/>
      <c r="FE10" s="282"/>
      <c r="FF10" s="282"/>
      <c r="FG10" s="282"/>
      <c r="FH10" s="282"/>
      <c r="FI10" s="282"/>
      <c r="FJ10" s="282"/>
      <c r="FK10" s="282"/>
      <c r="FL10" s="282"/>
      <c r="FM10" s="282"/>
      <c r="FN10" s="282"/>
      <c r="FO10" s="282"/>
      <c r="FP10" s="282"/>
      <c r="FQ10" s="282"/>
      <c r="FR10" s="282"/>
      <c r="FS10" s="282"/>
      <c r="FT10" s="282"/>
      <c r="FU10" s="282"/>
      <c r="FV10" s="282"/>
      <c r="FW10" s="282"/>
      <c r="FX10" s="282"/>
      <c r="FY10" s="282"/>
      <c r="FZ10" s="282"/>
      <c r="GA10" s="282"/>
      <c r="GB10" s="282"/>
      <c r="GC10" s="282"/>
      <c r="GD10" s="282"/>
      <c r="GE10" s="282"/>
      <c r="GF10" s="282"/>
      <c r="GG10" s="282"/>
      <c r="GH10" s="282"/>
      <c r="GI10" s="282"/>
      <c r="GJ10" s="282"/>
      <c r="GK10" s="282"/>
      <c r="GL10" s="282"/>
      <c r="GM10" s="282"/>
      <c r="GN10" s="282"/>
      <c r="GO10" s="282"/>
      <c r="GP10" s="282"/>
      <c r="GQ10" s="282"/>
      <c r="GR10" s="282"/>
      <c r="GS10" s="282"/>
      <c r="GT10" s="283"/>
    </row>
    <row r="11" spans="1:202" s="182" customFormat="1">
      <c r="A11" s="222" t="s">
        <v>637</v>
      </c>
      <c r="B11" s="224">
        <v>220</v>
      </c>
      <c r="C11" s="224" t="s">
        <v>634</v>
      </c>
      <c r="D11" s="224"/>
      <c r="E11" s="225"/>
      <c r="F11" s="225"/>
      <c r="G11" s="225"/>
      <c r="H11" s="225">
        <v>60</v>
      </c>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v>1</v>
      </c>
      <c r="AT11" s="227">
        <v>1</v>
      </c>
      <c r="AU11" s="227">
        <v>1</v>
      </c>
      <c r="AV11" s="227">
        <v>1</v>
      </c>
      <c r="AW11" s="227">
        <v>1</v>
      </c>
      <c r="AX11" s="227">
        <v>1</v>
      </c>
      <c r="AY11" s="227">
        <v>1</v>
      </c>
      <c r="AZ11" s="227">
        <v>1</v>
      </c>
      <c r="BA11" s="227">
        <v>1</v>
      </c>
      <c r="BB11" s="227">
        <v>1</v>
      </c>
      <c r="BC11" s="227">
        <v>1</v>
      </c>
      <c r="BD11" s="227">
        <v>1</v>
      </c>
      <c r="BE11" s="227">
        <v>1</v>
      </c>
      <c r="BF11" s="227">
        <v>1</v>
      </c>
      <c r="BG11" s="227">
        <v>1</v>
      </c>
      <c r="BH11" s="227">
        <v>1</v>
      </c>
      <c r="BI11" s="227">
        <v>1</v>
      </c>
      <c r="BJ11" s="227">
        <v>1</v>
      </c>
      <c r="BK11" s="227">
        <v>1</v>
      </c>
      <c r="BL11" s="227">
        <v>1</v>
      </c>
      <c r="BM11" s="227">
        <v>1</v>
      </c>
      <c r="BN11" s="227">
        <v>1</v>
      </c>
      <c r="BO11" s="227">
        <v>1</v>
      </c>
      <c r="BP11" s="227">
        <v>1</v>
      </c>
      <c r="BQ11" s="227">
        <v>1</v>
      </c>
      <c r="BR11" s="227">
        <v>1</v>
      </c>
      <c r="BS11" s="227">
        <v>1</v>
      </c>
      <c r="BT11" s="227">
        <v>1</v>
      </c>
      <c r="BU11" s="227">
        <v>1</v>
      </c>
      <c r="BV11" s="227">
        <v>1</v>
      </c>
      <c r="BW11" s="227">
        <v>1</v>
      </c>
      <c r="BX11" s="227">
        <v>1</v>
      </c>
      <c r="BY11" s="227">
        <v>1</v>
      </c>
      <c r="BZ11" s="227">
        <v>1</v>
      </c>
      <c r="CA11" s="227">
        <v>1</v>
      </c>
      <c r="CB11" s="227">
        <v>1</v>
      </c>
      <c r="CC11" s="227">
        <v>1</v>
      </c>
      <c r="CD11" s="227">
        <v>1</v>
      </c>
      <c r="CE11" s="227">
        <v>1</v>
      </c>
      <c r="CF11" s="227">
        <v>1</v>
      </c>
      <c r="CG11" s="227">
        <v>1</v>
      </c>
      <c r="CH11" s="227">
        <v>1</v>
      </c>
      <c r="CI11" s="227">
        <v>1</v>
      </c>
      <c r="CJ11" s="227">
        <v>1</v>
      </c>
      <c r="CK11" s="227">
        <v>1</v>
      </c>
      <c r="CL11" s="227">
        <v>1</v>
      </c>
      <c r="CM11" s="227">
        <v>1</v>
      </c>
      <c r="CN11" s="227">
        <v>1</v>
      </c>
      <c r="CO11" s="227">
        <v>1</v>
      </c>
      <c r="CP11" s="227">
        <v>1</v>
      </c>
      <c r="CQ11" s="227">
        <v>1</v>
      </c>
      <c r="CR11" s="227">
        <v>1</v>
      </c>
      <c r="CS11" s="227">
        <v>1</v>
      </c>
      <c r="CT11" s="227">
        <v>1</v>
      </c>
      <c r="CU11" s="227">
        <v>1</v>
      </c>
      <c r="CV11" s="227">
        <v>1</v>
      </c>
      <c r="CW11" s="227">
        <v>1</v>
      </c>
      <c r="CX11" s="227">
        <v>1</v>
      </c>
      <c r="CY11" s="227">
        <v>1</v>
      </c>
      <c r="CZ11" s="227">
        <v>1</v>
      </c>
      <c r="DA11" s="227">
        <v>1</v>
      </c>
      <c r="DB11" s="227">
        <v>1</v>
      </c>
      <c r="DC11" s="227">
        <v>1</v>
      </c>
      <c r="DD11" s="227">
        <v>1</v>
      </c>
      <c r="DE11" s="227">
        <v>1</v>
      </c>
      <c r="DF11" s="227">
        <v>1</v>
      </c>
      <c r="DG11" s="282">
        <f t="shared" ref="DG11:DV17" si="7">SUM(I11:T11)</f>
        <v>0</v>
      </c>
      <c r="DH11" s="282">
        <f t="shared" si="7"/>
        <v>0</v>
      </c>
      <c r="DI11" s="282">
        <f t="shared" si="7"/>
        <v>0</v>
      </c>
      <c r="DJ11" s="282">
        <f t="shared" si="7"/>
        <v>0</v>
      </c>
      <c r="DK11" s="282">
        <f t="shared" si="7"/>
        <v>0</v>
      </c>
      <c r="DL11" s="282">
        <f t="shared" si="7"/>
        <v>0</v>
      </c>
      <c r="DM11" s="282">
        <f t="shared" si="7"/>
        <v>0</v>
      </c>
      <c r="DN11" s="282">
        <f t="shared" si="7"/>
        <v>0</v>
      </c>
      <c r="DO11" s="282">
        <f t="shared" si="7"/>
        <v>0</v>
      </c>
      <c r="DP11" s="282">
        <f t="shared" si="7"/>
        <v>0</v>
      </c>
      <c r="DQ11" s="282">
        <f t="shared" si="7"/>
        <v>0</v>
      </c>
      <c r="DR11" s="282">
        <f t="shared" si="7"/>
        <v>0</v>
      </c>
      <c r="DS11" s="282">
        <f t="shared" si="7"/>
        <v>0</v>
      </c>
      <c r="DT11" s="282">
        <f t="shared" si="7"/>
        <v>0</v>
      </c>
      <c r="DU11" s="282">
        <f t="shared" si="7"/>
        <v>0</v>
      </c>
      <c r="DV11" s="282">
        <f t="shared" si="7"/>
        <v>0</v>
      </c>
      <c r="DW11" s="282">
        <f t="shared" ref="DW11:EI17" si="8">SUM(Y11:AJ11)</f>
        <v>0</v>
      </c>
      <c r="DX11" s="282">
        <f t="shared" si="8"/>
        <v>0</v>
      </c>
      <c r="DY11" s="282">
        <f t="shared" si="8"/>
        <v>0</v>
      </c>
      <c r="DZ11" s="282">
        <f t="shared" si="8"/>
        <v>0</v>
      </c>
      <c r="EA11" s="282">
        <f t="shared" si="8"/>
        <v>0</v>
      </c>
      <c r="EB11" s="282">
        <f t="shared" si="8"/>
        <v>0</v>
      </c>
      <c r="EC11" s="282">
        <f t="shared" si="8"/>
        <v>0</v>
      </c>
      <c r="ED11" s="282">
        <f t="shared" si="8"/>
        <v>0</v>
      </c>
      <c r="EE11" s="282">
        <f t="shared" si="8"/>
        <v>0</v>
      </c>
      <c r="EF11" s="282">
        <f t="shared" si="8"/>
        <v>1</v>
      </c>
      <c r="EG11" s="282">
        <f t="shared" si="8"/>
        <v>2</v>
      </c>
      <c r="EH11" s="282">
        <f t="shared" si="8"/>
        <v>3</v>
      </c>
      <c r="EI11" s="282">
        <f t="shared" si="8"/>
        <v>4</v>
      </c>
      <c r="EJ11" s="282">
        <f t="shared" ref="EJ11:EY17" si="9">SUM(AL11:AX11)</f>
        <v>6</v>
      </c>
      <c r="EK11" s="282">
        <f t="shared" si="9"/>
        <v>7</v>
      </c>
      <c r="EL11" s="282">
        <f t="shared" si="9"/>
        <v>8</v>
      </c>
      <c r="EM11" s="282">
        <f t="shared" si="9"/>
        <v>9</v>
      </c>
      <c r="EN11" s="282">
        <f t="shared" si="9"/>
        <v>10</v>
      </c>
      <c r="EO11" s="282">
        <f t="shared" si="9"/>
        <v>11</v>
      </c>
      <c r="EP11" s="282">
        <f t="shared" si="9"/>
        <v>12</v>
      </c>
      <c r="EQ11" s="282">
        <f t="shared" si="9"/>
        <v>13</v>
      </c>
      <c r="ER11" s="282">
        <f t="shared" si="9"/>
        <v>13</v>
      </c>
      <c r="ES11" s="282">
        <f t="shared" si="9"/>
        <v>13</v>
      </c>
      <c r="ET11" s="282">
        <f t="shared" si="9"/>
        <v>13</v>
      </c>
      <c r="EU11" s="282">
        <f t="shared" si="9"/>
        <v>13</v>
      </c>
      <c r="EV11" s="282">
        <f t="shared" si="9"/>
        <v>13</v>
      </c>
      <c r="EW11" s="282">
        <f t="shared" si="9"/>
        <v>13</v>
      </c>
      <c r="EX11" s="282">
        <f t="shared" si="9"/>
        <v>13</v>
      </c>
      <c r="EY11" s="282">
        <f t="shared" si="9"/>
        <v>13</v>
      </c>
      <c r="EZ11" s="282">
        <f t="shared" ref="EZ11:FO17" si="10">SUM(BB11:BN11)</f>
        <v>13</v>
      </c>
      <c r="FA11" s="282">
        <f t="shared" si="10"/>
        <v>13</v>
      </c>
      <c r="FB11" s="282">
        <f t="shared" si="10"/>
        <v>13</v>
      </c>
      <c r="FC11" s="282">
        <f t="shared" si="10"/>
        <v>13</v>
      </c>
      <c r="FD11" s="282">
        <f t="shared" si="10"/>
        <v>13</v>
      </c>
      <c r="FE11" s="282">
        <f t="shared" si="10"/>
        <v>13</v>
      </c>
      <c r="FF11" s="282">
        <f t="shared" si="10"/>
        <v>13</v>
      </c>
      <c r="FG11" s="282">
        <f t="shared" si="10"/>
        <v>13</v>
      </c>
      <c r="FH11" s="282">
        <f t="shared" si="10"/>
        <v>13</v>
      </c>
      <c r="FI11" s="282">
        <f t="shared" si="10"/>
        <v>13</v>
      </c>
      <c r="FJ11" s="282">
        <f t="shared" si="10"/>
        <v>13</v>
      </c>
      <c r="FK11" s="282">
        <f t="shared" si="10"/>
        <v>13</v>
      </c>
      <c r="FL11" s="282">
        <f t="shared" si="10"/>
        <v>13</v>
      </c>
      <c r="FM11" s="282">
        <f t="shared" si="10"/>
        <v>13</v>
      </c>
      <c r="FN11" s="282">
        <f t="shared" si="10"/>
        <v>13</v>
      </c>
      <c r="FO11" s="282">
        <f t="shared" si="10"/>
        <v>13</v>
      </c>
      <c r="FP11" s="282">
        <f t="shared" ref="FP11:GE17" si="11">SUM(BR11:CD11)</f>
        <v>13</v>
      </c>
      <c r="FQ11" s="282">
        <f t="shared" si="11"/>
        <v>13</v>
      </c>
      <c r="FR11" s="282">
        <f t="shared" si="11"/>
        <v>13</v>
      </c>
      <c r="FS11" s="282">
        <f t="shared" si="11"/>
        <v>13</v>
      </c>
      <c r="FT11" s="282">
        <f t="shared" si="11"/>
        <v>13</v>
      </c>
      <c r="FU11" s="282">
        <f t="shared" si="11"/>
        <v>13</v>
      </c>
      <c r="FV11" s="282">
        <f t="shared" si="11"/>
        <v>13</v>
      </c>
      <c r="FW11" s="282">
        <f t="shared" si="11"/>
        <v>13</v>
      </c>
      <c r="FX11" s="282">
        <f t="shared" si="11"/>
        <v>13</v>
      </c>
      <c r="FY11" s="282">
        <f t="shared" si="11"/>
        <v>13</v>
      </c>
      <c r="FZ11" s="282">
        <f t="shared" si="11"/>
        <v>13</v>
      </c>
      <c r="GA11" s="282">
        <f t="shared" si="11"/>
        <v>13</v>
      </c>
      <c r="GB11" s="282">
        <f t="shared" si="11"/>
        <v>13</v>
      </c>
      <c r="GC11" s="282">
        <f t="shared" si="11"/>
        <v>13</v>
      </c>
      <c r="GD11" s="282">
        <f t="shared" si="11"/>
        <v>13</v>
      </c>
      <c r="GE11" s="282">
        <f t="shared" si="11"/>
        <v>13</v>
      </c>
      <c r="GF11" s="282">
        <f t="shared" ref="GF11:GS22" si="12">SUM(CH11:CT11)</f>
        <v>13</v>
      </c>
      <c r="GG11" s="282">
        <f t="shared" si="12"/>
        <v>13</v>
      </c>
      <c r="GH11" s="282">
        <f t="shared" si="12"/>
        <v>13</v>
      </c>
      <c r="GI11" s="282">
        <f t="shared" si="12"/>
        <v>13</v>
      </c>
      <c r="GJ11" s="282">
        <f t="shared" si="12"/>
        <v>13</v>
      </c>
      <c r="GK11" s="282">
        <f t="shared" si="12"/>
        <v>13</v>
      </c>
      <c r="GL11" s="282">
        <f t="shared" si="12"/>
        <v>13</v>
      </c>
      <c r="GM11" s="282">
        <f t="shared" si="12"/>
        <v>13</v>
      </c>
      <c r="GN11" s="282">
        <f t="shared" si="12"/>
        <v>13</v>
      </c>
      <c r="GO11" s="282">
        <f t="shared" si="12"/>
        <v>13</v>
      </c>
      <c r="GP11" s="282">
        <f t="shared" si="12"/>
        <v>13</v>
      </c>
      <c r="GQ11" s="282">
        <f t="shared" si="12"/>
        <v>13</v>
      </c>
      <c r="GR11" s="282">
        <f t="shared" si="12"/>
        <v>13</v>
      </c>
      <c r="GS11" s="282">
        <f t="shared" si="12"/>
        <v>12</v>
      </c>
      <c r="GT11" s="283">
        <f t="shared" ref="GT11:GT17" si="13">SUM(I11:CE11)</f>
        <v>39</v>
      </c>
    </row>
    <row r="12" spans="1:202" s="182" customFormat="1">
      <c r="A12" s="222" t="s">
        <v>638</v>
      </c>
      <c r="B12" s="224">
        <v>240</v>
      </c>
      <c r="C12" s="224" t="s">
        <v>634</v>
      </c>
      <c r="D12" s="224"/>
      <c r="E12" s="225"/>
      <c r="F12" s="225"/>
      <c r="G12" s="225"/>
      <c r="H12" s="225">
        <v>120</v>
      </c>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v>2</v>
      </c>
      <c r="AT12" s="227">
        <v>2</v>
      </c>
      <c r="AU12" s="227">
        <v>2</v>
      </c>
      <c r="AV12" s="227">
        <v>2</v>
      </c>
      <c r="AW12" s="227">
        <v>2</v>
      </c>
      <c r="AX12" s="227">
        <v>2</v>
      </c>
      <c r="AY12" s="227">
        <v>2</v>
      </c>
      <c r="AZ12" s="227">
        <v>2</v>
      </c>
      <c r="BA12" s="227">
        <v>2</v>
      </c>
      <c r="BB12" s="227">
        <v>2</v>
      </c>
      <c r="BC12" s="227">
        <v>2</v>
      </c>
      <c r="BD12" s="227">
        <v>2</v>
      </c>
      <c r="BE12" s="227">
        <v>2</v>
      </c>
      <c r="BF12" s="227">
        <v>2</v>
      </c>
      <c r="BG12" s="227">
        <v>2</v>
      </c>
      <c r="BH12" s="227">
        <v>2</v>
      </c>
      <c r="BI12" s="227">
        <v>2</v>
      </c>
      <c r="BJ12" s="227">
        <v>2</v>
      </c>
      <c r="BK12" s="227">
        <v>2</v>
      </c>
      <c r="BL12" s="227">
        <v>2</v>
      </c>
      <c r="BM12" s="227">
        <v>2</v>
      </c>
      <c r="BN12" s="227">
        <v>2</v>
      </c>
      <c r="BO12" s="227">
        <v>2</v>
      </c>
      <c r="BP12" s="227">
        <v>2</v>
      </c>
      <c r="BQ12" s="227">
        <v>2</v>
      </c>
      <c r="BR12" s="227">
        <v>2</v>
      </c>
      <c r="BS12" s="227">
        <v>2</v>
      </c>
      <c r="BT12" s="227">
        <v>2</v>
      </c>
      <c r="BU12" s="227">
        <v>2</v>
      </c>
      <c r="BV12" s="227">
        <v>2</v>
      </c>
      <c r="BW12" s="227">
        <v>2</v>
      </c>
      <c r="BX12" s="227">
        <v>2</v>
      </c>
      <c r="BY12" s="227">
        <v>2</v>
      </c>
      <c r="BZ12" s="227">
        <v>2</v>
      </c>
      <c r="CA12" s="227">
        <v>2</v>
      </c>
      <c r="CB12" s="227">
        <v>2</v>
      </c>
      <c r="CC12" s="227">
        <v>2</v>
      </c>
      <c r="CD12" s="227">
        <v>2</v>
      </c>
      <c r="CE12" s="227">
        <v>2</v>
      </c>
      <c r="CF12" s="227">
        <v>2</v>
      </c>
      <c r="CG12" s="227">
        <v>2</v>
      </c>
      <c r="CH12" s="227">
        <v>2</v>
      </c>
      <c r="CI12" s="227">
        <v>2</v>
      </c>
      <c r="CJ12" s="227">
        <v>2</v>
      </c>
      <c r="CK12" s="227">
        <v>2</v>
      </c>
      <c r="CL12" s="227">
        <v>2</v>
      </c>
      <c r="CM12" s="227">
        <v>2</v>
      </c>
      <c r="CN12" s="227">
        <v>2</v>
      </c>
      <c r="CO12" s="227">
        <v>2</v>
      </c>
      <c r="CP12" s="227">
        <v>2</v>
      </c>
      <c r="CQ12" s="227">
        <v>2</v>
      </c>
      <c r="CR12" s="227">
        <v>2</v>
      </c>
      <c r="CS12" s="227">
        <v>2</v>
      </c>
      <c r="CT12" s="227">
        <v>2</v>
      </c>
      <c r="CU12" s="227">
        <v>2</v>
      </c>
      <c r="CV12" s="227">
        <v>2</v>
      </c>
      <c r="CW12" s="227">
        <v>2</v>
      </c>
      <c r="CX12" s="227">
        <v>2</v>
      </c>
      <c r="CY12" s="227">
        <v>2</v>
      </c>
      <c r="CZ12" s="227">
        <v>2</v>
      </c>
      <c r="DA12" s="227">
        <v>2</v>
      </c>
      <c r="DB12" s="227">
        <v>2</v>
      </c>
      <c r="DC12" s="227">
        <v>2</v>
      </c>
      <c r="DD12" s="227">
        <v>2</v>
      </c>
      <c r="DE12" s="227">
        <v>2</v>
      </c>
      <c r="DF12" s="227">
        <v>2</v>
      </c>
      <c r="DG12" s="282">
        <f t="shared" si="7"/>
        <v>0</v>
      </c>
      <c r="DH12" s="282">
        <f t="shared" si="7"/>
        <v>0</v>
      </c>
      <c r="DI12" s="282">
        <f t="shared" si="7"/>
        <v>0</v>
      </c>
      <c r="DJ12" s="282">
        <f t="shared" si="7"/>
        <v>0</v>
      </c>
      <c r="DK12" s="282">
        <f t="shared" si="7"/>
        <v>0</v>
      </c>
      <c r="DL12" s="282">
        <f t="shared" si="7"/>
        <v>0</v>
      </c>
      <c r="DM12" s="282">
        <f t="shared" si="7"/>
        <v>0</v>
      </c>
      <c r="DN12" s="282">
        <f t="shared" si="7"/>
        <v>0</v>
      </c>
      <c r="DO12" s="282">
        <f t="shared" si="7"/>
        <v>0</v>
      </c>
      <c r="DP12" s="282">
        <f t="shared" si="7"/>
        <v>0</v>
      </c>
      <c r="DQ12" s="282">
        <f t="shared" si="7"/>
        <v>0</v>
      </c>
      <c r="DR12" s="282">
        <f t="shared" si="7"/>
        <v>0</v>
      </c>
      <c r="DS12" s="282">
        <f t="shared" si="7"/>
        <v>0</v>
      </c>
      <c r="DT12" s="282">
        <f t="shared" si="7"/>
        <v>0</v>
      </c>
      <c r="DU12" s="282">
        <f t="shared" si="7"/>
        <v>0</v>
      </c>
      <c r="DV12" s="282">
        <f t="shared" si="7"/>
        <v>0</v>
      </c>
      <c r="DW12" s="282">
        <f t="shared" si="8"/>
        <v>0</v>
      </c>
      <c r="DX12" s="282">
        <f t="shared" si="8"/>
        <v>0</v>
      </c>
      <c r="DY12" s="282">
        <f t="shared" si="8"/>
        <v>0</v>
      </c>
      <c r="DZ12" s="282">
        <f t="shared" si="8"/>
        <v>0</v>
      </c>
      <c r="EA12" s="282">
        <f t="shared" si="8"/>
        <v>0</v>
      </c>
      <c r="EB12" s="282">
        <f t="shared" si="8"/>
        <v>0</v>
      </c>
      <c r="EC12" s="282">
        <f t="shared" si="8"/>
        <v>0</v>
      </c>
      <c r="ED12" s="282">
        <f t="shared" si="8"/>
        <v>0</v>
      </c>
      <c r="EE12" s="282">
        <f t="shared" si="8"/>
        <v>0</v>
      </c>
      <c r="EF12" s="282">
        <f t="shared" si="8"/>
        <v>2</v>
      </c>
      <c r="EG12" s="282">
        <f t="shared" si="8"/>
        <v>4</v>
      </c>
      <c r="EH12" s="282">
        <f t="shared" si="8"/>
        <v>6</v>
      </c>
      <c r="EI12" s="282">
        <f t="shared" si="8"/>
        <v>8</v>
      </c>
      <c r="EJ12" s="282">
        <f t="shared" si="9"/>
        <v>12</v>
      </c>
      <c r="EK12" s="282">
        <f t="shared" si="9"/>
        <v>14</v>
      </c>
      <c r="EL12" s="282">
        <f t="shared" si="9"/>
        <v>16</v>
      </c>
      <c r="EM12" s="282">
        <f t="shared" si="9"/>
        <v>18</v>
      </c>
      <c r="EN12" s="282">
        <f t="shared" si="9"/>
        <v>20</v>
      </c>
      <c r="EO12" s="282">
        <f t="shared" si="9"/>
        <v>22</v>
      </c>
      <c r="EP12" s="282">
        <f t="shared" si="9"/>
        <v>24</v>
      </c>
      <c r="EQ12" s="282">
        <f t="shared" si="9"/>
        <v>26</v>
      </c>
      <c r="ER12" s="282">
        <f t="shared" si="9"/>
        <v>26</v>
      </c>
      <c r="ES12" s="282">
        <f t="shared" si="9"/>
        <v>26</v>
      </c>
      <c r="ET12" s="282">
        <f t="shared" si="9"/>
        <v>26</v>
      </c>
      <c r="EU12" s="282">
        <f t="shared" si="9"/>
        <v>26</v>
      </c>
      <c r="EV12" s="282">
        <f t="shared" si="9"/>
        <v>26</v>
      </c>
      <c r="EW12" s="282">
        <f t="shared" si="9"/>
        <v>26</v>
      </c>
      <c r="EX12" s="282">
        <f t="shared" si="9"/>
        <v>26</v>
      </c>
      <c r="EY12" s="282">
        <f t="shared" si="9"/>
        <v>26</v>
      </c>
      <c r="EZ12" s="282">
        <f t="shared" si="10"/>
        <v>26</v>
      </c>
      <c r="FA12" s="282">
        <f t="shared" si="10"/>
        <v>26</v>
      </c>
      <c r="FB12" s="282">
        <f t="shared" si="10"/>
        <v>26</v>
      </c>
      <c r="FC12" s="282">
        <f t="shared" si="10"/>
        <v>26</v>
      </c>
      <c r="FD12" s="282">
        <f t="shared" si="10"/>
        <v>26</v>
      </c>
      <c r="FE12" s="282">
        <f t="shared" si="10"/>
        <v>26</v>
      </c>
      <c r="FF12" s="282">
        <f t="shared" si="10"/>
        <v>26</v>
      </c>
      <c r="FG12" s="282">
        <f t="shared" si="10"/>
        <v>26</v>
      </c>
      <c r="FH12" s="282">
        <f t="shared" si="10"/>
        <v>26</v>
      </c>
      <c r="FI12" s="282">
        <f t="shared" si="10"/>
        <v>26</v>
      </c>
      <c r="FJ12" s="282">
        <f t="shared" si="10"/>
        <v>26</v>
      </c>
      <c r="FK12" s="282">
        <f t="shared" si="10"/>
        <v>26</v>
      </c>
      <c r="FL12" s="282">
        <f t="shared" si="10"/>
        <v>26</v>
      </c>
      <c r="FM12" s="282">
        <f t="shared" si="10"/>
        <v>26</v>
      </c>
      <c r="FN12" s="282">
        <f t="shared" si="10"/>
        <v>26</v>
      </c>
      <c r="FO12" s="282">
        <f t="shared" si="10"/>
        <v>26</v>
      </c>
      <c r="FP12" s="282">
        <f t="shared" si="11"/>
        <v>26</v>
      </c>
      <c r="FQ12" s="282">
        <f t="shared" si="11"/>
        <v>26</v>
      </c>
      <c r="FR12" s="282">
        <f t="shared" si="11"/>
        <v>26</v>
      </c>
      <c r="FS12" s="282">
        <f t="shared" si="11"/>
        <v>26</v>
      </c>
      <c r="FT12" s="282">
        <f t="shared" si="11"/>
        <v>26</v>
      </c>
      <c r="FU12" s="282">
        <f t="shared" si="11"/>
        <v>26</v>
      </c>
      <c r="FV12" s="282">
        <f t="shared" si="11"/>
        <v>26</v>
      </c>
      <c r="FW12" s="282">
        <f t="shared" si="11"/>
        <v>26</v>
      </c>
      <c r="FX12" s="282">
        <f t="shared" si="11"/>
        <v>26</v>
      </c>
      <c r="FY12" s="282">
        <f t="shared" si="11"/>
        <v>26</v>
      </c>
      <c r="FZ12" s="282">
        <f t="shared" si="11"/>
        <v>26</v>
      </c>
      <c r="GA12" s="282">
        <f t="shared" si="11"/>
        <v>26</v>
      </c>
      <c r="GB12" s="282">
        <f t="shared" si="11"/>
        <v>26</v>
      </c>
      <c r="GC12" s="282">
        <f t="shared" si="11"/>
        <v>26</v>
      </c>
      <c r="GD12" s="282">
        <f t="shared" si="11"/>
        <v>26</v>
      </c>
      <c r="GE12" s="282">
        <f t="shared" si="11"/>
        <v>26</v>
      </c>
      <c r="GF12" s="282">
        <f t="shared" si="12"/>
        <v>26</v>
      </c>
      <c r="GG12" s="282">
        <f t="shared" si="12"/>
        <v>26</v>
      </c>
      <c r="GH12" s="282">
        <f t="shared" si="12"/>
        <v>26</v>
      </c>
      <c r="GI12" s="282">
        <f t="shared" si="12"/>
        <v>26</v>
      </c>
      <c r="GJ12" s="282">
        <f t="shared" si="12"/>
        <v>26</v>
      </c>
      <c r="GK12" s="282">
        <f t="shared" si="12"/>
        <v>26</v>
      </c>
      <c r="GL12" s="282">
        <f t="shared" si="12"/>
        <v>26</v>
      </c>
      <c r="GM12" s="282">
        <f t="shared" si="12"/>
        <v>26</v>
      </c>
      <c r="GN12" s="282">
        <f t="shared" si="12"/>
        <v>26</v>
      </c>
      <c r="GO12" s="282">
        <f t="shared" si="12"/>
        <v>26</v>
      </c>
      <c r="GP12" s="282">
        <f t="shared" si="12"/>
        <v>26</v>
      </c>
      <c r="GQ12" s="282">
        <f t="shared" si="12"/>
        <v>26</v>
      </c>
      <c r="GR12" s="282">
        <f t="shared" si="12"/>
        <v>26</v>
      </c>
      <c r="GS12" s="282">
        <f t="shared" si="12"/>
        <v>24</v>
      </c>
      <c r="GT12" s="283">
        <f t="shared" si="13"/>
        <v>78</v>
      </c>
    </row>
    <row r="13" spans="1:202" s="182" customFormat="1">
      <c r="A13" s="222" t="s">
        <v>639</v>
      </c>
      <c r="B13" s="224">
        <v>330</v>
      </c>
      <c r="C13" s="224" t="s">
        <v>634</v>
      </c>
      <c r="D13" s="224"/>
      <c r="E13" s="225"/>
      <c r="F13" s="225"/>
      <c r="G13" s="225"/>
      <c r="H13" s="225">
        <v>60</v>
      </c>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v>1</v>
      </c>
      <c r="AT13" s="227">
        <v>1</v>
      </c>
      <c r="AU13" s="227">
        <v>1</v>
      </c>
      <c r="AV13" s="227">
        <v>1</v>
      </c>
      <c r="AW13" s="227">
        <v>1</v>
      </c>
      <c r="AX13" s="227">
        <v>1</v>
      </c>
      <c r="AY13" s="227">
        <v>1</v>
      </c>
      <c r="AZ13" s="227">
        <v>1</v>
      </c>
      <c r="BA13" s="227">
        <v>1</v>
      </c>
      <c r="BB13" s="227">
        <v>1</v>
      </c>
      <c r="BC13" s="227">
        <v>1</v>
      </c>
      <c r="BD13" s="227">
        <v>1</v>
      </c>
      <c r="BE13" s="227">
        <v>1</v>
      </c>
      <c r="BF13" s="227">
        <v>1</v>
      </c>
      <c r="BG13" s="227">
        <v>1</v>
      </c>
      <c r="BH13" s="227">
        <v>1</v>
      </c>
      <c r="BI13" s="227">
        <v>1</v>
      </c>
      <c r="BJ13" s="227">
        <v>1</v>
      </c>
      <c r="BK13" s="227">
        <v>1</v>
      </c>
      <c r="BL13" s="227">
        <v>1</v>
      </c>
      <c r="BM13" s="227">
        <v>1</v>
      </c>
      <c r="BN13" s="227">
        <v>1</v>
      </c>
      <c r="BO13" s="227">
        <v>1</v>
      </c>
      <c r="BP13" s="227">
        <v>1</v>
      </c>
      <c r="BQ13" s="227">
        <v>1</v>
      </c>
      <c r="BR13" s="227">
        <v>1</v>
      </c>
      <c r="BS13" s="227">
        <v>1</v>
      </c>
      <c r="BT13" s="227">
        <v>1</v>
      </c>
      <c r="BU13" s="227">
        <v>1</v>
      </c>
      <c r="BV13" s="227">
        <v>1</v>
      </c>
      <c r="BW13" s="227">
        <v>1</v>
      </c>
      <c r="BX13" s="227">
        <v>1</v>
      </c>
      <c r="BY13" s="227">
        <v>1</v>
      </c>
      <c r="BZ13" s="227">
        <v>1</v>
      </c>
      <c r="CA13" s="227">
        <v>1</v>
      </c>
      <c r="CB13" s="227">
        <v>1</v>
      </c>
      <c r="CC13" s="227">
        <v>1</v>
      </c>
      <c r="CD13" s="227">
        <v>1</v>
      </c>
      <c r="CE13" s="227">
        <v>1</v>
      </c>
      <c r="CF13" s="227">
        <v>1</v>
      </c>
      <c r="CG13" s="227">
        <v>1</v>
      </c>
      <c r="CH13" s="227">
        <v>1</v>
      </c>
      <c r="CI13" s="227">
        <v>1</v>
      </c>
      <c r="CJ13" s="227">
        <v>1</v>
      </c>
      <c r="CK13" s="227">
        <v>1</v>
      </c>
      <c r="CL13" s="227">
        <v>1</v>
      </c>
      <c r="CM13" s="227">
        <v>1</v>
      </c>
      <c r="CN13" s="227">
        <v>1</v>
      </c>
      <c r="CO13" s="227">
        <v>1</v>
      </c>
      <c r="CP13" s="227">
        <v>1</v>
      </c>
      <c r="CQ13" s="227">
        <v>1</v>
      </c>
      <c r="CR13" s="227">
        <v>1</v>
      </c>
      <c r="CS13" s="227">
        <v>1</v>
      </c>
      <c r="CT13" s="227">
        <v>1</v>
      </c>
      <c r="CU13" s="227">
        <v>1</v>
      </c>
      <c r="CV13" s="227">
        <v>1</v>
      </c>
      <c r="CW13" s="227">
        <v>1</v>
      </c>
      <c r="CX13" s="227">
        <v>1</v>
      </c>
      <c r="CY13" s="227">
        <v>1</v>
      </c>
      <c r="CZ13" s="227">
        <v>1</v>
      </c>
      <c r="DA13" s="227">
        <v>1</v>
      </c>
      <c r="DB13" s="227">
        <v>1</v>
      </c>
      <c r="DC13" s="227">
        <v>1</v>
      </c>
      <c r="DD13" s="227">
        <v>1</v>
      </c>
      <c r="DE13" s="227">
        <v>1</v>
      </c>
      <c r="DF13" s="227">
        <v>1</v>
      </c>
      <c r="DG13" s="282">
        <f t="shared" si="7"/>
        <v>0</v>
      </c>
      <c r="DH13" s="282">
        <f t="shared" si="7"/>
        <v>0</v>
      </c>
      <c r="DI13" s="282">
        <f t="shared" si="7"/>
        <v>0</v>
      </c>
      <c r="DJ13" s="282">
        <f t="shared" si="7"/>
        <v>0</v>
      </c>
      <c r="DK13" s="282">
        <f t="shared" si="7"/>
        <v>0</v>
      </c>
      <c r="DL13" s="282">
        <f t="shared" si="7"/>
        <v>0</v>
      </c>
      <c r="DM13" s="282">
        <f t="shared" si="7"/>
        <v>0</v>
      </c>
      <c r="DN13" s="282">
        <f t="shared" si="7"/>
        <v>0</v>
      </c>
      <c r="DO13" s="282">
        <f t="shared" si="7"/>
        <v>0</v>
      </c>
      <c r="DP13" s="282">
        <f t="shared" si="7"/>
        <v>0</v>
      </c>
      <c r="DQ13" s="282">
        <f t="shared" si="7"/>
        <v>0</v>
      </c>
      <c r="DR13" s="282">
        <f t="shared" si="7"/>
        <v>0</v>
      </c>
      <c r="DS13" s="282">
        <f t="shared" si="7"/>
        <v>0</v>
      </c>
      <c r="DT13" s="282">
        <f t="shared" si="7"/>
        <v>0</v>
      </c>
      <c r="DU13" s="282">
        <f t="shared" si="7"/>
        <v>0</v>
      </c>
      <c r="DV13" s="282">
        <f t="shared" si="7"/>
        <v>0</v>
      </c>
      <c r="DW13" s="282">
        <f t="shared" si="8"/>
        <v>0</v>
      </c>
      <c r="DX13" s="282">
        <f t="shared" si="8"/>
        <v>0</v>
      </c>
      <c r="DY13" s="282">
        <f t="shared" si="8"/>
        <v>0</v>
      </c>
      <c r="DZ13" s="282">
        <f t="shared" si="8"/>
        <v>0</v>
      </c>
      <c r="EA13" s="282">
        <f t="shared" si="8"/>
        <v>0</v>
      </c>
      <c r="EB13" s="282">
        <f t="shared" si="8"/>
        <v>0</v>
      </c>
      <c r="EC13" s="282">
        <f t="shared" si="8"/>
        <v>0</v>
      </c>
      <c r="ED13" s="282">
        <f t="shared" si="8"/>
        <v>0</v>
      </c>
      <c r="EE13" s="282">
        <f t="shared" si="8"/>
        <v>0</v>
      </c>
      <c r="EF13" s="282">
        <f t="shared" si="8"/>
        <v>1</v>
      </c>
      <c r="EG13" s="282">
        <f t="shared" si="8"/>
        <v>2</v>
      </c>
      <c r="EH13" s="282">
        <f t="shared" si="8"/>
        <v>3</v>
      </c>
      <c r="EI13" s="282">
        <f t="shared" si="8"/>
        <v>4</v>
      </c>
      <c r="EJ13" s="282">
        <f t="shared" si="9"/>
        <v>6</v>
      </c>
      <c r="EK13" s="282">
        <f t="shared" si="9"/>
        <v>7</v>
      </c>
      <c r="EL13" s="282">
        <f t="shared" si="9"/>
        <v>8</v>
      </c>
      <c r="EM13" s="282">
        <f t="shared" si="9"/>
        <v>9</v>
      </c>
      <c r="EN13" s="282">
        <f t="shared" si="9"/>
        <v>10</v>
      </c>
      <c r="EO13" s="282">
        <f t="shared" si="9"/>
        <v>11</v>
      </c>
      <c r="EP13" s="282">
        <f t="shared" si="9"/>
        <v>12</v>
      </c>
      <c r="EQ13" s="282">
        <f t="shared" si="9"/>
        <v>13</v>
      </c>
      <c r="ER13" s="282">
        <f t="shared" si="9"/>
        <v>13</v>
      </c>
      <c r="ES13" s="282">
        <f t="shared" si="9"/>
        <v>13</v>
      </c>
      <c r="ET13" s="282">
        <f t="shared" si="9"/>
        <v>13</v>
      </c>
      <c r="EU13" s="282">
        <f t="shared" si="9"/>
        <v>13</v>
      </c>
      <c r="EV13" s="282">
        <f t="shared" si="9"/>
        <v>13</v>
      </c>
      <c r="EW13" s="282">
        <f t="shared" si="9"/>
        <v>13</v>
      </c>
      <c r="EX13" s="282">
        <f t="shared" si="9"/>
        <v>13</v>
      </c>
      <c r="EY13" s="282">
        <f t="shared" si="9"/>
        <v>13</v>
      </c>
      <c r="EZ13" s="282">
        <f t="shared" si="10"/>
        <v>13</v>
      </c>
      <c r="FA13" s="282">
        <f t="shared" si="10"/>
        <v>13</v>
      </c>
      <c r="FB13" s="282">
        <f t="shared" si="10"/>
        <v>13</v>
      </c>
      <c r="FC13" s="282">
        <f t="shared" si="10"/>
        <v>13</v>
      </c>
      <c r="FD13" s="282">
        <f t="shared" si="10"/>
        <v>13</v>
      </c>
      <c r="FE13" s="282">
        <f t="shared" si="10"/>
        <v>13</v>
      </c>
      <c r="FF13" s="282">
        <f t="shared" si="10"/>
        <v>13</v>
      </c>
      <c r="FG13" s="282">
        <f t="shared" si="10"/>
        <v>13</v>
      </c>
      <c r="FH13" s="282">
        <f t="shared" si="10"/>
        <v>13</v>
      </c>
      <c r="FI13" s="282">
        <f t="shared" si="10"/>
        <v>13</v>
      </c>
      <c r="FJ13" s="282">
        <f t="shared" si="10"/>
        <v>13</v>
      </c>
      <c r="FK13" s="282">
        <f t="shared" si="10"/>
        <v>13</v>
      </c>
      <c r="FL13" s="282">
        <f t="shared" si="10"/>
        <v>13</v>
      </c>
      <c r="FM13" s="282">
        <f t="shared" si="10"/>
        <v>13</v>
      </c>
      <c r="FN13" s="282">
        <f t="shared" si="10"/>
        <v>13</v>
      </c>
      <c r="FO13" s="282">
        <f t="shared" si="10"/>
        <v>13</v>
      </c>
      <c r="FP13" s="282">
        <f t="shared" si="11"/>
        <v>13</v>
      </c>
      <c r="FQ13" s="282">
        <f t="shared" si="11"/>
        <v>13</v>
      </c>
      <c r="FR13" s="282">
        <f t="shared" si="11"/>
        <v>13</v>
      </c>
      <c r="FS13" s="282">
        <f t="shared" si="11"/>
        <v>13</v>
      </c>
      <c r="FT13" s="282">
        <f t="shared" si="11"/>
        <v>13</v>
      </c>
      <c r="FU13" s="282">
        <f t="shared" si="11"/>
        <v>13</v>
      </c>
      <c r="FV13" s="282">
        <f t="shared" si="11"/>
        <v>13</v>
      </c>
      <c r="FW13" s="282">
        <f t="shared" si="11"/>
        <v>13</v>
      </c>
      <c r="FX13" s="282">
        <f t="shared" si="11"/>
        <v>13</v>
      </c>
      <c r="FY13" s="282">
        <f t="shared" si="11"/>
        <v>13</v>
      </c>
      <c r="FZ13" s="282">
        <f t="shared" si="11"/>
        <v>13</v>
      </c>
      <c r="GA13" s="282">
        <f t="shared" si="11"/>
        <v>13</v>
      </c>
      <c r="GB13" s="282">
        <f t="shared" si="11"/>
        <v>13</v>
      </c>
      <c r="GC13" s="282">
        <f t="shared" si="11"/>
        <v>13</v>
      </c>
      <c r="GD13" s="282">
        <f t="shared" si="11"/>
        <v>13</v>
      </c>
      <c r="GE13" s="282">
        <f t="shared" si="11"/>
        <v>13</v>
      </c>
      <c r="GF13" s="282">
        <f t="shared" si="12"/>
        <v>13</v>
      </c>
      <c r="GG13" s="282">
        <f t="shared" si="12"/>
        <v>13</v>
      </c>
      <c r="GH13" s="282">
        <f t="shared" si="12"/>
        <v>13</v>
      </c>
      <c r="GI13" s="282">
        <f t="shared" si="12"/>
        <v>13</v>
      </c>
      <c r="GJ13" s="282">
        <f t="shared" si="12"/>
        <v>13</v>
      </c>
      <c r="GK13" s="282">
        <f t="shared" si="12"/>
        <v>13</v>
      </c>
      <c r="GL13" s="282">
        <f t="shared" si="12"/>
        <v>13</v>
      </c>
      <c r="GM13" s="282">
        <f t="shared" si="12"/>
        <v>13</v>
      </c>
      <c r="GN13" s="282">
        <f t="shared" si="12"/>
        <v>13</v>
      </c>
      <c r="GO13" s="282">
        <f t="shared" si="12"/>
        <v>13</v>
      </c>
      <c r="GP13" s="282">
        <f t="shared" si="12"/>
        <v>13</v>
      </c>
      <c r="GQ13" s="282">
        <f t="shared" si="12"/>
        <v>13</v>
      </c>
      <c r="GR13" s="282">
        <f t="shared" si="12"/>
        <v>13</v>
      </c>
      <c r="GS13" s="282">
        <f t="shared" si="12"/>
        <v>12</v>
      </c>
      <c r="GT13" s="283">
        <f t="shared" si="13"/>
        <v>39</v>
      </c>
    </row>
    <row r="14" spans="1:202" s="182" customFormat="1">
      <c r="A14" s="222" t="s">
        <v>640</v>
      </c>
      <c r="B14" s="224">
        <v>275</v>
      </c>
      <c r="C14" s="224" t="s">
        <v>634</v>
      </c>
      <c r="D14" s="224"/>
      <c r="E14" s="225"/>
      <c r="F14" s="225"/>
      <c r="G14" s="225"/>
      <c r="H14" s="225">
        <v>60</v>
      </c>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v>1</v>
      </c>
      <c r="AT14" s="227">
        <v>1</v>
      </c>
      <c r="AU14" s="227">
        <v>1</v>
      </c>
      <c r="AV14" s="227">
        <v>1</v>
      </c>
      <c r="AW14" s="227">
        <v>1</v>
      </c>
      <c r="AX14" s="227">
        <v>1</v>
      </c>
      <c r="AY14" s="227">
        <v>1</v>
      </c>
      <c r="AZ14" s="227">
        <v>1</v>
      </c>
      <c r="BA14" s="227">
        <v>1</v>
      </c>
      <c r="BB14" s="227">
        <v>1</v>
      </c>
      <c r="BC14" s="227">
        <v>1</v>
      </c>
      <c r="BD14" s="227">
        <v>1</v>
      </c>
      <c r="BE14" s="227">
        <v>1</v>
      </c>
      <c r="BF14" s="227">
        <v>1</v>
      </c>
      <c r="BG14" s="227">
        <v>1</v>
      </c>
      <c r="BH14" s="227">
        <v>1</v>
      </c>
      <c r="BI14" s="227">
        <v>1</v>
      </c>
      <c r="BJ14" s="227">
        <v>1</v>
      </c>
      <c r="BK14" s="227">
        <v>1</v>
      </c>
      <c r="BL14" s="227">
        <v>1</v>
      </c>
      <c r="BM14" s="227">
        <v>1</v>
      </c>
      <c r="BN14" s="227">
        <v>1</v>
      </c>
      <c r="BO14" s="227">
        <v>1</v>
      </c>
      <c r="BP14" s="227">
        <v>1</v>
      </c>
      <c r="BQ14" s="227">
        <v>1</v>
      </c>
      <c r="BR14" s="227">
        <v>1</v>
      </c>
      <c r="BS14" s="227">
        <v>1</v>
      </c>
      <c r="BT14" s="227">
        <v>1</v>
      </c>
      <c r="BU14" s="227">
        <v>1</v>
      </c>
      <c r="BV14" s="227">
        <v>1</v>
      </c>
      <c r="BW14" s="227">
        <v>1</v>
      </c>
      <c r="BX14" s="227">
        <v>1</v>
      </c>
      <c r="BY14" s="227">
        <v>1</v>
      </c>
      <c r="BZ14" s="227">
        <v>1</v>
      </c>
      <c r="CA14" s="227">
        <v>1</v>
      </c>
      <c r="CB14" s="227">
        <v>1</v>
      </c>
      <c r="CC14" s="227">
        <v>1</v>
      </c>
      <c r="CD14" s="227">
        <v>1</v>
      </c>
      <c r="CE14" s="227">
        <v>1</v>
      </c>
      <c r="CF14" s="227">
        <v>1</v>
      </c>
      <c r="CG14" s="227">
        <v>1</v>
      </c>
      <c r="CH14" s="227">
        <v>1</v>
      </c>
      <c r="CI14" s="227">
        <v>1</v>
      </c>
      <c r="CJ14" s="227">
        <v>1</v>
      </c>
      <c r="CK14" s="227">
        <v>1</v>
      </c>
      <c r="CL14" s="227">
        <v>1</v>
      </c>
      <c r="CM14" s="227">
        <v>1</v>
      </c>
      <c r="CN14" s="227">
        <v>1</v>
      </c>
      <c r="CO14" s="227">
        <v>1</v>
      </c>
      <c r="CP14" s="227">
        <v>1</v>
      </c>
      <c r="CQ14" s="227">
        <v>1</v>
      </c>
      <c r="CR14" s="227">
        <v>1</v>
      </c>
      <c r="CS14" s="227">
        <v>1</v>
      </c>
      <c r="CT14" s="227">
        <v>1</v>
      </c>
      <c r="CU14" s="227">
        <v>1</v>
      </c>
      <c r="CV14" s="227">
        <v>1</v>
      </c>
      <c r="CW14" s="227">
        <v>1</v>
      </c>
      <c r="CX14" s="227">
        <v>1</v>
      </c>
      <c r="CY14" s="227">
        <v>1</v>
      </c>
      <c r="CZ14" s="227">
        <v>1</v>
      </c>
      <c r="DA14" s="227">
        <v>1</v>
      </c>
      <c r="DB14" s="227">
        <v>1</v>
      </c>
      <c r="DC14" s="227">
        <v>1</v>
      </c>
      <c r="DD14" s="227">
        <v>1</v>
      </c>
      <c r="DE14" s="227">
        <v>1</v>
      </c>
      <c r="DF14" s="227">
        <v>1</v>
      </c>
      <c r="DG14" s="282">
        <f t="shared" si="7"/>
        <v>0</v>
      </c>
      <c r="DH14" s="282">
        <f t="shared" si="7"/>
        <v>0</v>
      </c>
      <c r="DI14" s="282">
        <f t="shared" si="7"/>
        <v>0</v>
      </c>
      <c r="DJ14" s="282">
        <f t="shared" si="7"/>
        <v>0</v>
      </c>
      <c r="DK14" s="282">
        <f t="shared" si="7"/>
        <v>0</v>
      </c>
      <c r="DL14" s="282">
        <f t="shared" si="7"/>
        <v>0</v>
      </c>
      <c r="DM14" s="282">
        <f t="shared" si="7"/>
        <v>0</v>
      </c>
      <c r="DN14" s="282">
        <f t="shared" si="7"/>
        <v>0</v>
      </c>
      <c r="DO14" s="282">
        <f t="shared" si="7"/>
        <v>0</v>
      </c>
      <c r="DP14" s="282">
        <f t="shared" si="7"/>
        <v>0</v>
      </c>
      <c r="DQ14" s="282">
        <f t="shared" si="7"/>
        <v>0</v>
      </c>
      <c r="DR14" s="282">
        <f t="shared" si="7"/>
        <v>0</v>
      </c>
      <c r="DS14" s="282">
        <f t="shared" si="7"/>
        <v>0</v>
      </c>
      <c r="DT14" s="282">
        <f t="shared" si="7"/>
        <v>0</v>
      </c>
      <c r="DU14" s="282">
        <f t="shared" si="7"/>
        <v>0</v>
      </c>
      <c r="DV14" s="282">
        <f t="shared" si="7"/>
        <v>0</v>
      </c>
      <c r="DW14" s="282">
        <f t="shared" si="8"/>
        <v>0</v>
      </c>
      <c r="DX14" s="282">
        <f t="shared" si="8"/>
        <v>0</v>
      </c>
      <c r="DY14" s="282">
        <f t="shared" si="8"/>
        <v>0</v>
      </c>
      <c r="DZ14" s="282">
        <f t="shared" si="8"/>
        <v>0</v>
      </c>
      <c r="EA14" s="282">
        <f t="shared" si="8"/>
        <v>0</v>
      </c>
      <c r="EB14" s="282">
        <f t="shared" si="8"/>
        <v>0</v>
      </c>
      <c r="EC14" s="282">
        <f t="shared" si="8"/>
        <v>0</v>
      </c>
      <c r="ED14" s="282">
        <f t="shared" si="8"/>
        <v>0</v>
      </c>
      <c r="EE14" s="282">
        <f t="shared" si="8"/>
        <v>0</v>
      </c>
      <c r="EF14" s="282">
        <f t="shared" si="8"/>
        <v>1</v>
      </c>
      <c r="EG14" s="282">
        <f t="shared" si="8"/>
        <v>2</v>
      </c>
      <c r="EH14" s="282">
        <f t="shared" si="8"/>
        <v>3</v>
      </c>
      <c r="EI14" s="282">
        <f t="shared" si="8"/>
        <v>4</v>
      </c>
      <c r="EJ14" s="282">
        <f t="shared" si="9"/>
        <v>6</v>
      </c>
      <c r="EK14" s="282">
        <f t="shared" si="9"/>
        <v>7</v>
      </c>
      <c r="EL14" s="282">
        <f t="shared" si="9"/>
        <v>8</v>
      </c>
      <c r="EM14" s="282">
        <f t="shared" si="9"/>
        <v>9</v>
      </c>
      <c r="EN14" s="282">
        <f t="shared" si="9"/>
        <v>10</v>
      </c>
      <c r="EO14" s="282">
        <f t="shared" si="9"/>
        <v>11</v>
      </c>
      <c r="EP14" s="282">
        <f t="shared" si="9"/>
        <v>12</v>
      </c>
      <c r="EQ14" s="282">
        <f t="shared" si="9"/>
        <v>13</v>
      </c>
      <c r="ER14" s="282">
        <f t="shared" si="9"/>
        <v>13</v>
      </c>
      <c r="ES14" s="282">
        <f t="shared" si="9"/>
        <v>13</v>
      </c>
      <c r="ET14" s="282">
        <f t="shared" si="9"/>
        <v>13</v>
      </c>
      <c r="EU14" s="282">
        <f t="shared" si="9"/>
        <v>13</v>
      </c>
      <c r="EV14" s="282">
        <f t="shared" si="9"/>
        <v>13</v>
      </c>
      <c r="EW14" s="282">
        <f t="shared" si="9"/>
        <v>13</v>
      </c>
      <c r="EX14" s="282">
        <f t="shared" si="9"/>
        <v>13</v>
      </c>
      <c r="EY14" s="282">
        <f t="shared" si="9"/>
        <v>13</v>
      </c>
      <c r="EZ14" s="282">
        <f t="shared" si="10"/>
        <v>13</v>
      </c>
      <c r="FA14" s="282">
        <f t="shared" si="10"/>
        <v>13</v>
      </c>
      <c r="FB14" s="282">
        <f t="shared" si="10"/>
        <v>13</v>
      </c>
      <c r="FC14" s="282">
        <f t="shared" si="10"/>
        <v>13</v>
      </c>
      <c r="FD14" s="282">
        <f t="shared" si="10"/>
        <v>13</v>
      </c>
      <c r="FE14" s="282">
        <f t="shared" si="10"/>
        <v>13</v>
      </c>
      <c r="FF14" s="282">
        <f t="shared" si="10"/>
        <v>13</v>
      </c>
      <c r="FG14" s="282">
        <f t="shared" si="10"/>
        <v>13</v>
      </c>
      <c r="FH14" s="282">
        <f t="shared" si="10"/>
        <v>13</v>
      </c>
      <c r="FI14" s="282">
        <f t="shared" si="10"/>
        <v>13</v>
      </c>
      <c r="FJ14" s="282">
        <f t="shared" si="10"/>
        <v>13</v>
      </c>
      <c r="FK14" s="282">
        <f t="shared" si="10"/>
        <v>13</v>
      </c>
      <c r="FL14" s="282">
        <f t="shared" si="10"/>
        <v>13</v>
      </c>
      <c r="FM14" s="282">
        <f t="shared" si="10"/>
        <v>13</v>
      </c>
      <c r="FN14" s="282">
        <f t="shared" si="10"/>
        <v>13</v>
      </c>
      <c r="FO14" s="282">
        <f t="shared" si="10"/>
        <v>13</v>
      </c>
      <c r="FP14" s="282">
        <f t="shared" si="11"/>
        <v>13</v>
      </c>
      <c r="FQ14" s="282">
        <f t="shared" si="11"/>
        <v>13</v>
      </c>
      <c r="FR14" s="282">
        <f t="shared" si="11"/>
        <v>13</v>
      </c>
      <c r="FS14" s="282">
        <f t="shared" si="11"/>
        <v>13</v>
      </c>
      <c r="FT14" s="282">
        <f t="shared" si="11"/>
        <v>13</v>
      </c>
      <c r="FU14" s="282">
        <f t="shared" si="11"/>
        <v>13</v>
      </c>
      <c r="FV14" s="282">
        <f t="shared" si="11"/>
        <v>13</v>
      </c>
      <c r="FW14" s="282">
        <f t="shared" si="11"/>
        <v>13</v>
      </c>
      <c r="FX14" s="282">
        <f t="shared" si="11"/>
        <v>13</v>
      </c>
      <c r="FY14" s="282">
        <f t="shared" si="11"/>
        <v>13</v>
      </c>
      <c r="FZ14" s="282">
        <f t="shared" si="11"/>
        <v>13</v>
      </c>
      <c r="GA14" s="282">
        <f t="shared" si="11"/>
        <v>13</v>
      </c>
      <c r="GB14" s="282">
        <f t="shared" si="11"/>
        <v>13</v>
      </c>
      <c r="GC14" s="282">
        <f t="shared" si="11"/>
        <v>13</v>
      </c>
      <c r="GD14" s="282">
        <f t="shared" si="11"/>
        <v>13</v>
      </c>
      <c r="GE14" s="282">
        <f t="shared" si="11"/>
        <v>13</v>
      </c>
      <c r="GF14" s="282">
        <f t="shared" si="12"/>
        <v>13</v>
      </c>
      <c r="GG14" s="282">
        <f t="shared" si="12"/>
        <v>13</v>
      </c>
      <c r="GH14" s="282">
        <f t="shared" si="12"/>
        <v>13</v>
      </c>
      <c r="GI14" s="282">
        <f t="shared" si="12"/>
        <v>13</v>
      </c>
      <c r="GJ14" s="282">
        <f t="shared" si="12"/>
        <v>13</v>
      </c>
      <c r="GK14" s="282">
        <f t="shared" si="12"/>
        <v>13</v>
      </c>
      <c r="GL14" s="282">
        <f t="shared" si="12"/>
        <v>13</v>
      </c>
      <c r="GM14" s="282">
        <f t="shared" si="12"/>
        <v>13</v>
      </c>
      <c r="GN14" s="282">
        <f t="shared" si="12"/>
        <v>13</v>
      </c>
      <c r="GO14" s="282">
        <f t="shared" si="12"/>
        <v>13</v>
      </c>
      <c r="GP14" s="282">
        <f t="shared" si="12"/>
        <v>13</v>
      </c>
      <c r="GQ14" s="282">
        <f t="shared" si="12"/>
        <v>13</v>
      </c>
      <c r="GR14" s="282">
        <f t="shared" si="12"/>
        <v>13</v>
      </c>
      <c r="GS14" s="282">
        <f t="shared" si="12"/>
        <v>12</v>
      </c>
      <c r="GT14" s="283">
        <f t="shared" si="13"/>
        <v>39</v>
      </c>
    </row>
    <row r="15" spans="1:202" s="182" customFormat="1">
      <c r="A15" s="222" t="s">
        <v>641</v>
      </c>
      <c r="B15" s="224">
        <v>475</v>
      </c>
      <c r="C15" s="224" t="s">
        <v>634</v>
      </c>
      <c r="D15" s="224"/>
      <c r="E15" s="225"/>
      <c r="F15" s="225"/>
      <c r="G15" s="225"/>
      <c r="H15" s="225">
        <v>300</v>
      </c>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84"/>
      <c r="AV15" s="227"/>
      <c r="AW15" s="227">
        <v>1</v>
      </c>
      <c r="AX15" s="227">
        <v>1</v>
      </c>
      <c r="AY15" s="227">
        <v>1</v>
      </c>
      <c r="AZ15" s="227">
        <v>1</v>
      </c>
      <c r="BA15" s="227">
        <v>1</v>
      </c>
      <c r="BB15" s="227"/>
      <c r="BC15" s="227"/>
      <c r="BD15" s="227"/>
      <c r="BE15" s="227"/>
      <c r="BF15" s="227"/>
      <c r="BG15" s="227"/>
      <c r="BH15" s="227"/>
      <c r="BI15" s="227">
        <v>1</v>
      </c>
      <c r="BJ15" s="227">
        <v>1</v>
      </c>
      <c r="BK15" s="227">
        <v>1</v>
      </c>
      <c r="BL15" s="227">
        <v>1</v>
      </c>
      <c r="BM15" s="227">
        <v>1</v>
      </c>
      <c r="BN15" s="227"/>
      <c r="BO15" s="227"/>
      <c r="BP15" s="227"/>
      <c r="BQ15" s="227"/>
      <c r="BR15" s="227"/>
      <c r="BS15" s="227"/>
      <c r="BT15" s="227"/>
      <c r="BU15" s="227">
        <v>1</v>
      </c>
      <c r="BV15" s="227">
        <v>1</v>
      </c>
      <c r="BW15" s="227">
        <v>1</v>
      </c>
      <c r="BX15" s="227">
        <v>1</v>
      </c>
      <c r="BY15" s="227">
        <v>1</v>
      </c>
      <c r="BZ15" s="227"/>
      <c r="CA15" s="227"/>
      <c r="CB15" s="227"/>
      <c r="CC15" s="227"/>
      <c r="CD15" s="227"/>
      <c r="CE15" s="227"/>
      <c r="CF15" s="227"/>
      <c r="CG15" s="227">
        <v>1</v>
      </c>
      <c r="CH15" s="227">
        <v>1</v>
      </c>
      <c r="CI15" s="227">
        <v>1</v>
      </c>
      <c r="CJ15" s="227">
        <v>1</v>
      </c>
      <c r="CK15" s="227">
        <v>1</v>
      </c>
      <c r="CL15" s="227"/>
      <c r="CM15" s="227"/>
      <c r="CN15" s="227"/>
      <c r="CO15" s="227"/>
      <c r="CP15" s="227"/>
      <c r="CQ15" s="227"/>
      <c r="CR15" s="227"/>
      <c r="CS15" s="227">
        <v>1</v>
      </c>
      <c r="CT15" s="227">
        <v>1</v>
      </c>
      <c r="CU15" s="227">
        <v>1</v>
      </c>
      <c r="CV15" s="227">
        <v>1</v>
      </c>
      <c r="CW15" s="227">
        <v>1</v>
      </c>
      <c r="CX15" s="227"/>
      <c r="CY15" s="227"/>
      <c r="CZ15" s="227"/>
      <c r="DA15" s="227"/>
      <c r="DB15" s="227"/>
      <c r="DC15" s="227"/>
      <c r="DD15" s="227"/>
      <c r="DE15" s="227">
        <v>1</v>
      </c>
      <c r="DF15" s="227">
        <v>1</v>
      </c>
      <c r="DG15" s="282">
        <f t="shared" si="7"/>
        <v>0</v>
      </c>
      <c r="DH15" s="282">
        <f t="shared" si="7"/>
        <v>0</v>
      </c>
      <c r="DI15" s="282">
        <f t="shared" si="7"/>
        <v>0</v>
      </c>
      <c r="DJ15" s="282">
        <f t="shared" si="7"/>
        <v>0</v>
      </c>
      <c r="DK15" s="282">
        <f t="shared" si="7"/>
        <v>0</v>
      </c>
      <c r="DL15" s="282">
        <f t="shared" si="7"/>
        <v>0</v>
      </c>
      <c r="DM15" s="282">
        <f t="shared" si="7"/>
        <v>0</v>
      </c>
      <c r="DN15" s="282">
        <f t="shared" si="7"/>
        <v>0</v>
      </c>
      <c r="DO15" s="282">
        <f t="shared" si="7"/>
        <v>0</v>
      </c>
      <c r="DP15" s="282">
        <f t="shared" si="7"/>
        <v>0</v>
      </c>
      <c r="DQ15" s="282">
        <f t="shared" si="7"/>
        <v>0</v>
      </c>
      <c r="DR15" s="282">
        <f t="shared" si="7"/>
        <v>0</v>
      </c>
      <c r="DS15" s="282">
        <f t="shared" si="7"/>
        <v>0</v>
      </c>
      <c r="DT15" s="282">
        <f t="shared" si="7"/>
        <v>0</v>
      </c>
      <c r="DU15" s="282">
        <f t="shared" si="7"/>
        <v>0</v>
      </c>
      <c r="DV15" s="282">
        <f t="shared" si="7"/>
        <v>0</v>
      </c>
      <c r="DW15" s="282">
        <f t="shared" si="8"/>
        <v>0</v>
      </c>
      <c r="DX15" s="282">
        <f t="shared" si="8"/>
        <v>0</v>
      </c>
      <c r="DY15" s="282">
        <f t="shared" si="8"/>
        <v>0</v>
      </c>
      <c r="DZ15" s="282">
        <f t="shared" si="8"/>
        <v>0</v>
      </c>
      <c r="EA15" s="282">
        <f t="shared" si="8"/>
        <v>0</v>
      </c>
      <c r="EB15" s="282">
        <f t="shared" si="8"/>
        <v>0</v>
      </c>
      <c r="EC15" s="282">
        <f t="shared" si="8"/>
        <v>0</v>
      </c>
      <c r="ED15" s="282">
        <f t="shared" si="8"/>
        <v>0</v>
      </c>
      <c r="EE15" s="282">
        <f t="shared" si="8"/>
        <v>0</v>
      </c>
      <c r="EF15" s="282">
        <f t="shared" si="8"/>
        <v>0</v>
      </c>
      <c r="EG15" s="282">
        <f t="shared" si="8"/>
        <v>0</v>
      </c>
      <c r="EH15" s="282">
        <f t="shared" si="8"/>
        <v>0</v>
      </c>
      <c r="EI15" s="282">
        <f t="shared" si="8"/>
        <v>0</v>
      </c>
      <c r="EJ15" s="282">
        <f t="shared" si="9"/>
        <v>2</v>
      </c>
      <c r="EK15" s="282">
        <f t="shared" si="9"/>
        <v>3</v>
      </c>
      <c r="EL15" s="282">
        <f t="shared" si="9"/>
        <v>4</v>
      </c>
      <c r="EM15" s="282">
        <f t="shared" si="9"/>
        <v>5</v>
      </c>
      <c r="EN15" s="282">
        <f t="shared" si="9"/>
        <v>5</v>
      </c>
      <c r="EO15" s="282">
        <f t="shared" si="9"/>
        <v>5</v>
      </c>
      <c r="EP15" s="282">
        <f t="shared" si="9"/>
        <v>5</v>
      </c>
      <c r="EQ15" s="282">
        <f t="shared" si="9"/>
        <v>5</v>
      </c>
      <c r="ER15" s="282">
        <f t="shared" si="9"/>
        <v>5</v>
      </c>
      <c r="ES15" s="282">
        <f t="shared" si="9"/>
        <v>5</v>
      </c>
      <c r="ET15" s="282">
        <f t="shared" si="9"/>
        <v>5</v>
      </c>
      <c r="EU15" s="282">
        <f t="shared" si="9"/>
        <v>6</v>
      </c>
      <c r="EV15" s="282">
        <f t="shared" si="9"/>
        <v>6</v>
      </c>
      <c r="EW15" s="282">
        <f t="shared" si="9"/>
        <v>6</v>
      </c>
      <c r="EX15" s="282">
        <f t="shared" si="9"/>
        <v>6</v>
      </c>
      <c r="EY15" s="282">
        <f t="shared" si="9"/>
        <v>6</v>
      </c>
      <c r="EZ15" s="282">
        <f t="shared" si="10"/>
        <v>5</v>
      </c>
      <c r="FA15" s="282">
        <f t="shared" si="10"/>
        <v>5</v>
      </c>
      <c r="FB15" s="282">
        <f t="shared" si="10"/>
        <v>5</v>
      </c>
      <c r="FC15" s="282">
        <f t="shared" si="10"/>
        <v>5</v>
      </c>
      <c r="FD15" s="282">
        <f t="shared" si="10"/>
        <v>5</v>
      </c>
      <c r="FE15" s="282">
        <f t="shared" si="10"/>
        <v>5</v>
      </c>
      <c r="FF15" s="282">
        <f t="shared" si="10"/>
        <v>5</v>
      </c>
      <c r="FG15" s="282">
        <f t="shared" si="10"/>
        <v>6</v>
      </c>
      <c r="FH15" s="282">
        <f t="shared" si="10"/>
        <v>6</v>
      </c>
      <c r="FI15" s="282">
        <f t="shared" si="10"/>
        <v>6</v>
      </c>
      <c r="FJ15" s="282">
        <f t="shared" si="10"/>
        <v>6</v>
      </c>
      <c r="FK15" s="282">
        <f t="shared" si="10"/>
        <v>6</v>
      </c>
      <c r="FL15" s="282">
        <f t="shared" si="10"/>
        <v>5</v>
      </c>
      <c r="FM15" s="282">
        <f t="shared" si="10"/>
        <v>5</v>
      </c>
      <c r="FN15" s="282">
        <f t="shared" si="10"/>
        <v>5</v>
      </c>
      <c r="FO15" s="282">
        <f t="shared" si="10"/>
        <v>5</v>
      </c>
      <c r="FP15" s="282">
        <f t="shared" si="11"/>
        <v>5</v>
      </c>
      <c r="FQ15" s="282">
        <f t="shared" si="11"/>
        <v>5</v>
      </c>
      <c r="FR15" s="282">
        <f t="shared" si="11"/>
        <v>5</v>
      </c>
      <c r="FS15" s="282">
        <f t="shared" si="11"/>
        <v>6</v>
      </c>
      <c r="FT15" s="282">
        <f t="shared" si="11"/>
        <v>6</v>
      </c>
      <c r="FU15" s="282">
        <f t="shared" si="11"/>
        <v>6</v>
      </c>
      <c r="FV15" s="282">
        <f t="shared" si="11"/>
        <v>6</v>
      </c>
      <c r="FW15" s="282">
        <f t="shared" si="11"/>
        <v>6</v>
      </c>
      <c r="FX15" s="282">
        <f t="shared" si="11"/>
        <v>5</v>
      </c>
      <c r="FY15" s="282">
        <f t="shared" si="11"/>
        <v>5</v>
      </c>
      <c r="FZ15" s="282">
        <f t="shared" si="11"/>
        <v>5</v>
      </c>
      <c r="GA15" s="282">
        <f t="shared" si="11"/>
        <v>5</v>
      </c>
      <c r="GB15" s="282">
        <f t="shared" si="11"/>
        <v>5</v>
      </c>
      <c r="GC15" s="282">
        <f t="shared" si="11"/>
        <v>5</v>
      </c>
      <c r="GD15" s="282">
        <f t="shared" si="11"/>
        <v>5</v>
      </c>
      <c r="GE15" s="282">
        <f t="shared" si="11"/>
        <v>6</v>
      </c>
      <c r="GF15" s="282">
        <f t="shared" si="12"/>
        <v>6</v>
      </c>
      <c r="GG15" s="282">
        <f t="shared" si="12"/>
        <v>6</v>
      </c>
      <c r="GH15" s="282">
        <f t="shared" si="12"/>
        <v>6</v>
      </c>
      <c r="GI15" s="282">
        <f t="shared" si="12"/>
        <v>6</v>
      </c>
      <c r="GJ15" s="282">
        <f t="shared" si="12"/>
        <v>5</v>
      </c>
      <c r="GK15" s="282">
        <f t="shared" si="12"/>
        <v>5</v>
      </c>
      <c r="GL15" s="282">
        <f t="shared" si="12"/>
        <v>5</v>
      </c>
      <c r="GM15" s="282">
        <f t="shared" si="12"/>
        <v>5</v>
      </c>
      <c r="GN15" s="282">
        <f t="shared" si="12"/>
        <v>5</v>
      </c>
      <c r="GO15" s="282">
        <f t="shared" si="12"/>
        <v>5</v>
      </c>
      <c r="GP15" s="282">
        <f t="shared" si="12"/>
        <v>5</v>
      </c>
      <c r="GQ15" s="282">
        <f t="shared" si="12"/>
        <v>6</v>
      </c>
      <c r="GR15" s="282">
        <f t="shared" si="12"/>
        <v>6</v>
      </c>
      <c r="GS15" s="282">
        <f t="shared" si="12"/>
        <v>5</v>
      </c>
      <c r="GT15" s="283">
        <f t="shared" si="13"/>
        <v>15</v>
      </c>
    </row>
    <row r="16" spans="1:202" s="182" customFormat="1">
      <c r="A16" s="222" t="s">
        <v>642</v>
      </c>
      <c r="B16" s="224">
        <v>350</v>
      </c>
      <c r="C16" s="224" t="s">
        <v>634</v>
      </c>
      <c r="D16" s="224"/>
      <c r="E16" s="225"/>
      <c r="F16" s="225"/>
      <c r="G16" s="225"/>
      <c r="H16" s="225">
        <v>60</v>
      </c>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v>1</v>
      </c>
      <c r="AT16" s="227">
        <v>1</v>
      </c>
      <c r="AU16" s="227">
        <v>1</v>
      </c>
      <c r="AV16" s="227">
        <v>1</v>
      </c>
      <c r="AW16" s="227">
        <v>1</v>
      </c>
      <c r="AX16" s="227">
        <v>1</v>
      </c>
      <c r="AY16" s="227">
        <v>1</v>
      </c>
      <c r="AZ16" s="227">
        <v>1</v>
      </c>
      <c r="BA16" s="227">
        <v>1</v>
      </c>
      <c r="BB16" s="227">
        <v>1</v>
      </c>
      <c r="BC16" s="227">
        <v>1</v>
      </c>
      <c r="BD16" s="227">
        <v>1</v>
      </c>
      <c r="BE16" s="227">
        <v>1</v>
      </c>
      <c r="BF16" s="227">
        <v>1</v>
      </c>
      <c r="BG16" s="227">
        <v>1</v>
      </c>
      <c r="BH16" s="227">
        <v>1</v>
      </c>
      <c r="BI16" s="227">
        <v>1</v>
      </c>
      <c r="BJ16" s="227">
        <v>1</v>
      </c>
      <c r="BK16" s="227">
        <v>1</v>
      </c>
      <c r="BL16" s="227">
        <v>1</v>
      </c>
      <c r="BM16" s="227">
        <v>1</v>
      </c>
      <c r="BN16" s="227">
        <v>1</v>
      </c>
      <c r="BO16" s="227">
        <v>1</v>
      </c>
      <c r="BP16" s="227">
        <v>1</v>
      </c>
      <c r="BQ16" s="227">
        <v>1</v>
      </c>
      <c r="BR16" s="227">
        <v>1</v>
      </c>
      <c r="BS16" s="227">
        <v>1</v>
      </c>
      <c r="BT16" s="227">
        <v>1</v>
      </c>
      <c r="BU16" s="227">
        <v>1</v>
      </c>
      <c r="BV16" s="227">
        <v>1</v>
      </c>
      <c r="BW16" s="227">
        <v>1</v>
      </c>
      <c r="BX16" s="227">
        <v>1</v>
      </c>
      <c r="BY16" s="227">
        <v>1</v>
      </c>
      <c r="BZ16" s="227">
        <v>1</v>
      </c>
      <c r="CA16" s="227">
        <v>1</v>
      </c>
      <c r="CB16" s="227">
        <v>1</v>
      </c>
      <c r="CC16" s="227">
        <v>1</v>
      </c>
      <c r="CD16" s="227">
        <v>1</v>
      </c>
      <c r="CE16" s="227">
        <v>1</v>
      </c>
      <c r="CF16" s="227">
        <v>1</v>
      </c>
      <c r="CG16" s="227">
        <v>1</v>
      </c>
      <c r="CH16" s="227">
        <v>1</v>
      </c>
      <c r="CI16" s="227">
        <v>1</v>
      </c>
      <c r="CJ16" s="227">
        <v>1</v>
      </c>
      <c r="CK16" s="227">
        <v>1</v>
      </c>
      <c r="CL16" s="227">
        <v>1</v>
      </c>
      <c r="CM16" s="227">
        <v>1</v>
      </c>
      <c r="CN16" s="227">
        <v>1</v>
      </c>
      <c r="CO16" s="227">
        <v>1</v>
      </c>
      <c r="CP16" s="227">
        <v>1</v>
      </c>
      <c r="CQ16" s="227">
        <v>1</v>
      </c>
      <c r="CR16" s="227">
        <v>1</v>
      </c>
      <c r="CS16" s="227">
        <v>1</v>
      </c>
      <c r="CT16" s="227">
        <v>1</v>
      </c>
      <c r="CU16" s="227">
        <v>1</v>
      </c>
      <c r="CV16" s="227">
        <v>1</v>
      </c>
      <c r="CW16" s="227">
        <v>1</v>
      </c>
      <c r="CX16" s="227">
        <v>1</v>
      </c>
      <c r="CY16" s="227">
        <v>1</v>
      </c>
      <c r="CZ16" s="227">
        <v>1</v>
      </c>
      <c r="DA16" s="227">
        <v>1</v>
      </c>
      <c r="DB16" s="227">
        <v>1</v>
      </c>
      <c r="DC16" s="227">
        <v>1</v>
      </c>
      <c r="DD16" s="227">
        <v>1</v>
      </c>
      <c r="DE16" s="227">
        <v>1</v>
      </c>
      <c r="DF16" s="227">
        <v>1</v>
      </c>
      <c r="DG16" s="282">
        <f t="shared" si="7"/>
        <v>0</v>
      </c>
      <c r="DH16" s="282">
        <f t="shared" si="7"/>
        <v>0</v>
      </c>
      <c r="DI16" s="282">
        <f t="shared" si="7"/>
        <v>0</v>
      </c>
      <c r="DJ16" s="282">
        <f t="shared" si="7"/>
        <v>0</v>
      </c>
      <c r="DK16" s="282">
        <f t="shared" si="7"/>
        <v>0</v>
      </c>
      <c r="DL16" s="282">
        <f t="shared" si="7"/>
        <v>0</v>
      </c>
      <c r="DM16" s="282">
        <f t="shared" si="7"/>
        <v>0</v>
      </c>
      <c r="DN16" s="282">
        <f t="shared" si="7"/>
        <v>0</v>
      </c>
      <c r="DO16" s="282">
        <f t="shared" si="7"/>
        <v>0</v>
      </c>
      <c r="DP16" s="282">
        <f t="shared" si="7"/>
        <v>0</v>
      </c>
      <c r="DQ16" s="282">
        <f t="shared" si="7"/>
        <v>0</v>
      </c>
      <c r="DR16" s="282">
        <f t="shared" si="7"/>
        <v>0</v>
      </c>
      <c r="DS16" s="282">
        <f t="shared" si="7"/>
        <v>0</v>
      </c>
      <c r="DT16" s="282">
        <f t="shared" si="7"/>
        <v>0</v>
      </c>
      <c r="DU16" s="282">
        <f t="shared" si="7"/>
        <v>0</v>
      </c>
      <c r="DV16" s="282">
        <f t="shared" si="7"/>
        <v>0</v>
      </c>
      <c r="DW16" s="282">
        <f t="shared" si="8"/>
        <v>0</v>
      </c>
      <c r="DX16" s="282">
        <f t="shared" si="8"/>
        <v>0</v>
      </c>
      <c r="DY16" s="282">
        <f t="shared" si="8"/>
        <v>0</v>
      </c>
      <c r="DZ16" s="282">
        <f t="shared" si="8"/>
        <v>0</v>
      </c>
      <c r="EA16" s="282">
        <f t="shared" si="8"/>
        <v>0</v>
      </c>
      <c r="EB16" s="282">
        <f t="shared" si="8"/>
        <v>0</v>
      </c>
      <c r="EC16" s="282">
        <f t="shared" si="8"/>
        <v>0</v>
      </c>
      <c r="ED16" s="282">
        <f t="shared" si="8"/>
        <v>0</v>
      </c>
      <c r="EE16" s="282">
        <f t="shared" si="8"/>
        <v>0</v>
      </c>
      <c r="EF16" s="282">
        <f t="shared" si="8"/>
        <v>1</v>
      </c>
      <c r="EG16" s="282">
        <f t="shared" si="8"/>
        <v>2</v>
      </c>
      <c r="EH16" s="282">
        <f t="shared" si="8"/>
        <v>3</v>
      </c>
      <c r="EI16" s="282">
        <f t="shared" si="8"/>
        <v>4</v>
      </c>
      <c r="EJ16" s="282">
        <f t="shared" si="9"/>
        <v>6</v>
      </c>
      <c r="EK16" s="282">
        <f t="shared" si="9"/>
        <v>7</v>
      </c>
      <c r="EL16" s="282">
        <f t="shared" si="9"/>
        <v>8</v>
      </c>
      <c r="EM16" s="282">
        <f t="shared" si="9"/>
        <v>9</v>
      </c>
      <c r="EN16" s="282">
        <f t="shared" si="9"/>
        <v>10</v>
      </c>
      <c r="EO16" s="282">
        <f t="shared" si="9"/>
        <v>11</v>
      </c>
      <c r="EP16" s="282">
        <f t="shared" si="9"/>
        <v>12</v>
      </c>
      <c r="EQ16" s="282">
        <f t="shared" si="9"/>
        <v>13</v>
      </c>
      <c r="ER16" s="282">
        <f t="shared" si="9"/>
        <v>13</v>
      </c>
      <c r="ES16" s="282">
        <f t="shared" si="9"/>
        <v>13</v>
      </c>
      <c r="ET16" s="282">
        <f t="shared" si="9"/>
        <v>13</v>
      </c>
      <c r="EU16" s="282">
        <f t="shared" si="9"/>
        <v>13</v>
      </c>
      <c r="EV16" s="282">
        <f t="shared" si="9"/>
        <v>13</v>
      </c>
      <c r="EW16" s="282">
        <f t="shared" si="9"/>
        <v>13</v>
      </c>
      <c r="EX16" s="282">
        <f t="shared" si="9"/>
        <v>13</v>
      </c>
      <c r="EY16" s="282">
        <f t="shared" si="9"/>
        <v>13</v>
      </c>
      <c r="EZ16" s="282">
        <f t="shared" si="10"/>
        <v>13</v>
      </c>
      <c r="FA16" s="282">
        <f t="shared" si="10"/>
        <v>13</v>
      </c>
      <c r="FB16" s="282">
        <f t="shared" si="10"/>
        <v>13</v>
      </c>
      <c r="FC16" s="282">
        <f t="shared" si="10"/>
        <v>13</v>
      </c>
      <c r="FD16" s="282">
        <f t="shared" si="10"/>
        <v>13</v>
      </c>
      <c r="FE16" s="282">
        <f t="shared" si="10"/>
        <v>13</v>
      </c>
      <c r="FF16" s="282">
        <f t="shared" si="10"/>
        <v>13</v>
      </c>
      <c r="FG16" s="282">
        <f t="shared" si="10"/>
        <v>13</v>
      </c>
      <c r="FH16" s="282">
        <f t="shared" si="10"/>
        <v>13</v>
      </c>
      <c r="FI16" s="282">
        <f t="shared" si="10"/>
        <v>13</v>
      </c>
      <c r="FJ16" s="282">
        <f t="shared" si="10"/>
        <v>13</v>
      </c>
      <c r="FK16" s="282">
        <f t="shared" si="10"/>
        <v>13</v>
      </c>
      <c r="FL16" s="282">
        <f t="shared" si="10"/>
        <v>13</v>
      </c>
      <c r="FM16" s="282">
        <f t="shared" si="10"/>
        <v>13</v>
      </c>
      <c r="FN16" s="282">
        <f t="shared" si="10"/>
        <v>13</v>
      </c>
      <c r="FO16" s="282">
        <f t="shared" si="10"/>
        <v>13</v>
      </c>
      <c r="FP16" s="282">
        <f t="shared" si="11"/>
        <v>13</v>
      </c>
      <c r="FQ16" s="282">
        <f t="shared" si="11"/>
        <v>13</v>
      </c>
      <c r="FR16" s="282">
        <f t="shared" si="11"/>
        <v>13</v>
      </c>
      <c r="FS16" s="282">
        <f t="shared" si="11"/>
        <v>13</v>
      </c>
      <c r="FT16" s="282">
        <f t="shared" si="11"/>
        <v>13</v>
      </c>
      <c r="FU16" s="282">
        <f t="shared" si="11"/>
        <v>13</v>
      </c>
      <c r="FV16" s="282">
        <f t="shared" si="11"/>
        <v>13</v>
      </c>
      <c r="FW16" s="282">
        <f t="shared" si="11"/>
        <v>13</v>
      </c>
      <c r="FX16" s="282">
        <f t="shared" si="11"/>
        <v>13</v>
      </c>
      <c r="FY16" s="282">
        <f t="shared" si="11"/>
        <v>13</v>
      </c>
      <c r="FZ16" s="282">
        <f t="shared" si="11"/>
        <v>13</v>
      </c>
      <c r="GA16" s="282">
        <f t="shared" si="11"/>
        <v>13</v>
      </c>
      <c r="GB16" s="282">
        <f t="shared" si="11"/>
        <v>13</v>
      </c>
      <c r="GC16" s="282">
        <f t="shared" si="11"/>
        <v>13</v>
      </c>
      <c r="GD16" s="282">
        <f t="shared" si="11"/>
        <v>13</v>
      </c>
      <c r="GE16" s="282">
        <f t="shared" si="11"/>
        <v>13</v>
      </c>
      <c r="GF16" s="282">
        <f t="shared" si="12"/>
        <v>13</v>
      </c>
      <c r="GG16" s="282">
        <f t="shared" si="12"/>
        <v>13</v>
      </c>
      <c r="GH16" s="282">
        <f t="shared" si="12"/>
        <v>13</v>
      </c>
      <c r="GI16" s="282">
        <f t="shared" si="12"/>
        <v>13</v>
      </c>
      <c r="GJ16" s="282">
        <f t="shared" si="12"/>
        <v>13</v>
      </c>
      <c r="GK16" s="282">
        <f t="shared" si="12"/>
        <v>13</v>
      </c>
      <c r="GL16" s="282">
        <f t="shared" si="12"/>
        <v>13</v>
      </c>
      <c r="GM16" s="282">
        <f t="shared" si="12"/>
        <v>13</v>
      </c>
      <c r="GN16" s="282">
        <f t="shared" si="12"/>
        <v>13</v>
      </c>
      <c r="GO16" s="282">
        <f t="shared" si="12"/>
        <v>13</v>
      </c>
      <c r="GP16" s="282">
        <f t="shared" si="12"/>
        <v>13</v>
      </c>
      <c r="GQ16" s="282">
        <f t="shared" si="12"/>
        <v>13</v>
      </c>
      <c r="GR16" s="282">
        <f t="shared" si="12"/>
        <v>13</v>
      </c>
      <c r="GS16" s="282">
        <f t="shared" si="12"/>
        <v>12</v>
      </c>
      <c r="GT16" s="283">
        <f t="shared" si="13"/>
        <v>39</v>
      </c>
    </row>
    <row r="17" spans="1:202" s="182" customFormat="1">
      <c r="A17" s="222" t="s">
        <v>643</v>
      </c>
      <c r="B17" s="224">
        <v>501</v>
      </c>
      <c r="C17" s="224" t="s">
        <v>634</v>
      </c>
      <c r="D17" s="224"/>
      <c r="E17" s="225"/>
      <c r="F17" s="225"/>
      <c r="G17" s="225"/>
      <c r="H17" s="225">
        <v>300</v>
      </c>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v>4</v>
      </c>
      <c r="AW17" s="227">
        <v>4</v>
      </c>
      <c r="AX17" s="227">
        <v>4</v>
      </c>
      <c r="AY17" s="227">
        <v>4</v>
      </c>
      <c r="AZ17" s="227">
        <v>4</v>
      </c>
      <c r="BA17" s="227">
        <v>4</v>
      </c>
      <c r="BB17" s="227"/>
      <c r="BC17" s="227"/>
      <c r="BD17" s="227"/>
      <c r="BE17" s="227"/>
      <c r="BF17" s="227"/>
      <c r="BG17" s="227"/>
      <c r="BH17" s="227">
        <v>4</v>
      </c>
      <c r="BI17" s="227">
        <v>4</v>
      </c>
      <c r="BJ17" s="227">
        <v>4</v>
      </c>
      <c r="BK17" s="227">
        <v>4</v>
      </c>
      <c r="BL17" s="227">
        <v>4</v>
      </c>
      <c r="BM17" s="227">
        <v>4</v>
      </c>
      <c r="BN17" s="227"/>
      <c r="BO17" s="227"/>
      <c r="BP17" s="227"/>
      <c r="BQ17" s="227"/>
      <c r="BR17" s="227"/>
      <c r="BS17" s="227"/>
      <c r="BT17" s="227">
        <v>4</v>
      </c>
      <c r="BU17" s="227">
        <v>4</v>
      </c>
      <c r="BV17" s="227">
        <v>4</v>
      </c>
      <c r="BW17" s="227">
        <v>4</v>
      </c>
      <c r="BX17" s="227">
        <v>4</v>
      </c>
      <c r="BY17" s="227">
        <v>4</v>
      </c>
      <c r="BZ17" s="227"/>
      <c r="CA17" s="227"/>
      <c r="CB17" s="227"/>
      <c r="CC17" s="227"/>
      <c r="CD17" s="227"/>
      <c r="CE17" s="227"/>
      <c r="CF17" s="227">
        <v>4</v>
      </c>
      <c r="CG17" s="227">
        <v>4</v>
      </c>
      <c r="CH17" s="227">
        <v>4</v>
      </c>
      <c r="CI17" s="227">
        <v>4</v>
      </c>
      <c r="CJ17" s="227">
        <v>4</v>
      </c>
      <c r="CK17" s="227">
        <v>4</v>
      </c>
      <c r="CL17" s="227"/>
      <c r="CM17" s="227"/>
      <c r="CN17" s="227"/>
      <c r="CO17" s="227"/>
      <c r="CP17" s="227"/>
      <c r="CQ17" s="227"/>
      <c r="CR17" s="227">
        <v>4</v>
      </c>
      <c r="CS17" s="227">
        <v>4</v>
      </c>
      <c r="CT17" s="227">
        <v>4</v>
      </c>
      <c r="CU17" s="227">
        <v>4</v>
      </c>
      <c r="CV17" s="227">
        <v>4</v>
      </c>
      <c r="CW17" s="227">
        <v>4</v>
      </c>
      <c r="CX17" s="227"/>
      <c r="CY17" s="227"/>
      <c r="CZ17" s="227"/>
      <c r="DA17" s="227"/>
      <c r="DB17" s="227"/>
      <c r="DC17" s="227"/>
      <c r="DD17" s="227">
        <v>4</v>
      </c>
      <c r="DE17" s="227">
        <v>4</v>
      </c>
      <c r="DF17" s="227">
        <v>4</v>
      </c>
      <c r="DG17" s="282">
        <f t="shared" si="7"/>
        <v>0</v>
      </c>
      <c r="DH17" s="282">
        <f t="shared" si="7"/>
        <v>0</v>
      </c>
      <c r="DI17" s="282">
        <f t="shared" si="7"/>
        <v>0</v>
      </c>
      <c r="DJ17" s="282">
        <f t="shared" si="7"/>
        <v>0</v>
      </c>
      <c r="DK17" s="282">
        <f t="shared" si="7"/>
        <v>0</v>
      </c>
      <c r="DL17" s="282">
        <f t="shared" si="7"/>
        <v>0</v>
      </c>
      <c r="DM17" s="282">
        <f t="shared" si="7"/>
        <v>0</v>
      </c>
      <c r="DN17" s="282">
        <f t="shared" si="7"/>
        <v>0</v>
      </c>
      <c r="DO17" s="282">
        <f t="shared" si="7"/>
        <v>0</v>
      </c>
      <c r="DP17" s="282">
        <f t="shared" si="7"/>
        <v>0</v>
      </c>
      <c r="DQ17" s="282">
        <f t="shared" si="7"/>
        <v>0</v>
      </c>
      <c r="DR17" s="282">
        <f t="shared" si="7"/>
        <v>0</v>
      </c>
      <c r="DS17" s="282">
        <f t="shared" si="7"/>
        <v>0</v>
      </c>
      <c r="DT17" s="282">
        <f t="shared" si="7"/>
        <v>0</v>
      </c>
      <c r="DU17" s="282">
        <f t="shared" si="7"/>
        <v>0</v>
      </c>
      <c r="DV17" s="282">
        <f t="shared" si="7"/>
        <v>0</v>
      </c>
      <c r="DW17" s="282">
        <f t="shared" si="8"/>
        <v>0</v>
      </c>
      <c r="DX17" s="282">
        <f t="shared" si="8"/>
        <v>0</v>
      </c>
      <c r="DY17" s="282">
        <f t="shared" si="8"/>
        <v>0</v>
      </c>
      <c r="DZ17" s="282">
        <f t="shared" si="8"/>
        <v>0</v>
      </c>
      <c r="EA17" s="282">
        <f t="shared" si="8"/>
        <v>0</v>
      </c>
      <c r="EB17" s="282">
        <f t="shared" si="8"/>
        <v>0</v>
      </c>
      <c r="EC17" s="282">
        <f t="shared" si="8"/>
        <v>0</v>
      </c>
      <c r="ED17" s="282">
        <f t="shared" si="8"/>
        <v>0</v>
      </c>
      <c r="EE17" s="282">
        <f t="shared" si="8"/>
        <v>0</v>
      </c>
      <c r="EF17" s="282">
        <f t="shared" si="8"/>
        <v>0</v>
      </c>
      <c r="EG17" s="282">
        <f t="shared" si="8"/>
        <v>0</v>
      </c>
      <c r="EH17" s="282">
        <f t="shared" si="8"/>
        <v>0</v>
      </c>
      <c r="EI17" s="282">
        <f t="shared" si="8"/>
        <v>4</v>
      </c>
      <c r="EJ17" s="282">
        <f t="shared" si="9"/>
        <v>12</v>
      </c>
      <c r="EK17" s="282">
        <f t="shared" si="9"/>
        <v>16</v>
      </c>
      <c r="EL17" s="282">
        <f t="shared" si="9"/>
        <v>20</v>
      </c>
      <c r="EM17" s="282">
        <f t="shared" si="9"/>
        <v>24</v>
      </c>
      <c r="EN17" s="282">
        <f t="shared" si="9"/>
        <v>24</v>
      </c>
      <c r="EO17" s="282">
        <f t="shared" si="9"/>
        <v>24</v>
      </c>
      <c r="EP17" s="282">
        <f t="shared" si="9"/>
        <v>24</v>
      </c>
      <c r="EQ17" s="282">
        <f t="shared" si="9"/>
        <v>24</v>
      </c>
      <c r="ER17" s="282">
        <f t="shared" si="9"/>
        <v>24</v>
      </c>
      <c r="ES17" s="282">
        <f t="shared" si="9"/>
        <v>24</v>
      </c>
      <c r="ET17" s="282">
        <f t="shared" si="9"/>
        <v>28</v>
      </c>
      <c r="EU17" s="282">
        <f t="shared" si="9"/>
        <v>28</v>
      </c>
      <c r="EV17" s="282">
        <f t="shared" si="9"/>
        <v>28</v>
      </c>
      <c r="EW17" s="282">
        <f t="shared" si="9"/>
        <v>28</v>
      </c>
      <c r="EX17" s="282">
        <f t="shared" si="9"/>
        <v>28</v>
      </c>
      <c r="EY17" s="282">
        <f t="shared" si="9"/>
        <v>28</v>
      </c>
      <c r="EZ17" s="282">
        <f t="shared" si="10"/>
        <v>24</v>
      </c>
      <c r="FA17" s="282">
        <f t="shared" si="10"/>
        <v>24</v>
      </c>
      <c r="FB17" s="282">
        <f t="shared" si="10"/>
        <v>24</v>
      </c>
      <c r="FC17" s="282">
        <f t="shared" si="10"/>
        <v>24</v>
      </c>
      <c r="FD17" s="282">
        <f t="shared" si="10"/>
        <v>24</v>
      </c>
      <c r="FE17" s="282">
        <f t="shared" si="10"/>
        <v>24</v>
      </c>
      <c r="FF17" s="282">
        <f t="shared" si="10"/>
        <v>28</v>
      </c>
      <c r="FG17" s="282">
        <f t="shared" si="10"/>
        <v>28</v>
      </c>
      <c r="FH17" s="282">
        <f t="shared" si="10"/>
        <v>28</v>
      </c>
      <c r="FI17" s="282">
        <f t="shared" si="10"/>
        <v>28</v>
      </c>
      <c r="FJ17" s="282">
        <f t="shared" si="10"/>
        <v>28</v>
      </c>
      <c r="FK17" s="282">
        <f t="shared" si="10"/>
        <v>28</v>
      </c>
      <c r="FL17" s="282">
        <f t="shared" si="10"/>
        <v>24</v>
      </c>
      <c r="FM17" s="282">
        <f t="shared" si="10"/>
        <v>24</v>
      </c>
      <c r="FN17" s="282">
        <f t="shared" si="10"/>
        <v>24</v>
      </c>
      <c r="FO17" s="282">
        <f t="shared" si="10"/>
        <v>24</v>
      </c>
      <c r="FP17" s="282">
        <f t="shared" si="11"/>
        <v>24</v>
      </c>
      <c r="FQ17" s="282">
        <f t="shared" si="11"/>
        <v>24</v>
      </c>
      <c r="FR17" s="282">
        <f t="shared" si="11"/>
        <v>28</v>
      </c>
      <c r="FS17" s="282">
        <f t="shared" si="11"/>
        <v>28</v>
      </c>
      <c r="FT17" s="282">
        <f t="shared" si="11"/>
        <v>28</v>
      </c>
      <c r="FU17" s="282">
        <f t="shared" si="11"/>
        <v>28</v>
      </c>
      <c r="FV17" s="282">
        <f t="shared" si="11"/>
        <v>28</v>
      </c>
      <c r="FW17" s="282">
        <f t="shared" si="11"/>
        <v>28</v>
      </c>
      <c r="FX17" s="282">
        <f t="shared" si="11"/>
        <v>24</v>
      </c>
      <c r="FY17" s="282">
        <f t="shared" si="11"/>
        <v>24</v>
      </c>
      <c r="FZ17" s="282">
        <f t="shared" si="11"/>
        <v>24</v>
      </c>
      <c r="GA17" s="282">
        <f t="shared" si="11"/>
        <v>24</v>
      </c>
      <c r="GB17" s="282">
        <f t="shared" si="11"/>
        <v>24</v>
      </c>
      <c r="GC17" s="282">
        <f t="shared" si="11"/>
        <v>24</v>
      </c>
      <c r="GD17" s="282">
        <f t="shared" si="11"/>
        <v>28</v>
      </c>
      <c r="GE17" s="282">
        <f t="shared" si="11"/>
        <v>28</v>
      </c>
      <c r="GF17" s="282">
        <f t="shared" si="12"/>
        <v>28</v>
      </c>
      <c r="GG17" s="282">
        <f t="shared" si="12"/>
        <v>28</v>
      </c>
      <c r="GH17" s="282">
        <f t="shared" si="12"/>
        <v>28</v>
      </c>
      <c r="GI17" s="282">
        <f t="shared" si="12"/>
        <v>28</v>
      </c>
      <c r="GJ17" s="282">
        <f t="shared" si="12"/>
        <v>24</v>
      </c>
      <c r="GK17" s="282">
        <f t="shared" si="12"/>
        <v>24</v>
      </c>
      <c r="GL17" s="282">
        <f t="shared" si="12"/>
        <v>24</v>
      </c>
      <c r="GM17" s="282">
        <f t="shared" si="12"/>
        <v>24</v>
      </c>
      <c r="GN17" s="282">
        <f t="shared" si="12"/>
        <v>24</v>
      </c>
      <c r="GO17" s="282">
        <f t="shared" si="12"/>
        <v>24</v>
      </c>
      <c r="GP17" s="282">
        <f t="shared" si="12"/>
        <v>28</v>
      </c>
      <c r="GQ17" s="282">
        <f t="shared" si="12"/>
        <v>28</v>
      </c>
      <c r="GR17" s="282">
        <f t="shared" si="12"/>
        <v>28</v>
      </c>
      <c r="GS17" s="282">
        <f t="shared" si="12"/>
        <v>24</v>
      </c>
      <c r="GT17" s="283">
        <f t="shared" si="13"/>
        <v>72</v>
      </c>
    </row>
    <row r="18" spans="1:202" s="182" customFormat="1">
      <c r="A18" s="222" t="s">
        <v>644</v>
      </c>
      <c r="B18" s="224">
        <v>151</v>
      </c>
      <c r="C18" s="224" t="s">
        <v>634</v>
      </c>
      <c r="D18" s="224"/>
      <c r="E18" s="225"/>
      <c r="F18" s="225"/>
      <c r="G18" s="225"/>
      <c r="H18" s="225">
        <v>360</v>
      </c>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84"/>
      <c r="AV18" s="227">
        <v>4</v>
      </c>
      <c r="AW18" s="227">
        <v>4</v>
      </c>
      <c r="AX18" s="227">
        <v>4</v>
      </c>
      <c r="AY18" s="227">
        <v>4</v>
      </c>
      <c r="AZ18" s="227">
        <v>4</v>
      </c>
      <c r="BA18" s="227">
        <v>4</v>
      </c>
      <c r="BB18" s="227"/>
      <c r="BC18" s="227"/>
      <c r="BD18" s="227"/>
      <c r="BE18" s="227"/>
      <c r="BF18" s="227"/>
      <c r="BG18" s="227"/>
      <c r="BH18" s="227">
        <v>4</v>
      </c>
      <c r="BI18" s="227">
        <v>4</v>
      </c>
      <c r="BJ18" s="227">
        <v>4</v>
      </c>
      <c r="BK18" s="227">
        <v>4</v>
      </c>
      <c r="BL18" s="227">
        <v>4</v>
      </c>
      <c r="BM18" s="227">
        <v>4</v>
      </c>
      <c r="BN18" s="227"/>
      <c r="BO18" s="227"/>
      <c r="BP18" s="227"/>
      <c r="BQ18" s="227"/>
      <c r="BR18" s="227"/>
      <c r="BS18" s="227"/>
      <c r="BT18" s="227">
        <v>4</v>
      </c>
      <c r="BU18" s="227">
        <v>4</v>
      </c>
      <c r="BV18" s="227">
        <v>4</v>
      </c>
      <c r="BW18" s="227">
        <v>4</v>
      </c>
      <c r="BX18" s="227">
        <v>4</v>
      </c>
      <c r="BY18" s="227">
        <v>4</v>
      </c>
      <c r="BZ18" s="227"/>
      <c r="CA18" s="227"/>
      <c r="CB18" s="227"/>
      <c r="CC18" s="227"/>
      <c r="CD18" s="227"/>
      <c r="CE18" s="227"/>
      <c r="CF18" s="227">
        <v>4</v>
      </c>
      <c r="CG18" s="227">
        <v>4</v>
      </c>
      <c r="CH18" s="227">
        <v>4</v>
      </c>
      <c r="CI18" s="227">
        <v>4</v>
      </c>
      <c r="CJ18" s="227">
        <v>4</v>
      </c>
      <c r="CK18" s="227">
        <v>4</v>
      </c>
      <c r="CL18" s="227"/>
      <c r="CM18" s="227"/>
      <c r="CN18" s="227"/>
      <c r="CO18" s="227"/>
      <c r="CP18" s="227"/>
      <c r="CQ18" s="227"/>
      <c r="CR18" s="227">
        <v>4</v>
      </c>
      <c r="CS18" s="227">
        <v>4</v>
      </c>
      <c r="CT18" s="227">
        <v>4</v>
      </c>
      <c r="CU18" s="227">
        <v>4</v>
      </c>
      <c r="CV18" s="227">
        <v>4</v>
      </c>
      <c r="CW18" s="227">
        <v>4</v>
      </c>
      <c r="CX18" s="227"/>
      <c r="CY18" s="227"/>
      <c r="CZ18" s="227"/>
      <c r="DA18" s="227"/>
      <c r="DB18" s="227"/>
      <c r="DC18" s="227"/>
      <c r="DD18" s="227">
        <v>4</v>
      </c>
      <c r="DE18" s="227">
        <v>4</v>
      </c>
      <c r="DF18" s="227">
        <v>4</v>
      </c>
      <c r="DG18" s="282"/>
      <c r="DH18" s="282"/>
      <c r="DI18" s="282"/>
      <c r="DJ18" s="282"/>
      <c r="DK18" s="282"/>
      <c r="DL18" s="282"/>
      <c r="DM18" s="282"/>
      <c r="DN18" s="282"/>
      <c r="DO18" s="282"/>
      <c r="DP18" s="282"/>
      <c r="DQ18" s="282"/>
      <c r="DR18" s="282"/>
      <c r="DS18" s="282"/>
      <c r="DT18" s="282"/>
      <c r="DU18" s="282"/>
      <c r="DV18" s="282"/>
      <c r="DW18" s="282"/>
      <c r="DX18" s="282"/>
      <c r="DY18" s="282"/>
      <c r="DZ18" s="282"/>
      <c r="EA18" s="282"/>
      <c r="EB18" s="282"/>
      <c r="EC18" s="282"/>
      <c r="ED18" s="282"/>
      <c r="EE18" s="282"/>
      <c r="EF18" s="282"/>
      <c r="EG18" s="282"/>
      <c r="EH18" s="282"/>
      <c r="EI18" s="282">
        <f>SUM(AK18:AV18)</f>
        <v>4</v>
      </c>
      <c r="EJ18" s="282"/>
      <c r="EK18" s="282"/>
      <c r="EL18" s="282"/>
      <c r="EM18" s="282"/>
      <c r="EN18" s="282"/>
      <c r="EO18" s="282"/>
      <c r="EP18" s="282"/>
      <c r="EQ18" s="282"/>
      <c r="ER18" s="282"/>
      <c r="ES18" s="282"/>
      <c r="ET18" s="282"/>
      <c r="EU18" s="282"/>
      <c r="EV18" s="282"/>
      <c r="EW18" s="282"/>
      <c r="EX18" s="282"/>
      <c r="EY18" s="282"/>
      <c r="EZ18" s="282"/>
      <c r="FA18" s="282"/>
      <c r="FB18" s="282"/>
      <c r="FC18" s="282"/>
      <c r="FD18" s="282"/>
      <c r="FE18" s="282"/>
      <c r="FF18" s="282"/>
      <c r="FG18" s="282"/>
      <c r="FH18" s="282"/>
      <c r="FI18" s="282"/>
      <c r="FJ18" s="282"/>
      <c r="FK18" s="282"/>
      <c r="FL18" s="282"/>
      <c r="FM18" s="282"/>
      <c r="FN18" s="282"/>
      <c r="FO18" s="282"/>
      <c r="FP18" s="282"/>
      <c r="FQ18" s="282"/>
      <c r="FR18" s="282"/>
      <c r="FS18" s="282"/>
      <c r="FT18" s="282"/>
      <c r="FU18" s="282"/>
      <c r="FV18" s="282"/>
      <c r="FW18" s="282"/>
      <c r="FX18" s="282"/>
      <c r="FY18" s="282"/>
      <c r="FZ18" s="282"/>
      <c r="GA18" s="282"/>
      <c r="GB18" s="282"/>
      <c r="GC18" s="282"/>
      <c r="GD18" s="282"/>
      <c r="GE18" s="282"/>
      <c r="GF18" s="282"/>
      <c r="GG18" s="282"/>
      <c r="GH18" s="282"/>
      <c r="GI18" s="282"/>
      <c r="GJ18" s="282"/>
      <c r="GK18" s="282"/>
      <c r="GL18" s="282"/>
      <c r="GM18" s="282"/>
      <c r="GN18" s="282"/>
      <c r="GO18" s="282"/>
      <c r="GP18" s="282">
        <f t="shared" si="12"/>
        <v>28</v>
      </c>
      <c r="GQ18" s="282">
        <f t="shared" si="12"/>
        <v>28</v>
      </c>
      <c r="GR18" s="282">
        <f t="shared" si="12"/>
        <v>28</v>
      </c>
      <c r="GS18" s="282"/>
      <c r="GT18" s="283"/>
    </row>
    <row r="19" spans="1:202" s="182" customFormat="1">
      <c r="A19" s="222" t="s">
        <v>645</v>
      </c>
      <c r="B19" s="224">
        <v>236</v>
      </c>
      <c r="C19" s="224" t="s">
        <v>634</v>
      </c>
      <c r="D19" s="224"/>
      <c r="E19" s="225"/>
      <c r="F19" s="225"/>
      <c r="G19" s="225"/>
      <c r="H19" s="225">
        <v>360</v>
      </c>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84"/>
      <c r="AV19" s="227">
        <v>26</v>
      </c>
      <c r="AW19" s="227">
        <v>26</v>
      </c>
      <c r="AX19" s="227">
        <v>26</v>
      </c>
      <c r="AY19" s="227">
        <v>26</v>
      </c>
      <c r="AZ19" s="227">
        <v>26</v>
      </c>
      <c r="BA19" s="227">
        <v>26</v>
      </c>
      <c r="BB19" s="227"/>
      <c r="BC19" s="227"/>
      <c r="BD19" s="227"/>
      <c r="BE19" s="227"/>
      <c r="BF19" s="227"/>
      <c r="BG19" s="227"/>
      <c r="BH19" s="227">
        <v>26</v>
      </c>
      <c r="BI19" s="227">
        <v>26</v>
      </c>
      <c r="BJ19" s="227">
        <v>26</v>
      </c>
      <c r="BK19" s="227">
        <v>26</v>
      </c>
      <c r="BL19" s="227">
        <v>26</v>
      </c>
      <c r="BM19" s="227">
        <v>26</v>
      </c>
      <c r="BN19" s="227"/>
      <c r="BO19" s="227"/>
      <c r="BP19" s="227"/>
      <c r="BQ19" s="227"/>
      <c r="BR19" s="227"/>
      <c r="BS19" s="227"/>
      <c r="BT19" s="227">
        <v>26</v>
      </c>
      <c r="BU19" s="227">
        <v>26</v>
      </c>
      <c r="BV19" s="227">
        <v>26</v>
      </c>
      <c r="BW19" s="227">
        <v>26</v>
      </c>
      <c r="BX19" s="227">
        <v>26</v>
      </c>
      <c r="BY19" s="227">
        <v>26</v>
      </c>
      <c r="BZ19" s="227"/>
      <c r="CA19" s="227"/>
      <c r="CB19" s="227"/>
      <c r="CC19" s="227"/>
      <c r="CD19" s="227"/>
      <c r="CE19" s="227"/>
      <c r="CF19" s="227">
        <v>26</v>
      </c>
      <c r="CG19" s="227">
        <v>26</v>
      </c>
      <c r="CH19" s="227">
        <v>26</v>
      </c>
      <c r="CI19" s="227">
        <v>26</v>
      </c>
      <c r="CJ19" s="227">
        <v>26</v>
      </c>
      <c r="CK19" s="227">
        <v>26</v>
      </c>
      <c r="CL19" s="227"/>
      <c r="CM19" s="227"/>
      <c r="CN19" s="227"/>
      <c r="CO19" s="227"/>
      <c r="CP19" s="227"/>
      <c r="CQ19" s="227"/>
      <c r="CR19" s="227">
        <v>26</v>
      </c>
      <c r="CS19" s="227">
        <v>26</v>
      </c>
      <c r="CT19" s="227">
        <v>26</v>
      </c>
      <c r="CU19" s="227">
        <v>26</v>
      </c>
      <c r="CV19" s="227">
        <v>26</v>
      </c>
      <c r="CW19" s="227">
        <v>26</v>
      </c>
      <c r="CX19" s="227"/>
      <c r="CY19" s="227"/>
      <c r="CZ19" s="227"/>
      <c r="DA19" s="227"/>
      <c r="DB19" s="227"/>
      <c r="DC19" s="227"/>
      <c r="DD19" s="227">
        <v>26</v>
      </c>
      <c r="DE19" s="227">
        <v>26</v>
      </c>
      <c r="DF19" s="227">
        <v>26</v>
      </c>
      <c r="DG19" s="282">
        <f t="shared" ref="DG19:DV22" si="14">SUM(I19:T19)</f>
        <v>0</v>
      </c>
      <c r="DH19" s="282">
        <f t="shared" si="14"/>
        <v>0</v>
      </c>
      <c r="DI19" s="282">
        <f t="shared" si="14"/>
        <v>0</v>
      </c>
      <c r="DJ19" s="282">
        <f t="shared" si="14"/>
        <v>0</v>
      </c>
      <c r="DK19" s="282">
        <f t="shared" si="14"/>
        <v>0</v>
      </c>
      <c r="DL19" s="282">
        <f t="shared" si="14"/>
        <v>0</v>
      </c>
      <c r="DM19" s="282">
        <f t="shared" si="14"/>
        <v>0</v>
      </c>
      <c r="DN19" s="282">
        <f t="shared" si="14"/>
        <v>0</v>
      </c>
      <c r="DO19" s="282">
        <f t="shared" si="14"/>
        <v>0</v>
      </c>
      <c r="DP19" s="282">
        <f t="shared" si="14"/>
        <v>0</v>
      </c>
      <c r="DQ19" s="282">
        <f t="shared" si="14"/>
        <v>0</v>
      </c>
      <c r="DR19" s="282">
        <f t="shared" si="14"/>
        <v>0</v>
      </c>
      <c r="DS19" s="282">
        <f t="shared" si="14"/>
        <v>0</v>
      </c>
      <c r="DT19" s="282">
        <f t="shared" si="14"/>
        <v>0</v>
      </c>
      <c r="DU19" s="282">
        <f t="shared" si="14"/>
        <v>0</v>
      </c>
      <c r="DV19" s="282">
        <f t="shared" si="14"/>
        <v>0</v>
      </c>
      <c r="DW19" s="282">
        <f t="shared" ref="DW19:EH22" si="15">SUM(Y19:AJ19)</f>
        <v>0</v>
      </c>
      <c r="DX19" s="282">
        <f t="shared" si="15"/>
        <v>0</v>
      </c>
      <c r="DY19" s="282">
        <f t="shared" si="15"/>
        <v>0</v>
      </c>
      <c r="DZ19" s="282">
        <f t="shared" si="15"/>
        <v>0</v>
      </c>
      <c r="EA19" s="282">
        <f t="shared" si="15"/>
        <v>0</v>
      </c>
      <c r="EB19" s="282">
        <f t="shared" si="15"/>
        <v>0</v>
      </c>
      <c r="EC19" s="282">
        <f t="shared" si="15"/>
        <v>0</v>
      </c>
      <c r="ED19" s="282">
        <f t="shared" si="15"/>
        <v>0</v>
      </c>
      <c r="EE19" s="282">
        <f t="shared" si="15"/>
        <v>0</v>
      </c>
      <c r="EF19" s="282">
        <f t="shared" si="15"/>
        <v>0</v>
      </c>
      <c r="EG19" s="282">
        <f t="shared" si="15"/>
        <v>0</v>
      </c>
      <c r="EH19" s="282">
        <f t="shared" si="15"/>
        <v>0</v>
      </c>
      <c r="EI19" s="282">
        <f>SUM(AK19:AV19)</f>
        <v>26</v>
      </c>
      <c r="EJ19" s="282">
        <f t="shared" ref="EJ19:EY22" si="16">SUM(AL19:AX19)</f>
        <v>78</v>
      </c>
      <c r="EK19" s="282">
        <f t="shared" si="16"/>
        <v>104</v>
      </c>
      <c r="EL19" s="282">
        <f t="shared" si="16"/>
        <v>130</v>
      </c>
      <c r="EM19" s="282">
        <f t="shared" si="16"/>
        <v>156</v>
      </c>
      <c r="EN19" s="282">
        <f t="shared" si="16"/>
        <v>156</v>
      </c>
      <c r="EO19" s="282">
        <f t="shared" si="16"/>
        <v>156</v>
      </c>
      <c r="EP19" s="282">
        <f t="shared" si="16"/>
        <v>156</v>
      </c>
      <c r="EQ19" s="282">
        <f t="shared" si="16"/>
        <v>156</v>
      </c>
      <c r="ER19" s="282">
        <f t="shared" si="16"/>
        <v>156</v>
      </c>
      <c r="ES19" s="282">
        <f t="shared" si="16"/>
        <v>156</v>
      </c>
      <c r="ET19" s="282">
        <f t="shared" si="16"/>
        <v>182</v>
      </c>
      <c r="EU19" s="282">
        <f t="shared" si="16"/>
        <v>182</v>
      </c>
      <c r="EV19" s="282">
        <f t="shared" si="16"/>
        <v>182</v>
      </c>
      <c r="EW19" s="282">
        <f t="shared" si="16"/>
        <v>182</v>
      </c>
      <c r="EX19" s="282">
        <f t="shared" si="16"/>
        <v>182</v>
      </c>
      <c r="EY19" s="282">
        <f t="shared" si="16"/>
        <v>182</v>
      </c>
      <c r="EZ19" s="282">
        <f t="shared" ref="EZ19:FO22" si="17">SUM(BB19:BN19)</f>
        <v>156</v>
      </c>
      <c r="FA19" s="282">
        <f t="shared" si="17"/>
        <v>156</v>
      </c>
      <c r="FB19" s="282">
        <f t="shared" si="17"/>
        <v>156</v>
      </c>
      <c r="FC19" s="282">
        <f t="shared" si="17"/>
        <v>156</v>
      </c>
      <c r="FD19" s="282">
        <f t="shared" si="17"/>
        <v>156</v>
      </c>
      <c r="FE19" s="282">
        <f t="shared" si="17"/>
        <v>156</v>
      </c>
      <c r="FF19" s="282">
        <f t="shared" si="17"/>
        <v>182</v>
      </c>
      <c r="FG19" s="282">
        <f t="shared" si="17"/>
        <v>182</v>
      </c>
      <c r="FH19" s="282">
        <f t="shared" si="17"/>
        <v>182</v>
      </c>
      <c r="FI19" s="282">
        <f t="shared" si="17"/>
        <v>182</v>
      </c>
      <c r="FJ19" s="282">
        <f t="shared" si="17"/>
        <v>182</v>
      </c>
      <c r="FK19" s="282">
        <f t="shared" si="17"/>
        <v>182</v>
      </c>
      <c r="FL19" s="282">
        <f t="shared" si="17"/>
        <v>156</v>
      </c>
      <c r="FM19" s="282">
        <f t="shared" si="17"/>
        <v>156</v>
      </c>
      <c r="FN19" s="282">
        <f t="shared" si="17"/>
        <v>156</v>
      </c>
      <c r="FO19" s="282">
        <f t="shared" si="17"/>
        <v>156</v>
      </c>
      <c r="FP19" s="282">
        <f t="shared" ref="FP19:GE22" si="18">SUM(BR19:CD19)</f>
        <v>156</v>
      </c>
      <c r="FQ19" s="282">
        <f t="shared" si="18"/>
        <v>156</v>
      </c>
      <c r="FR19" s="282">
        <f t="shared" si="18"/>
        <v>182</v>
      </c>
      <c r="FS19" s="282">
        <f t="shared" si="18"/>
        <v>182</v>
      </c>
      <c r="FT19" s="282">
        <f t="shared" si="18"/>
        <v>182</v>
      </c>
      <c r="FU19" s="282">
        <f t="shared" si="18"/>
        <v>182</v>
      </c>
      <c r="FV19" s="282">
        <f t="shared" si="18"/>
        <v>182</v>
      </c>
      <c r="FW19" s="282">
        <f t="shared" si="18"/>
        <v>182</v>
      </c>
      <c r="FX19" s="282">
        <f t="shared" si="18"/>
        <v>156</v>
      </c>
      <c r="FY19" s="282">
        <f t="shared" si="18"/>
        <v>156</v>
      </c>
      <c r="FZ19" s="282">
        <f t="shared" si="18"/>
        <v>156</v>
      </c>
      <c r="GA19" s="282">
        <f t="shared" si="18"/>
        <v>156</v>
      </c>
      <c r="GB19" s="282">
        <f t="shared" si="18"/>
        <v>156</v>
      </c>
      <c r="GC19" s="282">
        <f t="shared" si="18"/>
        <v>156</v>
      </c>
      <c r="GD19" s="282">
        <f t="shared" si="18"/>
        <v>182</v>
      </c>
      <c r="GE19" s="282">
        <f t="shared" si="18"/>
        <v>182</v>
      </c>
      <c r="GF19" s="282">
        <f t="shared" ref="GF19:GO22" si="19">SUM(CH19:CT19)</f>
        <v>182</v>
      </c>
      <c r="GG19" s="282">
        <f t="shared" si="19"/>
        <v>182</v>
      </c>
      <c r="GH19" s="282">
        <f t="shared" si="19"/>
        <v>182</v>
      </c>
      <c r="GI19" s="282">
        <f t="shared" si="19"/>
        <v>182</v>
      </c>
      <c r="GJ19" s="282">
        <f t="shared" si="19"/>
        <v>156</v>
      </c>
      <c r="GK19" s="282">
        <f t="shared" si="19"/>
        <v>156</v>
      </c>
      <c r="GL19" s="282">
        <f t="shared" si="19"/>
        <v>156</v>
      </c>
      <c r="GM19" s="282">
        <f t="shared" si="19"/>
        <v>156</v>
      </c>
      <c r="GN19" s="282">
        <f t="shared" si="19"/>
        <v>156</v>
      </c>
      <c r="GO19" s="282">
        <f t="shared" si="19"/>
        <v>156</v>
      </c>
      <c r="GP19" s="282">
        <f t="shared" si="12"/>
        <v>182</v>
      </c>
      <c r="GQ19" s="282">
        <f t="shared" si="12"/>
        <v>182</v>
      </c>
      <c r="GR19" s="282">
        <f t="shared" si="12"/>
        <v>182</v>
      </c>
      <c r="GS19" s="282">
        <f>SUM(CU19:DG19)</f>
        <v>156</v>
      </c>
      <c r="GT19" s="283">
        <f>SUM(I19:CE19)</f>
        <v>468</v>
      </c>
    </row>
    <row r="20" spans="1:202" s="182" customFormat="1">
      <c r="A20" s="222" t="s">
        <v>646</v>
      </c>
      <c r="B20" s="224">
        <v>15</v>
      </c>
      <c r="C20" s="224" t="s">
        <v>634</v>
      </c>
      <c r="D20" s="224"/>
      <c r="E20" s="225"/>
      <c r="F20" s="225"/>
      <c r="G20" s="225"/>
      <c r="H20" s="225">
        <v>120</v>
      </c>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v>25</v>
      </c>
      <c r="AT20" s="227">
        <v>25</v>
      </c>
      <c r="AU20" s="227">
        <v>25</v>
      </c>
      <c r="AV20" s="227">
        <v>25</v>
      </c>
      <c r="AW20" s="227">
        <v>25</v>
      </c>
      <c r="AX20" s="227">
        <v>25</v>
      </c>
      <c r="AY20" s="227">
        <v>25</v>
      </c>
      <c r="AZ20" s="227">
        <v>25</v>
      </c>
      <c r="BA20" s="227">
        <v>25</v>
      </c>
      <c r="BB20" s="227">
        <v>25</v>
      </c>
      <c r="BC20" s="227">
        <v>25</v>
      </c>
      <c r="BD20" s="227">
        <v>25</v>
      </c>
      <c r="BE20" s="227">
        <v>25</v>
      </c>
      <c r="BF20" s="227">
        <v>25</v>
      </c>
      <c r="BG20" s="227">
        <v>25</v>
      </c>
      <c r="BH20" s="227">
        <v>25</v>
      </c>
      <c r="BI20" s="227">
        <v>25</v>
      </c>
      <c r="BJ20" s="227">
        <v>25</v>
      </c>
      <c r="BK20" s="227">
        <v>25</v>
      </c>
      <c r="BL20" s="227">
        <v>25</v>
      </c>
      <c r="BM20" s="227">
        <v>25</v>
      </c>
      <c r="BN20" s="227">
        <v>25</v>
      </c>
      <c r="BO20" s="227">
        <v>25</v>
      </c>
      <c r="BP20" s="227">
        <v>25</v>
      </c>
      <c r="BQ20" s="227">
        <v>25</v>
      </c>
      <c r="BR20" s="227">
        <v>25</v>
      </c>
      <c r="BS20" s="227">
        <v>25</v>
      </c>
      <c r="BT20" s="227">
        <v>25</v>
      </c>
      <c r="BU20" s="227">
        <v>25</v>
      </c>
      <c r="BV20" s="227">
        <v>25</v>
      </c>
      <c r="BW20" s="227">
        <v>25</v>
      </c>
      <c r="BX20" s="227">
        <v>25</v>
      </c>
      <c r="BY20" s="227">
        <v>25</v>
      </c>
      <c r="BZ20" s="227">
        <v>25</v>
      </c>
      <c r="CA20" s="227">
        <v>25</v>
      </c>
      <c r="CB20" s="227">
        <v>25</v>
      </c>
      <c r="CC20" s="227">
        <v>25</v>
      </c>
      <c r="CD20" s="227">
        <v>25</v>
      </c>
      <c r="CE20" s="227">
        <v>25</v>
      </c>
      <c r="CF20" s="227">
        <v>25</v>
      </c>
      <c r="CG20" s="227">
        <v>25</v>
      </c>
      <c r="CH20" s="227">
        <v>25</v>
      </c>
      <c r="CI20" s="227">
        <v>25</v>
      </c>
      <c r="CJ20" s="227">
        <v>25</v>
      </c>
      <c r="CK20" s="227">
        <v>25</v>
      </c>
      <c r="CL20" s="227">
        <v>25</v>
      </c>
      <c r="CM20" s="227">
        <v>25</v>
      </c>
      <c r="CN20" s="227">
        <v>25</v>
      </c>
      <c r="CO20" s="227">
        <v>25</v>
      </c>
      <c r="CP20" s="227">
        <v>25</v>
      </c>
      <c r="CQ20" s="227">
        <v>25</v>
      </c>
      <c r="CR20" s="227">
        <v>25</v>
      </c>
      <c r="CS20" s="227">
        <v>25</v>
      </c>
      <c r="CT20" s="227">
        <v>25</v>
      </c>
      <c r="CU20" s="227">
        <v>25</v>
      </c>
      <c r="CV20" s="227">
        <v>25</v>
      </c>
      <c r="CW20" s="227">
        <v>25</v>
      </c>
      <c r="CX20" s="227">
        <v>25</v>
      </c>
      <c r="CY20" s="227">
        <v>25</v>
      </c>
      <c r="CZ20" s="227">
        <v>25</v>
      </c>
      <c r="DA20" s="227">
        <v>25</v>
      </c>
      <c r="DB20" s="227">
        <v>25</v>
      </c>
      <c r="DC20" s="227">
        <v>25</v>
      </c>
      <c r="DD20" s="227">
        <v>25</v>
      </c>
      <c r="DE20" s="227">
        <v>25</v>
      </c>
      <c r="DF20" s="227">
        <v>25</v>
      </c>
      <c r="DG20" s="282">
        <f t="shared" si="14"/>
        <v>0</v>
      </c>
      <c r="DH20" s="282">
        <f t="shared" si="14"/>
        <v>0</v>
      </c>
      <c r="DI20" s="282">
        <f t="shared" si="14"/>
        <v>0</v>
      </c>
      <c r="DJ20" s="282">
        <f t="shared" si="14"/>
        <v>0</v>
      </c>
      <c r="DK20" s="282">
        <f t="shared" si="14"/>
        <v>0</v>
      </c>
      <c r="DL20" s="282">
        <f t="shared" si="14"/>
        <v>0</v>
      </c>
      <c r="DM20" s="282">
        <f t="shared" si="14"/>
        <v>0</v>
      </c>
      <c r="DN20" s="282">
        <f t="shared" si="14"/>
        <v>0</v>
      </c>
      <c r="DO20" s="282">
        <f t="shared" si="14"/>
        <v>0</v>
      </c>
      <c r="DP20" s="282">
        <f t="shared" si="14"/>
        <v>0</v>
      </c>
      <c r="DQ20" s="282">
        <f t="shared" si="14"/>
        <v>0</v>
      </c>
      <c r="DR20" s="282">
        <f t="shared" si="14"/>
        <v>0</v>
      </c>
      <c r="DS20" s="282">
        <f t="shared" si="14"/>
        <v>0</v>
      </c>
      <c r="DT20" s="282">
        <f t="shared" si="14"/>
        <v>0</v>
      </c>
      <c r="DU20" s="282">
        <f t="shared" si="14"/>
        <v>0</v>
      </c>
      <c r="DV20" s="282">
        <f t="shared" si="14"/>
        <v>0</v>
      </c>
      <c r="DW20" s="282">
        <f t="shared" si="15"/>
        <v>0</v>
      </c>
      <c r="DX20" s="282">
        <f t="shared" si="15"/>
        <v>0</v>
      </c>
      <c r="DY20" s="282">
        <f t="shared" si="15"/>
        <v>0</v>
      </c>
      <c r="DZ20" s="282">
        <f t="shared" si="15"/>
        <v>0</v>
      </c>
      <c r="EA20" s="282">
        <f t="shared" si="15"/>
        <v>0</v>
      </c>
      <c r="EB20" s="282">
        <f t="shared" si="15"/>
        <v>0</v>
      </c>
      <c r="EC20" s="282">
        <f t="shared" si="15"/>
        <v>0</v>
      </c>
      <c r="ED20" s="282">
        <f t="shared" si="15"/>
        <v>0</v>
      </c>
      <c r="EE20" s="282">
        <f t="shared" si="15"/>
        <v>0</v>
      </c>
      <c r="EF20" s="282">
        <f t="shared" si="15"/>
        <v>25</v>
      </c>
      <c r="EG20" s="282">
        <f t="shared" si="15"/>
        <v>50</v>
      </c>
      <c r="EH20" s="282">
        <f t="shared" si="15"/>
        <v>75</v>
      </c>
      <c r="EI20" s="282">
        <f>SUM(AK20:AV20)</f>
        <v>100</v>
      </c>
      <c r="EJ20" s="282">
        <f t="shared" si="16"/>
        <v>150</v>
      </c>
      <c r="EK20" s="282">
        <f t="shared" si="16"/>
        <v>175</v>
      </c>
      <c r="EL20" s="282">
        <f t="shared" si="16"/>
        <v>200</v>
      </c>
      <c r="EM20" s="282">
        <f t="shared" si="16"/>
        <v>225</v>
      </c>
      <c r="EN20" s="282">
        <f t="shared" si="16"/>
        <v>250</v>
      </c>
      <c r="EO20" s="282">
        <f t="shared" si="16"/>
        <v>275</v>
      </c>
      <c r="EP20" s="282">
        <f t="shared" si="16"/>
        <v>300</v>
      </c>
      <c r="EQ20" s="282">
        <f t="shared" si="16"/>
        <v>325</v>
      </c>
      <c r="ER20" s="282">
        <f t="shared" si="16"/>
        <v>325</v>
      </c>
      <c r="ES20" s="282">
        <f t="shared" si="16"/>
        <v>325</v>
      </c>
      <c r="ET20" s="282">
        <f t="shared" si="16"/>
        <v>325</v>
      </c>
      <c r="EU20" s="282">
        <f t="shared" si="16"/>
        <v>325</v>
      </c>
      <c r="EV20" s="282">
        <f t="shared" si="16"/>
        <v>325</v>
      </c>
      <c r="EW20" s="282">
        <f t="shared" si="16"/>
        <v>325</v>
      </c>
      <c r="EX20" s="282">
        <f t="shared" si="16"/>
        <v>325</v>
      </c>
      <c r="EY20" s="282">
        <f t="shared" si="16"/>
        <v>325</v>
      </c>
      <c r="EZ20" s="282">
        <f t="shared" si="17"/>
        <v>325</v>
      </c>
      <c r="FA20" s="282">
        <f t="shared" si="17"/>
        <v>325</v>
      </c>
      <c r="FB20" s="282">
        <f t="shared" si="17"/>
        <v>325</v>
      </c>
      <c r="FC20" s="282">
        <f t="shared" si="17"/>
        <v>325</v>
      </c>
      <c r="FD20" s="282">
        <f t="shared" si="17"/>
        <v>325</v>
      </c>
      <c r="FE20" s="282">
        <f t="shared" si="17"/>
        <v>325</v>
      </c>
      <c r="FF20" s="282">
        <f t="shared" si="17"/>
        <v>325</v>
      </c>
      <c r="FG20" s="282">
        <f t="shared" si="17"/>
        <v>325</v>
      </c>
      <c r="FH20" s="282">
        <f t="shared" si="17"/>
        <v>325</v>
      </c>
      <c r="FI20" s="282">
        <f t="shared" si="17"/>
        <v>325</v>
      </c>
      <c r="FJ20" s="282">
        <f t="shared" si="17"/>
        <v>325</v>
      </c>
      <c r="FK20" s="282">
        <f t="shared" si="17"/>
        <v>325</v>
      </c>
      <c r="FL20" s="282">
        <f t="shared" si="17"/>
        <v>325</v>
      </c>
      <c r="FM20" s="282">
        <f t="shared" si="17"/>
        <v>325</v>
      </c>
      <c r="FN20" s="282">
        <f t="shared" si="17"/>
        <v>325</v>
      </c>
      <c r="FO20" s="282">
        <f t="shared" si="17"/>
        <v>325</v>
      </c>
      <c r="FP20" s="282">
        <f t="shared" si="18"/>
        <v>325</v>
      </c>
      <c r="FQ20" s="282">
        <f t="shared" si="18"/>
        <v>325</v>
      </c>
      <c r="FR20" s="282">
        <f t="shared" si="18"/>
        <v>325</v>
      </c>
      <c r="FS20" s="282">
        <f t="shared" si="18"/>
        <v>325</v>
      </c>
      <c r="FT20" s="282">
        <f t="shared" si="18"/>
        <v>325</v>
      </c>
      <c r="FU20" s="282">
        <f t="shared" si="18"/>
        <v>325</v>
      </c>
      <c r="FV20" s="282">
        <f t="shared" si="18"/>
        <v>325</v>
      </c>
      <c r="FW20" s="282">
        <f t="shared" si="18"/>
        <v>325</v>
      </c>
      <c r="FX20" s="282">
        <f t="shared" si="18"/>
        <v>325</v>
      </c>
      <c r="FY20" s="282">
        <f t="shared" si="18"/>
        <v>325</v>
      </c>
      <c r="FZ20" s="282">
        <f t="shared" si="18"/>
        <v>325</v>
      </c>
      <c r="GA20" s="282">
        <f t="shared" si="18"/>
        <v>325</v>
      </c>
      <c r="GB20" s="282">
        <f t="shared" si="18"/>
        <v>325</v>
      </c>
      <c r="GC20" s="282">
        <f t="shared" si="18"/>
        <v>325</v>
      </c>
      <c r="GD20" s="282">
        <f t="shared" si="18"/>
        <v>325</v>
      </c>
      <c r="GE20" s="282">
        <f t="shared" si="18"/>
        <v>325</v>
      </c>
      <c r="GF20" s="282">
        <f t="shared" si="19"/>
        <v>325</v>
      </c>
      <c r="GG20" s="282">
        <f t="shared" si="19"/>
        <v>325</v>
      </c>
      <c r="GH20" s="282">
        <f t="shared" si="19"/>
        <v>325</v>
      </c>
      <c r="GI20" s="282">
        <f t="shared" si="19"/>
        <v>325</v>
      </c>
      <c r="GJ20" s="282">
        <f t="shared" si="19"/>
        <v>325</v>
      </c>
      <c r="GK20" s="282">
        <f t="shared" si="19"/>
        <v>325</v>
      </c>
      <c r="GL20" s="282">
        <f t="shared" si="19"/>
        <v>325</v>
      </c>
      <c r="GM20" s="282">
        <f t="shared" si="19"/>
        <v>325</v>
      </c>
      <c r="GN20" s="282">
        <f t="shared" si="19"/>
        <v>325</v>
      </c>
      <c r="GO20" s="282">
        <f t="shared" si="19"/>
        <v>325</v>
      </c>
      <c r="GP20" s="282">
        <f t="shared" si="12"/>
        <v>325</v>
      </c>
      <c r="GQ20" s="282">
        <f t="shared" si="12"/>
        <v>325</v>
      </c>
      <c r="GR20" s="282">
        <f t="shared" si="12"/>
        <v>325</v>
      </c>
      <c r="GS20" s="282">
        <f>SUM(CU20:DG20)</f>
        <v>300</v>
      </c>
      <c r="GT20" s="283">
        <f>SUM(I20:CE20)</f>
        <v>975</v>
      </c>
    </row>
    <row r="21" spans="1:202" s="182" customFormat="1">
      <c r="A21" s="222" t="s">
        <v>647</v>
      </c>
      <c r="B21" s="224">
        <v>148</v>
      </c>
      <c r="C21" s="224" t="s">
        <v>634</v>
      </c>
      <c r="D21" s="224"/>
      <c r="E21" s="225"/>
      <c r="F21" s="225"/>
      <c r="G21" s="225"/>
      <c r="H21" s="225">
        <v>120</v>
      </c>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v>1</v>
      </c>
      <c r="AT21" s="227">
        <v>1</v>
      </c>
      <c r="AU21" s="227">
        <v>1</v>
      </c>
      <c r="AV21" s="227">
        <v>1</v>
      </c>
      <c r="AW21" s="227">
        <v>1</v>
      </c>
      <c r="AX21" s="227">
        <v>1</v>
      </c>
      <c r="AY21" s="227">
        <v>1</v>
      </c>
      <c r="AZ21" s="227">
        <v>1</v>
      </c>
      <c r="BA21" s="227">
        <v>1</v>
      </c>
      <c r="BB21" s="227">
        <v>1</v>
      </c>
      <c r="BC21" s="227">
        <v>1</v>
      </c>
      <c r="BD21" s="227">
        <v>1</v>
      </c>
      <c r="BE21" s="227">
        <v>1</v>
      </c>
      <c r="BF21" s="227">
        <v>1</v>
      </c>
      <c r="BG21" s="227">
        <v>1</v>
      </c>
      <c r="BH21" s="227">
        <v>1</v>
      </c>
      <c r="BI21" s="227">
        <v>1</v>
      </c>
      <c r="BJ21" s="227">
        <v>1</v>
      </c>
      <c r="BK21" s="227">
        <v>1</v>
      </c>
      <c r="BL21" s="227">
        <v>1</v>
      </c>
      <c r="BM21" s="227">
        <v>1</v>
      </c>
      <c r="BN21" s="227">
        <v>1</v>
      </c>
      <c r="BO21" s="227">
        <v>1</v>
      </c>
      <c r="BP21" s="227">
        <v>1</v>
      </c>
      <c r="BQ21" s="227">
        <v>1</v>
      </c>
      <c r="BR21" s="227">
        <v>1</v>
      </c>
      <c r="BS21" s="227">
        <v>1</v>
      </c>
      <c r="BT21" s="227">
        <v>1</v>
      </c>
      <c r="BU21" s="227">
        <v>1</v>
      </c>
      <c r="BV21" s="227">
        <v>1</v>
      </c>
      <c r="BW21" s="227">
        <v>1</v>
      </c>
      <c r="BX21" s="227">
        <v>1</v>
      </c>
      <c r="BY21" s="227">
        <v>1</v>
      </c>
      <c r="BZ21" s="227">
        <v>1</v>
      </c>
      <c r="CA21" s="227">
        <v>1</v>
      </c>
      <c r="CB21" s="227">
        <v>1</v>
      </c>
      <c r="CC21" s="227">
        <v>1</v>
      </c>
      <c r="CD21" s="227">
        <v>1</v>
      </c>
      <c r="CE21" s="227">
        <v>1</v>
      </c>
      <c r="CF21" s="227">
        <v>1</v>
      </c>
      <c r="CG21" s="227">
        <v>1</v>
      </c>
      <c r="CH21" s="227">
        <v>1</v>
      </c>
      <c r="CI21" s="227">
        <v>1</v>
      </c>
      <c r="CJ21" s="227">
        <v>1</v>
      </c>
      <c r="CK21" s="227">
        <v>1</v>
      </c>
      <c r="CL21" s="227">
        <v>1</v>
      </c>
      <c r="CM21" s="227">
        <v>1</v>
      </c>
      <c r="CN21" s="227">
        <v>1</v>
      </c>
      <c r="CO21" s="227">
        <v>1</v>
      </c>
      <c r="CP21" s="227">
        <v>1</v>
      </c>
      <c r="CQ21" s="227">
        <v>1</v>
      </c>
      <c r="CR21" s="227">
        <v>1</v>
      </c>
      <c r="CS21" s="227">
        <v>1</v>
      </c>
      <c r="CT21" s="227">
        <v>1</v>
      </c>
      <c r="CU21" s="227">
        <v>1</v>
      </c>
      <c r="CV21" s="227">
        <v>1</v>
      </c>
      <c r="CW21" s="227">
        <v>1</v>
      </c>
      <c r="CX21" s="227">
        <v>1</v>
      </c>
      <c r="CY21" s="227">
        <v>1</v>
      </c>
      <c r="CZ21" s="227">
        <v>1</v>
      </c>
      <c r="DA21" s="227">
        <v>1</v>
      </c>
      <c r="DB21" s="227">
        <v>1</v>
      </c>
      <c r="DC21" s="227">
        <v>1</v>
      </c>
      <c r="DD21" s="227">
        <v>1</v>
      </c>
      <c r="DE21" s="227">
        <v>1</v>
      </c>
      <c r="DF21" s="227">
        <v>1</v>
      </c>
      <c r="DG21" s="282">
        <f t="shared" si="14"/>
        <v>0</v>
      </c>
      <c r="DH21" s="282">
        <f t="shared" si="14"/>
        <v>0</v>
      </c>
      <c r="DI21" s="282">
        <f t="shared" si="14"/>
        <v>0</v>
      </c>
      <c r="DJ21" s="282">
        <f t="shared" si="14"/>
        <v>0</v>
      </c>
      <c r="DK21" s="282">
        <f t="shared" si="14"/>
        <v>0</v>
      </c>
      <c r="DL21" s="282">
        <f t="shared" si="14"/>
        <v>0</v>
      </c>
      <c r="DM21" s="282">
        <f t="shared" si="14"/>
        <v>0</v>
      </c>
      <c r="DN21" s="282">
        <f t="shared" si="14"/>
        <v>0</v>
      </c>
      <c r="DO21" s="282">
        <f t="shared" si="14"/>
        <v>0</v>
      </c>
      <c r="DP21" s="282">
        <f t="shared" si="14"/>
        <v>0</v>
      </c>
      <c r="DQ21" s="282">
        <f t="shared" si="14"/>
        <v>0</v>
      </c>
      <c r="DR21" s="282">
        <f t="shared" si="14"/>
        <v>0</v>
      </c>
      <c r="DS21" s="282">
        <f t="shared" si="14"/>
        <v>0</v>
      </c>
      <c r="DT21" s="282">
        <f t="shared" si="14"/>
        <v>0</v>
      </c>
      <c r="DU21" s="282">
        <f t="shared" si="14"/>
        <v>0</v>
      </c>
      <c r="DV21" s="282">
        <f t="shared" si="14"/>
        <v>0</v>
      </c>
      <c r="DW21" s="282">
        <f t="shared" si="15"/>
        <v>0</v>
      </c>
      <c r="DX21" s="282">
        <f t="shared" si="15"/>
        <v>0</v>
      </c>
      <c r="DY21" s="282">
        <f t="shared" si="15"/>
        <v>0</v>
      </c>
      <c r="DZ21" s="282">
        <f t="shared" si="15"/>
        <v>0</v>
      </c>
      <c r="EA21" s="282">
        <f t="shared" si="15"/>
        <v>0</v>
      </c>
      <c r="EB21" s="282">
        <f t="shared" si="15"/>
        <v>0</v>
      </c>
      <c r="EC21" s="282">
        <f t="shared" si="15"/>
        <v>0</v>
      </c>
      <c r="ED21" s="282">
        <f t="shared" si="15"/>
        <v>0</v>
      </c>
      <c r="EE21" s="282">
        <f t="shared" si="15"/>
        <v>0</v>
      </c>
      <c r="EF21" s="282">
        <f t="shared" si="15"/>
        <v>1</v>
      </c>
      <c r="EG21" s="282">
        <f t="shared" si="15"/>
        <v>2</v>
      </c>
      <c r="EH21" s="282">
        <f t="shared" si="15"/>
        <v>3</v>
      </c>
      <c r="EI21" s="282">
        <f>SUM(AK21:AV21)</f>
        <v>4</v>
      </c>
      <c r="EJ21" s="282">
        <f t="shared" si="16"/>
        <v>6</v>
      </c>
      <c r="EK21" s="282">
        <f t="shared" si="16"/>
        <v>7</v>
      </c>
      <c r="EL21" s="282">
        <f t="shared" si="16"/>
        <v>8</v>
      </c>
      <c r="EM21" s="282">
        <f t="shared" si="16"/>
        <v>9</v>
      </c>
      <c r="EN21" s="282">
        <f t="shared" si="16"/>
        <v>10</v>
      </c>
      <c r="EO21" s="282">
        <f t="shared" si="16"/>
        <v>11</v>
      </c>
      <c r="EP21" s="282">
        <f t="shared" si="16"/>
        <v>12</v>
      </c>
      <c r="EQ21" s="282">
        <f t="shared" si="16"/>
        <v>13</v>
      </c>
      <c r="ER21" s="282">
        <f t="shared" si="16"/>
        <v>13</v>
      </c>
      <c r="ES21" s="282">
        <f t="shared" si="16"/>
        <v>13</v>
      </c>
      <c r="ET21" s="282">
        <f t="shared" si="16"/>
        <v>13</v>
      </c>
      <c r="EU21" s="282">
        <f t="shared" si="16"/>
        <v>13</v>
      </c>
      <c r="EV21" s="282">
        <f t="shared" si="16"/>
        <v>13</v>
      </c>
      <c r="EW21" s="282">
        <f t="shared" si="16"/>
        <v>13</v>
      </c>
      <c r="EX21" s="282">
        <f t="shared" si="16"/>
        <v>13</v>
      </c>
      <c r="EY21" s="282">
        <f t="shared" si="16"/>
        <v>13</v>
      </c>
      <c r="EZ21" s="282">
        <f t="shared" si="17"/>
        <v>13</v>
      </c>
      <c r="FA21" s="282">
        <f t="shared" si="17"/>
        <v>13</v>
      </c>
      <c r="FB21" s="282">
        <f t="shared" si="17"/>
        <v>13</v>
      </c>
      <c r="FC21" s="282">
        <f t="shared" si="17"/>
        <v>13</v>
      </c>
      <c r="FD21" s="282">
        <f t="shared" si="17"/>
        <v>13</v>
      </c>
      <c r="FE21" s="282">
        <f t="shared" si="17"/>
        <v>13</v>
      </c>
      <c r="FF21" s="282">
        <f t="shared" si="17"/>
        <v>13</v>
      </c>
      <c r="FG21" s="282">
        <f t="shared" si="17"/>
        <v>13</v>
      </c>
      <c r="FH21" s="282">
        <f t="shared" si="17"/>
        <v>13</v>
      </c>
      <c r="FI21" s="282">
        <f t="shared" si="17"/>
        <v>13</v>
      </c>
      <c r="FJ21" s="282">
        <f t="shared" si="17"/>
        <v>13</v>
      </c>
      <c r="FK21" s="282">
        <f t="shared" si="17"/>
        <v>13</v>
      </c>
      <c r="FL21" s="282">
        <f t="shared" si="17"/>
        <v>13</v>
      </c>
      <c r="FM21" s="282">
        <f t="shared" si="17"/>
        <v>13</v>
      </c>
      <c r="FN21" s="282">
        <f t="shared" si="17"/>
        <v>13</v>
      </c>
      <c r="FO21" s="282">
        <f t="shared" si="17"/>
        <v>13</v>
      </c>
      <c r="FP21" s="282">
        <f t="shared" si="18"/>
        <v>13</v>
      </c>
      <c r="FQ21" s="282">
        <f t="shared" si="18"/>
        <v>13</v>
      </c>
      <c r="FR21" s="282">
        <f t="shared" si="18"/>
        <v>13</v>
      </c>
      <c r="FS21" s="282">
        <f t="shared" si="18"/>
        <v>13</v>
      </c>
      <c r="FT21" s="282">
        <f t="shared" si="18"/>
        <v>13</v>
      </c>
      <c r="FU21" s="282">
        <f t="shared" si="18"/>
        <v>13</v>
      </c>
      <c r="FV21" s="282">
        <f t="shared" si="18"/>
        <v>13</v>
      </c>
      <c r="FW21" s="282">
        <f t="shared" si="18"/>
        <v>13</v>
      </c>
      <c r="FX21" s="282">
        <f t="shared" si="18"/>
        <v>13</v>
      </c>
      <c r="FY21" s="282">
        <f t="shared" si="18"/>
        <v>13</v>
      </c>
      <c r="FZ21" s="282">
        <f t="shared" si="18"/>
        <v>13</v>
      </c>
      <c r="GA21" s="282">
        <f t="shared" si="18"/>
        <v>13</v>
      </c>
      <c r="GB21" s="282">
        <f t="shared" si="18"/>
        <v>13</v>
      </c>
      <c r="GC21" s="282">
        <f t="shared" si="18"/>
        <v>13</v>
      </c>
      <c r="GD21" s="282">
        <f t="shared" si="18"/>
        <v>13</v>
      </c>
      <c r="GE21" s="282">
        <f t="shared" si="18"/>
        <v>13</v>
      </c>
      <c r="GF21" s="282">
        <f t="shared" si="19"/>
        <v>13</v>
      </c>
      <c r="GG21" s="282">
        <f t="shared" si="19"/>
        <v>13</v>
      </c>
      <c r="GH21" s="282">
        <f t="shared" si="19"/>
        <v>13</v>
      </c>
      <c r="GI21" s="282">
        <f t="shared" si="19"/>
        <v>13</v>
      </c>
      <c r="GJ21" s="282">
        <f t="shared" si="19"/>
        <v>13</v>
      </c>
      <c r="GK21" s="282">
        <f t="shared" si="19"/>
        <v>13</v>
      </c>
      <c r="GL21" s="282">
        <f t="shared" si="19"/>
        <v>13</v>
      </c>
      <c r="GM21" s="282">
        <f t="shared" si="19"/>
        <v>13</v>
      </c>
      <c r="GN21" s="282">
        <f t="shared" si="19"/>
        <v>13</v>
      </c>
      <c r="GO21" s="282">
        <f t="shared" si="19"/>
        <v>13</v>
      </c>
      <c r="GP21" s="282">
        <f t="shared" si="12"/>
        <v>13</v>
      </c>
      <c r="GQ21" s="282">
        <f t="shared" si="12"/>
        <v>13</v>
      </c>
      <c r="GR21" s="282">
        <f t="shared" si="12"/>
        <v>13</v>
      </c>
      <c r="GS21" s="282">
        <f>SUM(CU21:DG21)</f>
        <v>12</v>
      </c>
      <c r="GT21" s="283">
        <f>SUM(I21:CE21)</f>
        <v>39</v>
      </c>
    </row>
    <row r="22" spans="1:202" s="182" customFormat="1">
      <c r="A22" s="222" t="s">
        <v>648</v>
      </c>
      <c r="B22" s="224">
        <v>61</v>
      </c>
      <c r="C22" s="224" t="s">
        <v>634</v>
      </c>
      <c r="D22" s="224"/>
      <c r="E22" s="225"/>
      <c r="F22" s="225"/>
      <c r="G22" s="225"/>
      <c r="H22" s="225">
        <v>120</v>
      </c>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v>3</v>
      </c>
      <c r="AT22" s="227">
        <v>3</v>
      </c>
      <c r="AU22" s="227">
        <v>3</v>
      </c>
      <c r="AV22" s="227">
        <v>3</v>
      </c>
      <c r="AW22" s="227">
        <v>3</v>
      </c>
      <c r="AX22" s="227">
        <v>3</v>
      </c>
      <c r="AY22" s="227">
        <v>3</v>
      </c>
      <c r="AZ22" s="227">
        <v>3</v>
      </c>
      <c r="BA22" s="227">
        <v>3</v>
      </c>
      <c r="BB22" s="227">
        <v>3</v>
      </c>
      <c r="BC22" s="227">
        <v>3</v>
      </c>
      <c r="BD22" s="227">
        <v>3</v>
      </c>
      <c r="BE22" s="227">
        <v>3</v>
      </c>
      <c r="BF22" s="227">
        <v>3</v>
      </c>
      <c r="BG22" s="227">
        <v>3</v>
      </c>
      <c r="BH22" s="227">
        <v>3</v>
      </c>
      <c r="BI22" s="227">
        <v>3</v>
      </c>
      <c r="BJ22" s="227">
        <v>3</v>
      </c>
      <c r="BK22" s="227">
        <v>3</v>
      </c>
      <c r="BL22" s="227">
        <v>3</v>
      </c>
      <c r="BM22" s="227">
        <v>3</v>
      </c>
      <c r="BN22" s="227">
        <v>3</v>
      </c>
      <c r="BO22" s="227">
        <v>3</v>
      </c>
      <c r="BP22" s="227">
        <v>3</v>
      </c>
      <c r="BQ22" s="227">
        <v>3</v>
      </c>
      <c r="BR22" s="227">
        <v>3</v>
      </c>
      <c r="BS22" s="227">
        <v>3</v>
      </c>
      <c r="BT22" s="227">
        <v>3</v>
      </c>
      <c r="BU22" s="227">
        <v>3</v>
      </c>
      <c r="BV22" s="227">
        <v>3</v>
      </c>
      <c r="BW22" s="227">
        <v>3</v>
      </c>
      <c r="BX22" s="227">
        <v>3</v>
      </c>
      <c r="BY22" s="227">
        <v>3</v>
      </c>
      <c r="BZ22" s="227">
        <v>3</v>
      </c>
      <c r="CA22" s="227">
        <v>3</v>
      </c>
      <c r="CB22" s="227">
        <v>3</v>
      </c>
      <c r="CC22" s="227">
        <v>3</v>
      </c>
      <c r="CD22" s="227">
        <v>3</v>
      </c>
      <c r="CE22" s="227">
        <v>3</v>
      </c>
      <c r="CF22" s="227">
        <v>3</v>
      </c>
      <c r="CG22" s="227">
        <v>3</v>
      </c>
      <c r="CH22" s="227">
        <v>3</v>
      </c>
      <c r="CI22" s="227">
        <v>3</v>
      </c>
      <c r="CJ22" s="227">
        <v>3</v>
      </c>
      <c r="CK22" s="227">
        <v>3</v>
      </c>
      <c r="CL22" s="227">
        <v>3</v>
      </c>
      <c r="CM22" s="227">
        <v>3</v>
      </c>
      <c r="CN22" s="227">
        <v>3</v>
      </c>
      <c r="CO22" s="227">
        <v>3</v>
      </c>
      <c r="CP22" s="227">
        <v>3</v>
      </c>
      <c r="CQ22" s="227">
        <v>3</v>
      </c>
      <c r="CR22" s="227">
        <v>3</v>
      </c>
      <c r="CS22" s="227">
        <v>3</v>
      </c>
      <c r="CT22" s="227">
        <v>3</v>
      </c>
      <c r="CU22" s="227">
        <v>3</v>
      </c>
      <c r="CV22" s="227">
        <v>3</v>
      </c>
      <c r="CW22" s="227">
        <v>3</v>
      </c>
      <c r="CX22" s="227">
        <v>3</v>
      </c>
      <c r="CY22" s="227">
        <v>3</v>
      </c>
      <c r="CZ22" s="227">
        <v>3</v>
      </c>
      <c r="DA22" s="227">
        <v>3</v>
      </c>
      <c r="DB22" s="227">
        <v>3</v>
      </c>
      <c r="DC22" s="227">
        <v>3</v>
      </c>
      <c r="DD22" s="227">
        <v>3</v>
      </c>
      <c r="DE22" s="227">
        <v>3</v>
      </c>
      <c r="DF22" s="227">
        <v>3</v>
      </c>
      <c r="DG22" s="282">
        <f t="shared" si="14"/>
        <v>0</v>
      </c>
      <c r="DH22" s="282">
        <f t="shared" si="14"/>
        <v>0</v>
      </c>
      <c r="DI22" s="282">
        <f t="shared" si="14"/>
        <v>0</v>
      </c>
      <c r="DJ22" s="282">
        <f t="shared" si="14"/>
        <v>0</v>
      </c>
      <c r="DK22" s="282">
        <f t="shared" si="14"/>
        <v>0</v>
      </c>
      <c r="DL22" s="282">
        <f t="shared" si="14"/>
        <v>0</v>
      </c>
      <c r="DM22" s="282">
        <f t="shared" si="14"/>
        <v>0</v>
      </c>
      <c r="DN22" s="282">
        <f t="shared" si="14"/>
        <v>0</v>
      </c>
      <c r="DO22" s="282">
        <f t="shared" si="14"/>
        <v>0</v>
      </c>
      <c r="DP22" s="282">
        <f t="shared" si="14"/>
        <v>0</v>
      </c>
      <c r="DQ22" s="282">
        <f t="shared" si="14"/>
        <v>0</v>
      </c>
      <c r="DR22" s="282">
        <f t="shared" si="14"/>
        <v>0</v>
      </c>
      <c r="DS22" s="282">
        <f t="shared" si="14"/>
        <v>0</v>
      </c>
      <c r="DT22" s="282">
        <f t="shared" si="14"/>
        <v>0</v>
      </c>
      <c r="DU22" s="282">
        <f t="shared" si="14"/>
        <v>0</v>
      </c>
      <c r="DV22" s="282">
        <f t="shared" si="14"/>
        <v>0</v>
      </c>
      <c r="DW22" s="282">
        <f t="shared" si="15"/>
        <v>0</v>
      </c>
      <c r="DX22" s="282">
        <f t="shared" si="15"/>
        <v>0</v>
      </c>
      <c r="DY22" s="282">
        <f t="shared" si="15"/>
        <v>0</v>
      </c>
      <c r="DZ22" s="282">
        <f t="shared" si="15"/>
        <v>0</v>
      </c>
      <c r="EA22" s="282">
        <f t="shared" si="15"/>
        <v>0</v>
      </c>
      <c r="EB22" s="282">
        <f t="shared" si="15"/>
        <v>0</v>
      </c>
      <c r="EC22" s="282">
        <f t="shared" si="15"/>
        <v>0</v>
      </c>
      <c r="ED22" s="282">
        <f t="shared" si="15"/>
        <v>0</v>
      </c>
      <c r="EE22" s="282">
        <f t="shared" si="15"/>
        <v>0</v>
      </c>
      <c r="EF22" s="282">
        <f t="shared" si="15"/>
        <v>3</v>
      </c>
      <c r="EG22" s="282">
        <f t="shared" si="15"/>
        <v>6</v>
      </c>
      <c r="EH22" s="282">
        <f t="shared" si="15"/>
        <v>9</v>
      </c>
      <c r="EI22" s="282">
        <f>SUM(AK22:AV22)</f>
        <v>12</v>
      </c>
      <c r="EJ22" s="282">
        <f t="shared" si="16"/>
        <v>18</v>
      </c>
      <c r="EK22" s="282">
        <f t="shared" si="16"/>
        <v>21</v>
      </c>
      <c r="EL22" s="282">
        <f t="shared" si="16"/>
        <v>24</v>
      </c>
      <c r="EM22" s="282">
        <f t="shared" si="16"/>
        <v>27</v>
      </c>
      <c r="EN22" s="282">
        <f t="shared" si="16"/>
        <v>30</v>
      </c>
      <c r="EO22" s="282">
        <f t="shared" si="16"/>
        <v>33</v>
      </c>
      <c r="EP22" s="282">
        <f t="shared" si="16"/>
        <v>36</v>
      </c>
      <c r="EQ22" s="282">
        <f t="shared" si="16"/>
        <v>39</v>
      </c>
      <c r="ER22" s="282">
        <f t="shared" si="16"/>
        <v>39</v>
      </c>
      <c r="ES22" s="282">
        <f t="shared" si="16"/>
        <v>39</v>
      </c>
      <c r="ET22" s="282">
        <f t="shared" si="16"/>
        <v>39</v>
      </c>
      <c r="EU22" s="282">
        <f t="shared" si="16"/>
        <v>39</v>
      </c>
      <c r="EV22" s="282">
        <f t="shared" si="16"/>
        <v>39</v>
      </c>
      <c r="EW22" s="282">
        <f t="shared" si="16"/>
        <v>39</v>
      </c>
      <c r="EX22" s="282">
        <f t="shared" si="16"/>
        <v>39</v>
      </c>
      <c r="EY22" s="282">
        <f t="shared" si="16"/>
        <v>39</v>
      </c>
      <c r="EZ22" s="282">
        <f t="shared" si="17"/>
        <v>39</v>
      </c>
      <c r="FA22" s="282">
        <f t="shared" si="17"/>
        <v>39</v>
      </c>
      <c r="FB22" s="282">
        <f t="shared" si="17"/>
        <v>39</v>
      </c>
      <c r="FC22" s="282">
        <f t="shared" si="17"/>
        <v>39</v>
      </c>
      <c r="FD22" s="282">
        <f t="shared" si="17"/>
        <v>39</v>
      </c>
      <c r="FE22" s="282">
        <f t="shared" si="17"/>
        <v>39</v>
      </c>
      <c r="FF22" s="282">
        <f t="shared" si="17"/>
        <v>39</v>
      </c>
      <c r="FG22" s="282">
        <f t="shared" si="17"/>
        <v>39</v>
      </c>
      <c r="FH22" s="282">
        <f t="shared" si="17"/>
        <v>39</v>
      </c>
      <c r="FI22" s="282">
        <f t="shared" si="17"/>
        <v>39</v>
      </c>
      <c r="FJ22" s="282">
        <f t="shared" si="17"/>
        <v>39</v>
      </c>
      <c r="FK22" s="282">
        <f t="shared" si="17"/>
        <v>39</v>
      </c>
      <c r="FL22" s="282">
        <f t="shared" si="17"/>
        <v>39</v>
      </c>
      <c r="FM22" s="282">
        <f t="shared" si="17"/>
        <v>39</v>
      </c>
      <c r="FN22" s="282">
        <f t="shared" si="17"/>
        <v>39</v>
      </c>
      <c r="FO22" s="282">
        <f t="shared" si="17"/>
        <v>39</v>
      </c>
      <c r="FP22" s="282">
        <f t="shared" si="18"/>
        <v>39</v>
      </c>
      <c r="FQ22" s="282">
        <f t="shared" si="18"/>
        <v>39</v>
      </c>
      <c r="FR22" s="282">
        <f t="shared" si="18"/>
        <v>39</v>
      </c>
      <c r="FS22" s="282">
        <f t="shared" si="18"/>
        <v>39</v>
      </c>
      <c r="FT22" s="282">
        <f t="shared" si="18"/>
        <v>39</v>
      </c>
      <c r="FU22" s="282">
        <f t="shared" si="18"/>
        <v>39</v>
      </c>
      <c r="FV22" s="282">
        <f t="shared" si="18"/>
        <v>39</v>
      </c>
      <c r="FW22" s="282">
        <f t="shared" si="18"/>
        <v>39</v>
      </c>
      <c r="FX22" s="282">
        <f t="shared" si="18"/>
        <v>39</v>
      </c>
      <c r="FY22" s="282">
        <f t="shared" si="18"/>
        <v>39</v>
      </c>
      <c r="FZ22" s="282">
        <f t="shared" si="18"/>
        <v>39</v>
      </c>
      <c r="GA22" s="282">
        <f t="shared" si="18"/>
        <v>39</v>
      </c>
      <c r="GB22" s="282">
        <f t="shared" si="18"/>
        <v>39</v>
      </c>
      <c r="GC22" s="282">
        <f t="shared" si="18"/>
        <v>39</v>
      </c>
      <c r="GD22" s="282">
        <f t="shared" si="18"/>
        <v>39</v>
      </c>
      <c r="GE22" s="282">
        <f t="shared" si="18"/>
        <v>39</v>
      </c>
      <c r="GF22" s="282">
        <f t="shared" si="19"/>
        <v>39</v>
      </c>
      <c r="GG22" s="282">
        <f t="shared" si="19"/>
        <v>39</v>
      </c>
      <c r="GH22" s="282">
        <f t="shared" si="19"/>
        <v>39</v>
      </c>
      <c r="GI22" s="282">
        <f t="shared" si="19"/>
        <v>39</v>
      </c>
      <c r="GJ22" s="282">
        <f t="shared" si="19"/>
        <v>39</v>
      </c>
      <c r="GK22" s="282">
        <f t="shared" si="19"/>
        <v>39</v>
      </c>
      <c r="GL22" s="282">
        <f t="shared" si="19"/>
        <v>39</v>
      </c>
      <c r="GM22" s="282">
        <f t="shared" si="19"/>
        <v>39</v>
      </c>
      <c r="GN22" s="282">
        <f t="shared" si="19"/>
        <v>39</v>
      </c>
      <c r="GO22" s="282">
        <f t="shared" si="19"/>
        <v>39</v>
      </c>
      <c r="GP22" s="282">
        <f t="shared" si="12"/>
        <v>39</v>
      </c>
      <c r="GQ22" s="282">
        <f t="shared" si="12"/>
        <v>39</v>
      </c>
      <c r="GR22" s="282">
        <f t="shared" si="12"/>
        <v>39</v>
      </c>
      <c r="GS22" s="282">
        <f>SUM(CU22:DG22)</f>
        <v>36</v>
      </c>
      <c r="GT22" s="283">
        <f>SUM(I22:CE22)</f>
        <v>117</v>
      </c>
    </row>
    <row r="23" spans="1:202" s="182" customFormat="1">
      <c r="A23" s="222" t="s">
        <v>649</v>
      </c>
      <c r="B23" s="224">
        <v>500</v>
      </c>
      <c r="C23" s="224" t="s">
        <v>634</v>
      </c>
      <c r="D23" s="224"/>
      <c r="E23" s="225"/>
      <c r="F23" s="225"/>
      <c r="G23" s="225"/>
      <c r="H23" s="225">
        <v>300</v>
      </c>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84"/>
      <c r="AV23" s="227">
        <v>4</v>
      </c>
      <c r="AW23" s="227">
        <v>4</v>
      </c>
      <c r="AX23" s="227">
        <v>4</v>
      </c>
      <c r="AY23" s="227">
        <v>4</v>
      </c>
      <c r="AZ23" s="227">
        <v>4</v>
      </c>
      <c r="BA23" s="227">
        <v>4</v>
      </c>
      <c r="BB23" s="227"/>
      <c r="BC23" s="227"/>
      <c r="BD23" s="227"/>
      <c r="BE23" s="227"/>
      <c r="BF23" s="227"/>
      <c r="BG23" s="227"/>
      <c r="BH23" s="227">
        <v>4</v>
      </c>
      <c r="BI23" s="227">
        <v>4</v>
      </c>
      <c r="BJ23" s="227">
        <v>4</v>
      </c>
      <c r="BK23" s="227">
        <v>4</v>
      </c>
      <c r="BL23" s="227">
        <v>4</v>
      </c>
      <c r="BM23" s="227">
        <v>4</v>
      </c>
      <c r="BN23" s="227"/>
      <c r="BO23" s="227"/>
      <c r="BP23" s="227"/>
      <c r="BQ23" s="227"/>
      <c r="BR23" s="227"/>
      <c r="BS23" s="227"/>
      <c r="BT23" s="227">
        <v>4</v>
      </c>
      <c r="BU23" s="227">
        <v>4</v>
      </c>
      <c r="BV23" s="227">
        <v>4</v>
      </c>
      <c r="BW23" s="227">
        <v>4</v>
      </c>
      <c r="BX23" s="227">
        <v>4</v>
      </c>
      <c r="BY23" s="227">
        <v>4</v>
      </c>
      <c r="BZ23" s="227"/>
      <c r="CA23" s="227"/>
      <c r="CB23" s="227"/>
      <c r="CC23" s="227"/>
      <c r="CD23" s="227"/>
      <c r="CE23" s="227"/>
      <c r="CF23" s="227">
        <v>4</v>
      </c>
      <c r="CG23" s="227">
        <v>4</v>
      </c>
      <c r="CH23" s="227">
        <v>4</v>
      </c>
      <c r="CI23" s="227">
        <v>4</v>
      </c>
      <c r="CJ23" s="227">
        <v>4</v>
      </c>
      <c r="CK23" s="227">
        <v>4</v>
      </c>
      <c r="CL23" s="227"/>
      <c r="CM23" s="227"/>
      <c r="CN23" s="227"/>
      <c r="CO23" s="227"/>
      <c r="CP23" s="227"/>
      <c r="CQ23" s="227"/>
      <c r="CR23" s="227">
        <v>4</v>
      </c>
      <c r="CS23" s="227">
        <v>4</v>
      </c>
      <c r="CT23" s="227">
        <v>4</v>
      </c>
      <c r="CU23" s="227">
        <v>4</v>
      </c>
      <c r="CV23" s="227">
        <v>4</v>
      </c>
      <c r="CW23" s="227">
        <v>4</v>
      </c>
      <c r="CX23" s="227"/>
      <c r="CY23" s="227"/>
      <c r="CZ23" s="227"/>
      <c r="DA23" s="227"/>
      <c r="DB23" s="227"/>
      <c r="DC23" s="227"/>
      <c r="DD23" s="227">
        <v>4</v>
      </c>
      <c r="DE23" s="227">
        <v>4</v>
      </c>
      <c r="DF23" s="227">
        <v>4</v>
      </c>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3"/>
    </row>
    <row r="24" spans="1:202" s="182" customFormat="1">
      <c r="A24" s="222" t="s">
        <v>650</v>
      </c>
      <c r="B24" s="224">
        <v>135</v>
      </c>
      <c r="C24" s="224" t="s">
        <v>634</v>
      </c>
      <c r="D24" s="224"/>
      <c r="E24" s="225"/>
      <c r="F24" s="225"/>
      <c r="G24" s="225"/>
      <c r="H24" s="225">
        <v>60</v>
      </c>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v>4</v>
      </c>
      <c r="AT24" s="227">
        <v>4</v>
      </c>
      <c r="AU24" s="227">
        <v>4</v>
      </c>
      <c r="AV24" s="227">
        <v>4</v>
      </c>
      <c r="AW24" s="227">
        <v>4</v>
      </c>
      <c r="AX24" s="227">
        <v>4</v>
      </c>
      <c r="AY24" s="227">
        <v>4</v>
      </c>
      <c r="AZ24" s="227">
        <v>4</v>
      </c>
      <c r="BA24" s="227">
        <v>4</v>
      </c>
      <c r="BB24" s="227">
        <v>4</v>
      </c>
      <c r="BC24" s="227">
        <v>4</v>
      </c>
      <c r="BD24" s="227">
        <v>4</v>
      </c>
      <c r="BE24" s="227">
        <v>4</v>
      </c>
      <c r="BF24" s="227">
        <v>4</v>
      </c>
      <c r="BG24" s="227">
        <v>4</v>
      </c>
      <c r="BH24" s="227">
        <v>4</v>
      </c>
      <c r="BI24" s="227">
        <v>4</v>
      </c>
      <c r="BJ24" s="227">
        <v>4</v>
      </c>
      <c r="BK24" s="227">
        <v>4</v>
      </c>
      <c r="BL24" s="227">
        <v>4</v>
      </c>
      <c r="BM24" s="227">
        <v>4</v>
      </c>
      <c r="BN24" s="227">
        <v>4</v>
      </c>
      <c r="BO24" s="227">
        <v>4</v>
      </c>
      <c r="BP24" s="227">
        <v>4</v>
      </c>
      <c r="BQ24" s="227">
        <v>4</v>
      </c>
      <c r="BR24" s="227">
        <v>4</v>
      </c>
      <c r="BS24" s="227">
        <v>4</v>
      </c>
      <c r="BT24" s="227">
        <v>4</v>
      </c>
      <c r="BU24" s="227">
        <v>4</v>
      </c>
      <c r="BV24" s="227">
        <v>4</v>
      </c>
      <c r="BW24" s="227">
        <v>4</v>
      </c>
      <c r="BX24" s="227">
        <v>4</v>
      </c>
      <c r="BY24" s="227">
        <v>4</v>
      </c>
      <c r="BZ24" s="227">
        <v>4</v>
      </c>
      <c r="CA24" s="227">
        <v>4</v>
      </c>
      <c r="CB24" s="227">
        <v>4</v>
      </c>
      <c r="CC24" s="227">
        <v>4</v>
      </c>
      <c r="CD24" s="227">
        <v>4</v>
      </c>
      <c r="CE24" s="227">
        <v>4</v>
      </c>
      <c r="CF24" s="227">
        <v>4</v>
      </c>
      <c r="CG24" s="227">
        <v>4</v>
      </c>
      <c r="CH24" s="227">
        <v>4</v>
      </c>
      <c r="CI24" s="227">
        <v>4</v>
      </c>
      <c r="CJ24" s="227">
        <v>4</v>
      </c>
      <c r="CK24" s="227">
        <v>4</v>
      </c>
      <c r="CL24" s="227">
        <v>4</v>
      </c>
      <c r="CM24" s="227">
        <v>4</v>
      </c>
      <c r="CN24" s="227">
        <v>4</v>
      </c>
      <c r="CO24" s="227">
        <v>4</v>
      </c>
      <c r="CP24" s="227">
        <v>4</v>
      </c>
      <c r="CQ24" s="227">
        <v>4</v>
      </c>
      <c r="CR24" s="227">
        <v>4</v>
      </c>
      <c r="CS24" s="227">
        <v>4</v>
      </c>
      <c r="CT24" s="227">
        <v>4</v>
      </c>
      <c r="CU24" s="227">
        <v>4</v>
      </c>
      <c r="CV24" s="227">
        <v>4</v>
      </c>
      <c r="CW24" s="227">
        <v>4</v>
      </c>
      <c r="CX24" s="227">
        <v>4</v>
      </c>
      <c r="CY24" s="227">
        <v>4</v>
      </c>
      <c r="CZ24" s="227">
        <v>4</v>
      </c>
      <c r="DA24" s="227">
        <v>4</v>
      </c>
      <c r="DB24" s="227">
        <v>4</v>
      </c>
      <c r="DC24" s="227">
        <v>4</v>
      </c>
      <c r="DD24" s="227">
        <v>4</v>
      </c>
      <c r="DE24" s="227">
        <v>4</v>
      </c>
      <c r="DF24" s="227">
        <v>4</v>
      </c>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3"/>
    </row>
    <row r="25" spans="1:202" s="182" customFormat="1">
      <c r="A25" s="222" t="s">
        <v>651</v>
      </c>
      <c r="B25" s="224">
        <v>67</v>
      </c>
      <c r="C25" s="224" t="s">
        <v>634</v>
      </c>
      <c r="D25" s="224"/>
      <c r="E25" s="225"/>
      <c r="F25" s="225"/>
      <c r="G25" s="225"/>
      <c r="H25" s="225">
        <v>60</v>
      </c>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v>20</v>
      </c>
      <c r="AT25" s="227">
        <v>20</v>
      </c>
      <c r="AU25" s="227">
        <v>20</v>
      </c>
      <c r="AV25" s="227">
        <v>20</v>
      </c>
      <c r="AW25" s="227">
        <v>20</v>
      </c>
      <c r="AX25" s="227">
        <v>20</v>
      </c>
      <c r="AY25" s="227">
        <v>20</v>
      </c>
      <c r="AZ25" s="227">
        <v>20</v>
      </c>
      <c r="BA25" s="227">
        <v>20</v>
      </c>
      <c r="BB25" s="227">
        <v>20</v>
      </c>
      <c r="BC25" s="227">
        <v>20</v>
      </c>
      <c r="BD25" s="227">
        <v>20</v>
      </c>
      <c r="BE25" s="227">
        <v>20</v>
      </c>
      <c r="BF25" s="227">
        <v>20</v>
      </c>
      <c r="BG25" s="227">
        <v>20</v>
      </c>
      <c r="BH25" s="227">
        <v>20</v>
      </c>
      <c r="BI25" s="227">
        <v>20</v>
      </c>
      <c r="BJ25" s="227">
        <v>20</v>
      </c>
      <c r="BK25" s="227">
        <v>20</v>
      </c>
      <c r="BL25" s="227">
        <v>20</v>
      </c>
      <c r="BM25" s="227">
        <v>20</v>
      </c>
      <c r="BN25" s="227">
        <v>20</v>
      </c>
      <c r="BO25" s="227">
        <v>20</v>
      </c>
      <c r="BP25" s="227">
        <v>20</v>
      </c>
      <c r="BQ25" s="227">
        <v>20</v>
      </c>
      <c r="BR25" s="227">
        <v>20</v>
      </c>
      <c r="BS25" s="227">
        <v>20</v>
      </c>
      <c r="BT25" s="227">
        <v>20</v>
      </c>
      <c r="BU25" s="227">
        <v>20</v>
      </c>
      <c r="BV25" s="227">
        <v>20</v>
      </c>
      <c r="BW25" s="227">
        <v>20</v>
      </c>
      <c r="BX25" s="227">
        <v>20</v>
      </c>
      <c r="BY25" s="227">
        <v>20</v>
      </c>
      <c r="BZ25" s="227">
        <v>20</v>
      </c>
      <c r="CA25" s="227">
        <v>20</v>
      </c>
      <c r="CB25" s="227">
        <v>20</v>
      </c>
      <c r="CC25" s="227">
        <v>20</v>
      </c>
      <c r="CD25" s="227">
        <v>20</v>
      </c>
      <c r="CE25" s="227">
        <v>20</v>
      </c>
      <c r="CF25" s="227">
        <v>20</v>
      </c>
      <c r="CG25" s="227">
        <v>20</v>
      </c>
      <c r="CH25" s="227">
        <v>20</v>
      </c>
      <c r="CI25" s="227">
        <v>20</v>
      </c>
      <c r="CJ25" s="227">
        <v>20</v>
      </c>
      <c r="CK25" s="227">
        <v>20</v>
      </c>
      <c r="CL25" s="227">
        <v>20</v>
      </c>
      <c r="CM25" s="227">
        <v>20</v>
      </c>
      <c r="CN25" s="227">
        <v>20</v>
      </c>
      <c r="CO25" s="227">
        <v>20</v>
      </c>
      <c r="CP25" s="227">
        <v>20</v>
      </c>
      <c r="CQ25" s="227">
        <v>20</v>
      </c>
      <c r="CR25" s="227">
        <v>20</v>
      </c>
      <c r="CS25" s="227">
        <v>20</v>
      </c>
      <c r="CT25" s="227">
        <v>20</v>
      </c>
      <c r="CU25" s="227">
        <v>20</v>
      </c>
      <c r="CV25" s="227">
        <v>20</v>
      </c>
      <c r="CW25" s="227">
        <v>20</v>
      </c>
      <c r="CX25" s="227">
        <v>20</v>
      </c>
      <c r="CY25" s="227">
        <v>20</v>
      </c>
      <c r="CZ25" s="227">
        <v>20</v>
      </c>
      <c r="DA25" s="227">
        <v>20</v>
      </c>
      <c r="DB25" s="227">
        <v>20</v>
      </c>
      <c r="DC25" s="227">
        <v>20</v>
      </c>
      <c r="DD25" s="227">
        <v>20</v>
      </c>
      <c r="DE25" s="227">
        <v>20</v>
      </c>
      <c r="DF25" s="227">
        <v>20</v>
      </c>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3"/>
    </row>
    <row r="26" spans="1:202" s="182" customFormat="1">
      <c r="A26" s="222" t="s">
        <v>652</v>
      </c>
      <c r="B26" s="224">
        <v>78</v>
      </c>
      <c r="C26" s="224" t="s">
        <v>634</v>
      </c>
      <c r="D26" s="224"/>
      <c r="E26" s="225"/>
      <c r="F26" s="225"/>
      <c r="G26" s="225"/>
      <c r="H26" s="225">
        <v>60</v>
      </c>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v>2</v>
      </c>
      <c r="AT26" s="227">
        <v>2</v>
      </c>
      <c r="AU26" s="227">
        <v>2</v>
      </c>
      <c r="AV26" s="227">
        <v>2</v>
      </c>
      <c r="AW26" s="227">
        <v>2</v>
      </c>
      <c r="AX26" s="227">
        <v>2</v>
      </c>
      <c r="AY26" s="227">
        <v>2</v>
      </c>
      <c r="AZ26" s="227">
        <v>2</v>
      </c>
      <c r="BA26" s="227">
        <v>2</v>
      </c>
      <c r="BB26" s="227">
        <v>2</v>
      </c>
      <c r="BC26" s="227">
        <v>2</v>
      </c>
      <c r="BD26" s="227">
        <v>2</v>
      </c>
      <c r="BE26" s="227">
        <v>2</v>
      </c>
      <c r="BF26" s="227">
        <v>2</v>
      </c>
      <c r="BG26" s="227">
        <v>2</v>
      </c>
      <c r="BH26" s="227">
        <v>2</v>
      </c>
      <c r="BI26" s="227">
        <v>2</v>
      </c>
      <c r="BJ26" s="227">
        <v>2</v>
      </c>
      <c r="BK26" s="227">
        <v>2</v>
      </c>
      <c r="BL26" s="227">
        <v>2</v>
      </c>
      <c r="BM26" s="227">
        <v>2</v>
      </c>
      <c r="BN26" s="227">
        <v>2</v>
      </c>
      <c r="BO26" s="227">
        <v>2</v>
      </c>
      <c r="BP26" s="227">
        <v>2</v>
      </c>
      <c r="BQ26" s="227">
        <v>2</v>
      </c>
      <c r="BR26" s="227">
        <v>2</v>
      </c>
      <c r="BS26" s="227">
        <v>2</v>
      </c>
      <c r="BT26" s="227">
        <v>2</v>
      </c>
      <c r="BU26" s="227">
        <v>2</v>
      </c>
      <c r="BV26" s="227">
        <v>2</v>
      </c>
      <c r="BW26" s="227">
        <v>2</v>
      </c>
      <c r="BX26" s="227">
        <v>2</v>
      </c>
      <c r="BY26" s="227">
        <v>2</v>
      </c>
      <c r="BZ26" s="227">
        <v>2</v>
      </c>
      <c r="CA26" s="227">
        <v>2</v>
      </c>
      <c r="CB26" s="227">
        <v>2</v>
      </c>
      <c r="CC26" s="227">
        <v>2</v>
      </c>
      <c r="CD26" s="227">
        <v>2</v>
      </c>
      <c r="CE26" s="227">
        <v>2</v>
      </c>
      <c r="CF26" s="227">
        <v>2</v>
      </c>
      <c r="CG26" s="227">
        <v>2</v>
      </c>
      <c r="CH26" s="227">
        <v>2</v>
      </c>
      <c r="CI26" s="227">
        <v>2</v>
      </c>
      <c r="CJ26" s="227">
        <v>2</v>
      </c>
      <c r="CK26" s="227">
        <v>2</v>
      </c>
      <c r="CL26" s="227">
        <v>2</v>
      </c>
      <c r="CM26" s="227">
        <v>2</v>
      </c>
      <c r="CN26" s="227">
        <v>2</v>
      </c>
      <c r="CO26" s="227">
        <v>2</v>
      </c>
      <c r="CP26" s="227">
        <v>2</v>
      </c>
      <c r="CQ26" s="227">
        <v>2</v>
      </c>
      <c r="CR26" s="227">
        <v>2</v>
      </c>
      <c r="CS26" s="227">
        <v>2</v>
      </c>
      <c r="CT26" s="227">
        <v>2</v>
      </c>
      <c r="CU26" s="227">
        <v>2</v>
      </c>
      <c r="CV26" s="227">
        <v>2</v>
      </c>
      <c r="CW26" s="227">
        <v>2</v>
      </c>
      <c r="CX26" s="227">
        <v>2</v>
      </c>
      <c r="CY26" s="227">
        <v>2</v>
      </c>
      <c r="CZ26" s="227">
        <v>2</v>
      </c>
      <c r="DA26" s="227">
        <v>2</v>
      </c>
      <c r="DB26" s="227">
        <v>2</v>
      </c>
      <c r="DC26" s="227">
        <v>2</v>
      </c>
      <c r="DD26" s="227">
        <v>2</v>
      </c>
      <c r="DE26" s="227">
        <v>2</v>
      </c>
      <c r="DF26" s="227">
        <v>2</v>
      </c>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3"/>
    </row>
    <row r="27" spans="1:202" s="182" customFormat="1">
      <c r="A27" s="222" t="s">
        <v>653</v>
      </c>
      <c r="B27" s="224">
        <v>51</v>
      </c>
      <c r="C27" s="224" t="s">
        <v>634</v>
      </c>
      <c r="D27" s="224"/>
      <c r="E27" s="225"/>
      <c r="F27" s="225"/>
      <c r="G27" s="225"/>
      <c r="H27" s="225">
        <v>60</v>
      </c>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v>4</v>
      </c>
      <c r="AT27" s="227">
        <v>4</v>
      </c>
      <c r="AU27" s="227">
        <v>4</v>
      </c>
      <c r="AV27" s="227">
        <v>4</v>
      </c>
      <c r="AW27" s="227">
        <v>4</v>
      </c>
      <c r="AX27" s="227">
        <v>4</v>
      </c>
      <c r="AY27" s="227">
        <v>4</v>
      </c>
      <c r="AZ27" s="227">
        <v>4</v>
      </c>
      <c r="BA27" s="227">
        <v>4</v>
      </c>
      <c r="BB27" s="227">
        <v>4</v>
      </c>
      <c r="BC27" s="227">
        <v>4</v>
      </c>
      <c r="BD27" s="227">
        <v>4</v>
      </c>
      <c r="BE27" s="227">
        <v>4</v>
      </c>
      <c r="BF27" s="227">
        <v>4</v>
      </c>
      <c r="BG27" s="227">
        <v>4</v>
      </c>
      <c r="BH27" s="227">
        <v>4</v>
      </c>
      <c r="BI27" s="227">
        <v>4</v>
      </c>
      <c r="BJ27" s="227">
        <v>4</v>
      </c>
      <c r="BK27" s="227">
        <v>4</v>
      </c>
      <c r="BL27" s="227">
        <v>4</v>
      </c>
      <c r="BM27" s="227">
        <v>4</v>
      </c>
      <c r="BN27" s="227">
        <v>4</v>
      </c>
      <c r="BO27" s="227">
        <v>4</v>
      </c>
      <c r="BP27" s="227">
        <v>4</v>
      </c>
      <c r="BQ27" s="227">
        <v>4</v>
      </c>
      <c r="BR27" s="227">
        <v>4</v>
      </c>
      <c r="BS27" s="227">
        <v>4</v>
      </c>
      <c r="BT27" s="227">
        <v>4</v>
      </c>
      <c r="BU27" s="227">
        <v>4</v>
      </c>
      <c r="BV27" s="227">
        <v>4</v>
      </c>
      <c r="BW27" s="227">
        <v>4</v>
      </c>
      <c r="BX27" s="227">
        <v>4</v>
      </c>
      <c r="BY27" s="227">
        <v>4</v>
      </c>
      <c r="BZ27" s="227">
        <v>4</v>
      </c>
      <c r="CA27" s="227">
        <v>4</v>
      </c>
      <c r="CB27" s="227">
        <v>4</v>
      </c>
      <c r="CC27" s="227">
        <v>4</v>
      </c>
      <c r="CD27" s="227">
        <v>4</v>
      </c>
      <c r="CE27" s="227">
        <v>4</v>
      </c>
      <c r="CF27" s="227">
        <v>4</v>
      </c>
      <c r="CG27" s="227">
        <v>4</v>
      </c>
      <c r="CH27" s="227">
        <v>4</v>
      </c>
      <c r="CI27" s="227">
        <v>4</v>
      </c>
      <c r="CJ27" s="227">
        <v>4</v>
      </c>
      <c r="CK27" s="227">
        <v>4</v>
      </c>
      <c r="CL27" s="227">
        <v>4</v>
      </c>
      <c r="CM27" s="227">
        <v>4</v>
      </c>
      <c r="CN27" s="227">
        <v>4</v>
      </c>
      <c r="CO27" s="227">
        <v>4</v>
      </c>
      <c r="CP27" s="227">
        <v>4</v>
      </c>
      <c r="CQ27" s="227">
        <v>4</v>
      </c>
      <c r="CR27" s="227">
        <v>4</v>
      </c>
      <c r="CS27" s="227">
        <v>4</v>
      </c>
      <c r="CT27" s="227">
        <v>4</v>
      </c>
      <c r="CU27" s="227">
        <v>4</v>
      </c>
      <c r="CV27" s="227">
        <v>4</v>
      </c>
      <c r="CW27" s="227">
        <v>4</v>
      </c>
      <c r="CX27" s="227">
        <v>4</v>
      </c>
      <c r="CY27" s="227">
        <v>4</v>
      </c>
      <c r="CZ27" s="227">
        <v>4</v>
      </c>
      <c r="DA27" s="227">
        <v>4</v>
      </c>
      <c r="DB27" s="227">
        <v>4</v>
      </c>
      <c r="DC27" s="227">
        <v>4</v>
      </c>
      <c r="DD27" s="227">
        <v>4</v>
      </c>
      <c r="DE27" s="227">
        <v>4</v>
      </c>
      <c r="DF27" s="227">
        <v>4</v>
      </c>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3"/>
    </row>
    <row r="28" spans="1:202" s="182" customFormat="1">
      <c r="A28" s="222" t="s">
        <v>654</v>
      </c>
      <c r="B28" s="224">
        <v>125</v>
      </c>
      <c r="C28" s="224" t="s">
        <v>634</v>
      </c>
      <c r="D28" s="224"/>
      <c r="E28" s="225"/>
      <c r="F28" s="225"/>
      <c r="G28" s="225"/>
      <c r="H28" s="225">
        <v>300</v>
      </c>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v>2</v>
      </c>
      <c r="AT28" s="227">
        <v>2</v>
      </c>
      <c r="AU28" s="227">
        <v>2</v>
      </c>
      <c r="AV28" s="227">
        <v>2</v>
      </c>
      <c r="AW28" s="227">
        <v>2</v>
      </c>
      <c r="AX28" s="227">
        <v>2</v>
      </c>
      <c r="AY28" s="227">
        <v>2</v>
      </c>
      <c r="AZ28" s="227">
        <v>2</v>
      </c>
      <c r="BA28" s="227">
        <v>2</v>
      </c>
      <c r="BB28" s="227">
        <v>2</v>
      </c>
      <c r="BC28" s="227">
        <v>2</v>
      </c>
      <c r="BD28" s="227">
        <v>2</v>
      </c>
      <c r="BE28" s="227">
        <v>2</v>
      </c>
      <c r="BF28" s="227">
        <v>2</v>
      </c>
      <c r="BG28" s="227">
        <v>2</v>
      </c>
      <c r="BH28" s="227">
        <v>2</v>
      </c>
      <c r="BI28" s="227">
        <v>2</v>
      </c>
      <c r="BJ28" s="227">
        <v>2</v>
      </c>
      <c r="BK28" s="227">
        <v>2</v>
      </c>
      <c r="BL28" s="227">
        <v>2</v>
      </c>
      <c r="BM28" s="227">
        <v>2</v>
      </c>
      <c r="BN28" s="227">
        <v>2</v>
      </c>
      <c r="BO28" s="227">
        <v>2</v>
      </c>
      <c r="BP28" s="227">
        <v>2</v>
      </c>
      <c r="BQ28" s="227">
        <v>2</v>
      </c>
      <c r="BR28" s="227">
        <v>2</v>
      </c>
      <c r="BS28" s="227">
        <v>2</v>
      </c>
      <c r="BT28" s="227">
        <v>2</v>
      </c>
      <c r="BU28" s="227">
        <v>2</v>
      </c>
      <c r="BV28" s="227">
        <v>2</v>
      </c>
      <c r="BW28" s="227">
        <v>2</v>
      </c>
      <c r="BX28" s="227">
        <v>2</v>
      </c>
      <c r="BY28" s="227">
        <v>2</v>
      </c>
      <c r="BZ28" s="227">
        <v>2</v>
      </c>
      <c r="CA28" s="227">
        <v>2</v>
      </c>
      <c r="CB28" s="227">
        <v>2</v>
      </c>
      <c r="CC28" s="227">
        <v>2</v>
      </c>
      <c r="CD28" s="227">
        <v>2</v>
      </c>
      <c r="CE28" s="227">
        <v>2</v>
      </c>
      <c r="CF28" s="227">
        <v>2</v>
      </c>
      <c r="CG28" s="227">
        <v>2</v>
      </c>
      <c r="CH28" s="227">
        <v>2</v>
      </c>
      <c r="CI28" s="227">
        <v>2</v>
      </c>
      <c r="CJ28" s="227">
        <v>2</v>
      </c>
      <c r="CK28" s="227">
        <v>2</v>
      </c>
      <c r="CL28" s="227">
        <v>2</v>
      </c>
      <c r="CM28" s="227">
        <v>2</v>
      </c>
      <c r="CN28" s="227">
        <v>2</v>
      </c>
      <c r="CO28" s="227">
        <v>2</v>
      </c>
      <c r="CP28" s="227">
        <v>2</v>
      </c>
      <c r="CQ28" s="227">
        <v>2</v>
      </c>
      <c r="CR28" s="227">
        <v>2</v>
      </c>
      <c r="CS28" s="227">
        <v>2</v>
      </c>
      <c r="CT28" s="227">
        <v>2</v>
      </c>
      <c r="CU28" s="227">
        <v>2</v>
      </c>
      <c r="CV28" s="227">
        <v>2</v>
      </c>
      <c r="CW28" s="227">
        <v>2</v>
      </c>
      <c r="CX28" s="227">
        <v>2</v>
      </c>
      <c r="CY28" s="227">
        <v>2</v>
      </c>
      <c r="CZ28" s="227">
        <v>2</v>
      </c>
      <c r="DA28" s="227">
        <v>2</v>
      </c>
      <c r="DB28" s="227">
        <v>2</v>
      </c>
      <c r="DC28" s="227">
        <v>2</v>
      </c>
      <c r="DD28" s="227">
        <v>2</v>
      </c>
      <c r="DE28" s="227">
        <v>2</v>
      </c>
      <c r="DF28" s="227">
        <v>2</v>
      </c>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3"/>
    </row>
    <row r="29" spans="1:202" s="182" customFormat="1">
      <c r="A29" s="222" t="s">
        <v>655</v>
      </c>
      <c r="B29" s="224"/>
      <c r="C29" s="224" t="s">
        <v>634</v>
      </c>
      <c r="D29" s="224"/>
      <c r="E29" s="225"/>
      <c r="F29" s="225"/>
      <c r="G29" s="225"/>
      <c r="H29" s="225">
        <v>120</v>
      </c>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v>1</v>
      </c>
      <c r="AT29" s="227">
        <v>1</v>
      </c>
      <c r="AU29" s="227">
        <v>1</v>
      </c>
      <c r="AV29" s="227">
        <v>1</v>
      </c>
      <c r="AW29" s="227">
        <v>1</v>
      </c>
      <c r="AX29" s="227">
        <v>1</v>
      </c>
      <c r="AY29" s="227">
        <v>1</v>
      </c>
      <c r="AZ29" s="227">
        <v>1</v>
      </c>
      <c r="BA29" s="227">
        <v>1</v>
      </c>
      <c r="BB29" s="227">
        <v>1</v>
      </c>
      <c r="BC29" s="227">
        <v>1</v>
      </c>
      <c r="BD29" s="227">
        <v>1</v>
      </c>
      <c r="BE29" s="227">
        <v>1</v>
      </c>
      <c r="BF29" s="227">
        <v>1</v>
      </c>
      <c r="BG29" s="227">
        <v>1</v>
      </c>
      <c r="BH29" s="227">
        <v>1</v>
      </c>
      <c r="BI29" s="227">
        <v>1</v>
      </c>
      <c r="BJ29" s="227">
        <v>1</v>
      </c>
      <c r="BK29" s="227">
        <v>1</v>
      </c>
      <c r="BL29" s="227">
        <v>1</v>
      </c>
      <c r="BM29" s="227">
        <v>1</v>
      </c>
      <c r="BN29" s="227">
        <v>1</v>
      </c>
      <c r="BO29" s="227">
        <v>1</v>
      </c>
      <c r="BP29" s="227">
        <v>1</v>
      </c>
      <c r="BQ29" s="227">
        <v>1</v>
      </c>
      <c r="BR29" s="227">
        <v>1</v>
      </c>
      <c r="BS29" s="227">
        <v>1</v>
      </c>
      <c r="BT29" s="227">
        <v>1</v>
      </c>
      <c r="BU29" s="227">
        <v>1</v>
      </c>
      <c r="BV29" s="227">
        <v>1</v>
      </c>
      <c r="BW29" s="227">
        <v>1</v>
      </c>
      <c r="BX29" s="227">
        <v>1</v>
      </c>
      <c r="BY29" s="227">
        <v>1</v>
      </c>
      <c r="BZ29" s="227">
        <v>1</v>
      </c>
      <c r="CA29" s="227">
        <v>1</v>
      </c>
      <c r="CB29" s="227">
        <v>1</v>
      </c>
      <c r="CC29" s="227">
        <v>1</v>
      </c>
      <c r="CD29" s="227">
        <v>1</v>
      </c>
      <c r="CE29" s="227">
        <v>1</v>
      </c>
      <c r="CF29" s="227">
        <v>1</v>
      </c>
      <c r="CG29" s="227">
        <v>1</v>
      </c>
      <c r="CH29" s="227">
        <v>1</v>
      </c>
      <c r="CI29" s="227">
        <v>1</v>
      </c>
      <c r="CJ29" s="227">
        <v>1</v>
      </c>
      <c r="CK29" s="227">
        <v>1</v>
      </c>
      <c r="CL29" s="227">
        <v>1</v>
      </c>
      <c r="CM29" s="227">
        <v>1</v>
      </c>
      <c r="CN29" s="227">
        <v>1</v>
      </c>
      <c r="CO29" s="227">
        <v>1</v>
      </c>
      <c r="CP29" s="227">
        <v>1</v>
      </c>
      <c r="CQ29" s="227">
        <v>1</v>
      </c>
      <c r="CR29" s="227">
        <v>1</v>
      </c>
      <c r="CS29" s="227">
        <v>1</v>
      </c>
      <c r="CT29" s="227">
        <v>1</v>
      </c>
      <c r="CU29" s="227">
        <v>1</v>
      </c>
      <c r="CV29" s="227">
        <v>1</v>
      </c>
      <c r="CW29" s="227">
        <v>1</v>
      </c>
      <c r="CX29" s="227">
        <v>1</v>
      </c>
      <c r="CY29" s="227">
        <v>1</v>
      </c>
      <c r="CZ29" s="227">
        <v>1</v>
      </c>
      <c r="DA29" s="227">
        <v>1</v>
      </c>
      <c r="DB29" s="227">
        <v>1</v>
      </c>
      <c r="DC29" s="227">
        <v>1</v>
      </c>
      <c r="DD29" s="227">
        <v>1</v>
      </c>
      <c r="DE29" s="227">
        <v>1</v>
      </c>
      <c r="DF29" s="227">
        <v>1</v>
      </c>
      <c r="DG29" s="282">
        <f t="shared" ref="DG29:EI29" si="20">SUM(I29:T29)</f>
        <v>0</v>
      </c>
      <c r="DH29" s="282">
        <f t="shared" si="20"/>
        <v>0</v>
      </c>
      <c r="DI29" s="282">
        <f t="shared" si="20"/>
        <v>0</v>
      </c>
      <c r="DJ29" s="282">
        <f t="shared" si="20"/>
        <v>0</v>
      </c>
      <c r="DK29" s="282">
        <f t="shared" si="20"/>
        <v>0</v>
      </c>
      <c r="DL29" s="282">
        <f t="shared" si="20"/>
        <v>0</v>
      </c>
      <c r="DM29" s="282">
        <f t="shared" si="20"/>
        <v>0</v>
      </c>
      <c r="DN29" s="282">
        <f t="shared" si="20"/>
        <v>0</v>
      </c>
      <c r="DO29" s="282">
        <f t="shared" si="20"/>
        <v>0</v>
      </c>
      <c r="DP29" s="282">
        <f t="shared" si="20"/>
        <v>0</v>
      </c>
      <c r="DQ29" s="282">
        <f t="shared" si="20"/>
        <v>0</v>
      </c>
      <c r="DR29" s="282">
        <f t="shared" si="20"/>
        <v>0</v>
      </c>
      <c r="DS29" s="282">
        <f t="shared" si="20"/>
        <v>0</v>
      </c>
      <c r="DT29" s="282">
        <f t="shared" si="20"/>
        <v>0</v>
      </c>
      <c r="DU29" s="282">
        <f t="shared" si="20"/>
        <v>0</v>
      </c>
      <c r="DV29" s="282">
        <f t="shared" si="20"/>
        <v>0</v>
      </c>
      <c r="DW29" s="282">
        <f t="shared" si="20"/>
        <v>0</v>
      </c>
      <c r="DX29" s="282">
        <f t="shared" si="20"/>
        <v>0</v>
      </c>
      <c r="DY29" s="282">
        <f t="shared" si="20"/>
        <v>0</v>
      </c>
      <c r="DZ29" s="282">
        <f t="shared" si="20"/>
        <v>0</v>
      </c>
      <c r="EA29" s="282">
        <f t="shared" si="20"/>
        <v>0</v>
      </c>
      <c r="EB29" s="282">
        <f t="shared" si="20"/>
        <v>0</v>
      </c>
      <c r="EC29" s="282">
        <f t="shared" si="20"/>
        <v>0</v>
      </c>
      <c r="ED29" s="282">
        <f t="shared" si="20"/>
        <v>0</v>
      </c>
      <c r="EE29" s="282">
        <f t="shared" si="20"/>
        <v>0</v>
      </c>
      <c r="EF29" s="282">
        <f t="shared" si="20"/>
        <v>1</v>
      </c>
      <c r="EG29" s="282">
        <f t="shared" si="20"/>
        <v>2</v>
      </c>
      <c r="EH29" s="282">
        <f t="shared" si="20"/>
        <v>3</v>
      </c>
      <c r="EI29" s="282">
        <f t="shared" si="20"/>
        <v>4</v>
      </c>
      <c r="EJ29" s="282">
        <f t="shared" ref="EJ29:GS29" si="21">SUM(AL29:AX29)</f>
        <v>6</v>
      </c>
      <c r="EK29" s="282">
        <f t="shared" si="21"/>
        <v>7</v>
      </c>
      <c r="EL29" s="282">
        <f t="shared" si="21"/>
        <v>8</v>
      </c>
      <c r="EM29" s="282">
        <f t="shared" si="21"/>
        <v>9</v>
      </c>
      <c r="EN29" s="282">
        <f t="shared" si="21"/>
        <v>10</v>
      </c>
      <c r="EO29" s="282">
        <f t="shared" si="21"/>
        <v>11</v>
      </c>
      <c r="EP29" s="282">
        <f t="shared" si="21"/>
        <v>12</v>
      </c>
      <c r="EQ29" s="282">
        <f t="shared" si="21"/>
        <v>13</v>
      </c>
      <c r="ER29" s="282">
        <f t="shared" si="21"/>
        <v>13</v>
      </c>
      <c r="ES29" s="282">
        <f t="shared" si="21"/>
        <v>13</v>
      </c>
      <c r="ET29" s="282">
        <f t="shared" si="21"/>
        <v>13</v>
      </c>
      <c r="EU29" s="282">
        <f t="shared" si="21"/>
        <v>13</v>
      </c>
      <c r="EV29" s="282">
        <f t="shared" si="21"/>
        <v>13</v>
      </c>
      <c r="EW29" s="282">
        <f t="shared" si="21"/>
        <v>13</v>
      </c>
      <c r="EX29" s="282">
        <f t="shared" si="21"/>
        <v>13</v>
      </c>
      <c r="EY29" s="282">
        <f t="shared" si="21"/>
        <v>13</v>
      </c>
      <c r="EZ29" s="282">
        <f t="shared" si="21"/>
        <v>13</v>
      </c>
      <c r="FA29" s="282">
        <f t="shared" si="21"/>
        <v>13</v>
      </c>
      <c r="FB29" s="282">
        <f t="shared" si="21"/>
        <v>13</v>
      </c>
      <c r="FC29" s="282">
        <f t="shared" si="21"/>
        <v>13</v>
      </c>
      <c r="FD29" s="282">
        <f t="shared" si="21"/>
        <v>13</v>
      </c>
      <c r="FE29" s="282">
        <f t="shared" si="21"/>
        <v>13</v>
      </c>
      <c r="FF29" s="282">
        <f t="shared" si="21"/>
        <v>13</v>
      </c>
      <c r="FG29" s="282">
        <f t="shared" si="21"/>
        <v>13</v>
      </c>
      <c r="FH29" s="282">
        <f t="shared" si="21"/>
        <v>13</v>
      </c>
      <c r="FI29" s="282">
        <f t="shared" si="21"/>
        <v>13</v>
      </c>
      <c r="FJ29" s="282">
        <f t="shared" si="21"/>
        <v>13</v>
      </c>
      <c r="FK29" s="282">
        <f t="shared" si="21"/>
        <v>13</v>
      </c>
      <c r="FL29" s="282">
        <f t="shared" si="21"/>
        <v>13</v>
      </c>
      <c r="FM29" s="282">
        <f t="shared" si="21"/>
        <v>13</v>
      </c>
      <c r="FN29" s="282">
        <f t="shared" si="21"/>
        <v>13</v>
      </c>
      <c r="FO29" s="282">
        <f t="shared" si="21"/>
        <v>13</v>
      </c>
      <c r="FP29" s="282">
        <f t="shared" si="21"/>
        <v>13</v>
      </c>
      <c r="FQ29" s="282">
        <f t="shared" si="21"/>
        <v>13</v>
      </c>
      <c r="FR29" s="282">
        <f t="shared" si="21"/>
        <v>13</v>
      </c>
      <c r="FS29" s="282">
        <f t="shared" si="21"/>
        <v>13</v>
      </c>
      <c r="FT29" s="282">
        <f t="shared" si="21"/>
        <v>13</v>
      </c>
      <c r="FU29" s="282">
        <f t="shared" si="21"/>
        <v>13</v>
      </c>
      <c r="FV29" s="282">
        <f t="shared" si="21"/>
        <v>13</v>
      </c>
      <c r="FW29" s="282">
        <f t="shared" si="21"/>
        <v>13</v>
      </c>
      <c r="FX29" s="282">
        <f t="shared" si="21"/>
        <v>13</v>
      </c>
      <c r="FY29" s="282">
        <f t="shared" si="21"/>
        <v>13</v>
      </c>
      <c r="FZ29" s="282">
        <f t="shared" si="21"/>
        <v>13</v>
      </c>
      <c r="GA29" s="282">
        <f t="shared" si="21"/>
        <v>13</v>
      </c>
      <c r="GB29" s="282">
        <f t="shared" si="21"/>
        <v>13</v>
      </c>
      <c r="GC29" s="282">
        <f t="shared" si="21"/>
        <v>13</v>
      </c>
      <c r="GD29" s="282">
        <f t="shared" si="21"/>
        <v>13</v>
      </c>
      <c r="GE29" s="282">
        <f t="shared" si="21"/>
        <v>13</v>
      </c>
      <c r="GF29" s="282">
        <f t="shared" si="21"/>
        <v>13</v>
      </c>
      <c r="GG29" s="282">
        <f t="shared" si="21"/>
        <v>13</v>
      </c>
      <c r="GH29" s="282">
        <f t="shared" si="21"/>
        <v>13</v>
      </c>
      <c r="GI29" s="282">
        <f t="shared" si="21"/>
        <v>13</v>
      </c>
      <c r="GJ29" s="282">
        <f t="shared" si="21"/>
        <v>13</v>
      </c>
      <c r="GK29" s="282">
        <f t="shared" si="21"/>
        <v>13</v>
      </c>
      <c r="GL29" s="282">
        <f t="shared" si="21"/>
        <v>13</v>
      </c>
      <c r="GM29" s="282">
        <f t="shared" si="21"/>
        <v>13</v>
      </c>
      <c r="GN29" s="282">
        <f t="shared" si="21"/>
        <v>13</v>
      </c>
      <c r="GO29" s="282">
        <f t="shared" si="21"/>
        <v>13</v>
      </c>
      <c r="GP29" s="282">
        <f t="shared" si="21"/>
        <v>13</v>
      </c>
      <c r="GQ29" s="282">
        <f t="shared" si="21"/>
        <v>13</v>
      </c>
      <c r="GR29" s="282">
        <f t="shared" si="21"/>
        <v>13</v>
      </c>
      <c r="GS29" s="282">
        <f t="shared" si="21"/>
        <v>12</v>
      </c>
      <c r="GT29" s="283">
        <f>SUM(I29:CE29)</f>
        <v>39</v>
      </c>
    </row>
    <row r="30" spans="1:202" s="182" customFormat="1">
      <c r="A30" s="222" t="s">
        <v>656</v>
      </c>
      <c r="B30" s="224">
        <v>385</v>
      </c>
      <c r="C30" s="224" t="s">
        <v>634</v>
      </c>
      <c r="D30" s="224"/>
      <c r="E30" s="225"/>
      <c r="F30" s="225"/>
      <c r="G30" s="225"/>
      <c r="H30" s="225">
        <v>180</v>
      </c>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v>1</v>
      </c>
      <c r="AT30" s="227">
        <v>1</v>
      </c>
      <c r="AU30" s="284">
        <v>1</v>
      </c>
      <c r="AV30" s="227">
        <v>1</v>
      </c>
      <c r="AW30" s="227">
        <v>1</v>
      </c>
      <c r="AX30" s="227">
        <v>1</v>
      </c>
      <c r="AY30" s="227">
        <v>1</v>
      </c>
      <c r="AZ30" s="227">
        <v>1</v>
      </c>
      <c r="BA30" s="227">
        <v>1</v>
      </c>
      <c r="BB30" s="227">
        <v>1</v>
      </c>
      <c r="BC30" s="227">
        <v>1</v>
      </c>
      <c r="BD30" s="227">
        <v>2</v>
      </c>
      <c r="BE30" s="227">
        <v>2</v>
      </c>
      <c r="BF30" s="227">
        <v>2</v>
      </c>
      <c r="BG30" s="227">
        <v>2</v>
      </c>
      <c r="BH30" s="227">
        <v>2</v>
      </c>
      <c r="BI30" s="227">
        <v>2</v>
      </c>
      <c r="BJ30" s="227">
        <v>2</v>
      </c>
      <c r="BK30" s="227">
        <v>2</v>
      </c>
      <c r="BL30" s="227">
        <v>2</v>
      </c>
      <c r="BM30" s="227">
        <v>2</v>
      </c>
      <c r="BN30" s="227">
        <v>2</v>
      </c>
      <c r="BO30" s="227">
        <v>2</v>
      </c>
      <c r="BP30" s="227">
        <v>2</v>
      </c>
      <c r="BQ30" s="227">
        <v>2</v>
      </c>
      <c r="BR30" s="227">
        <v>2</v>
      </c>
      <c r="BS30" s="227">
        <v>2</v>
      </c>
      <c r="BT30" s="227">
        <v>2</v>
      </c>
      <c r="BU30" s="227">
        <v>2</v>
      </c>
      <c r="BV30" s="227">
        <v>2</v>
      </c>
      <c r="BW30" s="227">
        <v>2</v>
      </c>
      <c r="BX30" s="227">
        <v>2</v>
      </c>
      <c r="BY30" s="227">
        <v>2</v>
      </c>
      <c r="BZ30" s="227">
        <v>2</v>
      </c>
      <c r="CA30" s="227">
        <v>2</v>
      </c>
      <c r="CB30" s="227">
        <v>2</v>
      </c>
      <c r="CC30" s="227">
        <v>2</v>
      </c>
      <c r="CD30" s="227">
        <v>2</v>
      </c>
      <c r="CE30" s="227">
        <v>2</v>
      </c>
      <c r="CF30" s="227">
        <v>2</v>
      </c>
      <c r="CG30" s="227">
        <v>2</v>
      </c>
      <c r="CH30" s="227">
        <v>2</v>
      </c>
      <c r="CI30" s="227">
        <v>2</v>
      </c>
      <c r="CJ30" s="227">
        <v>2</v>
      </c>
      <c r="CK30" s="227">
        <v>2</v>
      </c>
      <c r="CL30" s="227">
        <v>2</v>
      </c>
      <c r="CM30" s="227">
        <v>2</v>
      </c>
      <c r="CN30" s="227">
        <v>2</v>
      </c>
      <c r="CO30" s="227">
        <v>2</v>
      </c>
      <c r="CP30" s="227">
        <v>2</v>
      </c>
      <c r="CQ30" s="227">
        <v>2</v>
      </c>
      <c r="CR30" s="227">
        <v>2</v>
      </c>
      <c r="CS30" s="227">
        <v>2</v>
      </c>
      <c r="CT30" s="227">
        <v>2</v>
      </c>
      <c r="CU30" s="227">
        <v>2</v>
      </c>
      <c r="CV30" s="227">
        <v>2</v>
      </c>
      <c r="CW30" s="227">
        <v>2</v>
      </c>
      <c r="CX30" s="227">
        <v>2</v>
      </c>
      <c r="CY30" s="227">
        <v>2</v>
      </c>
      <c r="CZ30" s="227">
        <v>2</v>
      </c>
      <c r="DA30" s="227">
        <v>2</v>
      </c>
      <c r="DB30" s="227">
        <v>2</v>
      </c>
      <c r="DC30" s="227">
        <v>2</v>
      </c>
      <c r="DD30" s="227">
        <v>2</v>
      </c>
      <c r="DE30" s="227">
        <v>2</v>
      </c>
      <c r="DF30" s="227">
        <v>2</v>
      </c>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3"/>
    </row>
    <row r="31" spans="1:202" s="182" customFormat="1">
      <c r="A31" s="222" t="s">
        <v>657</v>
      </c>
      <c r="B31" s="224">
        <v>400</v>
      </c>
      <c r="C31" s="224" t="s">
        <v>634</v>
      </c>
      <c r="D31" s="224"/>
      <c r="E31" s="225"/>
      <c r="F31" s="225"/>
      <c r="G31" s="225"/>
      <c r="H31" s="225">
        <v>360</v>
      </c>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v>1</v>
      </c>
      <c r="AT31" s="227">
        <v>1</v>
      </c>
      <c r="AU31" s="284">
        <v>1</v>
      </c>
      <c r="AV31" s="227">
        <v>1</v>
      </c>
      <c r="AW31" s="227">
        <v>1</v>
      </c>
      <c r="AX31" s="227">
        <v>1</v>
      </c>
      <c r="AY31" s="227">
        <v>1</v>
      </c>
      <c r="AZ31" s="227">
        <v>1</v>
      </c>
      <c r="BA31" s="227">
        <v>1</v>
      </c>
      <c r="BB31" s="227">
        <v>1</v>
      </c>
      <c r="BC31" s="227">
        <v>1</v>
      </c>
      <c r="BD31" s="227">
        <v>1</v>
      </c>
      <c r="BE31" s="227">
        <v>1</v>
      </c>
      <c r="BF31" s="227">
        <v>2</v>
      </c>
      <c r="BG31" s="227">
        <v>2</v>
      </c>
      <c r="BH31" s="227">
        <v>2</v>
      </c>
      <c r="BI31" s="227">
        <v>2</v>
      </c>
      <c r="BJ31" s="227">
        <v>2</v>
      </c>
      <c r="BK31" s="227">
        <v>2</v>
      </c>
      <c r="BL31" s="227">
        <v>2</v>
      </c>
      <c r="BM31" s="227">
        <v>2</v>
      </c>
      <c r="BN31" s="227">
        <v>2</v>
      </c>
      <c r="BO31" s="227">
        <v>2</v>
      </c>
      <c r="BP31" s="227">
        <v>2</v>
      </c>
      <c r="BQ31" s="227">
        <v>2</v>
      </c>
      <c r="BR31" s="227">
        <v>2</v>
      </c>
      <c r="BS31" s="227">
        <v>2</v>
      </c>
      <c r="BT31" s="227">
        <v>2</v>
      </c>
      <c r="BU31" s="227">
        <v>2</v>
      </c>
      <c r="BV31" s="227">
        <v>2</v>
      </c>
      <c r="BW31" s="227">
        <v>2</v>
      </c>
      <c r="BX31" s="227">
        <v>2</v>
      </c>
      <c r="BY31" s="227">
        <v>2</v>
      </c>
      <c r="BZ31" s="227">
        <v>2</v>
      </c>
      <c r="CA31" s="227">
        <v>2</v>
      </c>
      <c r="CB31" s="227">
        <v>2</v>
      </c>
      <c r="CC31" s="227">
        <v>2</v>
      </c>
      <c r="CD31" s="227">
        <v>2</v>
      </c>
      <c r="CE31" s="227">
        <v>2</v>
      </c>
      <c r="CF31" s="227">
        <v>2</v>
      </c>
      <c r="CG31" s="227">
        <v>2</v>
      </c>
      <c r="CH31" s="227">
        <v>2</v>
      </c>
      <c r="CI31" s="227">
        <v>2</v>
      </c>
      <c r="CJ31" s="227">
        <v>2</v>
      </c>
      <c r="CK31" s="227">
        <v>2</v>
      </c>
      <c r="CL31" s="227">
        <v>2</v>
      </c>
      <c r="CM31" s="227">
        <v>2</v>
      </c>
      <c r="CN31" s="227">
        <v>2</v>
      </c>
      <c r="CO31" s="227">
        <v>2</v>
      </c>
      <c r="CP31" s="227">
        <v>2</v>
      </c>
      <c r="CQ31" s="227">
        <v>2</v>
      </c>
      <c r="CR31" s="227">
        <v>2</v>
      </c>
      <c r="CS31" s="227">
        <v>2</v>
      </c>
      <c r="CT31" s="227">
        <v>2</v>
      </c>
      <c r="CU31" s="227">
        <v>2</v>
      </c>
      <c r="CV31" s="227">
        <v>2</v>
      </c>
      <c r="CW31" s="227">
        <v>2</v>
      </c>
      <c r="CX31" s="227">
        <v>2</v>
      </c>
      <c r="CY31" s="227">
        <v>2</v>
      </c>
      <c r="CZ31" s="227">
        <v>2</v>
      </c>
      <c r="DA31" s="227">
        <v>2</v>
      </c>
      <c r="DB31" s="227">
        <v>2</v>
      </c>
      <c r="DC31" s="227">
        <v>2</v>
      </c>
      <c r="DD31" s="227">
        <v>2</v>
      </c>
      <c r="DE31" s="227">
        <v>2</v>
      </c>
      <c r="DF31" s="227">
        <v>2</v>
      </c>
      <c r="DG31" s="282"/>
      <c r="DH31" s="282"/>
      <c r="DI31" s="282"/>
      <c r="DJ31" s="282"/>
      <c r="DK31" s="282"/>
      <c r="DL31" s="282"/>
      <c r="DM31" s="282"/>
      <c r="DN31" s="282"/>
      <c r="DO31" s="282"/>
      <c r="DP31" s="282"/>
      <c r="DQ31" s="282"/>
      <c r="DR31" s="282"/>
      <c r="DS31" s="282"/>
      <c r="DT31" s="282"/>
      <c r="DU31" s="282"/>
      <c r="DV31" s="282"/>
      <c r="DW31" s="282"/>
      <c r="DX31" s="282"/>
      <c r="DY31" s="282"/>
      <c r="DZ31" s="282"/>
      <c r="EA31" s="282"/>
      <c r="EB31" s="282"/>
      <c r="EC31" s="282"/>
      <c r="ED31" s="282"/>
      <c r="EE31" s="282"/>
      <c r="EF31" s="282"/>
      <c r="EG31" s="282"/>
      <c r="EH31" s="282"/>
      <c r="EI31" s="282"/>
      <c r="EJ31" s="282"/>
      <c r="EK31" s="282"/>
      <c r="EL31" s="282"/>
      <c r="EM31" s="282"/>
      <c r="EN31" s="282"/>
      <c r="EO31" s="282"/>
      <c r="EP31" s="282"/>
      <c r="EQ31" s="282"/>
      <c r="ER31" s="282"/>
      <c r="ES31" s="282"/>
      <c r="ET31" s="282"/>
      <c r="EU31" s="282"/>
      <c r="EV31" s="282"/>
      <c r="EW31" s="282"/>
      <c r="EX31" s="282"/>
      <c r="EY31" s="282"/>
      <c r="EZ31" s="282"/>
      <c r="FA31" s="282"/>
      <c r="FB31" s="282"/>
      <c r="FC31" s="282"/>
      <c r="FD31" s="282"/>
      <c r="FE31" s="282"/>
      <c r="FF31" s="282"/>
      <c r="FG31" s="282"/>
      <c r="FH31" s="282"/>
      <c r="FI31" s="282"/>
      <c r="FJ31" s="282"/>
      <c r="FK31" s="282"/>
      <c r="FL31" s="282"/>
      <c r="FM31" s="282"/>
      <c r="FN31" s="282"/>
      <c r="FO31" s="282"/>
      <c r="FP31" s="282"/>
      <c r="FQ31" s="282"/>
      <c r="FR31" s="282"/>
      <c r="FS31" s="282"/>
      <c r="FT31" s="282"/>
      <c r="FU31" s="282"/>
      <c r="FV31" s="282"/>
      <c r="FW31" s="282"/>
      <c r="FX31" s="282"/>
      <c r="FY31" s="282"/>
      <c r="FZ31" s="282"/>
      <c r="GA31" s="282"/>
      <c r="GB31" s="282"/>
      <c r="GC31" s="282"/>
      <c r="GD31" s="282"/>
      <c r="GE31" s="282"/>
      <c r="GF31" s="282"/>
      <c r="GG31" s="282"/>
      <c r="GH31" s="282"/>
      <c r="GI31" s="282"/>
      <c r="GJ31" s="282"/>
      <c r="GK31" s="282"/>
      <c r="GL31" s="282"/>
      <c r="GM31" s="282"/>
      <c r="GN31" s="282"/>
      <c r="GO31" s="282"/>
      <c r="GP31" s="282"/>
      <c r="GQ31" s="282"/>
      <c r="GR31" s="282"/>
      <c r="GS31" s="282"/>
      <c r="GT31" s="283"/>
    </row>
    <row r="32" spans="1:202" s="182" customFormat="1">
      <c r="A32" s="222" t="s">
        <v>658</v>
      </c>
      <c r="B32" s="224">
        <v>75</v>
      </c>
      <c r="C32" s="224" t="s">
        <v>634</v>
      </c>
      <c r="D32" s="224"/>
      <c r="E32" s="225"/>
      <c r="F32" s="225"/>
      <c r="G32" s="225"/>
      <c r="H32" s="225">
        <v>360</v>
      </c>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84"/>
      <c r="AV32" s="227">
        <v>4</v>
      </c>
      <c r="AW32" s="227">
        <v>4</v>
      </c>
      <c r="AX32" s="227">
        <v>4</v>
      </c>
      <c r="AY32" s="227">
        <v>4</v>
      </c>
      <c r="AZ32" s="227">
        <v>4</v>
      </c>
      <c r="BA32" s="227">
        <v>4</v>
      </c>
      <c r="BB32" s="227"/>
      <c r="BC32" s="227"/>
      <c r="BD32" s="227"/>
      <c r="BE32" s="227"/>
      <c r="BF32" s="227"/>
      <c r="BG32" s="227"/>
      <c r="BH32" s="227">
        <v>4</v>
      </c>
      <c r="BI32" s="227">
        <v>4</v>
      </c>
      <c r="BJ32" s="227">
        <v>4</v>
      </c>
      <c r="BK32" s="227">
        <v>4</v>
      </c>
      <c r="BL32" s="227">
        <v>4</v>
      </c>
      <c r="BM32" s="227">
        <v>4</v>
      </c>
      <c r="BN32" s="227"/>
      <c r="BO32" s="227"/>
      <c r="BP32" s="227"/>
      <c r="BQ32" s="227"/>
      <c r="BR32" s="227"/>
      <c r="BS32" s="227"/>
      <c r="BT32" s="227">
        <v>4</v>
      </c>
      <c r="BU32" s="227">
        <v>4</v>
      </c>
      <c r="BV32" s="227">
        <v>4</v>
      </c>
      <c r="BW32" s="227">
        <v>4</v>
      </c>
      <c r="BX32" s="227">
        <v>4</v>
      </c>
      <c r="BY32" s="227">
        <v>4</v>
      </c>
      <c r="BZ32" s="227"/>
      <c r="CA32" s="227"/>
      <c r="CB32" s="227"/>
      <c r="CC32" s="227"/>
      <c r="CD32" s="227"/>
      <c r="CE32" s="227"/>
      <c r="CF32" s="227">
        <v>4</v>
      </c>
      <c r="CG32" s="227">
        <v>4</v>
      </c>
      <c r="CH32" s="227">
        <v>4</v>
      </c>
      <c r="CI32" s="227">
        <v>4</v>
      </c>
      <c r="CJ32" s="227">
        <v>4</v>
      </c>
      <c r="CK32" s="227">
        <v>4</v>
      </c>
      <c r="CL32" s="227"/>
      <c r="CM32" s="227"/>
      <c r="CN32" s="227"/>
      <c r="CO32" s="227"/>
      <c r="CP32" s="227"/>
      <c r="CQ32" s="227"/>
      <c r="CR32" s="227">
        <v>4</v>
      </c>
      <c r="CS32" s="227">
        <v>4</v>
      </c>
      <c r="CT32" s="227">
        <v>4</v>
      </c>
      <c r="CU32" s="227">
        <v>4</v>
      </c>
      <c r="CV32" s="227">
        <v>4</v>
      </c>
      <c r="CW32" s="227">
        <v>4</v>
      </c>
      <c r="CX32" s="227"/>
      <c r="CY32" s="227"/>
      <c r="CZ32" s="227"/>
      <c r="DA32" s="227"/>
      <c r="DB32" s="227"/>
      <c r="DC32" s="227"/>
      <c r="DD32" s="227">
        <v>4</v>
      </c>
      <c r="DE32" s="227">
        <v>4</v>
      </c>
      <c r="DF32" s="227">
        <v>4</v>
      </c>
      <c r="DG32" s="282"/>
      <c r="DH32" s="282"/>
      <c r="DI32" s="282"/>
      <c r="DJ32" s="282"/>
      <c r="DK32" s="282"/>
      <c r="DL32" s="282"/>
      <c r="DM32" s="282"/>
      <c r="DN32" s="282"/>
      <c r="DO32" s="282"/>
      <c r="DP32" s="282"/>
      <c r="DQ32" s="282"/>
      <c r="DR32" s="282"/>
      <c r="DS32" s="282"/>
      <c r="DT32" s="282"/>
      <c r="DU32" s="282"/>
      <c r="DV32" s="282"/>
      <c r="DW32" s="282"/>
      <c r="DX32" s="282"/>
      <c r="DY32" s="282"/>
      <c r="DZ32" s="282"/>
      <c r="EA32" s="282"/>
      <c r="EB32" s="282"/>
      <c r="EC32" s="282"/>
      <c r="ED32" s="282"/>
      <c r="EE32" s="282"/>
      <c r="EF32" s="282"/>
      <c r="EG32" s="282"/>
      <c r="EH32" s="282"/>
      <c r="EI32" s="282"/>
      <c r="EJ32" s="282"/>
      <c r="EK32" s="282"/>
      <c r="EL32" s="282"/>
      <c r="EM32" s="282"/>
      <c r="EN32" s="282"/>
      <c r="EO32" s="282"/>
      <c r="EP32" s="282"/>
      <c r="EQ32" s="282"/>
      <c r="ER32" s="282"/>
      <c r="ES32" s="282"/>
      <c r="ET32" s="282"/>
      <c r="EU32" s="282"/>
      <c r="EV32" s="282"/>
      <c r="EW32" s="282"/>
      <c r="EX32" s="282"/>
      <c r="EY32" s="282"/>
      <c r="EZ32" s="282"/>
      <c r="FA32" s="282"/>
      <c r="FB32" s="282"/>
      <c r="FC32" s="282"/>
      <c r="FD32" s="282"/>
      <c r="FE32" s="282"/>
      <c r="FF32" s="282"/>
      <c r="FG32" s="282"/>
      <c r="FH32" s="282"/>
      <c r="FI32" s="282"/>
      <c r="FJ32" s="282"/>
      <c r="FK32" s="282"/>
      <c r="FL32" s="282"/>
      <c r="FM32" s="282"/>
      <c r="FN32" s="282"/>
      <c r="FO32" s="282"/>
      <c r="FP32" s="282"/>
      <c r="FQ32" s="282"/>
      <c r="FR32" s="282"/>
      <c r="FS32" s="282"/>
      <c r="FT32" s="282"/>
      <c r="FU32" s="282"/>
      <c r="FV32" s="282"/>
      <c r="FW32" s="282"/>
      <c r="FX32" s="282"/>
      <c r="FY32" s="282"/>
      <c r="FZ32" s="282"/>
      <c r="GA32" s="282"/>
      <c r="GB32" s="282"/>
      <c r="GC32" s="282"/>
      <c r="GD32" s="282"/>
      <c r="GE32" s="282"/>
      <c r="GF32" s="282"/>
      <c r="GG32" s="282"/>
      <c r="GH32" s="282"/>
      <c r="GI32" s="282"/>
      <c r="GJ32" s="282"/>
      <c r="GK32" s="282"/>
      <c r="GL32" s="282"/>
      <c r="GM32" s="282"/>
      <c r="GN32" s="282"/>
      <c r="GO32" s="282"/>
      <c r="GP32" s="282"/>
      <c r="GQ32" s="282"/>
      <c r="GR32" s="282"/>
      <c r="GS32" s="282"/>
      <c r="GT32" s="283"/>
    </row>
    <row r="33" spans="1:202" s="182" customFormat="1">
      <c r="A33" s="222" t="s">
        <v>659</v>
      </c>
      <c r="B33" s="224">
        <v>36</v>
      </c>
      <c r="C33" s="224" t="s">
        <v>634</v>
      </c>
      <c r="D33" s="224"/>
      <c r="E33" s="225"/>
      <c r="F33" s="225"/>
      <c r="G33" s="225"/>
      <c r="H33" s="225">
        <v>180</v>
      </c>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v>4</v>
      </c>
      <c r="AT33" s="227">
        <v>4</v>
      </c>
      <c r="AU33" s="227">
        <v>4</v>
      </c>
      <c r="AV33" s="227">
        <v>4</v>
      </c>
      <c r="AW33" s="227">
        <v>4</v>
      </c>
      <c r="AX33" s="227">
        <v>4</v>
      </c>
      <c r="AY33" s="227">
        <v>4</v>
      </c>
      <c r="AZ33" s="227">
        <v>4</v>
      </c>
      <c r="BA33" s="227">
        <v>4</v>
      </c>
      <c r="BB33" s="227">
        <v>4</v>
      </c>
      <c r="BC33" s="227">
        <v>4</v>
      </c>
      <c r="BD33" s="227">
        <v>4</v>
      </c>
      <c r="BE33" s="227">
        <v>4</v>
      </c>
      <c r="BF33" s="227">
        <v>4</v>
      </c>
      <c r="BG33" s="227">
        <v>4</v>
      </c>
      <c r="BH33" s="227">
        <v>4</v>
      </c>
      <c r="BI33" s="227">
        <v>4</v>
      </c>
      <c r="BJ33" s="227">
        <v>4</v>
      </c>
      <c r="BK33" s="227">
        <v>4</v>
      </c>
      <c r="BL33" s="227">
        <v>4</v>
      </c>
      <c r="BM33" s="227">
        <v>4</v>
      </c>
      <c r="BN33" s="227">
        <v>4</v>
      </c>
      <c r="BO33" s="227">
        <v>4</v>
      </c>
      <c r="BP33" s="227">
        <v>4</v>
      </c>
      <c r="BQ33" s="227">
        <v>4</v>
      </c>
      <c r="BR33" s="227">
        <v>4</v>
      </c>
      <c r="BS33" s="227">
        <v>4</v>
      </c>
      <c r="BT33" s="227">
        <v>4</v>
      </c>
      <c r="BU33" s="227">
        <v>4</v>
      </c>
      <c r="BV33" s="227">
        <v>4</v>
      </c>
      <c r="BW33" s="227">
        <v>4</v>
      </c>
      <c r="BX33" s="227">
        <v>4</v>
      </c>
      <c r="BY33" s="227">
        <v>4</v>
      </c>
      <c r="BZ33" s="227">
        <v>4</v>
      </c>
      <c r="CA33" s="227">
        <v>4</v>
      </c>
      <c r="CB33" s="227">
        <v>4</v>
      </c>
      <c r="CC33" s="227">
        <v>4</v>
      </c>
      <c r="CD33" s="227">
        <v>4</v>
      </c>
      <c r="CE33" s="227">
        <v>4</v>
      </c>
      <c r="CF33" s="227">
        <v>4</v>
      </c>
      <c r="CG33" s="227">
        <v>4</v>
      </c>
      <c r="CH33" s="227">
        <v>4</v>
      </c>
      <c r="CI33" s="227">
        <v>4</v>
      </c>
      <c r="CJ33" s="227">
        <v>4</v>
      </c>
      <c r="CK33" s="227">
        <v>4</v>
      </c>
      <c r="CL33" s="227">
        <v>4</v>
      </c>
      <c r="CM33" s="227">
        <v>4</v>
      </c>
      <c r="CN33" s="227">
        <v>4</v>
      </c>
      <c r="CO33" s="227">
        <v>4</v>
      </c>
      <c r="CP33" s="227">
        <v>4</v>
      </c>
      <c r="CQ33" s="227">
        <v>4</v>
      </c>
      <c r="CR33" s="227">
        <v>4</v>
      </c>
      <c r="CS33" s="227">
        <v>4</v>
      </c>
      <c r="CT33" s="227">
        <v>4</v>
      </c>
      <c r="CU33" s="227">
        <v>4</v>
      </c>
      <c r="CV33" s="227">
        <v>4</v>
      </c>
      <c r="CW33" s="227">
        <v>4</v>
      </c>
      <c r="CX33" s="227">
        <v>4</v>
      </c>
      <c r="CY33" s="227">
        <v>4</v>
      </c>
      <c r="CZ33" s="227">
        <v>4</v>
      </c>
      <c r="DA33" s="227">
        <v>4</v>
      </c>
      <c r="DB33" s="227">
        <v>4</v>
      </c>
      <c r="DC33" s="227">
        <v>4</v>
      </c>
      <c r="DD33" s="227">
        <v>4</v>
      </c>
      <c r="DE33" s="227">
        <v>4</v>
      </c>
      <c r="DF33" s="227">
        <v>4</v>
      </c>
      <c r="DG33" s="282">
        <f t="shared" ref="DG33:EI33" si="22">SUM(I33:T33)</f>
        <v>0</v>
      </c>
      <c r="DH33" s="282">
        <f t="shared" si="22"/>
        <v>0</v>
      </c>
      <c r="DI33" s="282">
        <f t="shared" si="22"/>
        <v>0</v>
      </c>
      <c r="DJ33" s="282">
        <f t="shared" si="22"/>
        <v>0</v>
      </c>
      <c r="DK33" s="282">
        <f t="shared" si="22"/>
        <v>0</v>
      </c>
      <c r="DL33" s="282">
        <f t="shared" si="22"/>
        <v>0</v>
      </c>
      <c r="DM33" s="282">
        <f t="shared" si="22"/>
        <v>0</v>
      </c>
      <c r="DN33" s="282">
        <f t="shared" si="22"/>
        <v>0</v>
      </c>
      <c r="DO33" s="282">
        <f t="shared" si="22"/>
        <v>0</v>
      </c>
      <c r="DP33" s="282">
        <f t="shared" si="22"/>
        <v>0</v>
      </c>
      <c r="DQ33" s="282">
        <f t="shared" si="22"/>
        <v>0</v>
      </c>
      <c r="DR33" s="282">
        <f t="shared" si="22"/>
        <v>0</v>
      </c>
      <c r="DS33" s="282">
        <f t="shared" si="22"/>
        <v>0</v>
      </c>
      <c r="DT33" s="282">
        <f t="shared" si="22"/>
        <v>0</v>
      </c>
      <c r="DU33" s="282">
        <f t="shared" si="22"/>
        <v>0</v>
      </c>
      <c r="DV33" s="282">
        <f t="shared" si="22"/>
        <v>0</v>
      </c>
      <c r="DW33" s="282">
        <f t="shared" si="22"/>
        <v>0</v>
      </c>
      <c r="DX33" s="282">
        <f t="shared" si="22"/>
        <v>0</v>
      </c>
      <c r="DY33" s="282">
        <f t="shared" si="22"/>
        <v>0</v>
      </c>
      <c r="DZ33" s="282">
        <f t="shared" si="22"/>
        <v>0</v>
      </c>
      <c r="EA33" s="282">
        <f t="shared" si="22"/>
        <v>0</v>
      </c>
      <c r="EB33" s="282">
        <f t="shared" si="22"/>
        <v>0</v>
      </c>
      <c r="EC33" s="282">
        <f t="shared" si="22"/>
        <v>0</v>
      </c>
      <c r="ED33" s="282">
        <f t="shared" si="22"/>
        <v>0</v>
      </c>
      <c r="EE33" s="282">
        <f t="shared" si="22"/>
        <v>0</v>
      </c>
      <c r="EF33" s="282">
        <f t="shared" si="22"/>
        <v>4</v>
      </c>
      <c r="EG33" s="282">
        <f t="shared" si="22"/>
        <v>8</v>
      </c>
      <c r="EH33" s="282">
        <f t="shared" si="22"/>
        <v>12</v>
      </c>
      <c r="EI33" s="282">
        <f t="shared" si="22"/>
        <v>16</v>
      </c>
      <c r="EJ33" s="282">
        <f t="shared" ref="EJ33:GS33" si="23">SUM(AL33:AX33)</f>
        <v>24</v>
      </c>
      <c r="EK33" s="282">
        <f t="shared" si="23"/>
        <v>28</v>
      </c>
      <c r="EL33" s="282">
        <f t="shared" si="23"/>
        <v>32</v>
      </c>
      <c r="EM33" s="282">
        <f t="shared" si="23"/>
        <v>36</v>
      </c>
      <c r="EN33" s="282">
        <f t="shared" si="23"/>
        <v>40</v>
      </c>
      <c r="EO33" s="282">
        <f t="shared" si="23"/>
        <v>44</v>
      </c>
      <c r="EP33" s="282">
        <f t="shared" si="23"/>
        <v>48</v>
      </c>
      <c r="EQ33" s="282">
        <f t="shared" si="23"/>
        <v>52</v>
      </c>
      <c r="ER33" s="282">
        <f t="shared" si="23"/>
        <v>52</v>
      </c>
      <c r="ES33" s="282">
        <f t="shared" si="23"/>
        <v>52</v>
      </c>
      <c r="ET33" s="282">
        <f t="shared" si="23"/>
        <v>52</v>
      </c>
      <c r="EU33" s="282">
        <f t="shared" si="23"/>
        <v>52</v>
      </c>
      <c r="EV33" s="282">
        <f t="shared" si="23"/>
        <v>52</v>
      </c>
      <c r="EW33" s="282">
        <f t="shared" si="23"/>
        <v>52</v>
      </c>
      <c r="EX33" s="282">
        <f t="shared" si="23"/>
        <v>52</v>
      </c>
      <c r="EY33" s="282">
        <f t="shared" si="23"/>
        <v>52</v>
      </c>
      <c r="EZ33" s="282">
        <f t="shared" si="23"/>
        <v>52</v>
      </c>
      <c r="FA33" s="282">
        <f t="shared" si="23"/>
        <v>52</v>
      </c>
      <c r="FB33" s="282">
        <f t="shared" si="23"/>
        <v>52</v>
      </c>
      <c r="FC33" s="282">
        <f t="shared" si="23"/>
        <v>52</v>
      </c>
      <c r="FD33" s="282">
        <f t="shared" si="23"/>
        <v>52</v>
      </c>
      <c r="FE33" s="282">
        <f t="shared" si="23"/>
        <v>52</v>
      </c>
      <c r="FF33" s="282">
        <f t="shared" si="23"/>
        <v>52</v>
      </c>
      <c r="FG33" s="282">
        <f t="shared" si="23"/>
        <v>52</v>
      </c>
      <c r="FH33" s="282">
        <f t="shared" si="23"/>
        <v>52</v>
      </c>
      <c r="FI33" s="282">
        <f t="shared" si="23"/>
        <v>52</v>
      </c>
      <c r="FJ33" s="282">
        <f t="shared" si="23"/>
        <v>52</v>
      </c>
      <c r="FK33" s="282">
        <f t="shared" si="23"/>
        <v>52</v>
      </c>
      <c r="FL33" s="282">
        <f t="shared" si="23"/>
        <v>52</v>
      </c>
      <c r="FM33" s="282">
        <f t="shared" si="23"/>
        <v>52</v>
      </c>
      <c r="FN33" s="282">
        <f t="shared" si="23"/>
        <v>52</v>
      </c>
      <c r="FO33" s="282">
        <f t="shared" si="23"/>
        <v>52</v>
      </c>
      <c r="FP33" s="282">
        <f t="shared" si="23"/>
        <v>52</v>
      </c>
      <c r="FQ33" s="282">
        <f t="shared" si="23"/>
        <v>52</v>
      </c>
      <c r="FR33" s="282">
        <f t="shared" si="23"/>
        <v>52</v>
      </c>
      <c r="FS33" s="282">
        <f t="shared" si="23"/>
        <v>52</v>
      </c>
      <c r="FT33" s="282">
        <f t="shared" si="23"/>
        <v>52</v>
      </c>
      <c r="FU33" s="282">
        <f t="shared" si="23"/>
        <v>52</v>
      </c>
      <c r="FV33" s="282">
        <f t="shared" si="23"/>
        <v>52</v>
      </c>
      <c r="FW33" s="282">
        <f t="shared" si="23"/>
        <v>52</v>
      </c>
      <c r="FX33" s="282">
        <f t="shared" si="23"/>
        <v>52</v>
      </c>
      <c r="FY33" s="282">
        <f t="shared" si="23"/>
        <v>52</v>
      </c>
      <c r="FZ33" s="282">
        <f t="shared" si="23"/>
        <v>52</v>
      </c>
      <c r="GA33" s="282">
        <f t="shared" si="23"/>
        <v>52</v>
      </c>
      <c r="GB33" s="282">
        <f t="shared" si="23"/>
        <v>52</v>
      </c>
      <c r="GC33" s="282">
        <f t="shared" si="23"/>
        <v>52</v>
      </c>
      <c r="GD33" s="282">
        <f t="shared" si="23"/>
        <v>52</v>
      </c>
      <c r="GE33" s="282">
        <f t="shared" si="23"/>
        <v>52</v>
      </c>
      <c r="GF33" s="282">
        <f t="shared" si="23"/>
        <v>52</v>
      </c>
      <c r="GG33" s="282">
        <f t="shared" si="23"/>
        <v>52</v>
      </c>
      <c r="GH33" s="282">
        <f t="shared" si="23"/>
        <v>52</v>
      </c>
      <c r="GI33" s="282">
        <f t="shared" si="23"/>
        <v>52</v>
      </c>
      <c r="GJ33" s="282">
        <f t="shared" si="23"/>
        <v>52</v>
      </c>
      <c r="GK33" s="282">
        <f t="shared" si="23"/>
        <v>52</v>
      </c>
      <c r="GL33" s="282">
        <f t="shared" si="23"/>
        <v>52</v>
      </c>
      <c r="GM33" s="282">
        <f t="shared" si="23"/>
        <v>52</v>
      </c>
      <c r="GN33" s="282">
        <f t="shared" si="23"/>
        <v>52</v>
      </c>
      <c r="GO33" s="282">
        <f t="shared" si="23"/>
        <v>52</v>
      </c>
      <c r="GP33" s="282">
        <f t="shared" si="23"/>
        <v>52</v>
      </c>
      <c r="GQ33" s="282">
        <f t="shared" si="23"/>
        <v>52</v>
      </c>
      <c r="GR33" s="282">
        <f t="shared" si="23"/>
        <v>52</v>
      </c>
      <c r="GS33" s="282">
        <f t="shared" si="23"/>
        <v>48</v>
      </c>
      <c r="GT33" s="283">
        <f>SUM(I33:CE33)</f>
        <v>156</v>
      </c>
    </row>
    <row r="34" spans="1:202" s="182" customFormat="1">
      <c r="A34" s="222" t="s">
        <v>660</v>
      </c>
      <c r="B34" s="224">
        <v>350</v>
      </c>
      <c r="C34" s="224" t="s">
        <v>634</v>
      </c>
      <c r="D34" s="224"/>
      <c r="E34" s="225"/>
      <c r="F34" s="225"/>
      <c r="G34" s="225"/>
      <c r="H34" s="225">
        <v>300</v>
      </c>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v>2</v>
      </c>
      <c r="AT34" s="227">
        <v>2</v>
      </c>
      <c r="AU34" s="284">
        <v>2</v>
      </c>
      <c r="AV34" s="227"/>
      <c r="AW34" s="227"/>
      <c r="AX34" s="227"/>
      <c r="AY34" s="227"/>
      <c r="AZ34" s="227"/>
      <c r="BA34" s="227"/>
      <c r="BB34" s="227">
        <v>2</v>
      </c>
      <c r="BC34" s="227">
        <v>2</v>
      </c>
      <c r="BD34" s="227">
        <v>2</v>
      </c>
      <c r="BE34" s="227">
        <v>2</v>
      </c>
      <c r="BF34" s="227">
        <v>2</v>
      </c>
      <c r="BG34" s="227">
        <v>2</v>
      </c>
      <c r="BH34" s="227"/>
      <c r="BI34" s="227"/>
      <c r="BJ34" s="227"/>
      <c r="BK34" s="227"/>
      <c r="BL34" s="227"/>
      <c r="BM34" s="227"/>
      <c r="BN34" s="227">
        <v>2</v>
      </c>
      <c r="BO34" s="227">
        <v>2</v>
      </c>
      <c r="BP34" s="227">
        <v>2</v>
      </c>
      <c r="BQ34" s="227">
        <v>2</v>
      </c>
      <c r="BR34" s="227">
        <v>2</v>
      </c>
      <c r="BS34" s="227">
        <v>2</v>
      </c>
      <c r="BT34" s="227"/>
      <c r="BU34" s="227"/>
      <c r="BV34" s="227"/>
      <c r="BW34" s="227"/>
      <c r="BX34" s="227"/>
      <c r="BY34" s="227"/>
      <c r="BZ34" s="227">
        <v>2</v>
      </c>
      <c r="CA34" s="227">
        <v>2</v>
      </c>
      <c r="CB34" s="227">
        <v>2</v>
      </c>
      <c r="CC34" s="227">
        <v>2</v>
      </c>
      <c r="CD34" s="227">
        <v>2</v>
      </c>
      <c r="CE34" s="227">
        <v>2</v>
      </c>
      <c r="CF34" s="227"/>
      <c r="CG34" s="227"/>
      <c r="CH34" s="227"/>
      <c r="CI34" s="227"/>
      <c r="CJ34" s="227"/>
      <c r="CK34" s="227"/>
      <c r="CL34" s="227">
        <v>2</v>
      </c>
      <c r="CM34" s="227">
        <v>2</v>
      </c>
      <c r="CN34" s="227">
        <v>2</v>
      </c>
      <c r="CO34" s="227">
        <v>2</v>
      </c>
      <c r="CP34" s="227">
        <v>2</v>
      </c>
      <c r="CQ34" s="227">
        <v>2</v>
      </c>
      <c r="CR34" s="227"/>
      <c r="CS34" s="227"/>
      <c r="CT34" s="227"/>
      <c r="CU34" s="227"/>
      <c r="CV34" s="227"/>
      <c r="CW34" s="227"/>
      <c r="CX34" s="227">
        <v>2</v>
      </c>
      <c r="CY34" s="227">
        <v>2</v>
      </c>
      <c r="CZ34" s="227">
        <v>2</v>
      </c>
      <c r="DA34" s="227">
        <v>2</v>
      </c>
      <c r="DB34" s="227">
        <v>2</v>
      </c>
      <c r="DC34" s="227">
        <v>2</v>
      </c>
      <c r="DD34" s="227"/>
      <c r="DE34" s="227"/>
      <c r="DF34" s="227"/>
      <c r="DG34" s="282"/>
      <c r="DH34" s="282"/>
      <c r="DI34" s="282"/>
      <c r="DJ34" s="282"/>
      <c r="DK34" s="282"/>
      <c r="DL34" s="282"/>
      <c r="DM34" s="282"/>
      <c r="DN34" s="282"/>
      <c r="DO34" s="282"/>
      <c r="DP34" s="282"/>
      <c r="DQ34" s="282"/>
      <c r="DR34" s="282"/>
      <c r="DS34" s="282"/>
      <c r="DT34" s="282"/>
      <c r="DU34" s="282"/>
      <c r="DV34" s="282"/>
      <c r="DW34" s="282"/>
      <c r="DX34" s="282"/>
      <c r="DY34" s="282"/>
      <c r="DZ34" s="282"/>
      <c r="EA34" s="282"/>
      <c r="EB34" s="282"/>
      <c r="EC34" s="282"/>
      <c r="ED34" s="282"/>
      <c r="EE34" s="282"/>
      <c r="EF34" s="282"/>
      <c r="EG34" s="282"/>
      <c r="EH34" s="282"/>
      <c r="EI34" s="282"/>
      <c r="EJ34" s="282"/>
      <c r="EK34" s="282"/>
      <c r="EL34" s="282"/>
      <c r="EM34" s="282"/>
      <c r="EN34" s="282"/>
      <c r="EO34" s="282"/>
      <c r="EP34" s="282"/>
      <c r="EQ34" s="282"/>
      <c r="ER34" s="282"/>
      <c r="ES34" s="282"/>
      <c r="ET34" s="282"/>
      <c r="EU34" s="282"/>
      <c r="EV34" s="282"/>
      <c r="EW34" s="282"/>
      <c r="EX34" s="282"/>
      <c r="EY34" s="282"/>
      <c r="EZ34" s="282"/>
      <c r="FA34" s="282"/>
      <c r="FB34" s="282"/>
      <c r="FC34" s="282"/>
      <c r="FD34" s="282"/>
      <c r="FE34" s="282"/>
      <c r="FF34" s="282"/>
      <c r="FG34" s="282"/>
      <c r="FH34" s="282"/>
      <c r="FI34" s="282"/>
      <c r="FJ34" s="282"/>
      <c r="FK34" s="282"/>
      <c r="FL34" s="282"/>
      <c r="FM34" s="282"/>
      <c r="FN34" s="282"/>
      <c r="FO34" s="282"/>
      <c r="FP34" s="282"/>
      <c r="FQ34" s="282"/>
      <c r="FR34" s="282"/>
      <c r="FS34" s="282"/>
      <c r="FT34" s="282"/>
      <c r="FU34" s="282"/>
      <c r="FV34" s="282"/>
      <c r="FW34" s="282"/>
      <c r="FX34" s="282"/>
      <c r="FY34" s="282"/>
      <c r="FZ34" s="282"/>
      <c r="GA34" s="282"/>
      <c r="GB34" s="282"/>
      <c r="GC34" s="282"/>
      <c r="GD34" s="282"/>
      <c r="GE34" s="282"/>
      <c r="GF34" s="282"/>
      <c r="GG34" s="282"/>
      <c r="GH34" s="282"/>
      <c r="GI34" s="282"/>
      <c r="GJ34" s="282"/>
      <c r="GK34" s="282"/>
      <c r="GL34" s="282"/>
      <c r="GM34" s="282"/>
      <c r="GN34" s="282"/>
      <c r="GO34" s="282"/>
      <c r="GP34" s="282"/>
      <c r="GQ34" s="282"/>
      <c r="GR34" s="282"/>
      <c r="GS34" s="282"/>
      <c r="GT34" s="283"/>
    </row>
    <row r="35" spans="1:202" s="182" customFormat="1">
      <c r="A35" s="222" t="s">
        <v>661</v>
      </c>
      <c r="B35" s="224">
        <v>400</v>
      </c>
      <c r="C35" s="224" t="s">
        <v>634</v>
      </c>
      <c r="D35" s="224"/>
      <c r="E35" s="225"/>
      <c r="F35" s="225"/>
      <c r="G35" s="225"/>
      <c r="H35" s="225">
        <v>180</v>
      </c>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v>1</v>
      </c>
      <c r="AT35" s="227">
        <v>1</v>
      </c>
      <c r="AU35" s="227">
        <v>1</v>
      </c>
      <c r="AV35" s="227">
        <v>1</v>
      </c>
      <c r="AW35" s="227">
        <v>1</v>
      </c>
      <c r="AX35" s="227">
        <v>1</v>
      </c>
      <c r="AY35" s="227">
        <v>1</v>
      </c>
      <c r="AZ35" s="227">
        <v>1</v>
      </c>
      <c r="BA35" s="227">
        <v>1</v>
      </c>
      <c r="BB35" s="227">
        <v>1</v>
      </c>
      <c r="BC35" s="227">
        <v>1</v>
      </c>
      <c r="BD35" s="227">
        <v>1</v>
      </c>
      <c r="BE35" s="227">
        <v>1</v>
      </c>
      <c r="BF35" s="227">
        <v>1</v>
      </c>
      <c r="BG35" s="227">
        <v>1</v>
      </c>
      <c r="BH35" s="227">
        <v>1</v>
      </c>
      <c r="BI35" s="227">
        <v>1</v>
      </c>
      <c r="BJ35" s="227">
        <v>1</v>
      </c>
      <c r="BK35" s="227">
        <v>1</v>
      </c>
      <c r="BL35" s="227">
        <v>1</v>
      </c>
      <c r="BM35" s="227">
        <v>1</v>
      </c>
      <c r="BN35" s="227">
        <v>1</v>
      </c>
      <c r="BO35" s="227">
        <v>1</v>
      </c>
      <c r="BP35" s="227">
        <v>1</v>
      </c>
      <c r="BQ35" s="227">
        <v>1</v>
      </c>
      <c r="BR35" s="227">
        <v>1</v>
      </c>
      <c r="BS35" s="227">
        <v>1</v>
      </c>
      <c r="BT35" s="227">
        <v>1</v>
      </c>
      <c r="BU35" s="227">
        <v>1</v>
      </c>
      <c r="BV35" s="227">
        <v>1</v>
      </c>
      <c r="BW35" s="227">
        <v>1</v>
      </c>
      <c r="BX35" s="227">
        <v>1</v>
      </c>
      <c r="BY35" s="227">
        <v>1</v>
      </c>
      <c r="BZ35" s="227">
        <v>1</v>
      </c>
      <c r="CA35" s="227">
        <v>1</v>
      </c>
      <c r="CB35" s="227">
        <v>1</v>
      </c>
      <c r="CC35" s="227">
        <v>1</v>
      </c>
      <c r="CD35" s="227">
        <v>1</v>
      </c>
      <c r="CE35" s="227">
        <v>1</v>
      </c>
      <c r="CF35" s="227">
        <v>1</v>
      </c>
      <c r="CG35" s="227">
        <v>1</v>
      </c>
      <c r="CH35" s="227">
        <v>1</v>
      </c>
      <c r="CI35" s="227">
        <v>1</v>
      </c>
      <c r="CJ35" s="227">
        <v>1</v>
      </c>
      <c r="CK35" s="227">
        <v>1</v>
      </c>
      <c r="CL35" s="227">
        <v>1</v>
      </c>
      <c r="CM35" s="227">
        <v>1</v>
      </c>
      <c r="CN35" s="227">
        <v>1</v>
      </c>
      <c r="CO35" s="227">
        <v>1</v>
      </c>
      <c r="CP35" s="227">
        <v>1</v>
      </c>
      <c r="CQ35" s="227">
        <v>1</v>
      </c>
      <c r="CR35" s="227">
        <v>1</v>
      </c>
      <c r="CS35" s="227">
        <v>1</v>
      </c>
      <c r="CT35" s="227">
        <v>1</v>
      </c>
      <c r="CU35" s="227">
        <v>1</v>
      </c>
      <c r="CV35" s="227">
        <v>1</v>
      </c>
      <c r="CW35" s="227">
        <v>1</v>
      </c>
      <c r="CX35" s="227">
        <v>1</v>
      </c>
      <c r="CY35" s="227">
        <v>1</v>
      </c>
      <c r="CZ35" s="227">
        <v>1</v>
      </c>
      <c r="DA35" s="227">
        <v>1</v>
      </c>
      <c r="DB35" s="227">
        <v>1</v>
      </c>
      <c r="DC35" s="227">
        <v>1</v>
      </c>
      <c r="DD35" s="227">
        <v>1</v>
      </c>
      <c r="DE35" s="227">
        <v>1</v>
      </c>
      <c r="DF35" s="227">
        <v>1</v>
      </c>
      <c r="DG35" s="282">
        <f t="shared" ref="DG35:DV36" si="24">SUM(I35:T35)</f>
        <v>0</v>
      </c>
      <c r="DH35" s="282">
        <f t="shared" si="24"/>
        <v>0</v>
      </c>
      <c r="DI35" s="282">
        <f t="shared" si="24"/>
        <v>0</v>
      </c>
      <c r="DJ35" s="282">
        <f t="shared" si="24"/>
        <v>0</v>
      </c>
      <c r="DK35" s="282">
        <f t="shared" si="24"/>
        <v>0</v>
      </c>
      <c r="DL35" s="282">
        <f t="shared" si="24"/>
        <v>0</v>
      </c>
      <c r="DM35" s="282">
        <f t="shared" si="24"/>
        <v>0</v>
      </c>
      <c r="DN35" s="282">
        <f t="shared" si="24"/>
        <v>0</v>
      </c>
      <c r="DO35" s="282">
        <f t="shared" si="24"/>
        <v>0</v>
      </c>
      <c r="DP35" s="282">
        <f t="shared" si="24"/>
        <v>0</v>
      </c>
      <c r="DQ35" s="282">
        <f t="shared" si="24"/>
        <v>0</v>
      </c>
      <c r="DR35" s="282">
        <f t="shared" si="24"/>
        <v>0</v>
      </c>
      <c r="DS35" s="282">
        <f t="shared" si="24"/>
        <v>0</v>
      </c>
      <c r="DT35" s="282">
        <f t="shared" si="24"/>
        <v>0</v>
      </c>
      <c r="DU35" s="282">
        <f t="shared" si="24"/>
        <v>0</v>
      </c>
      <c r="DV35" s="282">
        <f t="shared" si="24"/>
        <v>0</v>
      </c>
      <c r="DW35" s="282">
        <f t="shared" ref="DW35:EI36" si="25">SUM(Y35:AJ35)</f>
        <v>0</v>
      </c>
      <c r="DX35" s="282">
        <f t="shared" si="25"/>
        <v>0</v>
      </c>
      <c r="DY35" s="282">
        <f t="shared" si="25"/>
        <v>0</v>
      </c>
      <c r="DZ35" s="282">
        <f t="shared" si="25"/>
        <v>0</v>
      </c>
      <c r="EA35" s="282">
        <f t="shared" si="25"/>
        <v>0</v>
      </c>
      <c r="EB35" s="282">
        <f t="shared" si="25"/>
        <v>0</v>
      </c>
      <c r="EC35" s="282">
        <f t="shared" si="25"/>
        <v>0</v>
      </c>
      <c r="ED35" s="282">
        <f t="shared" si="25"/>
        <v>0</v>
      </c>
      <c r="EE35" s="282">
        <f t="shared" si="25"/>
        <v>0</v>
      </c>
      <c r="EF35" s="282">
        <f t="shared" si="25"/>
        <v>1</v>
      </c>
      <c r="EG35" s="282">
        <f t="shared" si="25"/>
        <v>2</v>
      </c>
      <c r="EH35" s="282">
        <f t="shared" si="25"/>
        <v>3</v>
      </c>
      <c r="EI35" s="282">
        <f t="shared" si="25"/>
        <v>4</v>
      </c>
      <c r="EJ35" s="282">
        <f t="shared" ref="EJ35:EY41" si="26">SUM(AL35:AX35)</f>
        <v>6</v>
      </c>
      <c r="EK35" s="282">
        <f t="shared" si="26"/>
        <v>7</v>
      </c>
      <c r="EL35" s="282">
        <f t="shared" si="26"/>
        <v>8</v>
      </c>
      <c r="EM35" s="282">
        <f t="shared" si="26"/>
        <v>9</v>
      </c>
      <c r="EN35" s="282">
        <f t="shared" si="26"/>
        <v>10</v>
      </c>
      <c r="EO35" s="282">
        <f t="shared" si="26"/>
        <v>11</v>
      </c>
      <c r="EP35" s="282">
        <f t="shared" si="26"/>
        <v>12</v>
      </c>
      <c r="EQ35" s="282">
        <f t="shared" si="26"/>
        <v>13</v>
      </c>
      <c r="ER35" s="282">
        <f t="shared" si="26"/>
        <v>13</v>
      </c>
      <c r="ES35" s="282">
        <f t="shared" si="26"/>
        <v>13</v>
      </c>
      <c r="ET35" s="282">
        <f t="shared" si="26"/>
        <v>13</v>
      </c>
      <c r="EU35" s="282">
        <f t="shared" si="26"/>
        <v>13</v>
      </c>
      <c r="EV35" s="282">
        <f t="shared" si="26"/>
        <v>13</v>
      </c>
      <c r="EW35" s="282">
        <f t="shared" si="26"/>
        <v>13</v>
      </c>
      <c r="EX35" s="282">
        <f t="shared" si="26"/>
        <v>13</v>
      </c>
      <c r="EY35" s="282">
        <f t="shared" si="26"/>
        <v>13</v>
      </c>
      <c r="EZ35" s="282">
        <f t="shared" ref="EZ35:FO41" si="27">SUM(BB35:BN35)</f>
        <v>13</v>
      </c>
      <c r="FA35" s="282">
        <f t="shared" si="27"/>
        <v>13</v>
      </c>
      <c r="FB35" s="282">
        <f t="shared" si="27"/>
        <v>13</v>
      </c>
      <c r="FC35" s="282">
        <f t="shared" si="27"/>
        <v>13</v>
      </c>
      <c r="FD35" s="282">
        <f t="shared" si="27"/>
        <v>13</v>
      </c>
      <c r="FE35" s="282">
        <f t="shared" si="27"/>
        <v>13</v>
      </c>
      <c r="FF35" s="282">
        <f t="shared" si="27"/>
        <v>13</v>
      </c>
      <c r="FG35" s="282">
        <f t="shared" si="27"/>
        <v>13</v>
      </c>
      <c r="FH35" s="282">
        <f t="shared" si="27"/>
        <v>13</v>
      </c>
      <c r="FI35" s="282">
        <f t="shared" si="27"/>
        <v>13</v>
      </c>
      <c r="FJ35" s="282">
        <f t="shared" si="27"/>
        <v>13</v>
      </c>
      <c r="FK35" s="282">
        <f t="shared" si="27"/>
        <v>13</v>
      </c>
      <c r="FL35" s="282">
        <f t="shared" si="27"/>
        <v>13</v>
      </c>
      <c r="FM35" s="282">
        <f t="shared" si="27"/>
        <v>13</v>
      </c>
      <c r="FN35" s="282">
        <f t="shared" si="27"/>
        <v>13</v>
      </c>
      <c r="FO35" s="282">
        <f t="shared" si="27"/>
        <v>13</v>
      </c>
      <c r="FP35" s="282">
        <f t="shared" ref="FP35:GE41" si="28">SUM(BR35:CD35)</f>
        <v>13</v>
      </c>
      <c r="FQ35" s="282">
        <f t="shared" si="28"/>
        <v>13</v>
      </c>
      <c r="FR35" s="282">
        <f t="shared" si="28"/>
        <v>13</v>
      </c>
      <c r="FS35" s="282">
        <f t="shared" si="28"/>
        <v>13</v>
      </c>
      <c r="FT35" s="282">
        <f t="shared" si="28"/>
        <v>13</v>
      </c>
      <c r="FU35" s="282">
        <f t="shared" si="28"/>
        <v>13</v>
      </c>
      <c r="FV35" s="282">
        <f t="shared" si="28"/>
        <v>13</v>
      </c>
      <c r="FW35" s="282">
        <f t="shared" si="28"/>
        <v>13</v>
      </c>
      <c r="FX35" s="282">
        <f t="shared" si="28"/>
        <v>13</v>
      </c>
      <c r="FY35" s="282">
        <f t="shared" si="28"/>
        <v>13</v>
      </c>
      <c r="FZ35" s="282">
        <f t="shared" si="28"/>
        <v>13</v>
      </c>
      <c r="GA35" s="282">
        <f t="shared" si="28"/>
        <v>13</v>
      </c>
      <c r="GB35" s="282">
        <f t="shared" si="28"/>
        <v>13</v>
      </c>
      <c r="GC35" s="282">
        <f t="shared" si="28"/>
        <v>13</v>
      </c>
      <c r="GD35" s="282">
        <f t="shared" si="28"/>
        <v>13</v>
      </c>
      <c r="GE35" s="282">
        <f t="shared" si="28"/>
        <v>13</v>
      </c>
      <c r="GF35" s="282">
        <f t="shared" ref="GF35:GS41" si="29">SUM(CH35:CT35)</f>
        <v>13</v>
      </c>
      <c r="GG35" s="282">
        <f t="shared" si="29"/>
        <v>13</v>
      </c>
      <c r="GH35" s="282">
        <f t="shared" si="29"/>
        <v>13</v>
      </c>
      <c r="GI35" s="282">
        <f t="shared" si="29"/>
        <v>13</v>
      </c>
      <c r="GJ35" s="282">
        <f t="shared" si="29"/>
        <v>13</v>
      </c>
      <c r="GK35" s="282">
        <f t="shared" si="29"/>
        <v>13</v>
      </c>
      <c r="GL35" s="282">
        <f t="shared" si="29"/>
        <v>13</v>
      </c>
      <c r="GM35" s="282">
        <f t="shared" si="29"/>
        <v>13</v>
      </c>
      <c r="GN35" s="282">
        <f t="shared" si="29"/>
        <v>13</v>
      </c>
      <c r="GO35" s="282">
        <f t="shared" si="29"/>
        <v>13</v>
      </c>
      <c r="GP35" s="282">
        <f t="shared" si="29"/>
        <v>13</v>
      </c>
      <c r="GQ35" s="282">
        <f t="shared" si="29"/>
        <v>13</v>
      </c>
      <c r="GR35" s="282">
        <f t="shared" si="29"/>
        <v>13</v>
      </c>
      <c r="GS35" s="282">
        <f t="shared" si="29"/>
        <v>12</v>
      </c>
      <c r="GT35" s="283">
        <f t="shared" ref="GT35:GT43" si="30">SUM(I35:CE35)</f>
        <v>39</v>
      </c>
    </row>
    <row r="36" spans="1:202" s="182" customFormat="1">
      <c r="A36" s="222" t="s">
        <v>662</v>
      </c>
      <c r="B36" s="224">
        <v>400</v>
      </c>
      <c r="C36" s="224" t="s">
        <v>634</v>
      </c>
      <c r="D36" s="224"/>
      <c r="E36" s="225"/>
      <c r="F36" s="225"/>
      <c r="G36" s="225"/>
      <c r="H36" s="225">
        <v>300</v>
      </c>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v>1</v>
      </c>
      <c r="AT36" s="227">
        <v>1</v>
      </c>
      <c r="AU36" s="284">
        <v>1</v>
      </c>
      <c r="AV36" s="227">
        <v>1</v>
      </c>
      <c r="AW36" s="227">
        <v>1</v>
      </c>
      <c r="AX36" s="227">
        <v>1</v>
      </c>
      <c r="AY36" s="227">
        <v>1</v>
      </c>
      <c r="AZ36" s="227">
        <v>1</v>
      </c>
      <c r="BA36" s="227">
        <v>1</v>
      </c>
      <c r="BB36" s="227">
        <v>1</v>
      </c>
      <c r="BC36" s="227">
        <v>1</v>
      </c>
      <c r="BD36" s="227">
        <v>1</v>
      </c>
      <c r="BE36" s="227">
        <v>2</v>
      </c>
      <c r="BF36" s="227">
        <v>2</v>
      </c>
      <c r="BG36" s="227">
        <v>2</v>
      </c>
      <c r="BH36" s="227">
        <v>2</v>
      </c>
      <c r="BI36" s="227">
        <v>2</v>
      </c>
      <c r="BJ36" s="227">
        <v>2</v>
      </c>
      <c r="BK36" s="227">
        <v>2</v>
      </c>
      <c r="BL36" s="227">
        <v>2</v>
      </c>
      <c r="BM36" s="227">
        <v>2</v>
      </c>
      <c r="BN36" s="227">
        <v>2</v>
      </c>
      <c r="BO36" s="227">
        <v>2</v>
      </c>
      <c r="BP36" s="227">
        <v>2</v>
      </c>
      <c r="BQ36" s="227">
        <v>2</v>
      </c>
      <c r="BR36" s="227">
        <v>2</v>
      </c>
      <c r="BS36" s="227">
        <v>2</v>
      </c>
      <c r="BT36" s="227">
        <v>2</v>
      </c>
      <c r="BU36" s="227">
        <v>2</v>
      </c>
      <c r="BV36" s="227">
        <v>2</v>
      </c>
      <c r="BW36" s="227">
        <v>2</v>
      </c>
      <c r="BX36" s="227">
        <v>2</v>
      </c>
      <c r="BY36" s="227">
        <v>2</v>
      </c>
      <c r="BZ36" s="227">
        <v>2</v>
      </c>
      <c r="CA36" s="227">
        <v>2</v>
      </c>
      <c r="CB36" s="227">
        <v>2</v>
      </c>
      <c r="CC36" s="227">
        <v>2</v>
      </c>
      <c r="CD36" s="227">
        <v>2</v>
      </c>
      <c r="CE36" s="227">
        <v>2</v>
      </c>
      <c r="CF36" s="227">
        <v>2</v>
      </c>
      <c r="CG36" s="227">
        <v>2</v>
      </c>
      <c r="CH36" s="227">
        <v>2</v>
      </c>
      <c r="CI36" s="227">
        <v>2</v>
      </c>
      <c r="CJ36" s="227">
        <v>2</v>
      </c>
      <c r="CK36" s="227">
        <v>2</v>
      </c>
      <c r="CL36" s="227">
        <v>2</v>
      </c>
      <c r="CM36" s="227">
        <v>2</v>
      </c>
      <c r="CN36" s="227">
        <v>2</v>
      </c>
      <c r="CO36" s="227">
        <v>2</v>
      </c>
      <c r="CP36" s="227">
        <v>2</v>
      </c>
      <c r="CQ36" s="227">
        <v>2</v>
      </c>
      <c r="CR36" s="227">
        <v>2</v>
      </c>
      <c r="CS36" s="227">
        <v>2</v>
      </c>
      <c r="CT36" s="227">
        <v>2</v>
      </c>
      <c r="CU36" s="227">
        <v>2</v>
      </c>
      <c r="CV36" s="227">
        <v>2</v>
      </c>
      <c r="CW36" s="227">
        <v>2</v>
      </c>
      <c r="CX36" s="227">
        <v>2</v>
      </c>
      <c r="CY36" s="227">
        <v>2</v>
      </c>
      <c r="CZ36" s="227">
        <v>2</v>
      </c>
      <c r="DA36" s="227">
        <v>2</v>
      </c>
      <c r="DB36" s="227">
        <v>2</v>
      </c>
      <c r="DC36" s="227">
        <v>2</v>
      </c>
      <c r="DD36" s="227">
        <v>2</v>
      </c>
      <c r="DE36" s="227">
        <v>2</v>
      </c>
      <c r="DF36" s="227">
        <v>2</v>
      </c>
      <c r="DG36" s="282">
        <f t="shared" si="24"/>
        <v>0</v>
      </c>
      <c r="DH36" s="282">
        <f t="shared" si="24"/>
        <v>0</v>
      </c>
      <c r="DI36" s="282">
        <f t="shared" si="24"/>
        <v>0</v>
      </c>
      <c r="DJ36" s="282">
        <f t="shared" si="24"/>
        <v>0</v>
      </c>
      <c r="DK36" s="282">
        <f t="shared" si="24"/>
        <v>0</v>
      </c>
      <c r="DL36" s="282">
        <f t="shared" si="24"/>
        <v>0</v>
      </c>
      <c r="DM36" s="282">
        <f t="shared" si="24"/>
        <v>0</v>
      </c>
      <c r="DN36" s="282">
        <f t="shared" si="24"/>
        <v>0</v>
      </c>
      <c r="DO36" s="282">
        <f t="shared" si="24"/>
        <v>0</v>
      </c>
      <c r="DP36" s="282">
        <f t="shared" si="24"/>
        <v>0</v>
      </c>
      <c r="DQ36" s="282">
        <f t="shared" si="24"/>
        <v>0</v>
      </c>
      <c r="DR36" s="282">
        <f t="shared" si="24"/>
        <v>0</v>
      </c>
      <c r="DS36" s="282">
        <f t="shared" si="24"/>
        <v>0</v>
      </c>
      <c r="DT36" s="282">
        <f t="shared" si="24"/>
        <v>0</v>
      </c>
      <c r="DU36" s="282">
        <f t="shared" si="24"/>
        <v>0</v>
      </c>
      <c r="DV36" s="282">
        <f t="shared" si="24"/>
        <v>0</v>
      </c>
      <c r="DW36" s="282">
        <f t="shared" si="25"/>
        <v>0</v>
      </c>
      <c r="DX36" s="282">
        <f t="shared" si="25"/>
        <v>0</v>
      </c>
      <c r="DY36" s="282">
        <f t="shared" si="25"/>
        <v>0</v>
      </c>
      <c r="DZ36" s="282">
        <f t="shared" si="25"/>
        <v>0</v>
      </c>
      <c r="EA36" s="282">
        <f t="shared" si="25"/>
        <v>0</v>
      </c>
      <c r="EB36" s="282">
        <f t="shared" si="25"/>
        <v>0</v>
      </c>
      <c r="EC36" s="282">
        <f t="shared" si="25"/>
        <v>0</v>
      </c>
      <c r="ED36" s="282">
        <f t="shared" si="25"/>
        <v>0</v>
      </c>
      <c r="EE36" s="282">
        <f t="shared" si="25"/>
        <v>0</v>
      </c>
      <c r="EF36" s="282">
        <f t="shared" si="25"/>
        <v>1</v>
      </c>
      <c r="EG36" s="282">
        <f t="shared" si="25"/>
        <v>2</v>
      </c>
      <c r="EH36" s="282">
        <f t="shared" si="25"/>
        <v>3</v>
      </c>
      <c r="EI36" s="282">
        <f t="shared" si="25"/>
        <v>4</v>
      </c>
      <c r="EJ36" s="282">
        <f t="shared" si="26"/>
        <v>6</v>
      </c>
      <c r="EK36" s="282">
        <f t="shared" si="26"/>
        <v>7</v>
      </c>
      <c r="EL36" s="282">
        <f t="shared" si="26"/>
        <v>8</v>
      </c>
      <c r="EM36" s="282">
        <f t="shared" si="26"/>
        <v>9</v>
      </c>
      <c r="EN36" s="282">
        <f t="shared" si="26"/>
        <v>10</v>
      </c>
      <c r="EO36" s="282">
        <f t="shared" si="26"/>
        <v>11</v>
      </c>
      <c r="EP36" s="282">
        <f t="shared" si="26"/>
        <v>12</v>
      </c>
      <c r="EQ36" s="282">
        <f t="shared" si="26"/>
        <v>14</v>
      </c>
      <c r="ER36" s="282">
        <f t="shared" si="26"/>
        <v>15</v>
      </c>
      <c r="ES36" s="282">
        <f t="shared" si="26"/>
        <v>16</v>
      </c>
      <c r="ET36" s="282">
        <f t="shared" si="26"/>
        <v>17</v>
      </c>
      <c r="EU36" s="282">
        <f t="shared" si="26"/>
        <v>18</v>
      </c>
      <c r="EV36" s="282">
        <f t="shared" si="26"/>
        <v>19</v>
      </c>
      <c r="EW36" s="282">
        <f t="shared" si="26"/>
        <v>20</v>
      </c>
      <c r="EX36" s="282">
        <f t="shared" si="26"/>
        <v>21</v>
      </c>
      <c r="EY36" s="282">
        <f t="shared" si="26"/>
        <v>22</v>
      </c>
      <c r="EZ36" s="282">
        <f t="shared" si="27"/>
        <v>23</v>
      </c>
      <c r="FA36" s="282">
        <f t="shared" si="27"/>
        <v>24</v>
      </c>
      <c r="FB36" s="282">
        <f t="shared" si="27"/>
        <v>25</v>
      </c>
      <c r="FC36" s="282">
        <f t="shared" si="27"/>
        <v>26</v>
      </c>
      <c r="FD36" s="282">
        <f t="shared" si="27"/>
        <v>26</v>
      </c>
      <c r="FE36" s="282">
        <f t="shared" si="27"/>
        <v>26</v>
      </c>
      <c r="FF36" s="282">
        <f t="shared" si="27"/>
        <v>26</v>
      </c>
      <c r="FG36" s="282">
        <f t="shared" si="27"/>
        <v>26</v>
      </c>
      <c r="FH36" s="282">
        <f t="shared" si="27"/>
        <v>26</v>
      </c>
      <c r="FI36" s="282">
        <f t="shared" si="27"/>
        <v>26</v>
      </c>
      <c r="FJ36" s="282">
        <f t="shared" si="27"/>
        <v>26</v>
      </c>
      <c r="FK36" s="282">
        <f t="shared" si="27"/>
        <v>26</v>
      </c>
      <c r="FL36" s="282">
        <f t="shared" si="27"/>
        <v>26</v>
      </c>
      <c r="FM36" s="282">
        <f t="shared" si="27"/>
        <v>26</v>
      </c>
      <c r="FN36" s="282">
        <f t="shared" si="27"/>
        <v>26</v>
      </c>
      <c r="FO36" s="282">
        <f t="shared" si="27"/>
        <v>26</v>
      </c>
      <c r="FP36" s="282">
        <f t="shared" si="28"/>
        <v>26</v>
      </c>
      <c r="FQ36" s="282">
        <f t="shared" si="28"/>
        <v>26</v>
      </c>
      <c r="FR36" s="282">
        <f t="shared" si="28"/>
        <v>26</v>
      </c>
      <c r="FS36" s="282">
        <f t="shared" si="28"/>
        <v>26</v>
      </c>
      <c r="FT36" s="282">
        <f t="shared" si="28"/>
        <v>26</v>
      </c>
      <c r="FU36" s="282">
        <f t="shared" si="28"/>
        <v>26</v>
      </c>
      <c r="FV36" s="282">
        <f t="shared" si="28"/>
        <v>26</v>
      </c>
      <c r="FW36" s="282">
        <f t="shared" si="28"/>
        <v>26</v>
      </c>
      <c r="FX36" s="282">
        <f t="shared" si="28"/>
        <v>26</v>
      </c>
      <c r="FY36" s="282">
        <f t="shared" si="28"/>
        <v>26</v>
      </c>
      <c r="FZ36" s="282">
        <f t="shared" si="28"/>
        <v>26</v>
      </c>
      <c r="GA36" s="282">
        <f t="shared" si="28"/>
        <v>26</v>
      </c>
      <c r="GB36" s="282">
        <f t="shared" si="28"/>
        <v>26</v>
      </c>
      <c r="GC36" s="282">
        <f t="shared" si="28"/>
        <v>26</v>
      </c>
      <c r="GD36" s="282">
        <f t="shared" si="28"/>
        <v>26</v>
      </c>
      <c r="GE36" s="282">
        <f t="shared" si="28"/>
        <v>26</v>
      </c>
      <c r="GF36" s="282">
        <f t="shared" si="29"/>
        <v>26</v>
      </c>
      <c r="GG36" s="282">
        <f t="shared" si="29"/>
        <v>26</v>
      </c>
      <c r="GH36" s="282">
        <f t="shared" si="29"/>
        <v>26</v>
      </c>
      <c r="GI36" s="282">
        <f t="shared" si="29"/>
        <v>26</v>
      </c>
      <c r="GJ36" s="282">
        <f t="shared" si="29"/>
        <v>26</v>
      </c>
      <c r="GK36" s="282">
        <f t="shared" si="29"/>
        <v>26</v>
      </c>
      <c r="GL36" s="282">
        <f t="shared" si="29"/>
        <v>26</v>
      </c>
      <c r="GM36" s="282">
        <f t="shared" si="29"/>
        <v>26</v>
      </c>
      <c r="GN36" s="282">
        <f t="shared" si="29"/>
        <v>26</v>
      </c>
      <c r="GO36" s="282">
        <f t="shared" si="29"/>
        <v>26</v>
      </c>
      <c r="GP36" s="282">
        <f t="shared" si="29"/>
        <v>26</v>
      </c>
      <c r="GQ36" s="282">
        <f t="shared" si="29"/>
        <v>26</v>
      </c>
      <c r="GR36" s="282">
        <f t="shared" si="29"/>
        <v>26</v>
      </c>
      <c r="GS36" s="282">
        <f t="shared" si="29"/>
        <v>24</v>
      </c>
      <c r="GT36" s="283">
        <f t="shared" si="30"/>
        <v>66</v>
      </c>
    </row>
    <row r="37" spans="1:202" s="182" customFormat="1">
      <c r="A37" s="710" t="s">
        <v>608</v>
      </c>
      <c r="B37" s="711"/>
      <c r="C37" s="711"/>
      <c r="D37" s="711"/>
      <c r="E37" s="711"/>
      <c r="F37" s="711"/>
      <c r="G37" s="711"/>
      <c r="H37" s="711"/>
      <c r="I37" s="711"/>
      <c r="J37" s="711"/>
      <c r="K37" s="711"/>
      <c r="L37" s="711"/>
      <c r="M37" s="711"/>
      <c r="N37" s="711"/>
      <c r="O37" s="711"/>
      <c r="P37" s="711"/>
      <c r="Q37" s="711"/>
      <c r="R37" s="711"/>
      <c r="S37" s="711"/>
      <c r="T37" s="711"/>
      <c r="U37" s="711"/>
      <c r="V37" s="711"/>
      <c r="W37" s="711"/>
      <c r="X37" s="711"/>
      <c r="Y37" s="711"/>
      <c r="Z37" s="711"/>
      <c r="AA37" s="711"/>
      <c r="AB37" s="711"/>
      <c r="AC37" s="711"/>
      <c r="AD37" s="711"/>
      <c r="AE37" s="711"/>
      <c r="AF37" s="711"/>
      <c r="AG37" s="711"/>
      <c r="AH37" s="711"/>
      <c r="AI37" s="711"/>
      <c r="AJ37" s="711"/>
      <c r="AK37" s="711"/>
      <c r="AL37" s="711"/>
      <c r="AM37" s="711"/>
      <c r="AN37" s="711"/>
      <c r="AO37" s="711"/>
      <c r="AP37" s="711"/>
      <c r="AQ37" s="711"/>
      <c r="AR37" s="711"/>
      <c r="AS37" s="711"/>
      <c r="AT37" s="711"/>
      <c r="AU37" s="711"/>
      <c r="AV37" s="711"/>
      <c r="AW37" s="712"/>
      <c r="AX37" s="710" t="s">
        <v>608</v>
      </c>
      <c r="AY37" s="711"/>
      <c r="AZ37" s="711"/>
      <c r="BA37" s="711"/>
      <c r="BB37" s="711"/>
      <c r="BC37" s="711"/>
      <c r="BD37" s="711"/>
      <c r="BE37" s="711"/>
      <c r="BF37" s="711"/>
      <c r="BG37" s="711"/>
      <c r="BH37" s="711"/>
      <c r="BI37" s="711"/>
      <c r="BJ37" s="711"/>
      <c r="BK37" s="711"/>
      <c r="BL37" s="711"/>
      <c r="BM37" s="711"/>
      <c r="BN37" s="711"/>
      <c r="BO37" s="711"/>
      <c r="BP37" s="711"/>
      <c r="BQ37" s="711"/>
      <c r="BR37" s="711"/>
      <c r="BS37" s="711"/>
      <c r="BT37" s="711"/>
      <c r="BU37" s="711"/>
      <c r="BV37" s="711"/>
      <c r="BW37" s="711"/>
      <c r="BX37" s="711"/>
      <c r="BY37" s="711"/>
      <c r="BZ37" s="711"/>
      <c r="CA37" s="711"/>
      <c r="CB37" s="711"/>
      <c r="CC37" s="711"/>
      <c r="CD37" s="711"/>
      <c r="CE37" s="711"/>
      <c r="CF37" s="711"/>
      <c r="CG37" s="711"/>
      <c r="CH37" s="711"/>
      <c r="CI37" s="711"/>
      <c r="CJ37" s="711"/>
      <c r="CK37" s="711"/>
      <c r="CL37" s="711"/>
      <c r="CM37" s="711"/>
      <c r="CN37" s="711"/>
      <c r="CO37" s="711"/>
      <c r="CP37" s="711"/>
      <c r="CQ37" s="711"/>
      <c r="CR37" s="711"/>
      <c r="CS37" s="711"/>
      <c r="CT37" s="712"/>
      <c r="CU37" s="710" t="s">
        <v>608</v>
      </c>
      <c r="CV37" s="711"/>
      <c r="CW37" s="711"/>
      <c r="CX37" s="711"/>
      <c r="CY37" s="711"/>
      <c r="CZ37" s="711"/>
      <c r="DA37" s="711"/>
      <c r="DB37" s="711"/>
      <c r="DC37" s="711"/>
      <c r="DD37" s="711"/>
      <c r="DE37" s="711"/>
      <c r="DF37" s="711"/>
      <c r="DG37" s="711"/>
      <c r="DH37" s="711"/>
      <c r="DI37" s="711"/>
      <c r="DJ37" s="711"/>
      <c r="DK37" s="711"/>
      <c r="DL37" s="711"/>
      <c r="DM37" s="711"/>
      <c r="DN37" s="711"/>
      <c r="DO37" s="711"/>
      <c r="DP37" s="711"/>
      <c r="DQ37" s="711"/>
      <c r="DR37" s="711"/>
      <c r="DS37" s="711"/>
      <c r="DT37" s="711"/>
      <c r="DU37" s="711"/>
      <c r="DV37" s="711"/>
      <c r="DW37" s="711"/>
      <c r="DX37" s="711"/>
      <c r="DY37" s="711"/>
      <c r="DZ37" s="711"/>
      <c r="EA37" s="711"/>
      <c r="EB37" s="711"/>
      <c r="EC37" s="711"/>
      <c r="ED37" s="711"/>
      <c r="EE37" s="711"/>
      <c r="EF37" s="711"/>
      <c r="EG37" s="711"/>
      <c r="EH37" s="711"/>
      <c r="EI37" s="711"/>
      <c r="EJ37" s="711"/>
      <c r="EK37" s="711"/>
      <c r="EL37" s="711"/>
      <c r="EM37" s="711"/>
      <c r="EN37" s="711"/>
      <c r="EO37" s="711"/>
      <c r="EP37" s="711"/>
      <c r="EQ37" s="712"/>
      <c r="ER37" s="282">
        <f t="shared" si="26"/>
        <v>0</v>
      </c>
      <c r="ES37" s="282">
        <f t="shared" si="26"/>
        <v>0</v>
      </c>
      <c r="ET37" s="282">
        <f t="shared" si="26"/>
        <v>0</v>
      </c>
      <c r="EU37" s="282">
        <f t="shared" si="26"/>
        <v>0</v>
      </c>
      <c r="EV37" s="282">
        <f t="shared" si="26"/>
        <v>0</v>
      </c>
      <c r="EW37" s="282">
        <f t="shared" si="26"/>
        <v>0</v>
      </c>
      <c r="EX37" s="282">
        <f t="shared" si="26"/>
        <v>0</v>
      </c>
      <c r="EY37" s="282">
        <f t="shared" si="26"/>
        <v>0</v>
      </c>
      <c r="EZ37" s="282">
        <f t="shared" si="27"/>
        <v>0</v>
      </c>
      <c r="FA37" s="282">
        <f t="shared" si="27"/>
        <v>0</v>
      </c>
      <c r="FB37" s="282">
        <f t="shared" si="27"/>
        <v>0</v>
      </c>
      <c r="FC37" s="282">
        <f t="shared" si="27"/>
        <v>0</v>
      </c>
      <c r="FD37" s="282">
        <f t="shared" si="27"/>
        <v>0</v>
      </c>
      <c r="FE37" s="282">
        <f t="shared" si="27"/>
        <v>0</v>
      </c>
      <c r="FF37" s="282">
        <f t="shared" si="27"/>
        <v>0</v>
      </c>
      <c r="FG37" s="282">
        <f t="shared" si="27"/>
        <v>0</v>
      </c>
      <c r="FH37" s="282">
        <f t="shared" si="27"/>
        <v>0</v>
      </c>
      <c r="FI37" s="282">
        <f t="shared" si="27"/>
        <v>0</v>
      </c>
      <c r="FJ37" s="282">
        <f t="shared" si="27"/>
        <v>0</v>
      </c>
      <c r="FK37" s="282">
        <f t="shared" si="27"/>
        <v>0</v>
      </c>
      <c r="FL37" s="282">
        <f t="shared" si="27"/>
        <v>0</v>
      </c>
      <c r="FM37" s="282">
        <f t="shared" si="27"/>
        <v>0</v>
      </c>
      <c r="FN37" s="282">
        <f t="shared" si="27"/>
        <v>0</v>
      </c>
      <c r="FO37" s="282">
        <f t="shared" si="27"/>
        <v>0</v>
      </c>
      <c r="FP37" s="282">
        <f t="shared" si="28"/>
        <v>0</v>
      </c>
      <c r="FQ37" s="282">
        <f t="shared" si="28"/>
        <v>0</v>
      </c>
      <c r="FR37" s="282">
        <f t="shared" si="28"/>
        <v>0</v>
      </c>
      <c r="FS37" s="282">
        <f t="shared" si="28"/>
        <v>0</v>
      </c>
      <c r="FT37" s="282">
        <f t="shared" si="28"/>
        <v>0</v>
      </c>
      <c r="FU37" s="282">
        <f t="shared" si="28"/>
        <v>0</v>
      </c>
      <c r="FV37" s="282">
        <f t="shared" si="28"/>
        <v>0</v>
      </c>
      <c r="FW37" s="282">
        <f t="shared" si="28"/>
        <v>0</v>
      </c>
      <c r="FX37" s="282">
        <f t="shared" si="28"/>
        <v>0</v>
      </c>
      <c r="FY37" s="282">
        <f t="shared" si="28"/>
        <v>0</v>
      </c>
      <c r="FZ37" s="282">
        <f t="shared" si="28"/>
        <v>0</v>
      </c>
      <c r="GA37" s="282">
        <f t="shared" si="28"/>
        <v>0</v>
      </c>
      <c r="GB37" s="282">
        <f t="shared" si="28"/>
        <v>0</v>
      </c>
      <c r="GC37" s="282">
        <f t="shared" si="28"/>
        <v>0</v>
      </c>
      <c r="GD37" s="282">
        <f t="shared" si="28"/>
        <v>0</v>
      </c>
      <c r="GE37" s="282">
        <f t="shared" si="28"/>
        <v>0</v>
      </c>
      <c r="GF37" s="282">
        <f t="shared" si="29"/>
        <v>0</v>
      </c>
      <c r="GG37" s="282">
        <f t="shared" si="29"/>
        <v>0</v>
      </c>
      <c r="GH37" s="282">
        <f t="shared" si="29"/>
        <v>0</v>
      </c>
      <c r="GI37" s="282">
        <f t="shared" si="29"/>
        <v>0</v>
      </c>
      <c r="GJ37" s="282">
        <f t="shared" si="29"/>
        <v>0</v>
      </c>
      <c r="GK37" s="282">
        <f t="shared" si="29"/>
        <v>0</v>
      </c>
      <c r="GL37" s="282">
        <f t="shared" si="29"/>
        <v>0</v>
      </c>
      <c r="GM37" s="282">
        <f t="shared" si="29"/>
        <v>0</v>
      </c>
      <c r="GN37" s="282">
        <f t="shared" si="29"/>
        <v>0</v>
      </c>
      <c r="GO37" s="282">
        <f t="shared" si="29"/>
        <v>0</v>
      </c>
      <c r="GP37" s="282">
        <f t="shared" si="29"/>
        <v>0</v>
      </c>
      <c r="GQ37" s="282">
        <f t="shared" si="29"/>
        <v>0</v>
      </c>
      <c r="GR37" s="282">
        <f t="shared" si="29"/>
        <v>0</v>
      </c>
      <c r="GS37" s="282">
        <f t="shared" si="29"/>
        <v>0</v>
      </c>
      <c r="GT37" s="283">
        <f t="shared" si="30"/>
        <v>0</v>
      </c>
    </row>
    <row r="38" spans="1:202" s="182" customFormat="1">
      <c r="A38" s="222" t="s">
        <v>663</v>
      </c>
      <c r="B38" s="224">
        <v>320</v>
      </c>
      <c r="C38" s="224" t="s">
        <v>634</v>
      </c>
      <c r="D38" s="224"/>
      <c r="E38" s="281"/>
      <c r="F38" s="281"/>
      <c r="G38" s="281"/>
      <c r="H38" s="281">
        <v>180</v>
      </c>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v>2</v>
      </c>
      <c r="AT38" s="227">
        <v>2</v>
      </c>
      <c r="AU38" s="284">
        <v>2</v>
      </c>
      <c r="AV38" s="227">
        <v>2</v>
      </c>
      <c r="AW38" s="227">
        <v>2</v>
      </c>
      <c r="AX38" s="227">
        <v>2</v>
      </c>
      <c r="AY38" s="227">
        <v>2</v>
      </c>
      <c r="AZ38" s="227">
        <v>2</v>
      </c>
      <c r="BA38" s="227">
        <v>2</v>
      </c>
      <c r="BB38" s="227">
        <v>2</v>
      </c>
      <c r="BC38" s="227">
        <v>2</v>
      </c>
      <c r="BD38" s="227">
        <v>2</v>
      </c>
      <c r="BE38" s="227">
        <v>3</v>
      </c>
      <c r="BF38" s="227">
        <v>3</v>
      </c>
      <c r="BG38" s="227">
        <v>3</v>
      </c>
      <c r="BH38" s="227">
        <v>3</v>
      </c>
      <c r="BI38" s="227">
        <v>3</v>
      </c>
      <c r="BJ38" s="227">
        <v>3</v>
      </c>
      <c r="BK38" s="227">
        <v>3</v>
      </c>
      <c r="BL38" s="227">
        <v>3</v>
      </c>
      <c r="BM38" s="227">
        <v>3</v>
      </c>
      <c r="BN38" s="227">
        <v>3</v>
      </c>
      <c r="BO38" s="227">
        <v>3</v>
      </c>
      <c r="BP38" s="227">
        <v>3</v>
      </c>
      <c r="BQ38" s="227">
        <v>4</v>
      </c>
      <c r="BR38" s="227">
        <v>4</v>
      </c>
      <c r="BS38" s="227">
        <v>4</v>
      </c>
      <c r="BT38" s="227">
        <v>4</v>
      </c>
      <c r="BU38" s="227">
        <v>4</v>
      </c>
      <c r="BV38" s="227">
        <v>4</v>
      </c>
      <c r="BW38" s="227">
        <v>4</v>
      </c>
      <c r="BX38" s="227">
        <v>4</v>
      </c>
      <c r="BY38" s="227">
        <v>4</v>
      </c>
      <c r="BZ38" s="227">
        <v>4</v>
      </c>
      <c r="CA38" s="227">
        <v>4</v>
      </c>
      <c r="CB38" s="227">
        <v>4</v>
      </c>
      <c r="CC38" s="227">
        <v>4</v>
      </c>
      <c r="CD38" s="227">
        <v>4</v>
      </c>
      <c r="CE38" s="227">
        <v>4</v>
      </c>
      <c r="CF38" s="227">
        <v>4</v>
      </c>
      <c r="CG38" s="227">
        <v>4</v>
      </c>
      <c r="CH38" s="227">
        <v>4</v>
      </c>
      <c r="CI38" s="227">
        <v>4</v>
      </c>
      <c r="CJ38" s="227">
        <v>4</v>
      </c>
      <c r="CK38" s="227">
        <v>4</v>
      </c>
      <c r="CL38" s="227">
        <v>4</v>
      </c>
      <c r="CM38" s="227">
        <v>4</v>
      </c>
      <c r="CN38" s="227">
        <v>4</v>
      </c>
      <c r="CO38" s="227">
        <v>4</v>
      </c>
      <c r="CP38" s="227">
        <v>4</v>
      </c>
      <c r="CQ38" s="227">
        <v>4</v>
      </c>
      <c r="CR38" s="227">
        <v>4</v>
      </c>
      <c r="CS38" s="227">
        <v>4</v>
      </c>
      <c r="CT38" s="227">
        <v>4</v>
      </c>
      <c r="CU38" s="227">
        <v>4</v>
      </c>
      <c r="CV38" s="227">
        <v>4</v>
      </c>
      <c r="CW38" s="227">
        <v>4</v>
      </c>
      <c r="CX38" s="227">
        <v>4</v>
      </c>
      <c r="CY38" s="227">
        <v>4</v>
      </c>
      <c r="CZ38" s="227">
        <v>4</v>
      </c>
      <c r="DA38" s="227">
        <v>4</v>
      </c>
      <c r="DB38" s="227">
        <v>4</v>
      </c>
      <c r="DC38" s="227">
        <v>4</v>
      </c>
      <c r="DD38" s="227">
        <v>4</v>
      </c>
      <c r="DE38" s="227">
        <v>4</v>
      </c>
      <c r="DF38" s="227">
        <v>4</v>
      </c>
      <c r="DG38" s="282">
        <f t="shared" ref="DG38:DV41" si="31">SUM(I38:T38)</f>
        <v>0</v>
      </c>
      <c r="DH38" s="282">
        <f t="shared" si="31"/>
        <v>0</v>
      </c>
      <c r="DI38" s="282">
        <f t="shared" si="31"/>
        <v>0</v>
      </c>
      <c r="DJ38" s="282">
        <f t="shared" si="31"/>
        <v>0</v>
      </c>
      <c r="DK38" s="282">
        <f t="shared" si="31"/>
        <v>0</v>
      </c>
      <c r="DL38" s="282">
        <f t="shared" si="31"/>
        <v>0</v>
      </c>
      <c r="DM38" s="282">
        <f t="shared" si="31"/>
        <v>0</v>
      </c>
      <c r="DN38" s="282">
        <f t="shared" si="31"/>
        <v>0</v>
      </c>
      <c r="DO38" s="282">
        <f t="shared" si="31"/>
        <v>0</v>
      </c>
      <c r="DP38" s="282">
        <f t="shared" si="31"/>
        <v>0</v>
      </c>
      <c r="DQ38" s="282">
        <f t="shared" si="31"/>
        <v>0</v>
      </c>
      <c r="DR38" s="282">
        <f t="shared" si="31"/>
        <v>0</v>
      </c>
      <c r="DS38" s="282">
        <f t="shared" si="31"/>
        <v>0</v>
      </c>
      <c r="DT38" s="282">
        <f t="shared" si="31"/>
        <v>0</v>
      </c>
      <c r="DU38" s="282">
        <f t="shared" si="31"/>
        <v>0</v>
      </c>
      <c r="DV38" s="282">
        <f t="shared" si="31"/>
        <v>0</v>
      </c>
      <c r="DW38" s="282">
        <f t="shared" ref="DW38:EI43" si="32">SUM(Y38:AJ38)</f>
        <v>0</v>
      </c>
      <c r="DX38" s="282">
        <f t="shared" si="32"/>
        <v>0</v>
      </c>
      <c r="DY38" s="282">
        <f t="shared" si="32"/>
        <v>0</v>
      </c>
      <c r="DZ38" s="282">
        <f t="shared" si="32"/>
        <v>0</v>
      </c>
      <c r="EA38" s="282">
        <f t="shared" si="32"/>
        <v>0</v>
      </c>
      <c r="EB38" s="282">
        <f t="shared" si="32"/>
        <v>0</v>
      </c>
      <c r="EC38" s="282">
        <f t="shared" si="32"/>
        <v>0</v>
      </c>
      <c r="ED38" s="282">
        <f t="shared" si="32"/>
        <v>0</v>
      </c>
      <c r="EE38" s="282">
        <f t="shared" si="32"/>
        <v>0</v>
      </c>
      <c r="EF38" s="282">
        <f t="shared" si="32"/>
        <v>2</v>
      </c>
      <c r="EG38" s="282">
        <f t="shared" si="32"/>
        <v>4</v>
      </c>
      <c r="EH38" s="282">
        <f t="shared" si="32"/>
        <v>6</v>
      </c>
      <c r="EI38" s="282">
        <f t="shared" si="32"/>
        <v>8</v>
      </c>
      <c r="EJ38" s="282">
        <f t="shared" ref="EJ38:EY43" si="33">SUM(AL38:AX38)</f>
        <v>12</v>
      </c>
      <c r="EK38" s="282">
        <f t="shared" si="33"/>
        <v>14</v>
      </c>
      <c r="EL38" s="282">
        <f t="shared" si="33"/>
        <v>16</v>
      </c>
      <c r="EM38" s="282">
        <f t="shared" si="33"/>
        <v>18</v>
      </c>
      <c r="EN38" s="282">
        <f t="shared" si="33"/>
        <v>20</v>
      </c>
      <c r="EO38" s="282">
        <f t="shared" si="33"/>
        <v>22</v>
      </c>
      <c r="EP38" s="282">
        <f t="shared" si="33"/>
        <v>24</v>
      </c>
      <c r="EQ38" s="282">
        <f t="shared" si="33"/>
        <v>27</v>
      </c>
      <c r="ER38" s="282">
        <f t="shared" si="26"/>
        <v>28</v>
      </c>
      <c r="ES38" s="282">
        <f t="shared" si="26"/>
        <v>29</v>
      </c>
      <c r="ET38" s="282">
        <f t="shared" si="26"/>
        <v>30</v>
      </c>
      <c r="EU38" s="282">
        <f t="shared" si="26"/>
        <v>31</v>
      </c>
      <c r="EV38" s="282">
        <f t="shared" si="26"/>
        <v>32</v>
      </c>
      <c r="EW38" s="282">
        <f t="shared" si="26"/>
        <v>33</v>
      </c>
      <c r="EX38" s="282">
        <f t="shared" si="26"/>
        <v>34</v>
      </c>
      <c r="EY38" s="282">
        <f t="shared" si="26"/>
        <v>35</v>
      </c>
      <c r="EZ38" s="282">
        <f t="shared" si="27"/>
        <v>36</v>
      </c>
      <c r="FA38" s="282">
        <f t="shared" si="27"/>
        <v>37</v>
      </c>
      <c r="FB38" s="282">
        <f t="shared" si="27"/>
        <v>38</v>
      </c>
      <c r="FC38" s="282">
        <f t="shared" si="27"/>
        <v>40</v>
      </c>
      <c r="FD38" s="282">
        <f t="shared" si="27"/>
        <v>41</v>
      </c>
      <c r="FE38" s="282">
        <f t="shared" si="27"/>
        <v>42</v>
      </c>
      <c r="FF38" s="282">
        <f t="shared" si="27"/>
        <v>43</v>
      </c>
      <c r="FG38" s="282">
        <f t="shared" si="27"/>
        <v>44</v>
      </c>
      <c r="FH38" s="282">
        <f t="shared" si="27"/>
        <v>45</v>
      </c>
      <c r="FI38" s="282">
        <f t="shared" si="27"/>
        <v>46</v>
      </c>
      <c r="FJ38" s="282">
        <f t="shared" si="27"/>
        <v>47</v>
      </c>
      <c r="FK38" s="282">
        <f t="shared" si="27"/>
        <v>48</v>
      </c>
      <c r="FL38" s="282">
        <f t="shared" si="27"/>
        <v>49</v>
      </c>
      <c r="FM38" s="282">
        <f t="shared" si="27"/>
        <v>50</v>
      </c>
      <c r="FN38" s="282">
        <f t="shared" si="27"/>
        <v>51</v>
      </c>
      <c r="FO38" s="282">
        <f t="shared" si="27"/>
        <v>52</v>
      </c>
      <c r="FP38" s="282">
        <f t="shared" si="28"/>
        <v>52</v>
      </c>
      <c r="FQ38" s="282">
        <f t="shared" si="28"/>
        <v>52</v>
      </c>
      <c r="FR38" s="282">
        <f t="shared" si="28"/>
        <v>52</v>
      </c>
      <c r="FS38" s="282">
        <f t="shared" si="28"/>
        <v>52</v>
      </c>
      <c r="FT38" s="282">
        <f t="shared" si="28"/>
        <v>52</v>
      </c>
      <c r="FU38" s="282">
        <f t="shared" si="28"/>
        <v>52</v>
      </c>
      <c r="FV38" s="282">
        <f t="shared" si="28"/>
        <v>52</v>
      </c>
      <c r="FW38" s="282">
        <f t="shared" si="28"/>
        <v>52</v>
      </c>
      <c r="FX38" s="282">
        <f t="shared" si="28"/>
        <v>52</v>
      </c>
      <c r="FY38" s="282">
        <f t="shared" si="28"/>
        <v>52</v>
      </c>
      <c r="FZ38" s="282">
        <f t="shared" si="28"/>
        <v>52</v>
      </c>
      <c r="GA38" s="282">
        <f t="shared" si="28"/>
        <v>52</v>
      </c>
      <c r="GB38" s="282">
        <f t="shared" si="28"/>
        <v>52</v>
      </c>
      <c r="GC38" s="282">
        <f t="shared" si="28"/>
        <v>52</v>
      </c>
      <c r="GD38" s="282">
        <f t="shared" si="28"/>
        <v>52</v>
      </c>
      <c r="GE38" s="282">
        <f t="shared" si="28"/>
        <v>52</v>
      </c>
      <c r="GF38" s="282">
        <f t="shared" si="29"/>
        <v>52</v>
      </c>
      <c r="GG38" s="282">
        <f t="shared" si="29"/>
        <v>52</v>
      </c>
      <c r="GH38" s="282">
        <f t="shared" si="29"/>
        <v>52</v>
      </c>
      <c r="GI38" s="282">
        <f t="shared" si="29"/>
        <v>52</v>
      </c>
      <c r="GJ38" s="282">
        <f t="shared" si="29"/>
        <v>52</v>
      </c>
      <c r="GK38" s="282">
        <f t="shared" si="29"/>
        <v>52</v>
      </c>
      <c r="GL38" s="282">
        <f t="shared" si="29"/>
        <v>52</v>
      </c>
      <c r="GM38" s="282">
        <f t="shared" si="29"/>
        <v>52</v>
      </c>
      <c r="GN38" s="282">
        <f t="shared" si="29"/>
        <v>52</v>
      </c>
      <c r="GO38" s="282">
        <f t="shared" si="29"/>
        <v>52</v>
      </c>
      <c r="GP38" s="282">
        <f t="shared" si="29"/>
        <v>52</v>
      </c>
      <c r="GQ38" s="282">
        <f t="shared" si="29"/>
        <v>52</v>
      </c>
      <c r="GR38" s="282">
        <f t="shared" si="29"/>
        <v>52</v>
      </c>
      <c r="GS38" s="282">
        <f t="shared" si="29"/>
        <v>48</v>
      </c>
      <c r="GT38" s="283">
        <f t="shared" si="30"/>
        <v>120</v>
      </c>
    </row>
    <row r="39" spans="1:202" s="182" customFormat="1">
      <c r="A39" s="222" t="s">
        <v>664</v>
      </c>
      <c r="B39" s="224">
        <v>360</v>
      </c>
      <c r="C39" s="224" t="s">
        <v>634</v>
      </c>
      <c r="D39" s="224"/>
      <c r="E39" s="281"/>
      <c r="F39" s="281"/>
      <c r="G39" s="281"/>
      <c r="H39" s="281">
        <v>120</v>
      </c>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v>1</v>
      </c>
      <c r="AT39" s="227">
        <v>1</v>
      </c>
      <c r="AU39" s="227">
        <v>1</v>
      </c>
      <c r="AV39" s="227">
        <v>1</v>
      </c>
      <c r="AW39" s="227">
        <v>1</v>
      </c>
      <c r="AX39" s="227">
        <v>1</v>
      </c>
      <c r="AY39" s="227">
        <v>1</v>
      </c>
      <c r="AZ39" s="227">
        <v>1</v>
      </c>
      <c r="BA39" s="227">
        <v>1</v>
      </c>
      <c r="BB39" s="227">
        <v>1</v>
      </c>
      <c r="BC39" s="227">
        <v>1</v>
      </c>
      <c r="BD39" s="227">
        <v>1</v>
      </c>
      <c r="BE39" s="227">
        <v>1</v>
      </c>
      <c r="BF39" s="227">
        <v>1</v>
      </c>
      <c r="BG39" s="227">
        <v>1</v>
      </c>
      <c r="BH39" s="227">
        <v>1</v>
      </c>
      <c r="BI39" s="227">
        <v>1</v>
      </c>
      <c r="BJ39" s="227">
        <v>1</v>
      </c>
      <c r="BK39" s="227">
        <v>1</v>
      </c>
      <c r="BL39" s="227">
        <v>1</v>
      </c>
      <c r="BM39" s="227">
        <v>1</v>
      </c>
      <c r="BN39" s="227">
        <v>1</v>
      </c>
      <c r="BO39" s="227">
        <v>1</v>
      </c>
      <c r="BP39" s="227">
        <v>1</v>
      </c>
      <c r="BQ39" s="227">
        <v>1</v>
      </c>
      <c r="BR39" s="227">
        <v>1</v>
      </c>
      <c r="BS39" s="227">
        <v>1</v>
      </c>
      <c r="BT39" s="227">
        <v>1</v>
      </c>
      <c r="BU39" s="227">
        <v>1</v>
      </c>
      <c r="BV39" s="227">
        <v>1</v>
      </c>
      <c r="BW39" s="227">
        <v>1</v>
      </c>
      <c r="BX39" s="227">
        <v>1</v>
      </c>
      <c r="BY39" s="227">
        <v>1</v>
      </c>
      <c r="BZ39" s="227">
        <v>1</v>
      </c>
      <c r="CA39" s="227">
        <v>1</v>
      </c>
      <c r="CB39" s="227">
        <v>1</v>
      </c>
      <c r="CC39" s="227">
        <v>1</v>
      </c>
      <c r="CD39" s="227">
        <v>1</v>
      </c>
      <c r="CE39" s="227">
        <v>1</v>
      </c>
      <c r="CF39" s="227">
        <v>1</v>
      </c>
      <c r="CG39" s="227">
        <v>1</v>
      </c>
      <c r="CH39" s="227">
        <v>1</v>
      </c>
      <c r="CI39" s="227">
        <v>1</v>
      </c>
      <c r="CJ39" s="227">
        <v>1</v>
      </c>
      <c r="CK39" s="227">
        <v>1</v>
      </c>
      <c r="CL39" s="227">
        <v>1</v>
      </c>
      <c r="CM39" s="227">
        <v>1</v>
      </c>
      <c r="CN39" s="227">
        <v>1</v>
      </c>
      <c r="CO39" s="227">
        <v>1</v>
      </c>
      <c r="CP39" s="227">
        <v>1</v>
      </c>
      <c r="CQ39" s="227">
        <v>1</v>
      </c>
      <c r="CR39" s="227">
        <v>1</v>
      </c>
      <c r="CS39" s="227">
        <v>1</v>
      </c>
      <c r="CT39" s="227">
        <v>1</v>
      </c>
      <c r="CU39" s="227">
        <v>1</v>
      </c>
      <c r="CV39" s="227">
        <v>1</v>
      </c>
      <c r="CW39" s="227">
        <v>1</v>
      </c>
      <c r="CX39" s="227">
        <v>1</v>
      </c>
      <c r="CY39" s="227">
        <v>1</v>
      </c>
      <c r="CZ39" s="227">
        <v>1</v>
      </c>
      <c r="DA39" s="227">
        <v>1</v>
      </c>
      <c r="DB39" s="227">
        <v>1</v>
      </c>
      <c r="DC39" s="227">
        <v>1</v>
      </c>
      <c r="DD39" s="227">
        <v>1</v>
      </c>
      <c r="DE39" s="227">
        <v>1</v>
      </c>
      <c r="DF39" s="227">
        <v>1</v>
      </c>
      <c r="DG39" s="282">
        <f t="shared" si="31"/>
        <v>0</v>
      </c>
      <c r="DH39" s="282">
        <f t="shared" si="31"/>
        <v>0</v>
      </c>
      <c r="DI39" s="282">
        <f t="shared" si="31"/>
        <v>0</v>
      </c>
      <c r="DJ39" s="282">
        <f t="shared" si="31"/>
        <v>0</v>
      </c>
      <c r="DK39" s="282">
        <f t="shared" si="31"/>
        <v>0</v>
      </c>
      <c r="DL39" s="282">
        <f t="shared" si="31"/>
        <v>0</v>
      </c>
      <c r="DM39" s="282">
        <f t="shared" si="31"/>
        <v>0</v>
      </c>
      <c r="DN39" s="282">
        <f t="shared" si="31"/>
        <v>0</v>
      </c>
      <c r="DO39" s="282">
        <f t="shared" si="31"/>
        <v>0</v>
      </c>
      <c r="DP39" s="282">
        <f t="shared" si="31"/>
        <v>0</v>
      </c>
      <c r="DQ39" s="282">
        <f t="shared" si="31"/>
        <v>0</v>
      </c>
      <c r="DR39" s="282">
        <f t="shared" si="31"/>
        <v>0</v>
      </c>
      <c r="DS39" s="282">
        <f t="shared" si="31"/>
        <v>0</v>
      </c>
      <c r="DT39" s="282">
        <f t="shared" si="31"/>
        <v>0</v>
      </c>
      <c r="DU39" s="282">
        <f t="shared" si="31"/>
        <v>0</v>
      </c>
      <c r="DV39" s="282">
        <f t="shared" si="31"/>
        <v>0</v>
      </c>
      <c r="DW39" s="282">
        <f t="shared" si="32"/>
        <v>0</v>
      </c>
      <c r="DX39" s="282">
        <f t="shared" si="32"/>
        <v>0</v>
      </c>
      <c r="DY39" s="282">
        <f t="shared" si="32"/>
        <v>0</v>
      </c>
      <c r="DZ39" s="282">
        <f t="shared" si="32"/>
        <v>0</v>
      </c>
      <c r="EA39" s="282">
        <f t="shared" si="32"/>
        <v>0</v>
      </c>
      <c r="EB39" s="282">
        <f t="shared" si="32"/>
        <v>0</v>
      </c>
      <c r="EC39" s="282">
        <f t="shared" si="32"/>
        <v>0</v>
      </c>
      <c r="ED39" s="282">
        <f t="shared" si="32"/>
        <v>0</v>
      </c>
      <c r="EE39" s="282">
        <f t="shared" si="32"/>
        <v>0</v>
      </c>
      <c r="EF39" s="282">
        <f t="shared" si="32"/>
        <v>1</v>
      </c>
      <c r="EG39" s="282">
        <f t="shared" si="32"/>
        <v>2</v>
      </c>
      <c r="EH39" s="282">
        <f t="shared" si="32"/>
        <v>3</v>
      </c>
      <c r="EI39" s="282">
        <f t="shared" si="32"/>
        <v>4</v>
      </c>
      <c r="EJ39" s="282">
        <f t="shared" si="33"/>
        <v>6</v>
      </c>
      <c r="EK39" s="282">
        <f t="shared" si="33"/>
        <v>7</v>
      </c>
      <c r="EL39" s="282">
        <f t="shared" si="33"/>
        <v>8</v>
      </c>
      <c r="EM39" s="282">
        <f t="shared" si="33"/>
        <v>9</v>
      </c>
      <c r="EN39" s="282">
        <f t="shared" si="33"/>
        <v>10</v>
      </c>
      <c r="EO39" s="282">
        <f t="shared" si="33"/>
        <v>11</v>
      </c>
      <c r="EP39" s="282">
        <f t="shared" si="33"/>
        <v>12</v>
      </c>
      <c r="EQ39" s="282">
        <f t="shared" si="33"/>
        <v>13</v>
      </c>
      <c r="ER39" s="282">
        <f t="shared" si="26"/>
        <v>13</v>
      </c>
      <c r="ES39" s="282">
        <f t="shared" si="26"/>
        <v>13</v>
      </c>
      <c r="ET39" s="282">
        <f t="shared" si="26"/>
        <v>13</v>
      </c>
      <c r="EU39" s="282">
        <f t="shared" si="26"/>
        <v>13</v>
      </c>
      <c r="EV39" s="282">
        <f t="shared" si="26"/>
        <v>13</v>
      </c>
      <c r="EW39" s="282">
        <f t="shared" si="26"/>
        <v>13</v>
      </c>
      <c r="EX39" s="282">
        <f t="shared" si="26"/>
        <v>13</v>
      </c>
      <c r="EY39" s="282">
        <f t="shared" si="26"/>
        <v>13</v>
      </c>
      <c r="EZ39" s="282">
        <f t="shared" si="27"/>
        <v>13</v>
      </c>
      <c r="FA39" s="282">
        <f t="shared" si="27"/>
        <v>13</v>
      </c>
      <c r="FB39" s="282">
        <f t="shared" si="27"/>
        <v>13</v>
      </c>
      <c r="FC39" s="282">
        <f t="shared" si="27"/>
        <v>13</v>
      </c>
      <c r="FD39" s="282">
        <f t="shared" si="27"/>
        <v>13</v>
      </c>
      <c r="FE39" s="282">
        <f t="shared" si="27"/>
        <v>13</v>
      </c>
      <c r="FF39" s="282">
        <f t="shared" si="27"/>
        <v>13</v>
      </c>
      <c r="FG39" s="282">
        <f t="shared" si="27"/>
        <v>13</v>
      </c>
      <c r="FH39" s="282">
        <f t="shared" si="27"/>
        <v>13</v>
      </c>
      <c r="FI39" s="282">
        <f t="shared" si="27"/>
        <v>13</v>
      </c>
      <c r="FJ39" s="282">
        <f t="shared" si="27"/>
        <v>13</v>
      </c>
      <c r="FK39" s="282">
        <f t="shared" si="27"/>
        <v>13</v>
      </c>
      <c r="FL39" s="282">
        <f t="shared" si="27"/>
        <v>13</v>
      </c>
      <c r="FM39" s="282">
        <f t="shared" si="27"/>
        <v>13</v>
      </c>
      <c r="FN39" s="282">
        <f t="shared" si="27"/>
        <v>13</v>
      </c>
      <c r="FO39" s="282">
        <f t="shared" si="27"/>
        <v>13</v>
      </c>
      <c r="FP39" s="282">
        <f t="shared" si="28"/>
        <v>13</v>
      </c>
      <c r="FQ39" s="282">
        <f t="shared" si="28"/>
        <v>13</v>
      </c>
      <c r="FR39" s="282">
        <f t="shared" si="28"/>
        <v>13</v>
      </c>
      <c r="FS39" s="282">
        <f t="shared" si="28"/>
        <v>13</v>
      </c>
      <c r="FT39" s="282">
        <f t="shared" si="28"/>
        <v>13</v>
      </c>
      <c r="FU39" s="282">
        <f t="shared" si="28"/>
        <v>13</v>
      </c>
      <c r="FV39" s="282">
        <f t="shared" si="28"/>
        <v>13</v>
      </c>
      <c r="FW39" s="282">
        <f t="shared" si="28"/>
        <v>13</v>
      </c>
      <c r="FX39" s="282">
        <f t="shared" si="28"/>
        <v>13</v>
      </c>
      <c r="FY39" s="282">
        <f t="shared" si="28"/>
        <v>13</v>
      </c>
      <c r="FZ39" s="282">
        <f t="shared" si="28"/>
        <v>13</v>
      </c>
      <c r="GA39" s="282">
        <f t="shared" si="28"/>
        <v>13</v>
      </c>
      <c r="GB39" s="282">
        <f t="shared" si="28"/>
        <v>13</v>
      </c>
      <c r="GC39" s="282">
        <f t="shared" si="28"/>
        <v>13</v>
      </c>
      <c r="GD39" s="282">
        <f t="shared" si="28"/>
        <v>13</v>
      </c>
      <c r="GE39" s="282">
        <f t="shared" si="28"/>
        <v>13</v>
      </c>
      <c r="GF39" s="282">
        <f t="shared" si="29"/>
        <v>13</v>
      </c>
      <c r="GG39" s="282">
        <f t="shared" si="29"/>
        <v>13</v>
      </c>
      <c r="GH39" s="282">
        <f t="shared" si="29"/>
        <v>13</v>
      </c>
      <c r="GI39" s="282">
        <f t="shared" si="29"/>
        <v>13</v>
      </c>
      <c r="GJ39" s="282">
        <f t="shared" si="29"/>
        <v>13</v>
      </c>
      <c r="GK39" s="282">
        <f t="shared" si="29"/>
        <v>13</v>
      </c>
      <c r="GL39" s="282">
        <f t="shared" si="29"/>
        <v>13</v>
      </c>
      <c r="GM39" s="282">
        <f t="shared" si="29"/>
        <v>13</v>
      </c>
      <c r="GN39" s="282">
        <f t="shared" si="29"/>
        <v>13</v>
      </c>
      <c r="GO39" s="282">
        <f t="shared" si="29"/>
        <v>13</v>
      </c>
      <c r="GP39" s="282">
        <f t="shared" si="29"/>
        <v>13</v>
      </c>
      <c r="GQ39" s="282">
        <f t="shared" si="29"/>
        <v>13</v>
      </c>
      <c r="GR39" s="282">
        <f t="shared" si="29"/>
        <v>13</v>
      </c>
      <c r="GS39" s="282">
        <f t="shared" si="29"/>
        <v>12</v>
      </c>
      <c r="GT39" s="283">
        <f t="shared" si="30"/>
        <v>39</v>
      </c>
    </row>
    <row r="40" spans="1:202" s="182" customFormat="1">
      <c r="A40" s="222" t="s">
        <v>665</v>
      </c>
      <c r="B40" s="224">
        <v>300</v>
      </c>
      <c r="C40" s="224" t="s">
        <v>634</v>
      </c>
      <c r="D40" s="224"/>
      <c r="E40" s="281"/>
      <c r="F40" s="281"/>
      <c r="G40" s="281"/>
      <c r="H40" s="281">
        <f>12*30</f>
        <v>360</v>
      </c>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v>2</v>
      </c>
      <c r="AT40" s="227">
        <v>2</v>
      </c>
      <c r="AU40" s="227">
        <v>2</v>
      </c>
      <c r="AV40" s="227">
        <v>2</v>
      </c>
      <c r="AW40" s="227">
        <v>2</v>
      </c>
      <c r="AX40" s="227">
        <v>2</v>
      </c>
      <c r="AY40" s="227">
        <v>2</v>
      </c>
      <c r="AZ40" s="227">
        <v>2</v>
      </c>
      <c r="BA40" s="227">
        <v>2</v>
      </c>
      <c r="BB40" s="227">
        <v>2</v>
      </c>
      <c r="BC40" s="227">
        <v>2</v>
      </c>
      <c r="BD40" s="227">
        <v>2</v>
      </c>
      <c r="BE40" s="227">
        <v>2</v>
      </c>
      <c r="BF40" s="227">
        <v>2</v>
      </c>
      <c r="BG40" s="227">
        <v>2</v>
      </c>
      <c r="BH40" s="227">
        <v>2</v>
      </c>
      <c r="BI40" s="227">
        <v>2</v>
      </c>
      <c r="BJ40" s="227">
        <v>2</v>
      </c>
      <c r="BK40" s="227">
        <v>2</v>
      </c>
      <c r="BL40" s="227">
        <v>2</v>
      </c>
      <c r="BM40" s="227">
        <v>2</v>
      </c>
      <c r="BN40" s="227">
        <v>2</v>
      </c>
      <c r="BO40" s="227">
        <v>2</v>
      </c>
      <c r="BP40" s="227">
        <v>2</v>
      </c>
      <c r="BQ40" s="227">
        <v>2</v>
      </c>
      <c r="BR40" s="227">
        <v>2</v>
      </c>
      <c r="BS40" s="227">
        <v>2</v>
      </c>
      <c r="BT40" s="227">
        <v>2</v>
      </c>
      <c r="BU40" s="227">
        <v>2</v>
      </c>
      <c r="BV40" s="227">
        <v>2</v>
      </c>
      <c r="BW40" s="227">
        <v>2</v>
      </c>
      <c r="BX40" s="227">
        <v>2</v>
      </c>
      <c r="BY40" s="227">
        <v>2</v>
      </c>
      <c r="BZ40" s="227">
        <v>2</v>
      </c>
      <c r="CA40" s="227">
        <v>2</v>
      </c>
      <c r="CB40" s="227">
        <v>2</v>
      </c>
      <c r="CC40" s="227">
        <v>2</v>
      </c>
      <c r="CD40" s="227">
        <v>2</v>
      </c>
      <c r="CE40" s="227">
        <v>2</v>
      </c>
      <c r="CF40" s="227">
        <v>2</v>
      </c>
      <c r="CG40" s="227">
        <v>2</v>
      </c>
      <c r="CH40" s="227">
        <v>2</v>
      </c>
      <c r="CI40" s="227">
        <v>2</v>
      </c>
      <c r="CJ40" s="227">
        <v>2</v>
      </c>
      <c r="CK40" s="227">
        <v>2</v>
      </c>
      <c r="CL40" s="227">
        <v>2</v>
      </c>
      <c r="CM40" s="227">
        <v>2</v>
      </c>
      <c r="CN40" s="227">
        <v>2</v>
      </c>
      <c r="CO40" s="227">
        <v>2</v>
      </c>
      <c r="CP40" s="227">
        <v>2</v>
      </c>
      <c r="CQ40" s="227">
        <v>2</v>
      </c>
      <c r="CR40" s="227">
        <v>2</v>
      </c>
      <c r="CS40" s="227">
        <v>2</v>
      </c>
      <c r="CT40" s="227">
        <v>2</v>
      </c>
      <c r="CU40" s="227">
        <v>2</v>
      </c>
      <c r="CV40" s="227">
        <v>2</v>
      </c>
      <c r="CW40" s="227">
        <v>2</v>
      </c>
      <c r="CX40" s="227">
        <v>2</v>
      </c>
      <c r="CY40" s="227">
        <v>2</v>
      </c>
      <c r="CZ40" s="227">
        <v>2</v>
      </c>
      <c r="DA40" s="227">
        <v>2</v>
      </c>
      <c r="DB40" s="227">
        <v>2</v>
      </c>
      <c r="DC40" s="227">
        <v>2</v>
      </c>
      <c r="DD40" s="227">
        <v>2</v>
      </c>
      <c r="DE40" s="227">
        <v>2</v>
      </c>
      <c r="DF40" s="227">
        <v>2</v>
      </c>
      <c r="DG40" s="282">
        <f t="shared" si="31"/>
        <v>0</v>
      </c>
      <c r="DH40" s="282">
        <f t="shared" si="31"/>
        <v>0</v>
      </c>
      <c r="DI40" s="282">
        <f t="shared" si="31"/>
        <v>0</v>
      </c>
      <c r="DJ40" s="282">
        <f t="shared" si="31"/>
        <v>0</v>
      </c>
      <c r="DK40" s="282">
        <f t="shared" si="31"/>
        <v>0</v>
      </c>
      <c r="DL40" s="282">
        <f t="shared" si="31"/>
        <v>0</v>
      </c>
      <c r="DM40" s="282">
        <f t="shared" si="31"/>
        <v>0</v>
      </c>
      <c r="DN40" s="282">
        <f t="shared" si="31"/>
        <v>0</v>
      </c>
      <c r="DO40" s="282">
        <f t="shared" si="31"/>
        <v>0</v>
      </c>
      <c r="DP40" s="282">
        <f t="shared" si="31"/>
        <v>0</v>
      </c>
      <c r="DQ40" s="282">
        <f t="shared" si="31"/>
        <v>0</v>
      </c>
      <c r="DR40" s="282">
        <f t="shared" si="31"/>
        <v>0</v>
      </c>
      <c r="DS40" s="282">
        <f t="shared" si="31"/>
        <v>0</v>
      </c>
      <c r="DT40" s="282">
        <f t="shared" si="31"/>
        <v>0</v>
      </c>
      <c r="DU40" s="282">
        <f t="shared" si="31"/>
        <v>0</v>
      </c>
      <c r="DV40" s="282">
        <f t="shared" si="31"/>
        <v>0</v>
      </c>
      <c r="DW40" s="282">
        <f t="shared" si="32"/>
        <v>0</v>
      </c>
      <c r="DX40" s="282">
        <f t="shared" si="32"/>
        <v>0</v>
      </c>
      <c r="DY40" s="282">
        <f t="shared" si="32"/>
        <v>0</v>
      </c>
      <c r="DZ40" s="282">
        <f t="shared" si="32"/>
        <v>0</v>
      </c>
      <c r="EA40" s="282">
        <f t="shared" si="32"/>
        <v>0</v>
      </c>
      <c r="EB40" s="282">
        <f t="shared" si="32"/>
        <v>0</v>
      </c>
      <c r="EC40" s="282">
        <f t="shared" si="32"/>
        <v>0</v>
      </c>
      <c r="ED40" s="282">
        <f t="shared" si="32"/>
        <v>0</v>
      </c>
      <c r="EE40" s="282">
        <f t="shared" si="32"/>
        <v>0</v>
      </c>
      <c r="EF40" s="282">
        <f t="shared" si="32"/>
        <v>2</v>
      </c>
      <c r="EG40" s="282">
        <f t="shared" si="32"/>
        <v>4</v>
      </c>
      <c r="EH40" s="282">
        <f t="shared" si="32"/>
        <v>6</v>
      </c>
      <c r="EI40" s="282">
        <f t="shared" si="32"/>
        <v>8</v>
      </c>
      <c r="EJ40" s="282">
        <f t="shared" si="33"/>
        <v>12</v>
      </c>
      <c r="EK40" s="282">
        <f t="shared" si="33"/>
        <v>14</v>
      </c>
      <c r="EL40" s="282">
        <f t="shared" si="33"/>
        <v>16</v>
      </c>
      <c r="EM40" s="282">
        <f t="shared" si="33"/>
        <v>18</v>
      </c>
      <c r="EN40" s="282">
        <f t="shared" si="33"/>
        <v>20</v>
      </c>
      <c r="EO40" s="282">
        <f t="shared" si="33"/>
        <v>22</v>
      </c>
      <c r="EP40" s="282">
        <f t="shared" si="33"/>
        <v>24</v>
      </c>
      <c r="EQ40" s="282">
        <f t="shared" si="33"/>
        <v>26</v>
      </c>
      <c r="ER40" s="282">
        <f t="shared" si="26"/>
        <v>26</v>
      </c>
      <c r="ES40" s="282">
        <f t="shared" si="26"/>
        <v>26</v>
      </c>
      <c r="ET40" s="282">
        <f t="shared" si="26"/>
        <v>26</v>
      </c>
      <c r="EU40" s="282">
        <f t="shared" si="26"/>
        <v>26</v>
      </c>
      <c r="EV40" s="282">
        <f t="shared" si="26"/>
        <v>26</v>
      </c>
      <c r="EW40" s="282">
        <f t="shared" si="26"/>
        <v>26</v>
      </c>
      <c r="EX40" s="282">
        <f t="shared" si="26"/>
        <v>26</v>
      </c>
      <c r="EY40" s="282">
        <f t="shared" si="26"/>
        <v>26</v>
      </c>
      <c r="EZ40" s="282">
        <f t="shared" si="27"/>
        <v>26</v>
      </c>
      <c r="FA40" s="282">
        <f t="shared" si="27"/>
        <v>26</v>
      </c>
      <c r="FB40" s="282">
        <f t="shared" si="27"/>
        <v>26</v>
      </c>
      <c r="FC40" s="282">
        <f t="shared" si="27"/>
        <v>26</v>
      </c>
      <c r="FD40" s="282">
        <f t="shared" si="27"/>
        <v>26</v>
      </c>
      <c r="FE40" s="282">
        <f t="shared" si="27"/>
        <v>26</v>
      </c>
      <c r="FF40" s="282">
        <f t="shared" si="27"/>
        <v>26</v>
      </c>
      <c r="FG40" s="282">
        <f t="shared" si="27"/>
        <v>26</v>
      </c>
      <c r="FH40" s="282">
        <f t="shared" si="27"/>
        <v>26</v>
      </c>
      <c r="FI40" s="282">
        <f t="shared" si="27"/>
        <v>26</v>
      </c>
      <c r="FJ40" s="282">
        <f t="shared" si="27"/>
        <v>26</v>
      </c>
      <c r="FK40" s="282">
        <f t="shared" si="27"/>
        <v>26</v>
      </c>
      <c r="FL40" s="282">
        <f t="shared" si="27"/>
        <v>26</v>
      </c>
      <c r="FM40" s="282">
        <f t="shared" si="27"/>
        <v>26</v>
      </c>
      <c r="FN40" s="282">
        <f t="shared" si="27"/>
        <v>26</v>
      </c>
      <c r="FO40" s="282">
        <f t="shared" si="27"/>
        <v>26</v>
      </c>
      <c r="FP40" s="282">
        <f t="shared" si="28"/>
        <v>26</v>
      </c>
      <c r="FQ40" s="282">
        <f t="shared" si="28"/>
        <v>26</v>
      </c>
      <c r="FR40" s="282">
        <f t="shared" si="28"/>
        <v>26</v>
      </c>
      <c r="FS40" s="282">
        <f t="shared" si="28"/>
        <v>26</v>
      </c>
      <c r="FT40" s="282">
        <f t="shared" si="28"/>
        <v>26</v>
      </c>
      <c r="FU40" s="282">
        <f t="shared" si="28"/>
        <v>26</v>
      </c>
      <c r="FV40" s="282">
        <f t="shared" si="28"/>
        <v>26</v>
      </c>
      <c r="FW40" s="282">
        <f t="shared" si="28"/>
        <v>26</v>
      </c>
      <c r="FX40" s="282">
        <f t="shared" si="28"/>
        <v>26</v>
      </c>
      <c r="FY40" s="282">
        <f t="shared" si="28"/>
        <v>26</v>
      </c>
      <c r="FZ40" s="282">
        <f t="shared" si="28"/>
        <v>26</v>
      </c>
      <c r="GA40" s="282">
        <f t="shared" si="28"/>
        <v>26</v>
      </c>
      <c r="GB40" s="282">
        <f t="shared" si="28"/>
        <v>26</v>
      </c>
      <c r="GC40" s="282">
        <f t="shared" si="28"/>
        <v>26</v>
      </c>
      <c r="GD40" s="282">
        <f t="shared" si="28"/>
        <v>26</v>
      </c>
      <c r="GE40" s="282">
        <f t="shared" si="28"/>
        <v>26</v>
      </c>
      <c r="GF40" s="282">
        <f t="shared" si="29"/>
        <v>26</v>
      </c>
      <c r="GG40" s="282">
        <f t="shared" si="29"/>
        <v>26</v>
      </c>
      <c r="GH40" s="282">
        <f t="shared" si="29"/>
        <v>26</v>
      </c>
      <c r="GI40" s="282">
        <f t="shared" si="29"/>
        <v>26</v>
      </c>
      <c r="GJ40" s="282">
        <f t="shared" si="29"/>
        <v>26</v>
      </c>
      <c r="GK40" s="282">
        <f t="shared" si="29"/>
        <v>26</v>
      </c>
      <c r="GL40" s="282">
        <f t="shared" si="29"/>
        <v>26</v>
      </c>
      <c r="GM40" s="282">
        <f t="shared" si="29"/>
        <v>26</v>
      </c>
      <c r="GN40" s="282">
        <f t="shared" si="29"/>
        <v>26</v>
      </c>
      <c r="GO40" s="282">
        <f t="shared" si="29"/>
        <v>26</v>
      </c>
      <c r="GP40" s="282">
        <f t="shared" si="29"/>
        <v>26</v>
      </c>
      <c r="GQ40" s="282">
        <f t="shared" si="29"/>
        <v>26</v>
      </c>
      <c r="GR40" s="282">
        <f t="shared" si="29"/>
        <v>26</v>
      </c>
      <c r="GS40" s="282">
        <f t="shared" si="29"/>
        <v>24</v>
      </c>
      <c r="GT40" s="283">
        <f t="shared" si="30"/>
        <v>78</v>
      </c>
    </row>
    <row r="41" spans="1:202" s="182" customFormat="1">
      <c r="A41" s="222" t="s">
        <v>666</v>
      </c>
      <c r="B41" s="224">
        <v>360</v>
      </c>
      <c r="C41" s="224" t="s">
        <v>634</v>
      </c>
      <c r="D41" s="224"/>
      <c r="E41" s="281"/>
      <c r="F41" s="281"/>
      <c r="G41" s="281"/>
      <c r="H41" s="281">
        <v>360</v>
      </c>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v>5</v>
      </c>
      <c r="AT41" s="227">
        <v>5</v>
      </c>
      <c r="AU41" s="227">
        <v>5</v>
      </c>
      <c r="AV41" s="227">
        <v>5</v>
      </c>
      <c r="AW41" s="227">
        <v>5</v>
      </c>
      <c r="AX41" s="227">
        <v>5</v>
      </c>
      <c r="AY41" s="227">
        <v>5</v>
      </c>
      <c r="AZ41" s="227">
        <v>5</v>
      </c>
      <c r="BA41" s="227">
        <v>5</v>
      </c>
      <c r="BB41" s="227">
        <v>5</v>
      </c>
      <c r="BC41" s="227">
        <v>5</v>
      </c>
      <c r="BD41" s="227">
        <v>5</v>
      </c>
      <c r="BE41" s="227">
        <v>10</v>
      </c>
      <c r="BF41" s="227">
        <v>10</v>
      </c>
      <c r="BG41" s="227">
        <v>10</v>
      </c>
      <c r="BH41" s="227">
        <v>10</v>
      </c>
      <c r="BI41" s="227">
        <v>10</v>
      </c>
      <c r="BJ41" s="227">
        <v>10</v>
      </c>
      <c r="BK41" s="227">
        <v>10</v>
      </c>
      <c r="BL41" s="227">
        <v>10</v>
      </c>
      <c r="BM41" s="227">
        <v>10</v>
      </c>
      <c r="BN41" s="227">
        <v>10</v>
      </c>
      <c r="BO41" s="227">
        <v>10</v>
      </c>
      <c r="BP41" s="227">
        <v>10</v>
      </c>
      <c r="BQ41" s="227">
        <v>15</v>
      </c>
      <c r="BR41" s="227">
        <v>15</v>
      </c>
      <c r="BS41" s="227">
        <v>15</v>
      </c>
      <c r="BT41" s="227">
        <v>15</v>
      </c>
      <c r="BU41" s="227">
        <v>15</v>
      </c>
      <c r="BV41" s="227">
        <v>15</v>
      </c>
      <c r="BW41" s="227">
        <v>15</v>
      </c>
      <c r="BX41" s="227">
        <v>15</v>
      </c>
      <c r="BY41" s="227">
        <v>15</v>
      </c>
      <c r="BZ41" s="227">
        <v>15</v>
      </c>
      <c r="CA41" s="227">
        <v>15</v>
      </c>
      <c r="CB41" s="227">
        <v>15</v>
      </c>
      <c r="CC41" s="227">
        <v>15</v>
      </c>
      <c r="CD41" s="227">
        <v>15</v>
      </c>
      <c r="CE41" s="227">
        <v>15</v>
      </c>
      <c r="CF41" s="227">
        <v>15</v>
      </c>
      <c r="CG41" s="227">
        <v>15</v>
      </c>
      <c r="CH41" s="227">
        <v>15</v>
      </c>
      <c r="CI41" s="227">
        <v>15</v>
      </c>
      <c r="CJ41" s="227">
        <v>15</v>
      </c>
      <c r="CK41" s="227">
        <v>15</v>
      </c>
      <c r="CL41" s="227">
        <v>15</v>
      </c>
      <c r="CM41" s="227">
        <v>15</v>
      </c>
      <c r="CN41" s="227">
        <v>15</v>
      </c>
      <c r="CO41" s="227">
        <v>15</v>
      </c>
      <c r="CP41" s="227">
        <v>15</v>
      </c>
      <c r="CQ41" s="227">
        <v>15</v>
      </c>
      <c r="CR41" s="227">
        <v>15</v>
      </c>
      <c r="CS41" s="227">
        <v>15</v>
      </c>
      <c r="CT41" s="227">
        <v>15</v>
      </c>
      <c r="CU41" s="227">
        <v>15</v>
      </c>
      <c r="CV41" s="227">
        <v>15</v>
      </c>
      <c r="CW41" s="227">
        <v>15</v>
      </c>
      <c r="CX41" s="227">
        <v>15</v>
      </c>
      <c r="CY41" s="227">
        <v>15</v>
      </c>
      <c r="CZ41" s="227">
        <v>15</v>
      </c>
      <c r="DA41" s="227">
        <v>15</v>
      </c>
      <c r="DB41" s="227">
        <v>15</v>
      </c>
      <c r="DC41" s="227">
        <v>15</v>
      </c>
      <c r="DD41" s="227">
        <v>15</v>
      </c>
      <c r="DE41" s="227">
        <v>15</v>
      </c>
      <c r="DF41" s="227">
        <v>15</v>
      </c>
      <c r="DG41" s="282">
        <f t="shared" si="31"/>
        <v>0</v>
      </c>
      <c r="DH41" s="282">
        <f t="shared" si="31"/>
        <v>0</v>
      </c>
      <c r="DI41" s="282">
        <f t="shared" si="31"/>
        <v>0</v>
      </c>
      <c r="DJ41" s="282">
        <f t="shared" si="31"/>
        <v>0</v>
      </c>
      <c r="DK41" s="282">
        <f t="shared" si="31"/>
        <v>0</v>
      </c>
      <c r="DL41" s="282">
        <f t="shared" si="31"/>
        <v>0</v>
      </c>
      <c r="DM41" s="282">
        <f t="shared" si="31"/>
        <v>0</v>
      </c>
      <c r="DN41" s="282">
        <f t="shared" si="31"/>
        <v>0</v>
      </c>
      <c r="DO41" s="282">
        <f t="shared" si="31"/>
        <v>0</v>
      </c>
      <c r="DP41" s="282">
        <f t="shared" si="31"/>
        <v>0</v>
      </c>
      <c r="DQ41" s="282">
        <f t="shared" si="31"/>
        <v>0</v>
      </c>
      <c r="DR41" s="282">
        <f t="shared" si="31"/>
        <v>0</v>
      </c>
      <c r="DS41" s="282">
        <f t="shared" si="31"/>
        <v>0</v>
      </c>
      <c r="DT41" s="282">
        <f t="shared" si="31"/>
        <v>0</v>
      </c>
      <c r="DU41" s="282">
        <f t="shared" si="31"/>
        <v>0</v>
      </c>
      <c r="DV41" s="282">
        <f t="shared" si="31"/>
        <v>0</v>
      </c>
      <c r="DW41" s="282">
        <f t="shared" si="32"/>
        <v>0</v>
      </c>
      <c r="DX41" s="282">
        <f t="shared" si="32"/>
        <v>0</v>
      </c>
      <c r="DY41" s="282">
        <f t="shared" si="32"/>
        <v>0</v>
      </c>
      <c r="DZ41" s="282">
        <f t="shared" si="32"/>
        <v>0</v>
      </c>
      <c r="EA41" s="282">
        <f t="shared" si="32"/>
        <v>0</v>
      </c>
      <c r="EB41" s="282">
        <f t="shared" si="32"/>
        <v>0</v>
      </c>
      <c r="EC41" s="282">
        <f t="shared" si="32"/>
        <v>0</v>
      </c>
      <c r="ED41" s="282">
        <f t="shared" si="32"/>
        <v>0</v>
      </c>
      <c r="EE41" s="282">
        <f t="shared" si="32"/>
        <v>0</v>
      </c>
      <c r="EF41" s="282">
        <f t="shared" si="32"/>
        <v>5</v>
      </c>
      <c r="EG41" s="282">
        <f t="shared" si="32"/>
        <v>10</v>
      </c>
      <c r="EH41" s="282">
        <f t="shared" si="32"/>
        <v>15</v>
      </c>
      <c r="EI41" s="282">
        <f t="shared" si="32"/>
        <v>20</v>
      </c>
      <c r="EJ41" s="282">
        <f t="shared" si="33"/>
        <v>30</v>
      </c>
      <c r="EK41" s="282">
        <f t="shared" si="33"/>
        <v>35</v>
      </c>
      <c r="EL41" s="282">
        <f t="shared" si="33"/>
        <v>40</v>
      </c>
      <c r="EM41" s="282">
        <f t="shared" si="33"/>
        <v>45</v>
      </c>
      <c r="EN41" s="282">
        <f t="shared" si="33"/>
        <v>50</v>
      </c>
      <c r="EO41" s="282">
        <f t="shared" si="33"/>
        <v>55</v>
      </c>
      <c r="EP41" s="282">
        <f t="shared" si="33"/>
        <v>60</v>
      </c>
      <c r="EQ41" s="282">
        <f t="shared" si="33"/>
        <v>70</v>
      </c>
      <c r="ER41" s="282">
        <f t="shared" si="26"/>
        <v>75</v>
      </c>
      <c r="ES41" s="282">
        <f t="shared" si="26"/>
        <v>80</v>
      </c>
      <c r="ET41" s="282">
        <f t="shared" si="26"/>
        <v>85</v>
      </c>
      <c r="EU41" s="282">
        <f t="shared" si="26"/>
        <v>90</v>
      </c>
      <c r="EV41" s="282">
        <f t="shared" si="26"/>
        <v>95</v>
      </c>
      <c r="EW41" s="282">
        <f t="shared" si="26"/>
        <v>100</v>
      </c>
      <c r="EX41" s="282">
        <f t="shared" si="26"/>
        <v>105</v>
      </c>
      <c r="EY41" s="282">
        <f t="shared" si="26"/>
        <v>110</v>
      </c>
      <c r="EZ41" s="282">
        <f t="shared" si="27"/>
        <v>115</v>
      </c>
      <c r="FA41" s="282">
        <f t="shared" si="27"/>
        <v>120</v>
      </c>
      <c r="FB41" s="282">
        <f t="shared" si="27"/>
        <v>125</v>
      </c>
      <c r="FC41" s="282">
        <f t="shared" si="27"/>
        <v>135</v>
      </c>
      <c r="FD41" s="282">
        <f t="shared" si="27"/>
        <v>140</v>
      </c>
      <c r="FE41" s="282">
        <f t="shared" si="27"/>
        <v>145</v>
      </c>
      <c r="FF41" s="282">
        <f t="shared" si="27"/>
        <v>150</v>
      </c>
      <c r="FG41" s="282">
        <f t="shared" si="27"/>
        <v>155</v>
      </c>
      <c r="FH41" s="282">
        <f t="shared" si="27"/>
        <v>160</v>
      </c>
      <c r="FI41" s="282">
        <f t="shared" si="27"/>
        <v>165</v>
      </c>
      <c r="FJ41" s="282">
        <f t="shared" si="27"/>
        <v>170</v>
      </c>
      <c r="FK41" s="282">
        <f t="shared" si="27"/>
        <v>175</v>
      </c>
      <c r="FL41" s="282">
        <f t="shared" si="27"/>
        <v>180</v>
      </c>
      <c r="FM41" s="282">
        <f t="shared" si="27"/>
        <v>185</v>
      </c>
      <c r="FN41" s="282">
        <f t="shared" si="27"/>
        <v>190</v>
      </c>
      <c r="FO41" s="282">
        <f t="shared" si="27"/>
        <v>195</v>
      </c>
      <c r="FP41" s="282">
        <f t="shared" si="28"/>
        <v>195</v>
      </c>
      <c r="FQ41" s="282">
        <f t="shared" si="28"/>
        <v>195</v>
      </c>
      <c r="FR41" s="282">
        <f t="shared" si="28"/>
        <v>195</v>
      </c>
      <c r="FS41" s="282">
        <f t="shared" si="28"/>
        <v>195</v>
      </c>
      <c r="FT41" s="282">
        <f t="shared" si="28"/>
        <v>195</v>
      </c>
      <c r="FU41" s="282">
        <f t="shared" si="28"/>
        <v>195</v>
      </c>
      <c r="FV41" s="282">
        <f t="shared" si="28"/>
        <v>195</v>
      </c>
      <c r="FW41" s="282">
        <f t="shared" si="28"/>
        <v>195</v>
      </c>
      <c r="FX41" s="282">
        <f t="shared" si="28"/>
        <v>195</v>
      </c>
      <c r="FY41" s="282">
        <f t="shared" si="28"/>
        <v>195</v>
      </c>
      <c r="FZ41" s="282">
        <f t="shared" si="28"/>
        <v>195</v>
      </c>
      <c r="GA41" s="282">
        <f t="shared" si="28"/>
        <v>195</v>
      </c>
      <c r="GB41" s="282">
        <f t="shared" si="28"/>
        <v>195</v>
      </c>
      <c r="GC41" s="282">
        <f t="shared" si="28"/>
        <v>195</v>
      </c>
      <c r="GD41" s="282">
        <f t="shared" si="28"/>
        <v>195</v>
      </c>
      <c r="GE41" s="282">
        <f t="shared" si="28"/>
        <v>195</v>
      </c>
      <c r="GF41" s="282">
        <f t="shared" si="29"/>
        <v>195</v>
      </c>
      <c r="GG41" s="282">
        <f t="shared" si="29"/>
        <v>195</v>
      </c>
      <c r="GH41" s="282">
        <f t="shared" si="29"/>
        <v>195</v>
      </c>
      <c r="GI41" s="282">
        <f t="shared" si="29"/>
        <v>195</v>
      </c>
      <c r="GJ41" s="282">
        <f t="shared" si="29"/>
        <v>195</v>
      </c>
      <c r="GK41" s="282">
        <f t="shared" si="29"/>
        <v>195</v>
      </c>
      <c r="GL41" s="282">
        <f t="shared" si="29"/>
        <v>195</v>
      </c>
      <c r="GM41" s="282">
        <f t="shared" si="29"/>
        <v>195</v>
      </c>
      <c r="GN41" s="282">
        <f t="shared" si="29"/>
        <v>195</v>
      </c>
      <c r="GO41" s="282">
        <f t="shared" si="29"/>
        <v>195</v>
      </c>
      <c r="GP41" s="282">
        <f t="shared" si="29"/>
        <v>195</v>
      </c>
      <c r="GQ41" s="282">
        <f t="shared" si="29"/>
        <v>195</v>
      </c>
      <c r="GR41" s="282">
        <f t="shared" si="29"/>
        <v>195</v>
      </c>
      <c r="GS41" s="282">
        <f t="shared" si="29"/>
        <v>180</v>
      </c>
      <c r="GT41" s="283">
        <f t="shared" si="30"/>
        <v>405</v>
      </c>
    </row>
    <row r="42" spans="1:202" s="182" customFormat="1">
      <c r="A42" s="231" t="s">
        <v>667</v>
      </c>
      <c r="B42" s="223">
        <v>397</v>
      </c>
      <c r="C42" s="223" t="s">
        <v>634</v>
      </c>
      <c r="D42" s="223"/>
      <c r="E42" s="285"/>
      <c r="F42" s="285"/>
      <c r="G42" s="285"/>
      <c r="H42" s="285">
        <v>360</v>
      </c>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v>5</v>
      </c>
      <c r="AT42" s="227">
        <v>5</v>
      </c>
      <c r="AU42" s="227">
        <v>5</v>
      </c>
      <c r="AV42" s="227">
        <v>5</v>
      </c>
      <c r="AW42" s="227">
        <v>5</v>
      </c>
      <c r="AX42" s="227">
        <v>5</v>
      </c>
      <c r="AY42" s="227">
        <v>5</v>
      </c>
      <c r="AZ42" s="227">
        <v>5</v>
      </c>
      <c r="BA42" s="227">
        <v>5</v>
      </c>
      <c r="BB42" s="227">
        <v>5</v>
      </c>
      <c r="BC42" s="227">
        <v>5</v>
      </c>
      <c r="BD42" s="227">
        <v>5</v>
      </c>
      <c r="BE42" s="227">
        <v>10</v>
      </c>
      <c r="BF42" s="227">
        <v>10</v>
      </c>
      <c r="BG42" s="227">
        <v>10</v>
      </c>
      <c r="BH42" s="227">
        <v>10</v>
      </c>
      <c r="BI42" s="227">
        <v>10</v>
      </c>
      <c r="BJ42" s="227">
        <v>10</v>
      </c>
      <c r="BK42" s="227">
        <v>10</v>
      </c>
      <c r="BL42" s="227">
        <v>10</v>
      </c>
      <c r="BM42" s="227">
        <v>10</v>
      </c>
      <c r="BN42" s="227">
        <v>10</v>
      </c>
      <c r="BO42" s="227">
        <v>10</v>
      </c>
      <c r="BP42" s="227">
        <v>10</v>
      </c>
      <c r="BQ42" s="227">
        <v>15</v>
      </c>
      <c r="BR42" s="227">
        <v>15</v>
      </c>
      <c r="BS42" s="227">
        <v>15</v>
      </c>
      <c r="BT42" s="227">
        <v>15</v>
      </c>
      <c r="BU42" s="227">
        <v>15</v>
      </c>
      <c r="BV42" s="227">
        <v>15</v>
      </c>
      <c r="BW42" s="227">
        <v>15</v>
      </c>
      <c r="BX42" s="227">
        <v>15</v>
      </c>
      <c r="BY42" s="227">
        <v>15</v>
      </c>
      <c r="BZ42" s="227">
        <v>15</v>
      </c>
      <c r="CA42" s="227">
        <v>15</v>
      </c>
      <c r="CB42" s="227">
        <v>15</v>
      </c>
      <c r="CC42" s="227">
        <v>15</v>
      </c>
      <c r="CD42" s="227">
        <v>15</v>
      </c>
      <c r="CE42" s="227">
        <v>15</v>
      </c>
      <c r="CF42" s="227">
        <v>15</v>
      </c>
      <c r="CG42" s="227">
        <v>15</v>
      </c>
      <c r="CH42" s="227">
        <v>15</v>
      </c>
      <c r="CI42" s="227">
        <v>15</v>
      </c>
      <c r="CJ42" s="227">
        <v>15</v>
      </c>
      <c r="CK42" s="227">
        <v>15</v>
      </c>
      <c r="CL42" s="227">
        <v>15</v>
      </c>
      <c r="CM42" s="227">
        <v>15</v>
      </c>
      <c r="CN42" s="227">
        <v>15</v>
      </c>
      <c r="CO42" s="227">
        <v>15</v>
      </c>
      <c r="CP42" s="227">
        <v>15</v>
      </c>
      <c r="CQ42" s="227">
        <v>15</v>
      </c>
      <c r="CR42" s="227">
        <v>15</v>
      </c>
      <c r="CS42" s="227">
        <v>15</v>
      </c>
      <c r="CT42" s="227">
        <v>15</v>
      </c>
      <c r="CU42" s="227">
        <v>15</v>
      </c>
      <c r="CV42" s="227">
        <v>15</v>
      </c>
      <c r="CW42" s="227">
        <v>15</v>
      </c>
      <c r="CX42" s="227">
        <v>15</v>
      </c>
      <c r="CY42" s="227">
        <v>15</v>
      </c>
      <c r="CZ42" s="227">
        <v>15</v>
      </c>
      <c r="DA42" s="227">
        <v>15</v>
      </c>
      <c r="DB42" s="227">
        <v>15</v>
      </c>
      <c r="DC42" s="227">
        <v>15</v>
      </c>
      <c r="DD42" s="227">
        <v>15</v>
      </c>
      <c r="DE42" s="227">
        <v>15</v>
      </c>
      <c r="DF42" s="227">
        <v>15</v>
      </c>
      <c r="DG42" s="282"/>
      <c r="DH42" s="282"/>
      <c r="DI42" s="282"/>
      <c r="DJ42" s="282"/>
      <c r="DK42" s="282"/>
      <c r="DL42" s="282"/>
      <c r="DM42" s="282"/>
      <c r="DN42" s="282"/>
      <c r="DO42" s="282"/>
      <c r="DP42" s="282"/>
      <c r="DQ42" s="282"/>
      <c r="DR42" s="282"/>
      <c r="DS42" s="282"/>
      <c r="DT42" s="282"/>
      <c r="DU42" s="282"/>
      <c r="DV42" s="282"/>
      <c r="DW42" s="282"/>
      <c r="DX42" s="282"/>
      <c r="DY42" s="282"/>
      <c r="DZ42" s="282"/>
      <c r="EA42" s="282"/>
      <c r="EB42" s="282"/>
      <c r="EC42" s="282"/>
      <c r="ED42" s="282"/>
      <c r="EE42" s="282"/>
      <c r="EF42" s="282">
        <f t="shared" si="32"/>
        <v>5</v>
      </c>
      <c r="EG42" s="282">
        <f t="shared" si="32"/>
        <v>10</v>
      </c>
      <c r="EH42" s="282">
        <f t="shared" si="32"/>
        <v>15</v>
      </c>
      <c r="EI42" s="282">
        <f t="shared" si="32"/>
        <v>20</v>
      </c>
      <c r="EJ42" s="282">
        <f t="shared" si="33"/>
        <v>30</v>
      </c>
      <c r="EK42" s="282">
        <f t="shared" si="33"/>
        <v>35</v>
      </c>
      <c r="EL42" s="282">
        <f t="shared" si="33"/>
        <v>40</v>
      </c>
      <c r="EM42" s="282">
        <f t="shared" si="33"/>
        <v>45</v>
      </c>
      <c r="EN42" s="282">
        <f t="shared" si="33"/>
        <v>50</v>
      </c>
      <c r="EO42" s="282">
        <f t="shared" si="33"/>
        <v>55</v>
      </c>
      <c r="EP42" s="282">
        <f t="shared" si="33"/>
        <v>60</v>
      </c>
      <c r="EQ42" s="282">
        <f t="shared" si="33"/>
        <v>70</v>
      </c>
      <c r="ER42" s="282"/>
      <c r="ES42" s="282"/>
      <c r="ET42" s="282"/>
      <c r="EU42" s="282"/>
      <c r="EV42" s="282"/>
      <c r="EW42" s="282"/>
      <c r="EX42" s="282"/>
      <c r="EY42" s="282"/>
      <c r="EZ42" s="282"/>
      <c r="FA42" s="282"/>
      <c r="FB42" s="282"/>
      <c r="FC42" s="282"/>
      <c r="FD42" s="282"/>
      <c r="FE42" s="282"/>
      <c r="FF42" s="282"/>
      <c r="FG42" s="282"/>
      <c r="FH42" s="282"/>
      <c r="FI42" s="282"/>
      <c r="FJ42" s="282"/>
      <c r="FK42" s="282"/>
      <c r="FL42" s="282"/>
      <c r="FM42" s="282"/>
      <c r="FN42" s="282"/>
      <c r="FO42" s="282"/>
      <c r="FP42" s="282"/>
      <c r="FQ42" s="282"/>
      <c r="FR42" s="282"/>
      <c r="FS42" s="282"/>
      <c r="FT42" s="282"/>
      <c r="FU42" s="282"/>
      <c r="FV42" s="282"/>
      <c r="FW42" s="282"/>
      <c r="FX42" s="282"/>
      <c r="FY42" s="282"/>
      <c r="FZ42" s="282"/>
      <c r="GA42" s="282"/>
      <c r="GB42" s="282"/>
      <c r="GC42" s="282"/>
      <c r="GD42" s="282"/>
      <c r="GE42" s="282"/>
      <c r="GF42" s="282"/>
      <c r="GG42" s="282"/>
      <c r="GH42" s="282"/>
      <c r="GI42" s="282"/>
      <c r="GJ42" s="282"/>
      <c r="GK42" s="282"/>
      <c r="GL42" s="282"/>
      <c r="GM42" s="282"/>
      <c r="GN42" s="282"/>
      <c r="GO42" s="282"/>
      <c r="GP42" s="282"/>
      <c r="GQ42" s="282"/>
      <c r="GR42" s="282"/>
      <c r="GS42" s="282"/>
      <c r="GT42" s="283">
        <f t="shared" si="30"/>
        <v>405</v>
      </c>
    </row>
    <row r="43" spans="1:202" s="182" customFormat="1" ht="13.5" thickBot="1">
      <c r="A43" s="254" t="s">
        <v>668</v>
      </c>
      <c r="B43" s="232">
        <v>260</v>
      </c>
      <c r="C43" s="223" t="s">
        <v>634</v>
      </c>
      <c r="D43" s="223"/>
      <c r="E43" s="228"/>
      <c r="F43" s="228"/>
      <c r="G43" s="228"/>
      <c r="H43" s="228">
        <v>12</v>
      </c>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v>1</v>
      </c>
      <c r="AT43" s="227">
        <v>1</v>
      </c>
      <c r="AU43" s="227">
        <v>1</v>
      </c>
      <c r="AV43" s="227">
        <v>1</v>
      </c>
      <c r="AW43" s="227">
        <v>1</v>
      </c>
      <c r="AX43" s="227">
        <v>1</v>
      </c>
      <c r="AY43" s="227">
        <v>1</v>
      </c>
      <c r="AZ43" s="227">
        <v>1</v>
      </c>
      <c r="BA43" s="227">
        <v>1</v>
      </c>
      <c r="BB43" s="227">
        <v>1</v>
      </c>
      <c r="BC43" s="227">
        <v>1</v>
      </c>
      <c r="BD43" s="227">
        <v>1</v>
      </c>
      <c r="BE43" s="227">
        <v>1</v>
      </c>
      <c r="BF43" s="227">
        <v>1</v>
      </c>
      <c r="BG43" s="227">
        <v>1</v>
      </c>
      <c r="BH43" s="227">
        <v>1</v>
      </c>
      <c r="BI43" s="227">
        <v>1</v>
      </c>
      <c r="BJ43" s="227">
        <v>1</v>
      </c>
      <c r="BK43" s="227">
        <v>1</v>
      </c>
      <c r="BL43" s="227">
        <v>1</v>
      </c>
      <c r="BM43" s="227">
        <v>1</v>
      </c>
      <c r="BN43" s="227">
        <v>1</v>
      </c>
      <c r="BO43" s="227">
        <v>1</v>
      </c>
      <c r="BP43" s="227">
        <v>1</v>
      </c>
      <c r="BQ43" s="227">
        <v>1</v>
      </c>
      <c r="BR43" s="227">
        <v>1</v>
      </c>
      <c r="BS43" s="227">
        <v>1</v>
      </c>
      <c r="BT43" s="227">
        <v>1</v>
      </c>
      <c r="BU43" s="227">
        <v>1</v>
      </c>
      <c r="BV43" s="227">
        <v>1</v>
      </c>
      <c r="BW43" s="227">
        <v>1</v>
      </c>
      <c r="BX43" s="227">
        <v>1</v>
      </c>
      <c r="BY43" s="227">
        <v>1</v>
      </c>
      <c r="BZ43" s="227">
        <v>1</v>
      </c>
      <c r="CA43" s="227">
        <v>1</v>
      </c>
      <c r="CB43" s="227">
        <v>1</v>
      </c>
      <c r="CC43" s="227">
        <v>1</v>
      </c>
      <c r="CD43" s="227">
        <v>1</v>
      </c>
      <c r="CE43" s="227">
        <v>1</v>
      </c>
      <c r="CF43" s="227">
        <v>1</v>
      </c>
      <c r="CG43" s="227">
        <v>1</v>
      </c>
      <c r="CH43" s="227">
        <v>1</v>
      </c>
      <c r="CI43" s="227">
        <v>1</v>
      </c>
      <c r="CJ43" s="227">
        <v>1</v>
      </c>
      <c r="CK43" s="227">
        <v>1</v>
      </c>
      <c r="CL43" s="227">
        <v>1</v>
      </c>
      <c r="CM43" s="227">
        <v>1</v>
      </c>
      <c r="CN43" s="227">
        <v>1</v>
      </c>
      <c r="CO43" s="227">
        <v>1</v>
      </c>
      <c r="CP43" s="227">
        <v>1</v>
      </c>
      <c r="CQ43" s="227">
        <v>1</v>
      </c>
      <c r="CR43" s="227">
        <v>1</v>
      </c>
      <c r="CS43" s="227">
        <v>1</v>
      </c>
      <c r="CT43" s="227">
        <v>1</v>
      </c>
      <c r="CU43" s="227">
        <v>1</v>
      </c>
      <c r="CV43" s="227">
        <v>1</v>
      </c>
      <c r="CW43" s="227">
        <v>1</v>
      </c>
      <c r="CX43" s="227">
        <v>1</v>
      </c>
      <c r="CY43" s="227">
        <v>1</v>
      </c>
      <c r="CZ43" s="227">
        <v>1</v>
      </c>
      <c r="DA43" s="227">
        <v>1</v>
      </c>
      <c r="DB43" s="227">
        <v>1</v>
      </c>
      <c r="DC43" s="227">
        <v>1</v>
      </c>
      <c r="DD43" s="227">
        <v>1</v>
      </c>
      <c r="DE43" s="227">
        <v>1</v>
      </c>
      <c r="DF43" s="227">
        <v>1</v>
      </c>
      <c r="DG43" s="282">
        <f t="shared" ref="DG43:EE43" si="34">SUM(I43:T43)</f>
        <v>0</v>
      </c>
      <c r="DH43" s="282">
        <f t="shared" si="34"/>
        <v>0</v>
      </c>
      <c r="DI43" s="282">
        <f t="shared" si="34"/>
        <v>0</v>
      </c>
      <c r="DJ43" s="282">
        <f t="shared" si="34"/>
        <v>0</v>
      </c>
      <c r="DK43" s="282">
        <f t="shared" si="34"/>
        <v>0</v>
      </c>
      <c r="DL43" s="282">
        <f t="shared" si="34"/>
        <v>0</v>
      </c>
      <c r="DM43" s="282">
        <f t="shared" si="34"/>
        <v>0</v>
      </c>
      <c r="DN43" s="282">
        <f t="shared" si="34"/>
        <v>0</v>
      </c>
      <c r="DO43" s="282">
        <f t="shared" si="34"/>
        <v>0</v>
      </c>
      <c r="DP43" s="282">
        <f t="shared" si="34"/>
        <v>0</v>
      </c>
      <c r="DQ43" s="282">
        <f t="shared" si="34"/>
        <v>0</v>
      </c>
      <c r="DR43" s="282">
        <f t="shared" si="34"/>
        <v>0</v>
      </c>
      <c r="DS43" s="282">
        <f t="shared" si="34"/>
        <v>0</v>
      </c>
      <c r="DT43" s="282">
        <f t="shared" si="34"/>
        <v>0</v>
      </c>
      <c r="DU43" s="282">
        <f t="shared" si="34"/>
        <v>0</v>
      </c>
      <c r="DV43" s="282">
        <f t="shared" si="34"/>
        <v>0</v>
      </c>
      <c r="DW43" s="282">
        <f t="shared" si="34"/>
        <v>0</v>
      </c>
      <c r="DX43" s="282">
        <f t="shared" si="34"/>
        <v>0</v>
      </c>
      <c r="DY43" s="282">
        <f t="shared" si="34"/>
        <v>0</v>
      </c>
      <c r="DZ43" s="282">
        <f t="shared" si="34"/>
        <v>0</v>
      </c>
      <c r="EA43" s="282">
        <f t="shared" si="34"/>
        <v>0</v>
      </c>
      <c r="EB43" s="282">
        <f t="shared" si="34"/>
        <v>0</v>
      </c>
      <c r="EC43" s="282">
        <f t="shared" si="34"/>
        <v>0</v>
      </c>
      <c r="ED43" s="282">
        <f t="shared" si="34"/>
        <v>0</v>
      </c>
      <c r="EE43" s="282">
        <f t="shared" si="34"/>
        <v>0</v>
      </c>
      <c r="EF43" s="282">
        <f t="shared" si="32"/>
        <v>1</v>
      </c>
      <c r="EG43" s="282">
        <f t="shared" si="32"/>
        <v>2</v>
      </c>
      <c r="EH43" s="282">
        <f t="shared" si="32"/>
        <v>3</v>
      </c>
      <c r="EI43" s="282">
        <f t="shared" si="32"/>
        <v>4</v>
      </c>
      <c r="EJ43" s="282">
        <f t="shared" si="33"/>
        <v>6</v>
      </c>
      <c r="EK43" s="282">
        <f t="shared" si="33"/>
        <v>7</v>
      </c>
      <c r="EL43" s="282">
        <f t="shared" si="33"/>
        <v>8</v>
      </c>
      <c r="EM43" s="282">
        <f t="shared" si="33"/>
        <v>9</v>
      </c>
      <c r="EN43" s="282">
        <f t="shared" si="33"/>
        <v>10</v>
      </c>
      <c r="EO43" s="282">
        <f t="shared" si="33"/>
        <v>11</v>
      </c>
      <c r="EP43" s="282">
        <f t="shared" si="33"/>
        <v>12</v>
      </c>
      <c r="EQ43" s="282">
        <f t="shared" si="33"/>
        <v>13</v>
      </c>
      <c r="ER43" s="282">
        <f t="shared" si="33"/>
        <v>13</v>
      </c>
      <c r="ES43" s="282">
        <f t="shared" si="33"/>
        <v>13</v>
      </c>
      <c r="ET43" s="282">
        <f t="shared" si="33"/>
        <v>13</v>
      </c>
      <c r="EU43" s="282">
        <f t="shared" si="33"/>
        <v>13</v>
      </c>
      <c r="EV43" s="282">
        <f t="shared" si="33"/>
        <v>13</v>
      </c>
      <c r="EW43" s="282">
        <f t="shared" si="33"/>
        <v>13</v>
      </c>
      <c r="EX43" s="282">
        <f t="shared" si="33"/>
        <v>13</v>
      </c>
      <c r="EY43" s="282">
        <f t="shared" si="33"/>
        <v>13</v>
      </c>
      <c r="EZ43" s="282">
        <f t="shared" ref="EZ43:GS43" si="35">SUM(BB43:BN43)</f>
        <v>13</v>
      </c>
      <c r="FA43" s="282">
        <f t="shared" si="35"/>
        <v>13</v>
      </c>
      <c r="FB43" s="282">
        <f t="shared" si="35"/>
        <v>13</v>
      </c>
      <c r="FC43" s="282">
        <f t="shared" si="35"/>
        <v>13</v>
      </c>
      <c r="FD43" s="282">
        <f t="shared" si="35"/>
        <v>13</v>
      </c>
      <c r="FE43" s="282">
        <f t="shared" si="35"/>
        <v>13</v>
      </c>
      <c r="FF43" s="282">
        <f t="shared" si="35"/>
        <v>13</v>
      </c>
      <c r="FG43" s="282">
        <f t="shared" si="35"/>
        <v>13</v>
      </c>
      <c r="FH43" s="282">
        <f t="shared" si="35"/>
        <v>13</v>
      </c>
      <c r="FI43" s="282">
        <f t="shared" si="35"/>
        <v>13</v>
      </c>
      <c r="FJ43" s="282">
        <f t="shared" si="35"/>
        <v>13</v>
      </c>
      <c r="FK43" s="282">
        <f t="shared" si="35"/>
        <v>13</v>
      </c>
      <c r="FL43" s="282">
        <f t="shared" si="35"/>
        <v>13</v>
      </c>
      <c r="FM43" s="282">
        <f t="shared" si="35"/>
        <v>13</v>
      </c>
      <c r="FN43" s="282">
        <f t="shared" si="35"/>
        <v>13</v>
      </c>
      <c r="FO43" s="282">
        <f t="shared" si="35"/>
        <v>13</v>
      </c>
      <c r="FP43" s="282">
        <f t="shared" si="35"/>
        <v>13</v>
      </c>
      <c r="FQ43" s="282">
        <f t="shared" si="35"/>
        <v>13</v>
      </c>
      <c r="FR43" s="282">
        <f t="shared" si="35"/>
        <v>13</v>
      </c>
      <c r="FS43" s="282">
        <f t="shared" si="35"/>
        <v>13</v>
      </c>
      <c r="FT43" s="282">
        <f t="shared" si="35"/>
        <v>13</v>
      </c>
      <c r="FU43" s="282">
        <f t="shared" si="35"/>
        <v>13</v>
      </c>
      <c r="FV43" s="282">
        <f t="shared" si="35"/>
        <v>13</v>
      </c>
      <c r="FW43" s="282">
        <f t="shared" si="35"/>
        <v>13</v>
      </c>
      <c r="FX43" s="282">
        <f t="shared" si="35"/>
        <v>13</v>
      </c>
      <c r="FY43" s="282">
        <f t="shared" si="35"/>
        <v>13</v>
      </c>
      <c r="FZ43" s="282">
        <f t="shared" si="35"/>
        <v>13</v>
      </c>
      <c r="GA43" s="282">
        <f t="shared" si="35"/>
        <v>13</v>
      </c>
      <c r="GB43" s="282">
        <f t="shared" si="35"/>
        <v>13</v>
      </c>
      <c r="GC43" s="282">
        <f t="shared" si="35"/>
        <v>13</v>
      </c>
      <c r="GD43" s="282">
        <f t="shared" si="35"/>
        <v>13</v>
      </c>
      <c r="GE43" s="282">
        <f t="shared" si="35"/>
        <v>13</v>
      </c>
      <c r="GF43" s="282">
        <f t="shared" si="35"/>
        <v>13</v>
      </c>
      <c r="GG43" s="282">
        <f t="shared" si="35"/>
        <v>13</v>
      </c>
      <c r="GH43" s="282">
        <f t="shared" si="35"/>
        <v>13</v>
      </c>
      <c r="GI43" s="282">
        <f t="shared" si="35"/>
        <v>13</v>
      </c>
      <c r="GJ43" s="282">
        <f t="shared" si="35"/>
        <v>13</v>
      </c>
      <c r="GK43" s="282">
        <f t="shared" si="35"/>
        <v>13</v>
      </c>
      <c r="GL43" s="282">
        <f t="shared" si="35"/>
        <v>13</v>
      </c>
      <c r="GM43" s="282">
        <f t="shared" si="35"/>
        <v>13</v>
      </c>
      <c r="GN43" s="282">
        <f t="shared" si="35"/>
        <v>13</v>
      </c>
      <c r="GO43" s="282">
        <f t="shared" si="35"/>
        <v>13</v>
      </c>
      <c r="GP43" s="282">
        <f t="shared" si="35"/>
        <v>13</v>
      </c>
      <c r="GQ43" s="282">
        <f t="shared" si="35"/>
        <v>13</v>
      </c>
      <c r="GR43" s="282">
        <f t="shared" si="35"/>
        <v>13</v>
      </c>
      <c r="GS43" s="282">
        <f t="shared" si="35"/>
        <v>12</v>
      </c>
      <c r="GT43" s="283">
        <f t="shared" si="30"/>
        <v>39</v>
      </c>
    </row>
    <row r="44" spans="1:202" s="182" customFormat="1">
      <c r="A44" s="234" t="s">
        <v>622</v>
      </c>
      <c r="B44" s="235"/>
      <c r="C44" s="235"/>
      <c r="D44" s="235"/>
      <c r="E44" s="236"/>
      <c r="F44" s="236"/>
      <c r="G44" s="236"/>
      <c r="H44" s="236"/>
      <c r="I44" s="236">
        <f t="shared" ref="I44:AN44" si="36">SUM(I39:I43)+SUM(I8:I15)</f>
        <v>0</v>
      </c>
      <c r="J44" s="236">
        <f t="shared" si="36"/>
        <v>0</v>
      </c>
      <c r="K44" s="236">
        <f t="shared" si="36"/>
        <v>0</v>
      </c>
      <c r="L44" s="236">
        <f t="shared" si="36"/>
        <v>0</v>
      </c>
      <c r="M44" s="236">
        <f t="shared" si="36"/>
        <v>0</v>
      </c>
      <c r="N44" s="236">
        <f t="shared" si="36"/>
        <v>0</v>
      </c>
      <c r="O44" s="236">
        <f t="shared" si="36"/>
        <v>0</v>
      </c>
      <c r="P44" s="236">
        <f t="shared" si="36"/>
        <v>0</v>
      </c>
      <c r="Q44" s="236">
        <f t="shared" si="36"/>
        <v>0</v>
      </c>
      <c r="R44" s="236">
        <f t="shared" si="36"/>
        <v>0</v>
      </c>
      <c r="S44" s="236">
        <f t="shared" si="36"/>
        <v>0</v>
      </c>
      <c r="T44" s="236">
        <f t="shared" si="36"/>
        <v>0</v>
      </c>
      <c r="U44" s="236">
        <f t="shared" si="36"/>
        <v>0</v>
      </c>
      <c r="V44" s="236">
        <f t="shared" si="36"/>
        <v>0</v>
      </c>
      <c r="W44" s="236">
        <f t="shared" si="36"/>
        <v>0</v>
      </c>
      <c r="X44" s="236">
        <f t="shared" si="36"/>
        <v>0</v>
      </c>
      <c r="Y44" s="236">
        <f t="shared" si="36"/>
        <v>0</v>
      </c>
      <c r="Z44" s="236">
        <f t="shared" si="36"/>
        <v>0</v>
      </c>
      <c r="AA44" s="236">
        <f t="shared" si="36"/>
        <v>0</v>
      </c>
      <c r="AB44" s="236">
        <f t="shared" si="36"/>
        <v>0</v>
      </c>
      <c r="AC44" s="236">
        <f t="shared" si="36"/>
        <v>0</v>
      </c>
      <c r="AD44" s="236">
        <f t="shared" si="36"/>
        <v>0</v>
      </c>
      <c r="AE44" s="236">
        <f t="shared" si="36"/>
        <v>0</v>
      </c>
      <c r="AF44" s="236">
        <f t="shared" si="36"/>
        <v>0</v>
      </c>
      <c r="AG44" s="236">
        <f t="shared" si="36"/>
        <v>0</v>
      </c>
      <c r="AH44" s="236">
        <f t="shared" si="36"/>
        <v>0</v>
      </c>
      <c r="AI44" s="236">
        <f t="shared" si="36"/>
        <v>0</v>
      </c>
      <c r="AJ44" s="236">
        <f t="shared" si="36"/>
        <v>0</v>
      </c>
      <c r="AK44" s="236">
        <f t="shared" si="36"/>
        <v>0</v>
      </c>
      <c r="AL44" s="236">
        <f t="shared" si="36"/>
        <v>0</v>
      </c>
      <c r="AM44" s="236">
        <f t="shared" si="36"/>
        <v>0</v>
      </c>
      <c r="AN44" s="236">
        <f t="shared" si="36"/>
        <v>0</v>
      </c>
      <c r="AO44" s="236">
        <f t="shared" ref="AO44:BT44" si="37">SUM(AO39:AO43)+SUM(AO8:AO15)</f>
        <v>0</v>
      </c>
      <c r="AP44" s="236">
        <f t="shared" si="37"/>
        <v>0</v>
      </c>
      <c r="AQ44" s="236">
        <f t="shared" si="37"/>
        <v>0</v>
      </c>
      <c r="AR44" s="236">
        <f t="shared" si="37"/>
        <v>0</v>
      </c>
      <c r="AS44" s="236">
        <f t="shared" si="37"/>
        <v>22</v>
      </c>
      <c r="AT44" s="236">
        <f t="shared" si="37"/>
        <v>22</v>
      </c>
      <c r="AU44" s="236">
        <f t="shared" si="37"/>
        <v>22</v>
      </c>
      <c r="AV44" s="236">
        <f t="shared" si="37"/>
        <v>22</v>
      </c>
      <c r="AW44" s="236">
        <f t="shared" si="37"/>
        <v>27</v>
      </c>
      <c r="AX44" s="236">
        <f t="shared" si="37"/>
        <v>27</v>
      </c>
      <c r="AY44" s="236">
        <f t="shared" si="37"/>
        <v>27</v>
      </c>
      <c r="AZ44" s="236">
        <f t="shared" si="37"/>
        <v>27</v>
      </c>
      <c r="BA44" s="236">
        <f t="shared" si="37"/>
        <v>27</v>
      </c>
      <c r="BB44" s="236">
        <f t="shared" si="37"/>
        <v>22</v>
      </c>
      <c r="BC44" s="236">
        <f t="shared" si="37"/>
        <v>22</v>
      </c>
      <c r="BD44" s="236">
        <f t="shared" si="37"/>
        <v>22</v>
      </c>
      <c r="BE44" s="236">
        <f t="shared" si="37"/>
        <v>32</v>
      </c>
      <c r="BF44" s="236">
        <f t="shared" si="37"/>
        <v>32</v>
      </c>
      <c r="BG44" s="236">
        <f t="shared" si="37"/>
        <v>32</v>
      </c>
      <c r="BH44" s="236">
        <f t="shared" si="37"/>
        <v>32</v>
      </c>
      <c r="BI44" s="236">
        <f t="shared" si="37"/>
        <v>37</v>
      </c>
      <c r="BJ44" s="236">
        <f t="shared" si="37"/>
        <v>37</v>
      </c>
      <c r="BK44" s="236">
        <f t="shared" si="37"/>
        <v>37</v>
      </c>
      <c r="BL44" s="236">
        <f t="shared" si="37"/>
        <v>37</v>
      </c>
      <c r="BM44" s="236">
        <f t="shared" si="37"/>
        <v>37</v>
      </c>
      <c r="BN44" s="236">
        <f t="shared" si="37"/>
        <v>32</v>
      </c>
      <c r="BO44" s="236">
        <f t="shared" si="37"/>
        <v>32</v>
      </c>
      <c r="BP44" s="236">
        <f t="shared" si="37"/>
        <v>32</v>
      </c>
      <c r="BQ44" s="236">
        <f t="shared" si="37"/>
        <v>42</v>
      </c>
      <c r="BR44" s="236">
        <f t="shared" si="37"/>
        <v>42</v>
      </c>
      <c r="BS44" s="236">
        <f t="shared" si="37"/>
        <v>42</v>
      </c>
      <c r="BT44" s="236">
        <f t="shared" si="37"/>
        <v>42</v>
      </c>
      <c r="BU44" s="236">
        <f t="shared" ref="BU44:EF44" si="38">SUM(BU39:BU43)+SUM(BU8:BU15)</f>
        <v>47</v>
      </c>
      <c r="BV44" s="236">
        <f t="shared" si="38"/>
        <v>47</v>
      </c>
      <c r="BW44" s="236">
        <f t="shared" si="38"/>
        <v>47</v>
      </c>
      <c r="BX44" s="236">
        <f t="shared" si="38"/>
        <v>47</v>
      </c>
      <c r="BY44" s="236">
        <f t="shared" si="38"/>
        <v>47</v>
      </c>
      <c r="BZ44" s="236">
        <f t="shared" si="38"/>
        <v>42</v>
      </c>
      <c r="CA44" s="236">
        <f t="shared" si="38"/>
        <v>42</v>
      </c>
      <c r="CB44" s="236">
        <f t="shared" si="38"/>
        <v>42</v>
      </c>
      <c r="CC44" s="236">
        <f t="shared" si="38"/>
        <v>42</v>
      </c>
      <c r="CD44" s="236">
        <f t="shared" si="38"/>
        <v>42</v>
      </c>
      <c r="CE44" s="236">
        <f t="shared" si="38"/>
        <v>42</v>
      </c>
      <c r="CF44" s="236">
        <f t="shared" si="38"/>
        <v>42</v>
      </c>
      <c r="CG44" s="236">
        <f t="shared" si="38"/>
        <v>47</v>
      </c>
      <c r="CH44" s="236">
        <f t="shared" si="38"/>
        <v>47</v>
      </c>
      <c r="CI44" s="236">
        <f t="shared" si="38"/>
        <v>47</v>
      </c>
      <c r="CJ44" s="236">
        <f t="shared" si="38"/>
        <v>47</v>
      </c>
      <c r="CK44" s="236">
        <f t="shared" si="38"/>
        <v>47</v>
      </c>
      <c r="CL44" s="236">
        <f t="shared" si="38"/>
        <v>42</v>
      </c>
      <c r="CM44" s="236">
        <f t="shared" si="38"/>
        <v>42</v>
      </c>
      <c r="CN44" s="236">
        <f t="shared" si="38"/>
        <v>42</v>
      </c>
      <c r="CO44" s="236">
        <f t="shared" si="38"/>
        <v>42</v>
      </c>
      <c r="CP44" s="236">
        <f t="shared" si="38"/>
        <v>42</v>
      </c>
      <c r="CQ44" s="236">
        <f t="shared" si="38"/>
        <v>42</v>
      </c>
      <c r="CR44" s="236">
        <f t="shared" si="38"/>
        <v>42</v>
      </c>
      <c r="CS44" s="236">
        <f t="shared" si="38"/>
        <v>47</v>
      </c>
      <c r="CT44" s="236">
        <f t="shared" si="38"/>
        <v>47</v>
      </c>
      <c r="CU44" s="236">
        <f t="shared" si="38"/>
        <v>47</v>
      </c>
      <c r="CV44" s="236">
        <f t="shared" si="38"/>
        <v>47</v>
      </c>
      <c r="CW44" s="236">
        <f t="shared" si="38"/>
        <v>47</v>
      </c>
      <c r="CX44" s="236">
        <f t="shared" si="38"/>
        <v>42</v>
      </c>
      <c r="CY44" s="236">
        <f t="shared" si="38"/>
        <v>42</v>
      </c>
      <c r="CZ44" s="236">
        <f t="shared" si="38"/>
        <v>42</v>
      </c>
      <c r="DA44" s="236">
        <f t="shared" si="38"/>
        <v>42</v>
      </c>
      <c r="DB44" s="236">
        <f t="shared" si="38"/>
        <v>42</v>
      </c>
      <c r="DC44" s="236">
        <f t="shared" si="38"/>
        <v>42</v>
      </c>
      <c r="DD44" s="236">
        <f t="shared" si="38"/>
        <v>42</v>
      </c>
      <c r="DE44" s="236">
        <f t="shared" si="38"/>
        <v>47</v>
      </c>
      <c r="DF44" s="236">
        <f t="shared" si="38"/>
        <v>47</v>
      </c>
      <c r="DG44" s="236">
        <f t="shared" si="38"/>
        <v>0</v>
      </c>
      <c r="DH44" s="236">
        <f t="shared" si="38"/>
        <v>0</v>
      </c>
      <c r="DI44" s="236">
        <f t="shared" si="38"/>
        <v>0</v>
      </c>
      <c r="DJ44" s="236">
        <f t="shared" si="38"/>
        <v>0</v>
      </c>
      <c r="DK44" s="236">
        <f t="shared" si="38"/>
        <v>0</v>
      </c>
      <c r="DL44" s="236">
        <f t="shared" si="38"/>
        <v>0</v>
      </c>
      <c r="DM44" s="236">
        <f t="shared" si="38"/>
        <v>0</v>
      </c>
      <c r="DN44" s="236">
        <f t="shared" si="38"/>
        <v>0</v>
      </c>
      <c r="DO44" s="236">
        <f t="shared" si="38"/>
        <v>0</v>
      </c>
      <c r="DP44" s="236">
        <f t="shared" si="38"/>
        <v>0</v>
      </c>
      <c r="DQ44" s="236">
        <f t="shared" si="38"/>
        <v>0</v>
      </c>
      <c r="DR44" s="236">
        <f t="shared" si="38"/>
        <v>0</v>
      </c>
      <c r="DS44" s="236">
        <f t="shared" si="38"/>
        <v>0</v>
      </c>
      <c r="DT44" s="236">
        <f t="shared" si="38"/>
        <v>0</v>
      </c>
      <c r="DU44" s="236">
        <f t="shared" si="38"/>
        <v>0</v>
      </c>
      <c r="DV44" s="236">
        <f t="shared" si="38"/>
        <v>0</v>
      </c>
      <c r="DW44" s="236">
        <f t="shared" si="38"/>
        <v>0</v>
      </c>
      <c r="DX44" s="236">
        <f t="shared" si="38"/>
        <v>0</v>
      </c>
      <c r="DY44" s="236">
        <f t="shared" si="38"/>
        <v>0</v>
      </c>
      <c r="DZ44" s="236">
        <f t="shared" si="38"/>
        <v>0</v>
      </c>
      <c r="EA44" s="236">
        <f t="shared" si="38"/>
        <v>0</v>
      </c>
      <c r="EB44" s="236">
        <f t="shared" si="38"/>
        <v>0</v>
      </c>
      <c r="EC44" s="236">
        <f t="shared" si="38"/>
        <v>0</v>
      </c>
      <c r="ED44" s="236">
        <f t="shared" si="38"/>
        <v>0</v>
      </c>
      <c r="EE44" s="236">
        <f t="shared" si="38"/>
        <v>0</v>
      </c>
      <c r="EF44" s="236">
        <f t="shared" si="38"/>
        <v>21</v>
      </c>
      <c r="EG44" s="236">
        <f t="shared" ref="EG44:GR44" si="39">SUM(EG39:EG43)+SUM(EG8:EG15)</f>
        <v>42</v>
      </c>
      <c r="EH44" s="236">
        <f t="shared" si="39"/>
        <v>63</v>
      </c>
      <c r="EI44" s="236">
        <f t="shared" si="39"/>
        <v>84</v>
      </c>
      <c r="EJ44" s="236">
        <f t="shared" si="39"/>
        <v>128</v>
      </c>
      <c r="EK44" s="236">
        <f t="shared" si="39"/>
        <v>150</v>
      </c>
      <c r="EL44" s="236">
        <f t="shared" si="39"/>
        <v>172</v>
      </c>
      <c r="EM44" s="236">
        <f t="shared" si="39"/>
        <v>194</v>
      </c>
      <c r="EN44" s="236">
        <f t="shared" si="39"/>
        <v>215</v>
      </c>
      <c r="EO44" s="236">
        <f t="shared" si="39"/>
        <v>236</v>
      </c>
      <c r="EP44" s="236">
        <f t="shared" si="39"/>
        <v>257</v>
      </c>
      <c r="EQ44" s="236">
        <f t="shared" si="39"/>
        <v>288</v>
      </c>
      <c r="ER44" s="236">
        <f t="shared" si="39"/>
        <v>223</v>
      </c>
      <c r="ES44" s="236">
        <f t="shared" si="39"/>
        <v>228</v>
      </c>
      <c r="ET44" s="236">
        <f t="shared" si="39"/>
        <v>233</v>
      </c>
      <c r="EU44" s="236">
        <f t="shared" si="39"/>
        <v>239</v>
      </c>
      <c r="EV44" s="236">
        <f t="shared" si="39"/>
        <v>244</v>
      </c>
      <c r="EW44" s="236">
        <f t="shared" si="39"/>
        <v>249</v>
      </c>
      <c r="EX44" s="236">
        <f t="shared" si="39"/>
        <v>254</v>
      </c>
      <c r="EY44" s="236">
        <f t="shared" si="39"/>
        <v>259</v>
      </c>
      <c r="EZ44" s="236">
        <f t="shared" si="39"/>
        <v>263</v>
      </c>
      <c r="FA44" s="236">
        <f t="shared" si="39"/>
        <v>268</v>
      </c>
      <c r="FB44" s="236">
        <f t="shared" si="39"/>
        <v>273</v>
      </c>
      <c r="FC44" s="236">
        <f t="shared" si="39"/>
        <v>283</v>
      </c>
      <c r="FD44" s="236">
        <f t="shared" si="39"/>
        <v>288</v>
      </c>
      <c r="FE44" s="236">
        <f t="shared" si="39"/>
        <v>293</v>
      </c>
      <c r="FF44" s="236">
        <f t="shared" si="39"/>
        <v>298</v>
      </c>
      <c r="FG44" s="236">
        <f t="shared" si="39"/>
        <v>304</v>
      </c>
      <c r="FH44" s="236">
        <f t="shared" si="39"/>
        <v>309</v>
      </c>
      <c r="FI44" s="236">
        <f t="shared" si="39"/>
        <v>314</v>
      </c>
      <c r="FJ44" s="236">
        <f t="shared" si="39"/>
        <v>319</v>
      </c>
      <c r="FK44" s="236">
        <f t="shared" si="39"/>
        <v>324</v>
      </c>
      <c r="FL44" s="236">
        <f t="shared" si="39"/>
        <v>328</v>
      </c>
      <c r="FM44" s="236">
        <f t="shared" si="39"/>
        <v>333</v>
      </c>
      <c r="FN44" s="236">
        <f t="shared" si="39"/>
        <v>338</v>
      </c>
      <c r="FO44" s="236">
        <f t="shared" si="39"/>
        <v>343</v>
      </c>
      <c r="FP44" s="236">
        <f t="shared" si="39"/>
        <v>343</v>
      </c>
      <c r="FQ44" s="236">
        <f t="shared" si="39"/>
        <v>343</v>
      </c>
      <c r="FR44" s="236">
        <f t="shared" si="39"/>
        <v>343</v>
      </c>
      <c r="FS44" s="236">
        <f t="shared" si="39"/>
        <v>344</v>
      </c>
      <c r="FT44" s="236">
        <f t="shared" si="39"/>
        <v>344</v>
      </c>
      <c r="FU44" s="236">
        <f t="shared" si="39"/>
        <v>344</v>
      </c>
      <c r="FV44" s="236">
        <f t="shared" si="39"/>
        <v>344</v>
      </c>
      <c r="FW44" s="236">
        <f t="shared" si="39"/>
        <v>344</v>
      </c>
      <c r="FX44" s="236">
        <f t="shared" si="39"/>
        <v>343</v>
      </c>
      <c r="FY44" s="236">
        <f t="shared" si="39"/>
        <v>343</v>
      </c>
      <c r="FZ44" s="236">
        <f t="shared" si="39"/>
        <v>343</v>
      </c>
      <c r="GA44" s="236">
        <f t="shared" si="39"/>
        <v>343</v>
      </c>
      <c r="GB44" s="236">
        <f t="shared" si="39"/>
        <v>343</v>
      </c>
      <c r="GC44" s="236">
        <f t="shared" si="39"/>
        <v>343</v>
      </c>
      <c r="GD44" s="236">
        <f t="shared" si="39"/>
        <v>343</v>
      </c>
      <c r="GE44" s="236">
        <f t="shared" si="39"/>
        <v>344</v>
      </c>
      <c r="GF44" s="236">
        <f t="shared" si="39"/>
        <v>344</v>
      </c>
      <c r="GG44" s="236">
        <f t="shared" si="39"/>
        <v>344</v>
      </c>
      <c r="GH44" s="236">
        <f t="shared" si="39"/>
        <v>344</v>
      </c>
      <c r="GI44" s="236">
        <f t="shared" si="39"/>
        <v>344</v>
      </c>
      <c r="GJ44" s="236">
        <f t="shared" si="39"/>
        <v>343</v>
      </c>
      <c r="GK44" s="236">
        <f t="shared" si="39"/>
        <v>343</v>
      </c>
      <c r="GL44" s="236">
        <f t="shared" si="39"/>
        <v>343</v>
      </c>
      <c r="GM44" s="236">
        <f t="shared" si="39"/>
        <v>343</v>
      </c>
      <c r="GN44" s="236">
        <f t="shared" si="39"/>
        <v>343</v>
      </c>
      <c r="GO44" s="236">
        <f t="shared" si="39"/>
        <v>343</v>
      </c>
      <c r="GP44" s="236">
        <f t="shared" si="39"/>
        <v>343</v>
      </c>
      <c r="GQ44" s="236">
        <f t="shared" si="39"/>
        <v>344</v>
      </c>
      <c r="GR44" s="236">
        <f t="shared" si="39"/>
        <v>344</v>
      </c>
      <c r="GS44" s="236">
        <f>SUM(GS39:GS43)+SUM(GS8:GS15)</f>
        <v>317</v>
      </c>
      <c r="GT44" s="236">
        <f>SUM(GT39:GT43)+SUM(GT8:GT15)</f>
        <v>1254</v>
      </c>
    </row>
    <row r="45" spans="1:202">
      <c r="A45" s="238"/>
      <c r="B45" s="239"/>
      <c r="C45" s="239"/>
      <c r="D45" s="239"/>
      <c r="E45" s="240"/>
      <c r="F45" s="240"/>
      <c r="G45" s="240"/>
      <c r="H45" s="240"/>
      <c r="I45" s="246"/>
      <c r="J45" s="246"/>
      <c r="K45" s="246"/>
      <c r="L45" s="246"/>
      <c r="M45" s="246"/>
      <c r="N45" s="247"/>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6"/>
      <c r="BT45" s="246"/>
      <c r="BU45" s="246"/>
      <c r="BV45" s="246"/>
      <c r="BW45" s="246"/>
      <c r="BX45" s="246"/>
      <c r="BY45" s="246"/>
      <c r="BZ45" s="246"/>
      <c r="CA45" s="246"/>
      <c r="CB45" s="246"/>
      <c r="CC45" s="246"/>
      <c r="CD45" s="246"/>
      <c r="CE45" s="246"/>
      <c r="CF45" s="246"/>
      <c r="CG45" s="246"/>
      <c r="CH45" s="246"/>
      <c r="CI45" s="246"/>
      <c r="CJ45" s="246"/>
      <c r="CK45" s="246"/>
      <c r="CL45" s="246"/>
      <c r="CM45" s="246"/>
      <c r="CN45" s="246"/>
      <c r="CO45" s="246"/>
      <c r="CP45" s="246"/>
      <c r="CQ45" s="246"/>
      <c r="CR45" s="246"/>
      <c r="CS45" s="246"/>
      <c r="CT45" s="246"/>
      <c r="CU45" s="246"/>
      <c r="CV45" s="246"/>
      <c r="CW45" s="246"/>
      <c r="CX45" s="246"/>
      <c r="CY45" s="246"/>
      <c r="CZ45" s="246"/>
      <c r="DA45" s="246"/>
      <c r="DB45" s="246"/>
      <c r="DC45" s="246"/>
      <c r="DD45" s="246"/>
      <c r="DE45" s="246"/>
      <c r="DF45" s="246"/>
      <c r="DG45" s="248"/>
      <c r="DH45" s="248"/>
      <c r="DI45" s="248"/>
      <c r="DJ45" s="249"/>
      <c r="DK45" s="248"/>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row>
    <row r="46" spans="1:202" s="250" customFormat="1" ht="8.25">
      <c r="A46" s="244" t="s">
        <v>623</v>
      </c>
      <c r="B46" s="245"/>
      <c r="C46" s="245"/>
      <c r="D46" s="245"/>
      <c r="E46" s="246"/>
      <c r="F46" s="246"/>
      <c r="G46" s="246"/>
      <c r="H46" s="246"/>
      <c r="I46" s="246"/>
      <c r="J46" s="246"/>
      <c r="K46" s="246"/>
      <c r="L46" s="246"/>
      <c r="M46" s="246"/>
      <c r="N46" s="247"/>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c r="BZ46" s="246"/>
      <c r="CA46" s="246"/>
      <c r="CB46" s="246"/>
      <c r="CC46" s="246"/>
      <c r="CD46" s="246"/>
      <c r="CE46" s="246"/>
      <c r="CF46" s="246"/>
      <c r="CG46" s="246"/>
      <c r="CH46" s="246"/>
      <c r="CI46" s="246"/>
      <c r="CJ46" s="246"/>
      <c r="CK46" s="246"/>
      <c r="CL46" s="246"/>
      <c r="CM46" s="246"/>
      <c r="CN46" s="246"/>
      <c r="CO46" s="246"/>
      <c r="CP46" s="246"/>
      <c r="CQ46" s="246"/>
      <c r="CR46" s="246"/>
      <c r="CS46" s="246"/>
      <c r="CT46" s="246"/>
      <c r="CU46" s="246"/>
      <c r="CV46" s="246"/>
      <c r="CW46" s="246"/>
      <c r="CX46" s="246"/>
      <c r="CY46" s="246"/>
      <c r="CZ46" s="246"/>
      <c r="DA46" s="246"/>
      <c r="DB46" s="246"/>
      <c r="DC46" s="246"/>
      <c r="DD46" s="246"/>
      <c r="DE46" s="246"/>
      <c r="DF46" s="246"/>
      <c r="DG46" s="248"/>
      <c r="DH46" s="248"/>
      <c r="DI46" s="248"/>
      <c r="DJ46" s="249"/>
      <c r="DK46" s="248"/>
    </row>
    <row r="47" spans="1:202" s="250" customFormat="1">
      <c r="A47" s="251" t="s">
        <v>624</v>
      </c>
      <c r="B47" s="245"/>
      <c r="C47" s="245"/>
      <c r="D47" s="245"/>
      <c r="E47" s="246"/>
      <c r="F47" s="246"/>
      <c r="G47" s="246"/>
      <c r="H47" s="246"/>
      <c r="I47" s="253"/>
      <c r="J47" s="253"/>
      <c r="K47" s="253"/>
      <c r="L47" s="253"/>
      <c r="M47" s="253"/>
      <c r="N47" s="254"/>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3"/>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193"/>
      <c r="DH47" s="193"/>
      <c r="DI47" s="193"/>
      <c r="DJ47" s="194" t="s">
        <v>626</v>
      </c>
      <c r="DK47" s="255" t="e">
        <f>MAX(#REF!)</f>
        <v>#REF!</v>
      </c>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c r="EO47" s="181"/>
      <c r="EP47" s="181"/>
      <c r="EQ47" s="181"/>
      <c r="ER47" s="181"/>
      <c r="ES47" s="181"/>
      <c r="ET47" s="181"/>
      <c r="EU47" s="181"/>
      <c r="EV47" s="181"/>
      <c r="EW47" s="181"/>
      <c r="EX47" s="181"/>
      <c r="EY47" s="181"/>
      <c r="EZ47" s="181"/>
      <c r="FA47" s="181"/>
      <c r="FB47" s="181"/>
      <c r="FC47" s="181"/>
      <c r="FD47" s="181"/>
      <c r="FE47" s="181"/>
      <c r="FF47" s="181"/>
      <c r="FG47" s="181"/>
      <c r="FH47" s="181"/>
      <c r="FI47" s="181"/>
      <c r="FJ47" s="181"/>
      <c r="FK47" s="181"/>
      <c r="FL47" s="181"/>
      <c r="FM47" s="181"/>
      <c r="FN47" s="181"/>
      <c r="FO47" s="181"/>
      <c r="FP47" s="181"/>
      <c r="FQ47" s="181"/>
      <c r="FR47" s="181"/>
      <c r="FS47" s="181"/>
      <c r="FT47" s="181"/>
      <c r="FU47" s="181"/>
      <c r="FV47" s="181"/>
      <c r="FW47" s="181"/>
      <c r="FX47" s="181"/>
      <c r="FY47" s="181"/>
      <c r="FZ47" s="181"/>
      <c r="GA47" s="181"/>
      <c r="GB47" s="181"/>
      <c r="GC47" s="181"/>
      <c r="GD47" s="181"/>
      <c r="GE47" s="181"/>
      <c r="GF47" s="181"/>
      <c r="GG47" s="181"/>
      <c r="GH47" s="181"/>
      <c r="GI47" s="181"/>
      <c r="GJ47" s="181"/>
      <c r="GK47" s="181"/>
      <c r="GL47" s="181"/>
      <c r="GM47" s="181"/>
      <c r="GN47" s="181"/>
      <c r="GO47" s="181"/>
      <c r="GP47" s="181"/>
      <c r="GQ47" s="181"/>
      <c r="GR47" s="181"/>
      <c r="GS47" s="181"/>
      <c r="GT47" s="181"/>
    </row>
    <row r="48" spans="1:202" ht="62.25" customHeight="1">
      <c r="A48" s="252" t="s">
        <v>625</v>
      </c>
      <c r="B48" s="253"/>
      <c r="E48" s="253"/>
      <c r="F48" s="253"/>
      <c r="G48" s="253"/>
      <c r="H48" s="253"/>
    </row>
    <row r="49" spans="1:4" ht="9" customHeight="1">
      <c r="A49" s="256" t="s">
        <v>627</v>
      </c>
      <c r="D49" s="257">
        <f>MAX(I44:DF44)</f>
        <v>47</v>
      </c>
    </row>
    <row r="50" spans="1:4" ht="9" customHeight="1">
      <c r="A50" s="258" t="s">
        <v>628</v>
      </c>
    </row>
  </sheetData>
  <mergeCells count="24">
    <mergeCell ref="B1:AV1"/>
    <mergeCell ref="B2:AV2"/>
    <mergeCell ref="B4:AV4"/>
    <mergeCell ref="A5:A7"/>
    <mergeCell ref="B5:B7"/>
    <mergeCell ref="C5:C7"/>
    <mergeCell ref="D5:D7"/>
    <mergeCell ref="E5:E7"/>
    <mergeCell ref="F5:F7"/>
    <mergeCell ref="G5:G7"/>
    <mergeCell ref="A37:AW37"/>
    <mergeCell ref="AX37:CT37"/>
    <mergeCell ref="CU37:EQ37"/>
    <mergeCell ref="H5:H7"/>
    <mergeCell ref="I5:AV5"/>
    <mergeCell ref="I6:N6"/>
    <mergeCell ref="O6:Z6"/>
    <mergeCell ref="AA6:AL6"/>
    <mergeCell ref="AM6:AX6"/>
    <mergeCell ref="AY6:BJ6"/>
    <mergeCell ref="BK6:BV6"/>
    <mergeCell ref="BW6:CH6"/>
    <mergeCell ref="CI6:CT6"/>
    <mergeCell ref="CU6:DF6"/>
  </mergeCells>
  <pageMargins left="0.17" right="0.17" top="1" bottom="1" header="0.5" footer="0.5"/>
  <pageSetup paperSize="3" scale="96" fitToWidth="3" orientation="landscape" r:id="rId1"/>
  <headerFooter alignWithMargins="0">
    <oddHeader>&amp;LAPP Proprietary&amp;CMobile Equipment Emission Sources&amp;R&amp;D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3" zoomScaleNormal="100" workbookViewId="0">
      <selection activeCell="I24" sqref="I24"/>
    </sheetView>
  </sheetViews>
  <sheetFormatPr defaultColWidth="9.140625" defaultRowHeight="12.75"/>
  <cols>
    <col min="1" max="1" width="28.7109375" style="190" customWidth="1"/>
    <col min="2" max="2" width="33.140625" style="190" bestFit="1" customWidth="1"/>
    <col min="3" max="3" width="12.140625" style="190" customWidth="1"/>
    <col min="4" max="4" width="13.85546875" style="190" customWidth="1"/>
    <col min="5" max="5" width="12.42578125" style="190" customWidth="1"/>
    <col min="6" max="6" width="12.5703125" style="190" customWidth="1"/>
    <col min="7" max="7" width="13.7109375" style="190" customWidth="1"/>
    <col min="8" max="16384" width="9.140625" style="190"/>
  </cols>
  <sheetData>
    <row r="1" spans="1:4" ht="14.25" customHeight="1"/>
    <row r="2" spans="1:4" s="287" customFormat="1" ht="38.25" customHeight="1">
      <c r="A2" s="286" t="s">
        <v>669</v>
      </c>
      <c r="B2" s="286" t="s">
        <v>670</v>
      </c>
      <c r="C2" s="286" t="s">
        <v>671</v>
      </c>
      <c r="D2" s="286" t="s">
        <v>672</v>
      </c>
    </row>
    <row r="3" spans="1:4" s="287" customFormat="1">
      <c r="A3" s="735" t="s">
        <v>673</v>
      </c>
      <c r="B3" s="288" t="s">
        <v>674</v>
      </c>
      <c r="C3" s="289">
        <f>'Onsite Opper. Eqt and Vehic'!I8*SUM('Onsite Opper. Eqt and Vehic'!CJ8:CU8)</f>
        <v>120</v>
      </c>
      <c r="D3" s="286">
        <f t="shared" ref="D3:D15" si="0">C3*$D$39</f>
        <v>1200</v>
      </c>
    </row>
    <row r="4" spans="1:4" s="287" customFormat="1">
      <c r="A4" s="736"/>
      <c r="B4" s="288" t="s">
        <v>610</v>
      </c>
      <c r="C4" s="289">
        <f>'Onsite Opper. Eqt and Vehic'!I9*SUM('Onsite Opper. Eqt and Vehic'!CJ9:CU9)</f>
        <v>1800</v>
      </c>
      <c r="D4" s="286">
        <f t="shared" si="0"/>
        <v>18000</v>
      </c>
    </row>
    <row r="5" spans="1:4" s="287" customFormat="1">
      <c r="A5" s="736"/>
      <c r="B5" s="288" t="s">
        <v>611</v>
      </c>
      <c r="C5" s="289">
        <f>'Onsite Opper. Eqt and Vehic'!I10*SUM('Onsite Opper. Eqt and Vehic'!CJ10:CU10)</f>
        <v>7488</v>
      </c>
      <c r="D5" s="286">
        <f t="shared" si="0"/>
        <v>74880</v>
      </c>
    </row>
    <row r="6" spans="1:4" s="287" customFormat="1">
      <c r="A6" s="736"/>
      <c r="B6" s="288" t="s">
        <v>612</v>
      </c>
      <c r="C6" s="289">
        <f>'Onsite Opper. Eqt and Vehic'!I11*SUM('Onsite Opper. Eqt and Vehic'!CJ11:CU11)</f>
        <v>120</v>
      </c>
      <c r="D6" s="286">
        <f t="shared" si="0"/>
        <v>1200</v>
      </c>
    </row>
    <row r="7" spans="1:4" s="287" customFormat="1" ht="25.5">
      <c r="A7" s="736"/>
      <c r="B7" s="288" t="s">
        <v>613</v>
      </c>
      <c r="C7" s="289">
        <f>'Onsite Opper. Eqt and Vehic'!I13*SUM('Onsite Opper. Eqt and Vehic'!CJ13:CU13)</f>
        <v>120</v>
      </c>
      <c r="D7" s="286">
        <f t="shared" si="0"/>
        <v>1200</v>
      </c>
    </row>
    <row r="8" spans="1:4" s="287" customFormat="1" ht="25.5">
      <c r="A8" s="736"/>
      <c r="B8" s="288" t="s">
        <v>614</v>
      </c>
      <c r="C8" s="289">
        <f>'Onsite Opper. Eqt and Vehic'!I14*SUM('Onsite Opper. Eqt and Vehic'!CJ14:CU14)</f>
        <v>120</v>
      </c>
      <c r="D8" s="286">
        <f t="shared" si="0"/>
        <v>1200</v>
      </c>
    </row>
    <row r="9" spans="1:4" s="287" customFormat="1">
      <c r="A9" s="736"/>
      <c r="B9" s="288" t="s">
        <v>615</v>
      </c>
      <c r="C9" s="289">
        <f>'Onsite Opper. Eqt and Vehic'!I15*SUM('Onsite Opper. Eqt and Vehic'!CJ15:CU15)</f>
        <v>0</v>
      </c>
      <c r="D9" s="286">
        <f t="shared" si="0"/>
        <v>0</v>
      </c>
    </row>
    <row r="10" spans="1:4" s="287" customFormat="1">
      <c r="A10" s="736"/>
      <c r="B10" s="290" t="s">
        <v>656</v>
      </c>
      <c r="C10" s="291">
        <f>'Mobile Eqt and Vehic'!H30*SUM('Mobile Eqt and Vehic'!CI30:CT30)</f>
        <v>4320</v>
      </c>
      <c r="D10" s="286">
        <f t="shared" si="0"/>
        <v>43200</v>
      </c>
    </row>
    <row r="11" spans="1:4" s="287" customFormat="1">
      <c r="A11" s="736"/>
      <c r="B11" s="290" t="s">
        <v>655</v>
      </c>
      <c r="C11" s="291">
        <f>'Mobile Eqt and Vehic'!H29*SUM('Mobile Eqt and Vehic'!CI29:CT29)</f>
        <v>1440</v>
      </c>
      <c r="D11" s="286">
        <f t="shared" si="0"/>
        <v>14400</v>
      </c>
    </row>
    <row r="12" spans="1:4" s="287" customFormat="1">
      <c r="A12" s="736"/>
      <c r="B12" s="288" t="s">
        <v>620</v>
      </c>
      <c r="C12" s="289">
        <f>'Onsite Opper. Eqt and Vehic'!I18*SUM('Onsite Opper. Eqt and Vehic'!CJ18:CU18)</f>
        <v>1800</v>
      </c>
      <c r="D12" s="286">
        <f t="shared" si="0"/>
        <v>18000</v>
      </c>
    </row>
    <row r="13" spans="1:4" s="287" customFormat="1">
      <c r="A13" s="736"/>
      <c r="B13" s="288" t="s">
        <v>621</v>
      </c>
      <c r="C13" s="289">
        <f>'Onsite Opper. Eqt and Vehic'!I19*SUM('Onsite Opper. Eqt and Vehic'!CJ19:CU19)</f>
        <v>120</v>
      </c>
      <c r="D13" s="286">
        <f t="shared" si="0"/>
        <v>1200</v>
      </c>
    </row>
    <row r="14" spans="1:4" s="287" customFormat="1" ht="25.5">
      <c r="A14" s="736"/>
      <c r="B14" s="290" t="s">
        <v>635</v>
      </c>
      <c r="C14" s="289">
        <f>'Mobile Eqt and Vehic'!H9*SUM('Mobile Eqt and Vehic'!CI9:CT9)</f>
        <v>6000</v>
      </c>
      <c r="D14" s="286">
        <f t="shared" si="0"/>
        <v>60000</v>
      </c>
    </row>
    <row r="15" spans="1:4" s="287" customFormat="1" ht="25.5">
      <c r="A15" s="737"/>
      <c r="B15" s="290" t="s">
        <v>662</v>
      </c>
      <c r="C15" s="289">
        <f>'Mobile Eqt and Vehic'!H36*SUM('Mobile Eqt and Vehic'!CI36:CT36)</f>
        <v>7200</v>
      </c>
      <c r="D15" s="286">
        <f t="shared" si="0"/>
        <v>72000</v>
      </c>
    </row>
    <row r="16" spans="1:4" s="287" customFormat="1">
      <c r="A16" s="735" t="s">
        <v>675</v>
      </c>
      <c r="B16" s="288" t="s">
        <v>619</v>
      </c>
      <c r="C16" s="289">
        <f>'Onsite Opper. Eqt and Vehic'!I17*SUM('Onsite Opper. Eqt and Vehic'!CJ17:CU17)</f>
        <v>240</v>
      </c>
      <c r="D16" s="286">
        <f>C16*$D$39</f>
        <v>2400</v>
      </c>
    </row>
    <row r="17" spans="1:7" s="287" customFormat="1">
      <c r="A17" s="736"/>
      <c r="B17" s="288" t="s">
        <v>668</v>
      </c>
      <c r="C17" s="289">
        <f>'Mobile Eqt and Vehic'!H43*SUM('Mobile Eqt and Vehic'!CI43:CT43)</f>
        <v>144</v>
      </c>
      <c r="D17" s="286">
        <f t="shared" ref="D17:D27" si="1">C17*$D$39</f>
        <v>1440</v>
      </c>
    </row>
    <row r="18" spans="1:7" s="287" customFormat="1">
      <c r="A18" s="736"/>
      <c r="B18" s="290" t="s">
        <v>657</v>
      </c>
      <c r="C18" s="289">
        <f>'Mobile Eqt and Vehic'!H31*SUM('Mobile Eqt and Vehic'!CI31:CT31)</f>
        <v>8640</v>
      </c>
      <c r="D18" s="286">
        <f t="shared" si="1"/>
        <v>86400</v>
      </c>
    </row>
    <row r="19" spans="1:7" s="287" customFormat="1" ht="25.5">
      <c r="A19" s="736"/>
      <c r="B19" s="290" t="s">
        <v>660</v>
      </c>
      <c r="C19" s="289">
        <f>'Mobile Eqt and Vehic'!H34*SUM('Mobile Eqt and Vehic'!CI34:CT34)</f>
        <v>3600</v>
      </c>
      <c r="D19" s="286">
        <f t="shared" si="1"/>
        <v>36000</v>
      </c>
    </row>
    <row r="20" spans="1:7" s="287" customFormat="1" ht="25.5">
      <c r="A20" s="736"/>
      <c r="B20" s="290" t="s">
        <v>661</v>
      </c>
      <c r="C20" s="289">
        <f>'Mobile Eqt and Vehic'!H35*SUM('Mobile Eqt and Vehic'!CI35:CT35)</f>
        <v>2160</v>
      </c>
      <c r="D20" s="286">
        <f t="shared" si="1"/>
        <v>21600</v>
      </c>
    </row>
    <row r="21" spans="1:7" s="287" customFormat="1" ht="25.5">
      <c r="A21" s="737"/>
      <c r="B21" s="290" t="s">
        <v>649</v>
      </c>
      <c r="C21" s="292">
        <f>'Mobile Eqt and Vehic'!H22*SUM('Mobile Eqt and Vehic'!CI22:CT22)</f>
        <v>4320</v>
      </c>
      <c r="D21" s="286">
        <f t="shared" si="1"/>
        <v>43200</v>
      </c>
    </row>
    <row r="22" spans="1:7" s="287" customFormat="1" ht="25.5">
      <c r="A22" s="735" t="s">
        <v>676</v>
      </c>
      <c r="B22" s="288" t="s">
        <v>663</v>
      </c>
      <c r="C22" s="289">
        <f>'Mobile Eqt and Vehic'!H38*SUM('Mobile Eqt and Vehic'!CI38:CT38)</f>
        <v>8640</v>
      </c>
      <c r="D22" s="286">
        <f t="shared" si="1"/>
        <v>86400</v>
      </c>
    </row>
    <row r="23" spans="1:7" s="287" customFormat="1" ht="25.5">
      <c r="A23" s="737"/>
      <c r="B23" s="288" t="s">
        <v>664</v>
      </c>
      <c r="C23" s="289">
        <f>'Mobile Eqt and Vehic'!H39*SUM('Mobile Eqt and Vehic'!CI39:CT39)</f>
        <v>1440</v>
      </c>
      <c r="D23" s="286">
        <f t="shared" si="1"/>
        <v>14400</v>
      </c>
    </row>
    <row r="24" spans="1:7" s="287" customFormat="1">
      <c r="A24" s="735" t="s">
        <v>677</v>
      </c>
      <c r="B24" s="288" t="s">
        <v>443</v>
      </c>
      <c r="C24" s="289">
        <f>'Onsite Opper. Eqt and Vehic'!I12*SUM('Onsite Opper. Eqt and Vehic'!CJ12:CU12)</f>
        <v>240</v>
      </c>
      <c r="D24" s="286">
        <f t="shared" si="1"/>
        <v>2400</v>
      </c>
    </row>
    <row r="25" spans="1:7" s="287" customFormat="1" ht="25.5">
      <c r="A25" s="736"/>
      <c r="B25" s="288" t="s">
        <v>665</v>
      </c>
      <c r="C25" s="289">
        <f>'Mobile Eqt and Vehic'!H40*SUM('Mobile Eqt and Vehic'!CI40:CT40)</f>
        <v>8640</v>
      </c>
      <c r="D25" s="286">
        <f t="shared" si="1"/>
        <v>86400</v>
      </c>
    </row>
    <row r="26" spans="1:7" s="287" customFormat="1" ht="25.5">
      <c r="A26" s="736"/>
      <c r="B26" s="288" t="s">
        <v>666</v>
      </c>
      <c r="C26" s="289">
        <f>'Mobile Eqt and Vehic'!H41*SUM('Mobile Eqt and Vehic'!CI41:CT41)</f>
        <v>64800</v>
      </c>
      <c r="D26" s="286">
        <f t="shared" si="1"/>
        <v>648000</v>
      </c>
    </row>
    <row r="27" spans="1:7" s="287" customFormat="1" ht="25.5">
      <c r="A27" s="737"/>
      <c r="B27" s="288" t="s">
        <v>667</v>
      </c>
      <c r="C27" s="289">
        <f>'Mobile Eqt and Vehic'!H42*SUM('Mobile Eqt and Vehic'!CI42:CT42)</f>
        <v>64800</v>
      </c>
      <c r="D27" s="286">
        <f t="shared" si="1"/>
        <v>648000</v>
      </c>
    </row>
    <row r="28" spans="1:7" s="287" customFormat="1">
      <c r="A28" s="571"/>
      <c r="C28" s="575" t="s">
        <v>1004</v>
      </c>
      <c r="D28" s="293">
        <f>SUM(D3:D27)</f>
        <v>1983120</v>
      </c>
    </row>
    <row r="29" spans="1:7" s="287" customFormat="1">
      <c r="A29" s="571"/>
      <c r="C29" s="574" t="s">
        <v>1005</v>
      </c>
      <c r="D29" s="293">
        <f>D28/D40</f>
        <v>396624</v>
      </c>
    </row>
    <row r="30" spans="1:7" s="287" customFormat="1">
      <c r="A30" s="571"/>
      <c r="C30" s="575" t="s">
        <v>989</v>
      </c>
      <c r="D30" s="293">
        <f>D29*D41/8760</f>
        <v>6.5310267675008236</v>
      </c>
    </row>
    <row r="31" spans="1:7" s="287" customFormat="1">
      <c r="A31" s="293"/>
      <c r="B31" s="294"/>
      <c r="C31" s="295"/>
      <c r="D31" s="296"/>
      <c r="E31" s="296"/>
      <c r="F31" s="293"/>
      <c r="G31" s="293"/>
    </row>
    <row r="32" spans="1:7" s="287" customFormat="1">
      <c r="A32" s="297"/>
      <c r="B32" s="298" t="s">
        <v>44</v>
      </c>
      <c r="C32" s="297"/>
      <c r="D32" s="297"/>
      <c r="E32" s="297"/>
      <c r="F32" s="297"/>
      <c r="G32" s="297"/>
    </row>
    <row r="33" spans="1:7" s="287" customFormat="1">
      <c r="A33" s="297"/>
      <c r="B33" s="570" t="s">
        <v>1009</v>
      </c>
      <c r="C33" s="297"/>
      <c r="D33" s="297"/>
      <c r="E33" s="297"/>
      <c r="F33" s="297"/>
      <c r="G33" s="297"/>
    </row>
    <row r="34" spans="1:7" s="287" customFormat="1">
      <c r="A34" s="297"/>
      <c r="B34" s="299" t="s">
        <v>678</v>
      </c>
      <c r="C34" s="297"/>
      <c r="D34" s="297"/>
      <c r="E34" s="297"/>
      <c r="F34" s="297"/>
      <c r="G34" s="297"/>
    </row>
    <row r="35" spans="1:7" s="287" customFormat="1">
      <c r="A35" s="297"/>
      <c r="B35" s="299" t="s">
        <v>679</v>
      </c>
      <c r="C35" s="297"/>
      <c r="D35" s="297"/>
      <c r="E35" s="297"/>
      <c r="F35" s="297"/>
      <c r="G35" s="297"/>
    </row>
    <row r="36" spans="1:7" s="287" customFormat="1">
      <c r="A36" s="297"/>
      <c r="B36" s="570" t="s">
        <v>1008</v>
      </c>
      <c r="C36" s="297"/>
      <c r="D36" s="297"/>
      <c r="E36" s="297"/>
      <c r="F36" s="297"/>
      <c r="G36" s="297"/>
    </row>
    <row r="37" spans="1:7" s="287" customFormat="1">
      <c r="A37" s="297"/>
      <c r="D37" s="297"/>
      <c r="E37" s="297"/>
      <c r="F37" s="297"/>
      <c r="G37" s="297"/>
    </row>
    <row r="38" spans="1:7" s="287" customFormat="1">
      <c r="A38" s="297"/>
      <c r="B38" s="566"/>
      <c r="C38" s="572"/>
      <c r="D38" s="297"/>
      <c r="E38" s="297"/>
      <c r="F38" s="297"/>
      <c r="G38" s="297"/>
    </row>
    <row r="39" spans="1:7">
      <c r="A39" s="300"/>
      <c r="B39" s="260"/>
      <c r="C39" s="301" t="s">
        <v>680</v>
      </c>
      <c r="D39" s="302">
        <v>10</v>
      </c>
      <c r="E39" s="303" t="s">
        <v>681</v>
      </c>
      <c r="F39" s="304"/>
      <c r="G39" s="300"/>
    </row>
    <row r="40" spans="1:7">
      <c r="A40" s="300"/>
      <c r="B40" s="260"/>
      <c r="C40" s="301" t="s">
        <v>1006</v>
      </c>
      <c r="D40" s="302">
        <v>5</v>
      </c>
      <c r="E40" s="303" t="s">
        <v>1003</v>
      </c>
      <c r="F40" s="304"/>
      <c r="G40" s="300"/>
    </row>
    <row r="41" spans="1:7">
      <c r="C41" s="301" t="s">
        <v>1007</v>
      </c>
      <c r="D41" s="302">
        <v>0.14424693030000002</v>
      </c>
      <c r="E41" s="573" t="s">
        <v>58</v>
      </c>
    </row>
    <row r="42" spans="1:7">
      <c r="A42" s="300"/>
      <c r="B42" s="260"/>
      <c r="C42" s="260"/>
      <c r="D42" s="260"/>
      <c r="E42" s="260"/>
      <c r="F42" s="260"/>
      <c r="G42" s="260"/>
    </row>
    <row r="43" spans="1:7">
      <c r="A43" s="300"/>
      <c r="B43" s="260"/>
      <c r="C43" s="260"/>
      <c r="D43" s="260"/>
      <c r="E43" s="304"/>
      <c r="F43" s="304"/>
      <c r="G43" s="300"/>
    </row>
  </sheetData>
  <mergeCells count="4">
    <mergeCell ref="A3:A15"/>
    <mergeCell ref="A16:A21"/>
    <mergeCell ref="A22:A23"/>
    <mergeCell ref="A24:A2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zoomScaleNormal="100" zoomScaleSheetLayoutView="100" workbookViewId="0">
      <pane xSplit="2" topLeftCell="C1" activePane="topRight" state="frozen"/>
      <selection activeCell="A3" sqref="A3:A15"/>
      <selection pane="topRight" activeCell="L9" sqref="L9:L11"/>
    </sheetView>
  </sheetViews>
  <sheetFormatPr defaultColWidth="9.140625" defaultRowHeight="12.75"/>
  <cols>
    <col min="1" max="1" width="28.140625" style="311" customWidth="1"/>
    <col min="2" max="2" width="25.28515625" style="310" customWidth="1"/>
    <col min="3" max="3" width="12.5703125" style="190" customWidth="1"/>
    <col min="4" max="13" width="9.7109375" style="190" customWidth="1"/>
    <col min="14" max="24" width="9.42578125" style="190" customWidth="1"/>
    <col min="25" max="16384" width="9.140625" style="190"/>
  </cols>
  <sheetData>
    <row r="1" spans="1:25" s="309" customFormat="1" ht="18.75">
      <c r="A1" s="180"/>
      <c r="B1" s="305"/>
      <c r="C1" s="306"/>
      <c r="D1" s="307"/>
      <c r="E1" s="307"/>
      <c r="F1" s="307"/>
      <c r="G1" s="307"/>
      <c r="H1" s="307"/>
      <c r="I1" s="307"/>
      <c r="J1" s="307"/>
      <c r="K1" s="307"/>
      <c r="L1" s="307"/>
      <c r="M1" s="308"/>
      <c r="N1" s="306"/>
    </row>
    <row r="2" spans="1:25">
      <c r="A2" s="305" t="s">
        <v>682</v>
      </c>
    </row>
    <row r="3" spans="1:25">
      <c r="B3" s="312"/>
    </row>
    <row r="4" spans="1:25" s="307" customFormat="1" ht="12.75" customHeight="1">
      <c r="A4" s="738" t="s">
        <v>683</v>
      </c>
      <c r="B4" s="738" t="s">
        <v>684</v>
      </c>
      <c r="C4" s="740" t="s">
        <v>685</v>
      </c>
      <c r="D4" s="740"/>
      <c r="E4" s="740"/>
      <c r="F4" s="740"/>
      <c r="G4" s="740"/>
      <c r="H4" s="740"/>
      <c r="I4" s="740"/>
      <c r="J4" s="740"/>
      <c r="K4" s="740"/>
      <c r="L4" s="740"/>
      <c r="M4" s="740"/>
      <c r="N4" s="740" t="s">
        <v>686</v>
      </c>
      <c r="O4" s="740"/>
      <c r="P4" s="740"/>
      <c r="Q4" s="740"/>
      <c r="R4" s="740"/>
      <c r="S4" s="740"/>
      <c r="T4" s="740"/>
      <c r="U4" s="740"/>
      <c r="V4" s="740"/>
      <c r="W4" s="740"/>
      <c r="X4" s="740"/>
    </row>
    <row r="5" spans="1:25" s="307" customFormat="1" ht="14.25">
      <c r="A5" s="738"/>
      <c r="B5" s="738"/>
      <c r="C5" s="740" t="s">
        <v>687</v>
      </c>
      <c r="D5" s="740"/>
      <c r="E5" s="740"/>
      <c r="F5" s="740"/>
      <c r="G5" s="740"/>
      <c r="H5" s="740"/>
      <c r="I5" s="740"/>
      <c r="J5" s="740"/>
      <c r="K5" s="740"/>
      <c r="L5" s="740"/>
      <c r="M5" s="740"/>
      <c r="N5" s="740"/>
      <c r="O5" s="740"/>
      <c r="P5" s="740"/>
      <c r="Q5" s="740"/>
      <c r="R5" s="740"/>
      <c r="S5" s="740"/>
      <c r="T5" s="740"/>
      <c r="U5" s="740"/>
      <c r="V5" s="740"/>
      <c r="W5" s="740"/>
      <c r="X5" s="740"/>
    </row>
    <row r="6" spans="1:25" s="307" customFormat="1" ht="15" thickBot="1">
      <c r="A6" s="739"/>
      <c r="B6" s="739"/>
      <c r="C6" s="313" t="s">
        <v>393</v>
      </c>
      <c r="D6" s="313" t="s">
        <v>298</v>
      </c>
      <c r="E6" s="313" t="s">
        <v>35</v>
      </c>
      <c r="F6" s="313" t="s">
        <v>688</v>
      </c>
      <c r="G6" s="313" t="s">
        <v>392</v>
      </c>
      <c r="H6" s="313" t="s">
        <v>391</v>
      </c>
      <c r="I6" s="313" t="s">
        <v>689</v>
      </c>
      <c r="J6" s="313" t="s">
        <v>690</v>
      </c>
      <c r="K6" s="313" t="s">
        <v>691</v>
      </c>
      <c r="L6" s="313" t="s">
        <v>692</v>
      </c>
      <c r="M6" s="313" t="s">
        <v>693</v>
      </c>
      <c r="N6" s="313" t="s">
        <v>393</v>
      </c>
      <c r="O6" s="313" t="s">
        <v>298</v>
      </c>
      <c r="P6" s="313" t="s">
        <v>35</v>
      </c>
      <c r="Q6" s="313" t="s">
        <v>688</v>
      </c>
      <c r="R6" s="313" t="s">
        <v>392</v>
      </c>
      <c r="S6" s="313" t="s">
        <v>391</v>
      </c>
      <c r="T6" s="313" t="s">
        <v>689</v>
      </c>
      <c r="U6" s="313" t="s">
        <v>690</v>
      </c>
      <c r="V6" s="313" t="s">
        <v>691</v>
      </c>
      <c r="W6" s="313" t="s">
        <v>692</v>
      </c>
      <c r="X6" s="313" t="s">
        <v>693</v>
      </c>
    </row>
    <row r="7" spans="1:25" ht="15">
      <c r="A7" s="314" t="s">
        <v>673</v>
      </c>
      <c r="B7" s="315">
        <f>SUM('Mobile Trip Assumptions'!$D$3:$D$15)</f>
        <v>306480</v>
      </c>
      <c r="C7" s="316">
        <v>0.38419900000000001</v>
      </c>
      <c r="D7" s="317">
        <v>3.2571453450000001</v>
      </c>
      <c r="E7" s="318">
        <v>1.2962576000000001</v>
      </c>
      <c r="F7" s="319">
        <v>1.3674E-2</v>
      </c>
      <c r="G7" s="320">
        <v>0.217058047</v>
      </c>
      <c r="H7" s="321">
        <v>0.18849283000000003</v>
      </c>
      <c r="I7" s="322">
        <v>1624.18</v>
      </c>
      <c r="J7" s="323">
        <v>0.1018125163</v>
      </c>
      <c r="K7" s="324">
        <v>4.1393999999999997E-3</v>
      </c>
      <c r="L7" s="325">
        <f>I7*1+J7*25+K7*298</f>
        <v>1627.9588541075</v>
      </c>
      <c r="M7" s="326">
        <v>7.0461388799999997E-2</v>
      </c>
      <c r="N7" s="327">
        <f>+$C7*$B7/453.59/2000</f>
        <v>0.12979707392138279</v>
      </c>
      <c r="O7" s="327">
        <f>+$D7*$B7/453.59/2000</f>
        <v>1.1003879112586257</v>
      </c>
      <c r="P7" s="327">
        <f>+$E7*$B7/453.59/2000</f>
        <v>0.43792525105050828</v>
      </c>
      <c r="Q7" s="327">
        <f>+$F7*$B7/453.59/2000</f>
        <v>4.6195986684009795E-3</v>
      </c>
      <c r="R7" s="327">
        <f>+$G7*$B7/453.59/2000</f>
        <v>7.3330485950483928E-2</v>
      </c>
      <c r="S7" s="327">
        <f>+$H7*$B7/453.59/2000</f>
        <v>6.368006629158493E-2</v>
      </c>
      <c r="T7" s="327">
        <f>+$I7*$B7/453.59/2000</f>
        <v>548.70994334090267</v>
      </c>
      <c r="U7" s="327">
        <f>+$J7*$B7/453.59/2000</f>
        <v>3.4396150703966143E-2</v>
      </c>
      <c r="V7" s="327">
        <f>+$K7*$B7/453.59/2000</f>
        <v>1.3984471791706166E-3</v>
      </c>
      <c r="W7" s="327">
        <f>+$L7*$B7/453.59/2000</f>
        <v>549.98658436789458</v>
      </c>
      <c r="X7" s="327">
        <f>+$M7*$B7/453.59/2000</f>
        <v>2.3804544235349105E-2</v>
      </c>
    </row>
    <row r="8" spans="1:25" ht="15">
      <c r="A8" s="328" t="s">
        <v>675</v>
      </c>
      <c r="B8" s="329">
        <f>SUM('Mobile Trip Assumptions'!$D$16:$D$21)</f>
        <v>191040</v>
      </c>
      <c r="C8" s="330">
        <v>7.8998399999999996E-2</v>
      </c>
      <c r="D8" s="331">
        <v>0.79598432374999994</v>
      </c>
      <c r="E8" s="332">
        <v>1.6420251100000001</v>
      </c>
      <c r="F8" s="333">
        <v>6.1158499999999999E-3</v>
      </c>
      <c r="G8" s="334">
        <v>4.0516691000000001E-2</v>
      </c>
      <c r="H8" s="335">
        <v>4.1121146099999999E-2</v>
      </c>
      <c r="I8" s="336">
        <v>729.51199999999994</v>
      </c>
      <c r="J8" s="337">
        <v>4.1814774400000004E-2</v>
      </c>
      <c r="K8" s="338">
        <v>3.40157E-3</v>
      </c>
      <c r="L8" s="339">
        <f>I8*1+J8*25+K8*298</f>
        <v>731.57103721999999</v>
      </c>
      <c r="M8" s="340">
        <v>2.0137358840000001E-2</v>
      </c>
      <c r="N8" s="341">
        <f>+$C8*$B8/453.59/2000</f>
        <v>1.6636008659802904E-2</v>
      </c>
      <c r="O8" s="341">
        <f>+$D8*$B8/453.59/2000</f>
        <v>0.16762367469432748</v>
      </c>
      <c r="P8" s="341">
        <f>+$E8*$B8/453.59/2000</f>
        <v>0.3457885722948037</v>
      </c>
      <c r="Q8" s="341">
        <f>+$F8*$B8/453.59/2000</f>
        <v>1.2879163826363014E-3</v>
      </c>
      <c r="R8" s="341">
        <f>+$G8*$B8/453.59/2000</f>
        <v>8.5322743541965222E-3</v>
      </c>
      <c r="S8" s="341">
        <f>+$H8*$B8/453.59/2000</f>
        <v>8.6595645306818923E-3</v>
      </c>
      <c r="T8" s="341">
        <f>+$I8*$B8/453.59/2000</f>
        <v>153.62549050905002</v>
      </c>
      <c r="U8" s="341">
        <f>+$J8*$B8/453.59/2000</f>
        <v>8.8056333929054879E-3</v>
      </c>
      <c r="V8" s="341">
        <f>+$K8*$B8/453.59/2000</f>
        <v>7.163252417381336E-4</v>
      </c>
      <c r="W8" s="341">
        <f>+$L8*$B8/453.59/2000</f>
        <v>154.05909626591063</v>
      </c>
      <c r="X8" s="341">
        <f>+$M8*$B8/453.59/2000</f>
        <v>4.2406590012936795E-3</v>
      </c>
    </row>
    <row r="9" spans="1:25" ht="15">
      <c r="A9" s="328" t="s">
        <v>676</v>
      </c>
      <c r="B9" s="329">
        <f>SUM('Mobile Trip Assumptions'!$D$22:$D$23)</f>
        <v>100800</v>
      </c>
      <c r="C9" s="342">
        <v>0.59448299999999998</v>
      </c>
      <c r="D9" s="343">
        <v>5.7314484100000005</v>
      </c>
      <c r="E9" s="344">
        <v>1.8416581000000001</v>
      </c>
      <c r="F9" s="345">
        <v>1.9521400000000001E-2</v>
      </c>
      <c r="G9" s="346">
        <v>0.43990734999999997</v>
      </c>
      <c r="H9" s="347">
        <v>0.26923965999999999</v>
      </c>
      <c r="I9" s="348">
        <v>2310.04</v>
      </c>
      <c r="J9" s="349">
        <v>9.7527388899999998E-2</v>
      </c>
      <c r="K9" s="350">
        <v>3.3102100000000001E-3</v>
      </c>
      <c r="L9" s="339">
        <f t="shared" ref="L9:L10" si="0">I9*1+J9*25+K9*298</f>
        <v>2313.4646273025</v>
      </c>
      <c r="M9" s="351">
        <v>7.6486698099999986E-2</v>
      </c>
      <c r="N9" s="341">
        <f t="shared" ref="N9" si="1">+$C9*$B9/453.59/2000</f>
        <v>6.6055122908353359E-2</v>
      </c>
      <c r="O9" s="341">
        <f t="shared" ref="O9:O10" si="2">+$D9*$B9/453.59/2000</f>
        <v>0.63684164082982431</v>
      </c>
      <c r="P9" s="341">
        <f t="shared" ref="P9:P10" si="3">+$E9*$B9/453.59/2000</f>
        <v>0.2046331890914703</v>
      </c>
      <c r="Q9" s="341">
        <f t="shared" ref="Q9:Q10" si="4">+$F9*$B9/453.59/2000</f>
        <v>2.1690922639387997E-3</v>
      </c>
      <c r="R9" s="341">
        <f t="shared" ref="R9:R10" si="5">+$G9*$B9/453.59/2000</f>
        <v>4.8879672038625185E-2</v>
      </c>
      <c r="S9" s="341">
        <f t="shared" ref="S9:S10" si="6">+$H9*$B9/453.59/2000</f>
        <v>2.9916177305496151E-2</v>
      </c>
      <c r="T9" s="341">
        <f t="shared" ref="T9:T10" si="7">+$I9*$B9/453.59/2000</f>
        <v>256.67676977005669</v>
      </c>
      <c r="U9" s="341">
        <f t="shared" ref="U9:U10" si="8">+$J9*$B9/453.59/2000</f>
        <v>1.0836615446901387E-2</v>
      </c>
      <c r="V9" s="341">
        <f t="shared" ref="V9:V10" si="9">+$K9*$B9/453.59/2000</f>
        <v>3.6780921977997756E-4</v>
      </c>
      <c r="W9" s="341">
        <f t="shared" ref="W9:W10" si="10">+$L9*$B9/453.59/2000</f>
        <v>257.05729230372367</v>
      </c>
      <c r="X9" s="341">
        <f t="shared" ref="X9:X10" si="11">+$M9*$B9/453.59/2000</f>
        <v>8.4987093724288448E-3</v>
      </c>
      <c r="Y9" s="352"/>
    </row>
    <row r="10" spans="1:25" ht="15">
      <c r="A10" s="353" t="s">
        <v>677</v>
      </c>
      <c r="B10" s="329">
        <f>SUM('Mobile Trip Assumptions'!$D$24:$D$27)</f>
        <v>1384800</v>
      </c>
      <c r="C10" s="354">
        <v>7.8973000000000002E-2</v>
      </c>
      <c r="D10" s="355">
        <v>0.88712474774999994</v>
      </c>
      <c r="E10" s="356">
        <v>1.4870737199999999</v>
      </c>
      <c r="F10" s="357">
        <v>6.5898900000000002E-3</v>
      </c>
      <c r="G10" s="358">
        <v>4.0966238000000002E-2</v>
      </c>
      <c r="H10" s="359">
        <v>4.3718419299999992E-2</v>
      </c>
      <c r="I10" s="360">
        <v>786.54399999999998</v>
      </c>
      <c r="J10" s="361">
        <v>4.8026548799999999E-2</v>
      </c>
      <c r="K10" s="362">
        <v>4.1167299999999999E-3</v>
      </c>
      <c r="L10" s="339">
        <f t="shared" si="0"/>
        <v>788.97144925999999</v>
      </c>
      <c r="M10" s="363">
        <v>2.1825532060000003E-2</v>
      </c>
      <c r="N10" s="341">
        <f>+$C10*$B10/453.59/2000</f>
        <v>0.12055139046275272</v>
      </c>
      <c r="O10" s="341">
        <f t="shared" si="2"/>
        <v>1.3541858844818007</v>
      </c>
      <c r="P10" s="341">
        <f t="shared" si="3"/>
        <v>2.270001198721312</v>
      </c>
      <c r="Q10" s="341">
        <f t="shared" si="4"/>
        <v>1.0059392482197581E-2</v>
      </c>
      <c r="R10" s="341">
        <f t="shared" si="5"/>
        <v>6.2534498536563871E-2</v>
      </c>
      <c r="S10" s="341">
        <f t="shared" si="6"/>
        <v>6.6735672134129925E-2</v>
      </c>
      <c r="T10" s="341">
        <f t="shared" si="7"/>
        <v>1200.6505116955843</v>
      </c>
      <c r="U10" s="341">
        <f t="shared" si="8"/>
        <v>7.3311983044423365E-2</v>
      </c>
      <c r="V10" s="341">
        <f t="shared" si="9"/>
        <v>6.284141740338191E-3</v>
      </c>
      <c r="W10" s="341">
        <f t="shared" si="10"/>
        <v>1204.3559855103156</v>
      </c>
      <c r="X10" s="341">
        <f t="shared" si="11"/>
        <v>3.3316427607187116E-2</v>
      </c>
      <c r="Y10" s="352"/>
    </row>
    <row r="11" spans="1:25">
      <c r="A11" s="364"/>
      <c r="B11" s="365"/>
      <c r="C11" s="366"/>
      <c r="D11" s="367"/>
      <c r="E11" s="367"/>
      <c r="F11" s="367"/>
      <c r="G11" s="367"/>
      <c r="H11" s="367"/>
      <c r="I11" s="367"/>
      <c r="J11" s="367"/>
      <c r="K11" s="367"/>
      <c r="L11" s="589"/>
      <c r="M11" s="368" t="s">
        <v>694</v>
      </c>
      <c r="N11" s="369">
        <f>SUM(N7:N10)</f>
        <v>0.33303959595229177</v>
      </c>
      <c r="O11" s="369">
        <f t="shared" ref="O11:X11" si="12">SUM(O7:O10)</f>
        <v>3.2590391112645785</v>
      </c>
      <c r="P11" s="369">
        <f t="shared" si="12"/>
        <v>3.2583482111580944</v>
      </c>
      <c r="Q11" s="369">
        <f t="shared" si="12"/>
        <v>1.813599979717366E-2</v>
      </c>
      <c r="R11" s="369">
        <f t="shared" si="12"/>
        <v>0.1932769308798695</v>
      </c>
      <c r="S11" s="369">
        <f t="shared" si="12"/>
        <v>0.1689914802618929</v>
      </c>
      <c r="T11" s="369">
        <f t="shared" si="12"/>
        <v>2159.6627153155937</v>
      </c>
      <c r="U11" s="369">
        <f t="shared" si="12"/>
        <v>0.12735038258819636</v>
      </c>
      <c r="V11" s="369">
        <f t="shared" si="12"/>
        <v>8.7667233810269189E-3</v>
      </c>
      <c r="W11" s="369">
        <f t="shared" si="12"/>
        <v>2165.4589584478445</v>
      </c>
      <c r="X11" s="369">
        <f t="shared" si="12"/>
        <v>6.9860340216258754E-2</v>
      </c>
    </row>
    <row r="12" spans="1:25">
      <c r="B12" s="587"/>
      <c r="C12" s="370"/>
      <c r="D12" s="371"/>
      <c r="E12" s="371"/>
      <c r="F12" s="371"/>
      <c r="G12" s="371"/>
      <c r="H12" s="371"/>
      <c r="I12" s="371"/>
      <c r="J12" s="371"/>
      <c r="K12" s="371"/>
      <c r="L12" s="371"/>
      <c r="M12" s="371"/>
      <c r="N12" s="371"/>
    </row>
    <row r="13" spans="1:25">
      <c r="B13" s="374" t="s">
        <v>956</v>
      </c>
      <c r="C13" s="372"/>
      <c r="D13" s="372"/>
      <c r="E13" s="372"/>
      <c r="F13" s="372"/>
      <c r="G13" s="372"/>
      <c r="H13" s="372"/>
      <c r="I13" s="372"/>
      <c r="J13" s="372"/>
      <c r="K13" s="372"/>
      <c r="L13" s="372"/>
      <c r="M13" s="372"/>
      <c r="N13" s="372"/>
    </row>
    <row r="14" spans="1:25">
      <c r="B14" s="374" t="s">
        <v>954</v>
      </c>
      <c r="C14" s="373"/>
      <c r="D14" s="373"/>
      <c r="E14" s="373"/>
      <c r="F14" s="373"/>
      <c r="G14" s="373"/>
      <c r="H14" s="373"/>
      <c r="I14" s="373"/>
      <c r="J14" s="373"/>
      <c r="K14" s="373"/>
      <c r="L14" s="373"/>
      <c r="M14" s="373"/>
      <c r="N14" s="373"/>
    </row>
    <row r="15" spans="1:25">
      <c r="B15" s="374" t="s">
        <v>695</v>
      </c>
    </row>
    <row r="16" spans="1:25">
      <c r="B16" s="374" t="s">
        <v>696</v>
      </c>
    </row>
    <row r="17" spans="2:2">
      <c r="B17" s="588" t="s">
        <v>697</v>
      </c>
    </row>
    <row r="19" spans="2:2" ht="12.75" customHeight="1"/>
  </sheetData>
  <mergeCells count="5">
    <mergeCell ref="A4:A6"/>
    <mergeCell ref="B4:B6"/>
    <mergeCell ref="C4:M4"/>
    <mergeCell ref="N4:X5"/>
    <mergeCell ref="C5:M5"/>
  </mergeCells>
  <pageMargins left="0.7" right="0.7" top="0.75" bottom="0.75" header="0.3" footer="0.3"/>
  <pageSetup scale="46" orientation="portrait" r:id="rId1"/>
  <headerFooter>
    <oddHeader>&amp;LAECOM&amp;RB-&amp;P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8"/>
  <sheetViews>
    <sheetView zoomScaleSheetLayoutView="100" workbookViewId="0">
      <pane xSplit="1" ySplit="4" topLeftCell="B5" activePane="bottomRight" state="frozen"/>
      <selection activeCell="A3" sqref="A3:A15"/>
      <selection pane="topRight" activeCell="A3" sqref="A3:A15"/>
      <selection pane="bottomLeft" activeCell="A3" sqref="A3:A15"/>
      <selection pane="bottomRight" activeCell="F5" sqref="F5:AC24"/>
    </sheetView>
  </sheetViews>
  <sheetFormatPr defaultColWidth="9.140625" defaultRowHeight="12.75"/>
  <cols>
    <col min="1" max="1" width="32" style="375" customWidth="1"/>
    <col min="2" max="2" width="29.42578125" style="307" customWidth="1"/>
    <col min="3" max="3" width="14.85546875" style="306" customWidth="1"/>
    <col min="4" max="4" width="10.7109375" style="307" customWidth="1"/>
    <col min="5" max="6" width="10.85546875" style="307" customWidth="1"/>
    <col min="7" max="7" width="8.85546875" style="307" customWidth="1"/>
    <col min="8" max="8" width="10.140625" style="307" customWidth="1"/>
    <col min="9" max="11" width="8.42578125" style="309" customWidth="1"/>
    <col min="12" max="12" width="8" style="309" customWidth="1"/>
    <col min="13" max="16" width="6.7109375" style="309" customWidth="1"/>
    <col min="17" max="20" width="8" style="309" customWidth="1"/>
    <col min="21" max="24" width="12" style="309" customWidth="1"/>
    <col min="25" max="25" width="11.5703125" style="307" bestFit="1" customWidth="1"/>
    <col min="26" max="26" width="10.5703125" style="309" bestFit="1" customWidth="1"/>
    <col min="27" max="27" width="9.5703125" style="309" bestFit="1" customWidth="1"/>
    <col min="28" max="28" width="9.28515625" style="309" bestFit="1" customWidth="1"/>
    <col min="29" max="29" width="9.5703125" style="309" bestFit="1" customWidth="1"/>
    <col min="30" max="16384" width="9.140625" style="309"/>
  </cols>
  <sheetData>
    <row r="1" spans="1:29" ht="13.5" thickBot="1">
      <c r="A1" s="309"/>
      <c r="B1" s="305" t="s">
        <v>698</v>
      </c>
    </row>
    <row r="2" spans="1:29" ht="15" thickBot="1">
      <c r="H2" s="749" t="s">
        <v>699</v>
      </c>
      <c r="I2" s="741"/>
      <c r="J2" s="741"/>
      <c r="K2" s="742"/>
      <c r="Q2" s="756" t="s">
        <v>961</v>
      </c>
      <c r="R2" s="757"/>
      <c r="S2" s="757"/>
      <c r="T2" s="758"/>
      <c r="U2" s="749" t="s">
        <v>700</v>
      </c>
      <c r="V2" s="741"/>
      <c r="W2" s="741"/>
      <c r="X2" s="742"/>
      <c r="Z2" s="749" t="s">
        <v>701</v>
      </c>
      <c r="AA2" s="741"/>
      <c r="AB2" s="741"/>
      <c r="AC2" s="742"/>
    </row>
    <row r="3" spans="1:29" ht="14.25" customHeight="1">
      <c r="A3" s="752" t="s">
        <v>702</v>
      </c>
      <c r="B3" s="754" t="s">
        <v>703</v>
      </c>
      <c r="C3" s="752" t="s">
        <v>704</v>
      </c>
      <c r="D3" s="743" t="s">
        <v>705</v>
      </c>
      <c r="E3" s="747" t="s">
        <v>706</v>
      </c>
      <c r="F3" s="747" t="s">
        <v>985</v>
      </c>
      <c r="G3" s="752" t="s">
        <v>711</v>
      </c>
      <c r="H3" s="743" t="s">
        <v>298</v>
      </c>
      <c r="I3" s="743" t="s">
        <v>35</v>
      </c>
      <c r="J3" s="743" t="s">
        <v>707</v>
      </c>
      <c r="K3" s="743" t="s">
        <v>708</v>
      </c>
      <c r="L3" s="743" t="s">
        <v>709</v>
      </c>
      <c r="M3" s="521" t="s">
        <v>298</v>
      </c>
      <c r="N3" s="521" t="s">
        <v>35</v>
      </c>
      <c r="O3" s="521" t="s">
        <v>707</v>
      </c>
      <c r="P3" s="521" t="s">
        <v>708</v>
      </c>
      <c r="Q3" s="743" t="s">
        <v>298</v>
      </c>
      <c r="R3" s="743" t="s">
        <v>35</v>
      </c>
      <c r="S3" s="743" t="s">
        <v>707</v>
      </c>
      <c r="T3" s="743" t="s">
        <v>708</v>
      </c>
      <c r="U3" s="743" t="s">
        <v>298</v>
      </c>
      <c r="V3" s="743" t="s">
        <v>35</v>
      </c>
      <c r="W3" s="743" t="s">
        <v>970</v>
      </c>
      <c r="X3" s="743" t="s">
        <v>708</v>
      </c>
      <c r="Y3" s="750" t="s">
        <v>710</v>
      </c>
      <c r="Z3" s="743" t="s">
        <v>298</v>
      </c>
      <c r="AA3" s="743" t="s">
        <v>35</v>
      </c>
      <c r="AB3" s="743" t="s">
        <v>707</v>
      </c>
      <c r="AC3" s="743" t="s">
        <v>972</v>
      </c>
    </row>
    <row r="4" spans="1:29" ht="15" thickBot="1">
      <c r="A4" s="753"/>
      <c r="B4" s="755"/>
      <c r="C4" s="753"/>
      <c r="D4" s="746"/>
      <c r="E4" s="748"/>
      <c r="F4" s="748"/>
      <c r="G4" s="753"/>
      <c r="H4" s="746"/>
      <c r="I4" s="746"/>
      <c r="J4" s="746"/>
      <c r="K4" s="746"/>
      <c r="L4" s="746"/>
      <c r="M4" s="377" t="s">
        <v>712</v>
      </c>
      <c r="N4" s="522" t="s">
        <v>712</v>
      </c>
      <c r="O4" s="522" t="s">
        <v>712</v>
      </c>
      <c r="P4" s="522" t="s">
        <v>712</v>
      </c>
      <c r="Q4" s="746"/>
      <c r="R4" s="746"/>
      <c r="S4" s="746"/>
      <c r="T4" s="746"/>
      <c r="U4" s="746"/>
      <c r="V4" s="746"/>
      <c r="W4" s="746"/>
      <c r="X4" s="746"/>
      <c r="Y4" s="751"/>
      <c r="Z4" s="746"/>
      <c r="AA4" s="746"/>
      <c r="AB4" s="746"/>
      <c r="AC4" s="746"/>
    </row>
    <row r="5" spans="1:29" s="307" customFormat="1" ht="25.5">
      <c r="A5" s="290" t="s">
        <v>633</v>
      </c>
      <c r="B5" s="290" t="s">
        <v>713</v>
      </c>
      <c r="C5" s="378">
        <v>2270006015</v>
      </c>
      <c r="D5" s="379" t="s">
        <v>327</v>
      </c>
      <c r="E5" s="292">
        <f>'Mobile Eqt and Vehic'!B8</f>
        <v>300</v>
      </c>
      <c r="F5" s="292">
        <f>'Mobile Eqt and Vehic'!H8*SUM('Mobile Eqt and Vehic'!CI8:CT8)</f>
        <v>2880</v>
      </c>
      <c r="G5" s="379">
        <v>0.36699999999999999</v>
      </c>
      <c r="H5" s="379">
        <v>0.27600000000000002</v>
      </c>
      <c r="I5" s="379">
        <v>8.4000000000000005E-2</v>
      </c>
      <c r="J5" s="379">
        <v>9.1999999999999998E-3</v>
      </c>
      <c r="K5" s="379">
        <v>0.13139999999999999</v>
      </c>
      <c r="L5" s="383">
        <v>1.0000000010000001</v>
      </c>
      <c r="M5" s="379">
        <f>0.008</f>
        <v>8.0000000000000002E-3</v>
      </c>
      <c r="N5" s="379">
        <f>0.151</f>
        <v>0.151</v>
      </c>
      <c r="O5" s="379">
        <f>0.473</f>
        <v>0.47299999999999998</v>
      </c>
      <c r="P5" s="379">
        <f>0.027</f>
        <v>2.7E-2</v>
      </c>
      <c r="Q5" s="527">
        <f>IF($L5&gt;1,1+M5,1+M5*$L5)</f>
        <v>1.008</v>
      </c>
      <c r="R5" s="527">
        <f>IF($L5&gt;1,1+N5,1+N5*$L5)</f>
        <v>1.151</v>
      </c>
      <c r="S5" s="527">
        <f>IF($L5&gt;1,1+O5,1+O5*$L5)</f>
        <v>1.4729999999999999</v>
      </c>
      <c r="T5" s="527">
        <f>IF($L5&gt;1,1+P5,1+P5*$L5)</f>
        <v>1.0269999999999999</v>
      </c>
      <c r="U5" s="527">
        <f>H5*Q5</f>
        <v>0.27820800000000001</v>
      </c>
      <c r="V5" s="527">
        <f>I5*R5</f>
        <v>9.6684000000000006E-2</v>
      </c>
      <c r="W5" s="527">
        <f>J5*S5-(G5*453.59*7*$D$48*0.01*($D$51-$D$50))</f>
        <v>1.3551599999999999E-2</v>
      </c>
      <c r="X5" s="527">
        <f>K5*T5</f>
        <v>0.13494779999999998</v>
      </c>
      <c r="Y5" s="379">
        <f>VLOOKUP(C5,'[8]TAF-LF'!$B$2:$E$109,4,FALSE)</f>
        <v>0.43</v>
      </c>
      <c r="Z5" s="380">
        <f>(E5*U5*Y5)/453.59/2000*8760</f>
        <v>0.34655324006261162</v>
      </c>
      <c r="AA5" s="380">
        <f>(E5*V5*Y5)/453.59/2000*8760</f>
        <v>0.12043562177296678</v>
      </c>
      <c r="AB5" s="380">
        <f>(E5*W5*Y5)/453.59/2000*8760</f>
        <v>1.688071834035142E-2</v>
      </c>
      <c r="AC5" s="380">
        <f>(E5*X5*Y5)/453.59/2000*8760*1.053</f>
        <v>0.17700866613388297</v>
      </c>
    </row>
    <row r="6" spans="1:29" ht="25.5">
      <c r="A6" s="290" t="s">
        <v>636</v>
      </c>
      <c r="B6" s="290" t="s">
        <v>714</v>
      </c>
      <c r="C6" s="378">
        <v>2270002048</v>
      </c>
      <c r="D6" s="379" t="s">
        <v>327</v>
      </c>
      <c r="E6" s="292">
        <f>'Mobile Eqt and Vehic'!B10</f>
        <v>250</v>
      </c>
      <c r="F6" s="292">
        <f>'Mobile Eqt and Vehic'!H10*SUM('Mobile Eqt and Vehic'!CI10:CT10)</f>
        <v>3600</v>
      </c>
      <c r="G6" s="379">
        <v>0.371</v>
      </c>
      <c r="H6" s="379">
        <v>0.28000000000000003</v>
      </c>
      <c r="I6" s="379">
        <v>0.11</v>
      </c>
      <c r="J6" s="379">
        <v>9.1999999999999998E-3</v>
      </c>
      <c r="K6" s="379">
        <v>0.13</v>
      </c>
      <c r="L6" s="383">
        <v>1.0000000010000001</v>
      </c>
      <c r="M6" s="379">
        <f t="shared" ref="M6:M23" si="0">0.008</f>
        <v>8.0000000000000002E-3</v>
      </c>
      <c r="N6" s="379">
        <f t="shared" ref="N6:N23" si="1">0.151</f>
        <v>0.151</v>
      </c>
      <c r="O6" s="379">
        <f t="shared" ref="O6:O23" si="2">0.473</f>
        <v>0.47299999999999998</v>
      </c>
      <c r="P6" s="379">
        <f t="shared" ref="P6:P23" si="3">0.027</f>
        <v>2.7E-2</v>
      </c>
      <c r="Q6" s="527">
        <f t="shared" ref="Q6:Q23" si="4">IF($L6&gt;1,1+M6,1+M6*$L6)</f>
        <v>1.008</v>
      </c>
      <c r="R6" s="527">
        <f t="shared" ref="R6:R23" si="5">IF($L6&gt;1,1+N6,1+N6*$L6)</f>
        <v>1.151</v>
      </c>
      <c r="S6" s="527">
        <f t="shared" ref="S6:S23" si="6">IF($L6&gt;1,1+O6,1+O6*$L6)</f>
        <v>1.4729999999999999</v>
      </c>
      <c r="T6" s="527">
        <f t="shared" ref="T6:T23" si="7">IF($L6&gt;1,1+P6,1+P6*$L6)</f>
        <v>1.0269999999999999</v>
      </c>
      <c r="U6" s="527">
        <f t="shared" ref="U6:U23" si="8">H6*Q6</f>
        <v>0.28224000000000005</v>
      </c>
      <c r="V6" s="527">
        <f t="shared" ref="V6:V23" si="9">I6*R6</f>
        <v>0.12661</v>
      </c>
      <c r="W6" s="527">
        <f t="shared" ref="W6:W23" si="10">J6*S6-(G6*453.59*7*$D$48*0.01*($D$51-$D$50))</f>
        <v>1.3551599999999999E-2</v>
      </c>
      <c r="X6" s="527">
        <f t="shared" ref="X6:X23" si="11">K6*T6</f>
        <v>0.13350999999999999</v>
      </c>
      <c r="Y6" s="379">
        <f>VLOOKUP(C6,'[8]TAF-LF'!$B$2:$E$109,4,FALSE)</f>
        <v>0.59</v>
      </c>
      <c r="Z6" s="380">
        <f t="shared" ref="Z6:Z23" si="12">(E6*U6*Y6)/453.59/2000*8760</f>
        <v>0.40199552900196223</v>
      </c>
      <c r="AA6" s="380">
        <f t="shared" ref="AA6:AA23" si="13">(E6*V6*Y6)/453.59/2000*8760</f>
        <v>0.1803311151039485</v>
      </c>
      <c r="AB6" s="380">
        <f t="shared" ref="AB6:AB23" si="14">(E6*W6*Y6)/453.59/2000*8760</f>
        <v>1.93015965519522E-2</v>
      </c>
      <c r="AC6" s="380">
        <f t="shared" ref="AC6:AC23" si="15">(E6*X6*Y6)/453.59/2000*8760*1.053</f>
        <v>0.2002372289545625</v>
      </c>
    </row>
    <row r="7" spans="1:29">
      <c r="A7" s="290" t="s">
        <v>637</v>
      </c>
      <c r="B7" s="381" t="s">
        <v>715</v>
      </c>
      <c r="C7" s="378">
        <v>2270002066</v>
      </c>
      <c r="D7" s="379" t="s">
        <v>327</v>
      </c>
      <c r="E7" s="292">
        <f>'Mobile Eqt and Vehic'!B11</f>
        <v>220</v>
      </c>
      <c r="F7" s="292">
        <f>'Mobile Eqt and Vehic'!H11*SUM('Mobile Eqt and Vehic'!CI11:CT11)</f>
        <v>720</v>
      </c>
      <c r="G7" s="379">
        <v>0.433</v>
      </c>
      <c r="H7" s="379">
        <v>0.28000000000000003</v>
      </c>
      <c r="I7" s="379">
        <v>0.19</v>
      </c>
      <c r="J7" s="379">
        <v>9.1999999999999998E-3</v>
      </c>
      <c r="K7" s="379">
        <v>0.13</v>
      </c>
      <c r="L7" s="383">
        <v>1.0000000010000001</v>
      </c>
      <c r="M7" s="379">
        <f t="shared" si="0"/>
        <v>8.0000000000000002E-3</v>
      </c>
      <c r="N7" s="379">
        <f t="shared" si="1"/>
        <v>0.151</v>
      </c>
      <c r="O7" s="379">
        <f t="shared" si="2"/>
        <v>0.47299999999999998</v>
      </c>
      <c r="P7" s="379">
        <f t="shared" si="3"/>
        <v>2.7E-2</v>
      </c>
      <c r="Q7" s="527">
        <f t="shared" si="4"/>
        <v>1.008</v>
      </c>
      <c r="R7" s="527">
        <f t="shared" si="5"/>
        <v>1.151</v>
      </c>
      <c r="S7" s="527">
        <f t="shared" si="6"/>
        <v>1.4729999999999999</v>
      </c>
      <c r="T7" s="527">
        <f t="shared" si="7"/>
        <v>1.0269999999999999</v>
      </c>
      <c r="U7" s="527">
        <f t="shared" si="8"/>
        <v>0.28224000000000005</v>
      </c>
      <c r="V7" s="527">
        <f t="shared" si="9"/>
        <v>0.21869</v>
      </c>
      <c r="W7" s="527">
        <f t="shared" si="10"/>
        <v>1.3551599999999999E-2</v>
      </c>
      <c r="X7" s="527">
        <f t="shared" si="11"/>
        <v>0.13350999999999999</v>
      </c>
      <c r="Y7" s="379">
        <f>VLOOKUP(C7,'[8]TAF-LF'!$B$2:$E$109,4,FALSE)</f>
        <v>0.21</v>
      </c>
      <c r="Z7" s="380">
        <f t="shared" si="12"/>
        <v>0.12591317586366546</v>
      </c>
      <c r="AA7" s="380">
        <f t="shared" si="13"/>
        <v>9.7562189730814181E-2</v>
      </c>
      <c r="AB7" s="380">
        <f t="shared" si="14"/>
        <v>6.0456526149165546E-3</v>
      </c>
      <c r="AC7" s="380">
        <f t="shared" si="15"/>
        <v>6.2718372730174818E-2</v>
      </c>
    </row>
    <row r="8" spans="1:29" ht="25.5">
      <c r="A8" s="290" t="s">
        <v>638</v>
      </c>
      <c r="B8" s="290" t="s">
        <v>716</v>
      </c>
      <c r="C8" s="378">
        <v>2270002045</v>
      </c>
      <c r="D8" s="379" t="s">
        <v>327</v>
      </c>
      <c r="E8" s="292">
        <f>'Mobile Eqt and Vehic'!B12</f>
        <v>240</v>
      </c>
      <c r="F8" s="292">
        <f>'Mobile Eqt and Vehic'!H12*SUM('Mobile Eqt and Vehic'!CI12:CT12)</f>
        <v>2880</v>
      </c>
      <c r="G8" s="379">
        <v>0.36699999999999999</v>
      </c>
      <c r="H8" s="379">
        <v>0.28000000000000003</v>
      </c>
      <c r="I8" s="379">
        <v>7.0000000000000007E-2</v>
      </c>
      <c r="J8" s="379">
        <v>9.1999999999999998E-3</v>
      </c>
      <c r="K8" s="379">
        <v>0.13</v>
      </c>
      <c r="L8" s="383">
        <v>1.0000000010000001</v>
      </c>
      <c r="M8" s="379">
        <f t="shared" si="0"/>
        <v>8.0000000000000002E-3</v>
      </c>
      <c r="N8" s="379">
        <f t="shared" si="1"/>
        <v>0.151</v>
      </c>
      <c r="O8" s="379">
        <f t="shared" si="2"/>
        <v>0.47299999999999998</v>
      </c>
      <c r="P8" s="379">
        <f t="shared" si="3"/>
        <v>2.7E-2</v>
      </c>
      <c r="Q8" s="527">
        <f t="shared" si="4"/>
        <v>1.008</v>
      </c>
      <c r="R8" s="527">
        <f t="shared" si="5"/>
        <v>1.151</v>
      </c>
      <c r="S8" s="527">
        <f t="shared" si="6"/>
        <v>1.4729999999999999</v>
      </c>
      <c r="T8" s="527">
        <f t="shared" si="7"/>
        <v>1.0269999999999999</v>
      </c>
      <c r="U8" s="527">
        <f t="shared" si="8"/>
        <v>0.28224000000000005</v>
      </c>
      <c r="V8" s="527">
        <f t="shared" si="9"/>
        <v>8.0570000000000003E-2</v>
      </c>
      <c r="W8" s="527">
        <f t="shared" si="10"/>
        <v>1.3551599999999999E-2</v>
      </c>
      <c r="X8" s="527">
        <f t="shared" si="11"/>
        <v>0.13350999999999999</v>
      </c>
      <c r="Y8" s="379">
        <f>VLOOKUP(C8,'[8]TAF-LF'!$B$2:$E$109,4,FALSE)</f>
        <v>0.43</v>
      </c>
      <c r="Z8" s="380">
        <f t="shared" si="12"/>
        <v>0.28126060063052538</v>
      </c>
      <c r="AA8" s="380">
        <f t="shared" si="13"/>
        <v>8.0290414515311187E-2</v>
      </c>
      <c r="AB8" s="380">
        <f t="shared" si="14"/>
        <v>1.3504574672281135E-2</v>
      </c>
      <c r="AC8" s="380">
        <f t="shared" si="15"/>
        <v>0.1400981832414295</v>
      </c>
    </row>
    <row r="9" spans="1:29" ht="28.5" customHeight="1">
      <c r="A9" s="290" t="s">
        <v>639</v>
      </c>
      <c r="B9" s="290" t="s">
        <v>716</v>
      </c>
      <c r="C9" s="378">
        <v>2270002045</v>
      </c>
      <c r="D9" s="379" t="s">
        <v>327</v>
      </c>
      <c r="E9" s="292">
        <f>'Mobile Eqt and Vehic'!B13</f>
        <v>330</v>
      </c>
      <c r="F9" s="292">
        <f>'Mobile Eqt and Vehic'!H13*SUM('Mobile Eqt and Vehic'!CI13:CT13)</f>
        <v>720</v>
      </c>
      <c r="G9" s="379">
        <v>0.36699999999999999</v>
      </c>
      <c r="H9" s="379">
        <v>0.28000000000000003</v>
      </c>
      <c r="I9" s="379">
        <v>0.08</v>
      </c>
      <c r="J9" s="379">
        <v>9.1999999999999998E-3</v>
      </c>
      <c r="K9" s="379">
        <v>0.13</v>
      </c>
      <c r="L9" s="383">
        <v>1.0000000010000001</v>
      </c>
      <c r="M9" s="379">
        <f t="shared" si="0"/>
        <v>8.0000000000000002E-3</v>
      </c>
      <c r="N9" s="379">
        <f t="shared" si="1"/>
        <v>0.151</v>
      </c>
      <c r="O9" s="379">
        <f t="shared" si="2"/>
        <v>0.47299999999999998</v>
      </c>
      <c r="P9" s="379">
        <f t="shared" si="3"/>
        <v>2.7E-2</v>
      </c>
      <c r="Q9" s="527">
        <f t="shared" si="4"/>
        <v>1.008</v>
      </c>
      <c r="R9" s="527">
        <f t="shared" si="5"/>
        <v>1.151</v>
      </c>
      <c r="S9" s="527">
        <f t="shared" si="6"/>
        <v>1.4729999999999999</v>
      </c>
      <c r="T9" s="527">
        <f t="shared" si="7"/>
        <v>1.0269999999999999</v>
      </c>
      <c r="U9" s="527">
        <f t="shared" si="8"/>
        <v>0.28224000000000005</v>
      </c>
      <c r="V9" s="527">
        <f t="shared" si="9"/>
        <v>9.2080000000000009E-2</v>
      </c>
      <c r="W9" s="527">
        <f t="shared" si="10"/>
        <v>1.3551599999999999E-2</v>
      </c>
      <c r="X9" s="527">
        <f t="shared" si="11"/>
        <v>0.13350999999999999</v>
      </c>
      <c r="Y9" s="379">
        <f>VLOOKUP(C9,'[8]TAF-LF'!$B$2:$E$109,4,FALSE)</f>
        <v>0.43</v>
      </c>
      <c r="Z9" s="380">
        <f t="shared" si="12"/>
        <v>0.38673332586697245</v>
      </c>
      <c r="AA9" s="380">
        <f t="shared" si="13"/>
        <v>0.12617065138120331</v>
      </c>
      <c r="AB9" s="380">
        <f t="shared" si="14"/>
        <v>1.8568790174386562E-2</v>
      </c>
      <c r="AC9" s="380">
        <f t="shared" si="15"/>
        <v>0.19263500195696551</v>
      </c>
    </row>
    <row r="10" spans="1:29" ht="25.5">
      <c r="A10" s="290" t="s">
        <v>640</v>
      </c>
      <c r="B10" s="290" t="s">
        <v>716</v>
      </c>
      <c r="C10" s="378">
        <v>2270002045</v>
      </c>
      <c r="D10" s="379" t="s">
        <v>327</v>
      </c>
      <c r="E10" s="292">
        <f>'Mobile Eqt and Vehic'!B14</f>
        <v>275</v>
      </c>
      <c r="F10" s="292">
        <f>'Mobile Eqt and Vehic'!H14*SUM('Mobile Eqt and Vehic'!CI14:CT14)</f>
        <v>720</v>
      </c>
      <c r="G10" s="379">
        <v>0.36699999999999999</v>
      </c>
      <c r="H10" s="379">
        <v>0.28000000000000003</v>
      </c>
      <c r="I10" s="379">
        <v>7.0000000000000007E-2</v>
      </c>
      <c r="J10" s="379">
        <v>9.1999999999999998E-3</v>
      </c>
      <c r="K10" s="379">
        <v>0.13</v>
      </c>
      <c r="L10" s="383">
        <v>1.0000000010000001</v>
      </c>
      <c r="M10" s="379">
        <f t="shared" si="0"/>
        <v>8.0000000000000002E-3</v>
      </c>
      <c r="N10" s="379">
        <f t="shared" si="1"/>
        <v>0.151</v>
      </c>
      <c r="O10" s="379">
        <f t="shared" si="2"/>
        <v>0.47299999999999998</v>
      </c>
      <c r="P10" s="379">
        <f t="shared" si="3"/>
        <v>2.7E-2</v>
      </c>
      <c r="Q10" s="527">
        <f t="shared" si="4"/>
        <v>1.008</v>
      </c>
      <c r="R10" s="527">
        <f t="shared" si="5"/>
        <v>1.151</v>
      </c>
      <c r="S10" s="527">
        <f t="shared" si="6"/>
        <v>1.4729999999999999</v>
      </c>
      <c r="T10" s="527">
        <f t="shared" si="7"/>
        <v>1.0269999999999999</v>
      </c>
      <c r="U10" s="527">
        <f t="shared" si="8"/>
        <v>0.28224000000000005</v>
      </c>
      <c r="V10" s="527">
        <f t="shared" si="9"/>
        <v>8.0570000000000003E-2</v>
      </c>
      <c r="W10" s="527">
        <f t="shared" si="10"/>
        <v>1.3551599999999999E-2</v>
      </c>
      <c r="X10" s="527">
        <f t="shared" si="11"/>
        <v>0.13350999999999999</v>
      </c>
      <c r="Y10" s="379">
        <f>VLOOKUP(C10,'[8]TAF-LF'!$B$2:$E$109,4,FALSE)</f>
        <v>0.43</v>
      </c>
      <c r="Z10" s="380">
        <f t="shared" si="12"/>
        <v>0.32227777155581039</v>
      </c>
      <c r="AA10" s="380">
        <f t="shared" si="13"/>
        <v>9.1999433298794078E-2</v>
      </c>
      <c r="AB10" s="380">
        <f t="shared" si="14"/>
        <v>1.5473991811988799E-2</v>
      </c>
      <c r="AC10" s="380">
        <f t="shared" si="15"/>
        <v>0.16052916829747127</v>
      </c>
    </row>
    <row r="11" spans="1:29">
      <c r="A11" s="290" t="s">
        <v>641</v>
      </c>
      <c r="B11" s="290" t="s">
        <v>717</v>
      </c>
      <c r="C11" s="382">
        <v>2270002063</v>
      </c>
      <c r="D11" s="379" t="s">
        <v>327</v>
      </c>
      <c r="E11" s="292">
        <f>'Mobile Eqt and Vehic'!B15</f>
        <v>475</v>
      </c>
      <c r="F11" s="292">
        <f>'Mobile Eqt and Vehic'!H15*SUM('Mobile Eqt and Vehic'!CI15:CT15)</f>
        <v>1500</v>
      </c>
      <c r="G11" s="379">
        <v>0.371</v>
      </c>
      <c r="H11" s="379">
        <v>0.28000000000000003</v>
      </c>
      <c r="I11" s="379">
        <v>0.13</v>
      </c>
      <c r="J11" s="379">
        <v>9.1999999999999998E-3</v>
      </c>
      <c r="K11" s="379">
        <v>0.13</v>
      </c>
      <c r="L11" s="383">
        <v>1.0000000010000001</v>
      </c>
      <c r="M11" s="379">
        <f t="shared" si="0"/>
        <v>8.0000000000000002E-3</v>
      </c>
      <c r="N11" s="379">
        <f t="shared" si="1"/>
        <v>0.151</v>
      </c>
      <c r="O11" s="379">
        <f t="shared" si="2"/>
        <v>0.47299999999999998</v>
      </c>
      <c r="P11" s="379">
        <f t="shared" si="3"/>
        <v>2.7E-2</v>
      </c>
      <c r="Q11" s="527">
        <f t="shared" si="4"/>
        <v>1.008</v>
      </c>
      <c r="R11" s="527">
        <f t="shared" si="5"/>
        <v>1.151</v>
      </c>
      <c r="S11" s="527">
        <f t="shared" si="6"/>
        <v>1.4729999999999999</v>
      </c>
      <c r="T11" s="527">
        <f t="shared" si="7"/>
        <v>1.0269999999999999</v>
      </c>
      <c r="U11" s="527">
        <f t="shared" si="8"/>
        <v>0.28224000000000005</v>
      </c>
      <c r="V11" s="527">
        <f t="shared" si="9"/>
        <v>0.14963000000000001</v>
      </c>
      <c r="W11" s="527">
        <f t="shared" si="10"/>
        <v>1.3551599999999999E-2</v>
      </c>
      <c r="X11" s="527">
        <f t="shared" si="11"/>
        <v>0.13350999999999999</v>
      </c>
      <c r="Y11" s="379">
        <f>VLOOKUP(C11,'[8]TAF-LF'!$B$2:$E$109,4,FALSE)</f>
        <v>0.59</v>
      </c>
      <c r="Z11" s="380">
        <f t="shared" si="12"/>
        <v>0.76379150510372806</v>
      </c>
      <c r="AA11" s="380">
        <f t="shared" si="13"/>
        <v>0.40492532209704801</v>
      </c>
      <c r="AB11" s="380">
        <f t="shared" si="14"/>
        <v>3.6673033448709175E-2</v>
      </c>
      <c r="AC11" s="380">
        <f t="shared" si="15"/>
        <v>0.38045073501366861</v>
      </c>
    </row>
    <row r="12" spans="1:29">
      <c r="A12" s="290" t="s">
        <v>642</v>
      </c>
      <c r="B12" s="290" t="s">
        <v>716</v>
      </c>
      <c r="C12" s="378">
        <v>2270002045</v>
      </c>
      <c r="D12" s="379" t="s">
        <v>327</v>
      </c>
      <c r="E12" s="292">
        <f>'Mobile Eqt and Vehic'!B16</f>
        <v>350</v>
      </c>
      <c r="F12" s="292">
        <f>'Mobile Eqt and Vehic'!H16*SUM('Mobile Eqt and Vehic'!CI16:CT16)</f>
        <v>720</v>
      </c>
      <c r="G12" s="379">
        <v>0.36699999999999999</v>
      </c>
      <c r="H12" s="379">
        <v>0.28000000000000003</v>
      </c>
      <c r="I12" s="379">
        <v>0.08</v>
      </c>
      <c r="J12" s="379">
        <v>9.1999999999999998E-3</v>
      </c>
      <c r="K12" s="379">
        <v>0.13</v>
      </c>
      <c r="L12" s="383">
        <v>1.0000000010000001</v>
      </c>
      <c r="M12" s="379">
        <f t="shared" si="0"/>
        <v>8.0000000000000002E-3</v>
      </c>
      <c r="N12" s="379">
        <f t="shared" si="1"/>
        <v>0.151</v>
      </c>
      <c r="O12" s="379">
        <f t="shared" si="2"/>
        <v>0.47299999999999998</v>
      </c>
      <c r="P12" s="379">
        <f t="shared" si="3"/>
        <v>2.7E-2</v>
      </c>
      <c r="Q12" s="527">
        <f t="shared" si="4"/>
        <v>1.008</v>
      </c>
      <c r="R12" s="527">
        <f t="shared" si="5"/>
        <v>1.151</v>
      </c>
      <c r="S12" s="527">
        <f t="shared" si="6"/>
        <v>1.4729999999999999</v>
      </c>
      <c r="T12" s="527">
        <f t="shared" si="7"/>
        <v>1.0269999999999999</v>
      </c>
      <c r="U12" s="527">
        <f t="shared" si="8"/>
        <v>0.28224000000000005</v>
      </c>
      <c r="V12" s="527">
        <f t="shared" si="9"/>
        <v>9.2080000000000009E-2</v>
      </c>
      <c r="W12" s="527">
        <f t="shared" si="10"/>
        <v>1.3551599999999999E-2</v>
      </c>
      <c r="X12" s="527">
        <f t="shared" si="11"/>
        <v>0.13350999999999999</v>
      </c>
      <c r="Y12" s="379">
        <f>VLOOKUP(C12,'[8]TAF-LF'!$B$2:$E$109,4,FALSE)</f>
        <v>0.43</v>
      </c>
      <c r="Z12" s="380">
        <f t="shared" si="12"/>
        <v>0.41017170925284963</v>
      </c>
      <c r="AA12" s="380">
        <f t="shared" si="13"/>
        <v>0.13381735752551865</v>
      </c>
      <c r="AB12" s="380">
        <f t="shared" si="14"/>
        <v>1.9694171397076653E-2</v>
      </c>
      <c r="AC12" s="380">
        <f t="shared" si="15"/>
        <v>0.20430985056041798</v>
      </c>
    </row>
    <row r="13" spans="1:29" s="307" customFormat="1">
      <c r="A13" s="290" t="s">
        <v>643</v>
      </c>
      <c r="B13" s="290" t="s">
        <v>718</v>
      </c>
      <c r="C13" s="378">
        <v>2270002060</v>
      </c>
      <c r="D13" s="379" t="s">
        <v>327</v>
      </c>
      <c r="E13" s="292">
        <f>'Mobile Eqt and Vehic'!B17</f>
        <v>501</v>
      </c>
      <c r="F13" s="292">
        <f>'Mobile Eqt and Vehic'!H17*SUM('Mobile Eqt and Vehic'!CI17:CT17)</f>
        <v>7200</v>
      </c>
      <c r="G13" s="379">
        <v>0.371</v>
      </c>
      <c r="H13" s="379">
        <v>0.28000000000000003</v>
      </c>
      <c r="I13" s="379">
        <v>0.13</v>
      </c>
      <c r="J13" s="379">
        <v>9.1999999999999998E-3</v>
      </c>
      <c r="K13" s="379">
        <v>0.13</v>
      </c>
      <c r="L13" s="383">
        <v>1.0000000010000001</v>
      </c>
      <c r="M13" s="379">
        <f t="shared" si="0"/>
        <v>8.0000000000000002E-3</v>
      </c>
      <c r="N13" s="379">
        <f t="shared" si="1"/>
        <v>0.151</v>
      </c>
      <c r="O13" s="379">
        <f t="shared" si="2"/>
        <v>0.47299999999999998</v>
      </c>
      <c r="P13" s="379">
        <f t="shared" si="3"/>
        <v>2.7E-2</v>
      </c>
      <c r="Q13" s="527">
        <f t="shared" si="4"/>
        <v>1.008</v>
      </c>
      <c r="R13" s="527">
        <f t="shared" si="5"/>
        <v>1.151</v>
      </c>
      <c r="S13" s="527">
        <f t="shared" si="6"/>
        <v>1.4729999999999999</v>
      </c>
      <c r="T13" s="527">
        <f t="shared" si="7"/>
        <v>1.0269999999999999</v>
      </c>
      <c r="U13" s="527">
        <f t="shared" si="8"/>
        <v>0.28224000000000005</v>
      </c>
      <c r="V13" s="527">
        <f t="shared" si="9"/>
        <v>0.14963000000000001</v>
      </c>
      <c r="W13" s="527">
        <f t="shared" si="10"/>
        <v>1.3551599999999999E-2</v>
      </c>
      <c r="X13" s="527">
        <f t="shared" si="11"/>
        <v>0.13350999999999999</v>
      </c>
      <c r="Y13" s="379">
        <f>VLOOKUP(C13,'[8]TAF-LF'!$B$2:$E$109,4,FALSE)</f>
        <v>0.59</v>
      </c>
      <c r="Z13" s="380">
        <f t="shared" si="12"/>
        <v>0.80559904011993222</v>
      </c>
      <c r="AA13" s="380">
        <f t="shared" si="13"/>
        <v>0.42708965551709693</v>
      </c>
      <c r="AB13" s="380">
        <f t="shared" si="14"/>
        <v>3.8680399490112212E-2</v>
      </c>
      <c r="AC13" s="380">
        <f t="shared" si="15"/>
        <v>0.40127540682494323</v>
      </c>
    </row>
    <row r="14" spans="1:29" s="307" customFormat="1">
      <c r="A14" s="290" t="s">
        <v>646</v>
      </c>
      <c r="B14" s="290" t="s">
        <v>719</v>
      </c>
      <c r="C14" s="378">
        <v>2270006005</v>
      </c>
      <c r="D14" s="379" t="s">
        <v>327</v>
      </c>
      <c r="E14" s="292">
        <f>'Mobile Eqt and Vehic'!B20</f>
        <v>15</v>
      </c>
      <c r="F14" s="292">
        <f>'Mobile Eqt and Vehic'!H20*SUM('Mobile Eqt and Vehic'!CI20:CT20)</f>
        <v>36000</v>
      </c>
      <c r="G14" s="379">
        <v>0.40799999999999997</v>
      </c>
      <c r="H14" s="379">
        <v>0.28000000000000003</v>
      </c>
      <c r="I14" s="379">
        <v>0.22</v>
      </c>
      <c r="J14" s="379">
        <v>9.1999999999999998E-3</v>
      </c>
      <c r="K14" s="379">
        <v>0.13</v>
      </c>
      <c r="L14" s="383">
        <v>1.0000000010000001</v>
      </c>
      <c r="M14" s="379">
        <f t="shared" si="0"/>
        <v>8.0000000000000002E-3</v>
      </c>
      <c r="N14" s="379">
        <f t="shared" si="1"/>
        <v>0.151</v>
      </c>
      <c r="O14" s="379">
        <f t="shared" si="2"/>
        <v>0.47299999999999998</v>
      </c>
      <c r="P14" s="379">
        <f t="shared" si="3"/>
        <v>2.7E-2</v>
      </c>
      <c r="Q14" s="527">
        <f t="shared" si="4"/>
        <v>1.008</v>
      </c>
      <c r="R14" s="527">
        <f t="shared" si="5"/>
        <v>1.151</v>
      </c>
      <c r="S14" s="527">
        <f t="shared" si="6"/>
        <v>1.4729999999999999</v>
      </c>
      <c r="T14" s="527">
        <f t="shared" si="7"/>
        <v>1.0269999999999999</v>
      </c>
      <c r="U14" s="527">
        <f t="shared" si="8"/>
        <v>0.28224000000000005</v>
      </c>
      <c r="V14" s="527">
        <f t="shared" si="9"/>
        <v>0.25322</v>
      </c>
      <c r="W14" s="527">
        <f t="shared" si="10"/>
        <v>1.3551599999999999E-2</v>
      </c>
      <c r="X14" s="527">
        <f t="shared" si="11"/>
        <v>0.13350999999999999</v>
      </c>
      <c r="Y14" s="379">
        <f>VLOOKUP(C14,'[8]TAF-LF'!$B$2:$E$109,4,FALSE)</f>
        <v>0.43</v>
      </c>
      <c r="Z14" s="380">
        <f t="shared" si="12"/>
        <v>1.7578787539407836E-2</v>
      </c>
      <c r="AA14" s="380">
        <f t="shared" si="13"/>
        <v>1.5771331422650414E-2</v>
      </c>
      <c r="AB14" s="380">
        <f t="shared" si="14"/>
        <v>8.4403591701757096E-4</v>
      </c>
      <c r="AC14" s="380">
        <f t="shared" si="15"/>
        <v>8.7561364525893439E-3</v>
      </c>
    </row>
    <row r="15" spans="1:29" s="307" customFormat="1">
      <c r="A15" s="290" t="s">
        <v>647</v>
      </c>
      <c r="B15" s="290" t="s">
        <v>720</v>
      </c>
      <c r="C15" s="378">
        <v>2270003020</v>
      </c>
      <c r="D15" s="379" t="s">
        <v>327</v>
      </c>
      <c r="E15" s="292">
        <f>'Mobile Eqt and Vehic'!B21</f>
        <v>148</v>
      </c>
      <c r="F15" s="292">
        <f>'Mobile Eqt and Vehic'!H21*SUM('Mobile Eqt and Vehic'!CI21:CT21)</f>
        <v>1440</v>
      </c>
      <c r="G15" s="379">
        <v>0.371</v>
      </c>
      <c r="H15" s="379">
        <v>0.28000000000000003</v>
      </c>
      <c r="I15" s="379">
        <v>0.13</v>
      </c>
      <c r="J15" s="379">
        <v>9.1999999999999998E-3</v>
      </c>
      <c r="K15" s="379">
        <v>0.13</v>
      </c>
      <c r="L15" s="383">
        <v>1.0000000010000001</v>
      </c>
      <c r="M15" s="379">
        <f t="shared" si="0"/>
        <v>8.0000000000000002E-3</v>
      </c>
      <c r="N15" s="379">
        <f t="shared" si="1"/>
        <v>0.151</v>
      </c>
      <c r="O15" s="379">
        <f t="shared" si="2"/>
        <v>0.47299999999999998</v>
      </c>
      <c r="P15" s="379">
        <f t="shared" si="3"/>
        <v>2.7E-2</v>
      </c>
      <c r="Q15" s="527">
        <f t="shared" si="4"/>
        <v>1.008</v>
      </c>
      <c r="R15" s="527">
        <f t="shared" si="5"/>
        <v>1.151</v>
      </c>
      <c r="S15" s="527">
        <f t="shared" si="6"/>
        <v>1.4729999999999999</v>
      </c>
      <c r="T15" s="527">
        <f t="shared" si="7"/>
        <v>1.0269999999999999</v>
      </c>
      <c r="U15" s="527">
        <f t="shared" si="8"/>
        <v>0.28224000000000005</v>
      </c>
      <c r="V15" s="527">
        <f t="shared" si="9"/>
        <v>0.14963000000000001</v>
      </c>
      <c r="W15" s="527">
        <f t="shared" si="10"/>
        <v>1.3551599999999999E-2</v>
      </c>
      <c r="X15" s="527">
        <f t="shared" si="11"/>
        <v>0.13350999999999999</v>
      </c>
      <c r="Y15" s="379">
        <f>VLOOKUP(C15,'[8]TAF-LF'!$B$2:$E$109,4,FALSE)</f>
        <v>0.59</v>
      </c>
      <c r="Z15" s="380">
        <f t="shared" si="12"/>
        <v>0.23798135316916164</v>
      </c>
      <c r="AA15" s="380">
        <f t="shared" si="13"/>
        <v>0.12616620562181705</v>
      </c>
      <c r="AB15" s="380">
        <f t="shared" si="14"/>
        <v>1.1426545158755705E-2</v>
      </c>
      <c r="AC15" s="380">
        <f t="shared" si="15"/>
        <v>0.11854043954110098</v>
      </c>
    </row>
    <row r="16" spans="1:29" s="307" customFormat="1">
      <c r="A16" s="290" t="s">
        <v>648</v>
      </c>
      <c r="B16" s="290" t="s">
        <v>720</v>
      </c>
      <c r="C16" s="378">
        <v>2270003020</v>
      </c>
      <c r="D16" s="379" t="s">
        <v>327</v>
      </c>
      <c r="E16" s="292">
        <f>'Mobile Eqt and Vehic'!B22</f>
        <v>61</v>
      </c>
      <c r="F16" s="292">
        <f>'Mobile Eqt and Vehic'!H22*SUM('Mobile Eqt and Vehic'!CI22:CT22)</f>
        <v>4320</v>
      </c>
      <c r="G16" s="379">
        <v>0.41199999999999998</v>
      </c>
      <c r="H16" s="379">
        <v>0.28000000000000003</v>
      </c>
      <c r="I16" s="379">
        <v>0.36</v>
      </c>
      <c r="J16" s="379">
        <v>9.1999999999999998E-3</v>
      </c>
      <c r="K16" s="379">
        <v>0.13</v>
      </c>
      <c r="L16" s="383">
        <v>1.0000000010000001</v>
      </c>
      <c r="M16" s="379">
        <f t="shared" si="0"/>
        <v>8.0000000000000002E-3</v>
      </c>
      <c r="N16" s="379">
        <f t="shared" si="1"/>
        <v>0.151</v>
      </c>
      <c r="O16" s="379">
        <f t="shared" si="2"/>
        <v>0.47299999999999998</v>
      </c>
      <c r="P16" s="379">
        <f t="shared" si="3"/>
        <v>2.7E-2</v>
      </c>
      <c r="Q16" s="527">
        <f t="shared" si="4"/>
        <v>1.008</v>
      </c>
      <c r="R16" s="527">
        <f t="shared" si="5"/>
        <v>1.151</v>
      </c>
      <c r="S16" s="527">
        <f t="shared" si="6"/>
        <v>1.4729999999999999</v>
      </c>
      <c r="T16" s="527">
        <f t="shared" si="7"/>
        <v>1.0269999999999999</v>
      </c>
      <c r="U16" s="527">
        <f t="shared" si="8"/>
        <v>0.28224000000000005</v>
      </c>
      <c r="V16" s="527">
        <f t="shared" si="9"/>
        <v>0.41436000000000001</v>
      </c>
      <c r="W16" s="527">
        <f t="shared" si="10"/>
        <v>1.3551599999999999E-2</v>
      </c>
      <c r="X16" s="527">
        <f t="shared" si="11"/>
        <v>0.13350999999999999</v>
      </c>
      <c r="Y16" s="379">
        <f>VLOOKUP(C16,'[8]TAF-LF'!$B$2:$E$109,4,FALSE)</f>
        <v>0.59</v>
      </c>
      <c r="Z16" s="380">
        <f t="shared" si="12"/>
        <v>9.8086909076478768E-2</v>
      </c>
      <c r="AA16" s="380">
        <f t="shared" si="13"/>
        <v>0.14400259227937126</v>
      </c>
      <c r="AB16" s="380">
        <f t="shared" si="14"/>
        <v>4.709589558676338E-3</v>
      </c>
      <c r="AC16" s="380">
        <f t="shared" si="15"/>
        <v>4.885788386491325E-2</v>
      </c>
    </row>
    <row r="17" spans="1:29" s="307" customFormat="1">
      <c r="A17" s="290" t="s">
        <v>650</v>
      </c>
      <c r="B17" s="290" t="s">
        <v>719</v>
      </c>
      <c r="C17" s="378">
        <v>2270006005</v>
      </c>
      <c r="D17" s="379" t="s">
        <v>327</v>
      </c>
      <c r="E17" s="292">
        <f>'Mobile Eqt and Vehic'!B24</f>
        <v>135</v>
      </c>
      <c r="F17" s="292">
        <f>'Mobile Eqt and Vehic'!H24*SUM('Mobile Eqt and Vehic'!CI24:CT24)</f>
        <v>2880</v>
      </c>
      <c r="G17" s="379">
        <v>0.36699999999999999</v>
      </c>
      <c r="H17" s="379">
        <v>0.28000000000000003</v>
      </c>
      <c r="I17" s="379">
        <v>0.09</v>
      </c>
      <c r="J17" s="379">
        <v>9.1999999999999998E-3</v>
      </c>
      <c r="K17" s="379">
        <v>0.13</v>
      </c>
      <c r="L17" s="383">
        <v>1.0000000010000001</v>
      </c>
      <c r="M17" s="379">
        <f t="shared" si="0"/>
        <v>8.0000000000000002E-3</v>
      </c>
      <c r="N17" s="379">
        <f t="shared" si="1"/>
        <v>0.151</v>
      </c>
      <c r="O17" s="379">
        <f t="shared" si="2"/>
        <v>0.47299999999999998</v>
      </c>
      <c r="P17" s="379">
        <f t="shared" si="3"/>
        <v>2.7E-2</v>
      </c>
      <c r="Q17" s="527">
        <f t="shared" si="4"/>
        <v>1.008</v>
      </c>
      <c r="R17" s="527">
        <f t="shared" si="5"/>
        <v>1.151</v>
      </c>
      <c r="S17" s="527">
        <f t="shared" si="6"/>
        <v>1.4729999999999999</v>
      </c>
      <c r="T17" s="527">
        <f t="shared" si="7"/>
        <v>1.0269999999999999</v>
      </c>
      <c r="U17" s="527">
        <f t="shared" si="8"/>
        <v>0.28224000000000005</v>
      </c>
      <c r="V17" s="527">
        <f t="shared" si="9"/>
        <v>0.10359</v>
      </c>
      <c r="W17" s="527">
        <f t="shared" si="10"/>
        <v>1.3551599999999999E-2</v>
      </c>
      <c r="X17" s="527">
        <f t="shared" si="11"/>
        <v>0.13350999999999999</v>
      </c>
      <c r="Y17" s="379">
        <f>VLOOKUP(C17,'[8]TAF-LF'!$B$2:$E$109,4,FALSE)</f>
        <v>0.43</v>
      </c>
      <c r="Z17" s="380">
        <f t="shared" si="12"/>
        <v>0.15820908785467053</v>
      </c>
      <c r="AA17" s="380">
        <f t="shared" si="13"/>
        <v>5.8067174783394702E-2</v>
      </c>
      <c r="AB17" s="380">
        <f t="shared" si="14"/>
        <v>7.596323253158138E-3</v>
      </c>
      <c r="AC17" s="380">
        <f t="shared" si="15"/>
        <v>7.8805228073304076E-2</v>
      </c>
    </row>
    <row r="18" spans="1:29" s="307" customFormat="1">
      <c r="A18" s="290" t="s">
        <v>651</v>
      </c>
      <c r="B18" s="290" t="s">
        <v>719</v>
      </c>
      <c r="C18" s="378">
        <v>2270006005</v>
      </c>
      <c r="D18" s="379" t="s">
        <v>327</v>
      </c>
      <c r="E18" s="292">
        <f>'Mobile Eqt and Vehic'!B25</f>
        <v>67</v>
      </c>
      <c r="F18" s="292">
        <f>'Mobile Eqt and Vehic'!H25*SUM('Mobile Eqt and Vehic'!CI25:CT25)</f>
        <v>14400</v>
      </c>
      <c r="G18" s="379">
        <v>0.40799999999999997</v>
      </c>
      <c r="H18" s="379">
        <v>0.28000000000000003</v>
      </c>
      <c r="I18" s="379">
        <v>0.24</v>
      </c>
      <c r="J18" s="379">
        <v>9.1999999999999998E-3</v>
      </c>
      <c r="K18" s="379">
        <v>0.13</v>
      </c>
      <c r="L18" s="383">
        <v>1.0000000010000001</v>
      </c>
      <c r="M18" s="379">
        <f t="shared" si="0"/>
        <v>8.0000000000000002E-3</v>
      </c>
      <c r="N18" s="379">
        <f t="shared" si="1"/>
        <v>0.151</v>
      </c>
      <c r="O18" s="379">
        <f t="shared" si="2"/>
        <v>0.47299999999999998</v>
      </c>
      <c r="P18" s="379">
        <f t="shared" si="3"/>
        <v>2.7E-2</v>
      </c>
      <c r="Q18" s="527">
        <f t="shared" si="4"/>
        <v>1.008</v>
      </c>
      <c r="R18" s="527">
        <f t="shared" si="5"/>
        <v>1.151</v>
      </c>
      <c r="S18" s="527">
        <f t="shared" si="6"/>
        <v>1.4729999999999999</v>
      </c>
      <c r="T18" s="527">
        <f t="shared" si="7"/>
        <v>1.0269999999999999</v>
      </c>
      <c r="U18" s="527">
        <f t="shared" si="8"/>
        <v>0.28224000000000005</v>
      </c>
      <c r="V18" s="527">
        <f t="shared" si="9"/>
        <v>0.27623999999999999</v>
      </c>
      <c r="W18" s="527">
        <f t="shared" si="10"/>
        <v>1.3551599999999999E-2</v>
      </c>
      <c r="X18" s="527">
        <f t="shared" si="11"/>
        <v>0.13350999999999999</v>
      </c>
      <c r="Y18" s="379">
        <f>VLOOKUP(C18,'[8]TAF-LF'!$B$2:$E$109,4,FALSE)</f>
        <v>0.43</v>
      </c>
      <c r="Z18" s="380">
        <f t="shared" si="12"/>
        <v>7.8518584342688352E-2</v>
      </c>
      <c r="AA18" s="380">
        <f t="shared" si="13"/>
        <v>7.6849396750369281E-2</v>
      </c>
      <c r="AB18" s="380">
        <f t="shared" si="14"/>
        <v>3.770027096011817E-3</v>
      </c>
      <c r="AC18" s="380">
        <f>(E18*X18*Y18)/453.59/2000*8760*1.053</f>
        <v>3.9110742821565729E-2</v>
      </c>
    </row>
    <row r="19" spans="1:29" s="307" customFormat="1">
      <c r="A19" s="290" t="s">
        <v>911</v>
      </c>
      <c r="B19" s="290" t="s">
        <v>721</v>
      </c>
      <c r="C19" s="378">
        <v>2270003010</v>
      </c>
      <c r="D19" s="379" t="s">
        <v>327</v>
      </c>
      <c r="E19" s="292">
        <f>'Mobile Eqt and Vehic'!B26</f>
        <v>78</v>
      </c>
      <c r="F19" s="292">
        <f>'Mobile Eqt and Vehic'!H26*SUM('Mobile Eqt and Vehic'!CI26:CT26)</f>
        <v>1440</v>
      </c>
      <c r="G19" s="379">
        <v>0.48099999999999998</v>
      </c>
      <c r="H19" s="379">
        <v>0.28000000000000003</v>
      </c>
      <c r="I19" s="379">
        <v>0.61</v>
      </c>
      <c r="J19" s="379">
        <v>9.1999999999999998E-3</v>
      </c>
      <c r="K19" s="379">
        <v>0.13</v>
      </c>
      <c r="L19" s="383">
        <v>1.0000000010000001</v>
      </c>
      <c r="M19" s="379">
        <f t="shared" si="0"/>
        <v>8.0000000000000002E-3</v>
      </c>
      <c r="N19" s="379">
        <f t="shared" si="1"/>
        <v>0.151</v>
      </c>
      <c r="O19" s="379">
        <f t="shared" si="2"/>
        <v>0.47299999999999998</v>
      </c>
      <c r="P19" s="379">
        <f t="shared" si="3"/>
        <v>2.7E-2</v>
      </c>
      <c r="Q19" s="527">
        <f t="shared" si="4"/>
        <v>1.008</v>
      </c>
      <c r="R19" s="527">
        <f t="shared" si="5"/>
        <v>1.151</v>
      </c>
      <c r="S19" s="527">
        <f t="shared" si="6"/>
        <v>1.4729999999999999</v>
      </c>
      <c r="T19" s="527">
        <f t="shared" si="7"/>
        <v>1.0269999999999999</v>
      </c>
      <c r="U19" s="527">
        <f t="shared" si="8"/>
        <v>0.28224000000000005</v>
      </c>
      <c r="V19" s="527">
        <f t="shared" si="9"/>
        <v>0.70211000000000001</v>
      </c>
      <c r="W19" s="527">
        <f t="shared" si="10"/>
        <v>1.3551599999999999E-2</v>
      </c>
      <c r="X19" s="527">
        <f t="shared" si="11"/>
        <v>0.13350999999999999</v>
      </c>
      <c r="Y19" s="379">
        <f>VLOOKUP(C19,'[8]TAF-LF'!$B$2:$E$109,4,FALSE)</f>
        <v>0.21</v>
      </c>
      <c r="Z19" s="380">
        <f t="shared" si="12"/>
        <v>4.464194416984503E-2</v>
      </c>
      <c r="AA19" s="380">
        <f t="shared" si="13"/>
        <v>0.11105284658832866</v>
      </c>
      <c r="AB19" s="380">
        <f t="shared" si="14"/>
        <v>2.1434586543795059E-3</v>
      </c>
      <c r="AC19" s="380">
        <f t="shared" si="15"/>
        <v>2.2236513967971067E-2</v>
      </c>
    </row>
    <row r="20" spans="1:29" s="307" customFormat="1" ht="25.5">
      <c r="A20" s="290" t="s">
        <v>912</v>
      </c>
      <c r="B20" s="290" t="s">
        <v>721</v>
      </c>
      <c r="C20" s="378">
        <v>2270003010</v>
      </c>
      <c r="D20" s="379" t="s">
        <v>327</v>
      </c>
      <c r="E20" s="292">
        <f>'Mobile Eqt and Vehic'!B27</f>
        <v>51</v>
      </c>
      <c r="F20" s="292">
        <f>'Mobile Eqt and Vehic'!H27*SUM('Mobile Eqt and Vehic'!CI27:CT27)</f>
        <v>2880</v>
      </c>
      <c r="G20" s="379">
        <v>0.48099999999999998</v>
      </c>
      <c r="H20" s="379">
        <v>0.28000000000000003</v>
      </c>
      <c r="I20" s="379">
        <v>0.61</v>
      </c>
      <c r="J20" s="379">
        <v>9.1999999999999998E-3</v>
      </c>
      <c r="K20" s="379">
        <v>0.13</v>
      </c>
      <c r="L20" s="383">
        <v>1.0000000010000001</v>
      </c>
      <c r="M20" s="379">
        <f t="shared" si="0"/>
        <v>8.0000000000000002E-3</v>
      </c>
      <c r="N20" s="379">
        <f t="shared" si="1"/>
        <v>0.151</v>
      </c>
      <c r="O20" s="379">
        <f t="shared" si="2"/>
        <v>0.47299999999999998</v>
      </c>
      <c r="P20" s="379">
        <f t="shared" si="3"/>
        <v>2.7E-2</v>
      </c>
      <c r="Q20" s="527">
        <f t="shared" si="4"/>
        <v>1.008</v>
      </c>
      <c r="R20" s="527">
        <f t="shared" si="5"/>
        <v>1.151</v>
      </c>
      <c r="S20" s="527">
        <f t="shared" si="6"/>
        <v>1.4729999999999999</v>
      </c>
      <c r="T20" s="527">
        <f t="shared" si="7"/>
        <v>1.0269999999999999</v>
      </c>
      <c r="U20" s="527">
        <f t="shared" si="8"/>
        <v>0.28224000000000005</v>
      </c>
      <c r="V20" s="527">
        <f t="shared" si="9"/>
        <v>0.70211000000000001</v>
      </c>
      <c r="W20" s="527">
        <f t="shared" si="10"/>
        <v>1.3551599999999999E-2</v>
      </c>
      <c r="X20" s="527">
        <f t="shared" si="11"/>
        <v>0.13350999999999999</v>
      </c>
      <c r="Y20" s="379">
        <f>VLOOKUP(C20,'[8]TAF-LF'!$B$2:$E$109,4,FALSE)</f>
        <v>0.21</v>
      </c>
      <c r="Z20" s="380">
        <f t="shared" si="12"/>
        <v>2.9188963495667897E-2</v>
      </c>
      <c r="AA20" s="380">
        <f t="shared" si="13"/>
        <v>7.2611476615445675E-2</v>
      </c>
      <c r="AB20" s="380">
        <f t="shared" si="14"/>
        <v>1.4014921970942919E-3</v>
      </c>
      <c r="AC20" s="380">
        <f t="shared" si="15"/>
        <v>1.4539259132904166E-2</v>
      </c>
    </row>
    <row r="21" spans="1:29" s="307" customFormat="1" ht="25.5">
      <c r="A21" s="290" t="s">
        <v>654</v>
      </c>
      <c r="B21" s="290" t="s">
        <v>720</v>
      </c>
      <c r="C21" s="378">
        <v>2270003020</v>
      </c>
      <c r="D21" s="379" t="s">
        <v>327</v>
      </c>
      <c r="E21" s="292">
        <f>'Mobile Eqt and Vehic'!B28</f>
        <v>125</v>
      </c>
      <c r="F21" s="292">
        <f>'Mobile Eqt and Vehic'!H28*SUM('Mobile Eqt and Vehic'!CI28:CT28)</f>
        <v>7200</v>
      </c>
      <c r="G21" s="379">
        <v>0.371</v>
      </c>
      <c r="H21" s="379">
        <v>0.28000000000000003</v>
      </c>
      <c r="I21" s="379">
        <v>0.13</v>
      </c>
      <c r="J21" s="379">
        <v>9.1999999999999998E-3</v>
      </c>
      <c r="K21" s="379">
        <v>0.13</v>
      </c>
      <c r="L21" s="383">
        <v>1.0000000010000001</v>
      </c>
      <c r="M21" s="379">
        <f t="shared" si="0"/>
        <v>8.0000000000000002E-3</v>
      </c>
      <c r="N21" s="379">
        <f t="shared" si="1"/>
        <v>0.151</v>
      </c>
      <c r="O21" s="379">
        <f t="shared" si="2"/>
        <v>0.47299999999999998</v>
      </c>
      <c r="P21" s="379">
        <f t="shared" si="3"/>
        <v>2.7E-2</v>
      </c>
      <c r="Q21" s="527">
        <f t="shared" si="4"/>
        <v>1.008</v>
      </c>
      <c r="R21" s="527">
        <f t="shared" si="5"/>
        <v>1.151</v>
      </c>
      <c r="S21" s="527">
        <f t="shared" si="6"/>
        <v>1.4729999999999999</v>
      </c>
      <c r="T21" s="527">
        <f t="shared" si="7"/>
        <v>1.0269999999999999</v>
      </c>
      <c r="U21" s="527">
        <f t="shared" si="8"/>
        <v>0.28224000000000005</v>
      </c>
      <c r="V21" s="527">
        <f t="shared" si="9"/>
        <v>0.14963000000000001</v>
      </c>
      <c r="W21" s="527">
        <f t="shared" si="10"/>
        <v>1.3551599999999999E-2</v>
      </c>
      <c r="X21" s="527">
        <f t="shared" si="11"/>
        <v>0.13350999999999999</v>
      </c>
      <c r="Y21" s="379">
        <f>VLOOKUP(C21,'[8]TAF-LF'!$B$2:$E$109,4,FALSE)</f>
        <v>0.59</v>
      </c>
      <c r="Z21" s="380">
        <f t="shared" si="12"/>
        <v>0.20099776450098111</v>
      </c>
      <c r="AA21" s="380">
        <f t="shared" si="13"/>
        <v>0.10655929528869686</v>
      </c>
      <c r="AB21" s="380">
        <f t="shared" si="14"/>
        <v>9.6507982759761E-3</v>
      </c>
      <c r="AC21" s="380">
        <f t="shared" si="15"/>
        <v>0.10011861447728125</v>
      </c>
    </row>
    <row r="22" spans="1:29" s="307" customFormat="1" ht="25.5">
      <c r="A22" s="290" t="s">
        <v>658</v>
      </c>
      <c r="B22" s="290" t="s">
        <v>722</v>
      </c>
      <c r="C22" s="378">
        <v>2270002072</v>
      </c>
      <c r="D22" s="379" t="s">
        <v>327</v>
      </c>
      <c r="E22" s="292">
        <f>'Mobile Eqt and Vehic'!B32</f>
        <v>75</v>
      </c>
      <c r="F22" s="292">
        <f>'Mobile Eqt and Vehic'!H32*SUM('Mobile Eqt and Vehic'!CI32:CT32)</f>
        <v>8640</v>
      </c>
      <c r="G22" s="379">
        <v>0.48099999999999998</v>
      </c>
      <c r="H22" s="379">
        <v>0.28000000000000003</v>
      </c>
      <c r="I22" s="379">
        <v>0.61</v>
      </c>
      <c r="J22" s="379">
        <v>9.1999999999999998E-3</v>
      </c>
      <c r="K22" s="379">
        <v>0.13</v>
      </c>
      <c r="L22" s="383">
        <v>1.0000000010000001</v>
      </c>
      <c r="M22" s="379">
        <f t="shared" si="0"/>
        <v>8.0000000000000002E-3</v>
      </c>
      <c r="N22" s="379">
        <f t="shared" si="1"/>
        <v>0.151</v>
      </c>
      <c r="O22" s="379">
        <f t="shared" si="2"/>
        <v>0.47299999999999998</v>
      </c>
      <c r="P22" s="379">
        <f t="shared" si="3"/>
        <v>2.7E-2</v>
      </c>
      <c r="Q22" s="527">
        <f t="shared" si="4"/>
        <v>1.008</v>
      </c>
      <c r="R22" s="527">
        <f t="shared" si="5"/>
        <v>1.151</v>
      </c>
      <c r="S22" s="527">
        <f t="shared" si="6"/>
        <v>1.4729999999999999</v>
      </c>
      <c r="T22" s="527">
        <f t="shared" si="7"/>
        <v>1.0269999999999999</v>
      </c>
      <c r="U22" s="527">
        <f t="shared" si="8"/>
        <v>0.28224000000000005</v>
      </c>
      <c r="V22" s="527">
        <f t="shared" si="9"/>
        <v>0.70211000000000001</v>
      </c>
      <c r="W22" s="527">
        <f t="shared" si="10"/>
        <v>1.3551599999999999E-2</v>
      </c>
      <c r="X22" s="527">
        <f t="shared" si="11"/>
        <v>0.13350999999999999</v>
      </c>
      <c r="Y22" s="379">
        <f>VLOOKUP(C22,'[8]TAF-LF'!$B$2:$E$109,4,FALSE)</f>
        <v>0.21</v>
      </c>
      <c r="Z22" s="380">
        <f t="shared" si="12"/>
        <v>4.2924946317158673E-2</v>
      </c>
      <c r="AA22" s="380">
        <f t="shared" si="13"/>
        <v>0.10678158325800834</v>
      </c>
      <c r="AB22" s="380">
        <f t="shared" si="14"/>
        <v>2.0610179369033709E-3</v>
      </c>
      <c r="AC22" s="380">
        <f t="shared" si="15"/>
        <v>2.1381263430741416E-2</v>
      </c>
    </row>
    <row r="23" spans="1:29" s="307" customFormat="1" ht="25.5">
      <c r="A23" s="290" t="s">
        <v>659</v>
      </c>
      <c r="B23" s="384" t="s">
        <v>723</v>
      </c>
      <c r="C23" s="378">
        <v>2270006025</v>
      </c>
      <c r="D23" s="379" t="s">
        <v>327</v>
      </c>
      <c r="E23" s="292">
        <f>'Mobile Eqt and Vehic'!B33</f>
        <v>36</v>
      </c>
      <c r="F23" s="292">
        <f>'Mobile Eqt and Vehic'!H33*SUM('Mobile Eqt and Vehic'!CI33:CT33)</f>
        <v>8640</v>
      </c>
      <c r="G23" s="379">
        <v>0.48099999999999998</v>
      </c>
      <c r="H23" s="379">
        <v>0.28000000000000003</v>
      </c>
      <c r="I23" s="379">
        <v>0.39</v>
      </c>
      <c r="J23" s="379">
        <v>9.1999999999999998E-3</v>
      </c>
      <c r="K23" s="379">
        <v>0.13</v>
      </c>
      <c r="L23" s="383">
        <v>1.0000000010000001</v>
      </c>
      <c r="M23" s="379">
        <f t="shared" si="0"/>
        <v>8.0000000000000002E-3</v>
      </c>
      <c r="N23" s="379">
        <f t="shared" si="1"/>
        <v>0.151</v>
      </c>
      <c r="O23" s="379">
        <f t="shared" si="2"/>
        <v>0.47299999999999998</v>
      </c>
      <c r="P23" s="379">
        <f t="shared" si="3"/>
        <v>2.7E-2</v>
      </c>
      <c r="Q23" s="527">
        <f t="shared" si="4"/>
        <v>1.008</v>
      </c>
      <c r="R23" s="527">
        <f t="shared" si="5"/>
        <v>1.151</v>
      </c>
      <c r="S23" s="527">
        <f t="shared" si="6"/>
        <v>1.4729999999999999</v>
      </c>
      <c r="T23" s="527">
        <f t="shared" si="7"/>
        <v>1.0269999999999999</v>
      </c>
      <c r="U23" s="527">
        <f t="shared" si="8"/>
        <v>0.28224000000000005</v>
      </c>
      <c r="V23" s="527">
        <f t="shared" si="9"/>
        <v>0.44889000000000001</v>
      </c>
      <c r="W23" s="527">
        <f t="shared" si="10"/>
        <v>1.3551599999999999E-2</v>
      </c>
      <c r="X23" s="527">
        <f t="shared" si="11"/>
        <v>0.13350999999999999</v>
      </c>
      <c r="Y23" s="379">
        <f>VLOOKUP(C23,'[8]TAF-LF'!$B$2:$E$109,4,FALSE)</f>
        <v>0.21</v>
      </c>
      <c r="Z23" s="380">
        <f t="shared" si="12"/>
        <v>2.0603974232236161E-2</v>
      </c>
      <c r="AA23" s="380">
        <f t="shared" si="13"/>
        <v>3.2769692435900263E-2</v>
      </c>
      <c r="AB23" s="380">
        <f t="shared" si="14"/>
        <v>9.8928860971361798E-4</v>
      </c>
      <c r="AC23" s="380">
        <f t="shared" si="15"/>
        <v>1.026300644675588E-2</v>
      </c>
    </row>
    <row r="24" spans="1:29" s="307" customFormat="1" ht="13.5" thickBot="1">
      <c r="A24" s="385"/>
      <c r="B24" s="386"/>
      <c r="C24" s="387"/>
      <c r="D24" s="388"/>
      <c r="E24" s="388"/>
      <c r="F24" s="388"/>
      <c r="G24" s="388"/>
      <c r="H24" s="388"/>
      <c r="I24" s="388"/>
      <c r="J24" s="388"/>
      <c r="K24" s="388"/>
      <c r="L24" s="389"/>
      <c r="M24" s="388"/>
      <c r="N24" s="388"/>
      <c r="O24" s="388"/>
      <c r="P24" s="388"/>
      <c r="Q24" s="590"/>
      <c r="R24" s="590"/>
      <c r="S24" s="590"/>
      <c r="T24" s="590"/>
      <c r="U24" s="590"/>
      <c r="V24" s="590"/>
      <c r="W24" s="590"/>
      <c r="X24" s="590"/>
      <c r="Y24" s="388"/>
      <c r="Z24" s="391"/>
      <c r="AA24" s="391"/>
      <c r="AB24" s="391"/>
      <c r="AC24" s="391"/>
    </row>
    <row r="25" spans="1:29" ht="15.75" customHeight="1" thickBot="1">
      <c r="A25" s="743" t="s">
        <v>724</v>
      </c>
      <c r="B25" s="743" t="s">
        <v>705</v>
      </c>
      <c r="C25" s="747" t="s">
        <v>725</v>
      </c>
      <c r="D25" s="747" t="s">
        <v>985</v>
      </c>
      <c r="E25" s="749" t="s">
        <v>726</v>
      </c>
      <c r="F25" s="741"/>
      <c r="G25" s="741"/>
      <c r="H25" s="742"/>
      <c r="I25" s="749" t="s">
        <v>727</v>
      </c>
      <c r="J25" s="741"/>
      <c r="K25" s="741"/>
      <c r="L25" s="742"/>
      <c r="M25" s="388"/>
      <c r="N25" s="388"/>
      <c r="O25" s="388"/>
      <c r="P25" s="388"/>
      <c r="Q25" s="390"/>
      <c r="R25" s="390"/>
      <c r="S25" s="390"/>
      <c r="T25" s="390"/>
      <c r="Y25" s="392"/>
    </row>
    <row r="26" spans="1:29" s="394" customFormat="1" ht="12.75" customHeight="1" thickBot="1">
      <c r="A26" s="746"/>
      <c r="B26" s="746"/>
      <c r="C26" s="748"/>
      <c r="D26" s="748"/>
      <c r="E26" s="393" t="s">
        <v>298</v>
      </c>
      <c r="F26" s="393" t="s">
        <v>35</v>
      </c>
      <c r="G26" s="393" t="s">
        <v>707</v>
      </c>
      <c r="H26" s="393" t="s">
        <v>708</v>
      </c>
      <c r="I26" s="393" t="s">
        <v>298</v>
      </c>
      <c r="J26" s="393" t="s">
        <v>35</v>
      </c>
      <c r="K26" s="393" t="s">
        <v>707</v>
      </c>
      <c r="L26" s="393" t="s">
        <v>708</v>
      </c>
      <c r="M26" s="388"/>
      <c r="N26" s="388"/>
      <c r="O26" s="388"/>
      <c r="P26" s="388"/>
      <c r="Q26" s="390"/>
      <c r="R26" s="390"/>
      <c r="S26" s="390"/>
      <c r="T26" s="390"/>
      <c r="U26" s="309"/>
      <c r="V26" s="309"/>
      <c r="W26" s="309"/>
      <c r="X26" s="309"/>
      <c r="Y26" s="392"/>
    </row>
    <row r="27" spans="1:29" s="307" customFormat="1">
      <c r="A27" s="290" t="s">
        <v>913</v>
      </c>
      <c r="B27" s="379" t="s">
        <v>327</v>
      </c>
      <c r="C27" s="395">
        <f>600000/1000000</f>
        <v>0.6</v>
      </c>
      <c r="D27" s="379">
        <f>'Mobile Eqt and Vehic'!H18*SUM('Mobile Eqt and Vehic'!CI18:CT18)</f>
        <v>8640</v>
      </c>
      <c r="E27" s="380">
        <f>'[8]Heater-Engine'!$D$6</f>
        <v>0.14492753623188404</v>
      </c>
      <c r="F27" s="380">
        <f>'[8]Heater-Engine'!$D$7</f>
        <v>3.6231884057971009E-2</v>
      </c>
      <c r="G27" s="380">
        <f>'[8]Heater-Engine'!$D$9</f>
        <v>2.3913043478260867E-2</v>
      </c>
      <c r="H27" s="380">
        <f>'[8]Heater-Engine'!$D$8</f>
        <v>2.4637681159420288E-3</v>
      </c>
      <c r="I27" s="395">
        <f>$C$27*$D$27*E27/2000</f>
        <v>0.37565217391304345</v>
      </c>
      <c r="J27" s="395">
        <f>$C$27*$D$27*F27/2000</f>
        <v>9.3913043478260863E-2</v>
      </c>
      <c r="K27" s="395">
        <f>$C$27*$D$27*G27/2000</f>
        <v>6.1982608695652169E-2</v>
      </c>
      <c r="L27" s="395">
        <f>$C$27*$D$27*H27/2000</f>
        <v>6.3860869565217386E-3</v>
      </c>
      <c r="M27" s="388"/>
      <c r="N27" s="388"/>
      <c r="O27" s="388"/>
      <c r="P27" s="388"/>
      <c r="Q27" s="390"/>
      <c r="R27" s="390"/>
      <c r="S27" s="390"/>
      <c r="T27" s="390"/>
      <c r="U27" s="309"/>
      <c r="V27" s="309"/>
      <c r="W27" s="309"/>
      <c r="X27" s="309"/>
      <c r="Y27" s="392"/>
    </row>
    <row r="28" spans="1:29" s="307" customFormat="1" ht="25.5">
      <c r="A28" s="290" t="s">
        <v>645</v>
      </c>
      <c r="B28" s="379" t="s">
        <v>327</v>
      </c>
      <c r="C28" s="395">
        <f>600000/1000000</f>
        <v>0.6</v>
      </c>
      <c r="D28" s="379">
        <f>'Mobile Eqt and Vehic'!H19*SUM('Mobile Eqt and Vehic'!CI19:CT19)</f>
        <v>56160</v>
      </c>
      <c r="E28" s="395">
        <f>'[8]Heater-Engine'!$D$6</f>
        <v>0.14492753623188404</v>
      </c>
      <c r="F28" s="395">
        <f>'[8]Heater-Engine'!$D$7</f>
        <v>3.6231884057971009E-2</v>
      </c>
      <c r="G28" s="395">
        <f>'[8]Heater-Engine'!$D$9</f>
        <v>2.3913043478260867E-2</v>
      </c>
      <c r="H28" s="395">
        <f>'[8]Heater-Engine'!$D$8</f>
        <v>2.4637681159420288E-3</v>
      </c>
      <c r="I28" s="395">
        <f>$C$28*$D$28*E28/2000</f>
        <v>2.4417391304347822</v>
      </c>
      <c r="J28" s="395">
        <f>$C$28*$D$28*F28/2000</f>
        <v>0.61043478260869555</v>
      </c>
      <c r="K28" s="395">
        <f>$C$28*$D$28*G28/2000</f>
        <v>0.40288695652173906</v>
      </c>
      <c r="L28" s="395">
        <f>$C$28*$D$28*H28/2000</f>
        <v>4.1509565217391305E-2</v>
      </c>
      <c r="M28" s="388"/>
      <c r="N28" s="388"/>
      <c r="O28" s="388"/>
      <c r="P28" s="388"/>
      <c r="Q28" s="390"/>
      <c r="R28" s="390"/>
      <c r="S28" s="390"/>
      <c r="T28" s="390"/>
      <c r="U28" s="309"/>
      <c r="V28" s="309"/>
      <c r="W28" s="309"/>
      <c r="X28" s="309"/>
      <c r="Y28" s="392"/>
    </row>
    <row r="29" spans="1:29" s="307" customFormat="1" ht="13.5" thickBot="1">
      <c r="A29" s="385"/>
      <c r="B29" s="385"/>
      <c r="C29" s="296"/>
      <c r="D29" s="388"/>
      <c r="E29" s="389"/>
      <c r="F29" s="389"/>
      <c r="G29" s="388"/>
      <c r="H29" s="388"/>
      <c r="I29" s="388"/>
      <c r="J29" s="388"/>
      <c r="K29" s="388"/>
      <c r="L29" s="389"/>
      <c r="M29" s="388"/>
      <c r="N29" s="388"/>
      <c r="O29" s="388"/>
      <c r="P29" s="388"/>
      <c r="Q29" s="390"/>
      <c r="R29" s="390"/>
      <c r="S29" s="390"/>
      <c r="T29" s="390"/>
      <c r="U29" s="309"/>
      <c r="V29" s="309"/>
      <c r="W29" s="309"/>
      <c r="X29" s="309"/>
      <c r="Y29" s="392"/>
    </row>
    <row r="30" spans="1:29" s="307" customFormat="1" ht="15.75" customHeight="1" thickBot="1">
      <c r="A30" s="385"/>
      <c r="B30" s="743" t="s">
        <v>737</v>
      </c>
      <c r="C30" s="741" t="s">
        <v>727</v>
      </c>
      <c r="D30" s="741"/>
      <c r="E30" s="741"/>
      <c r="F30" s="742"/>
      <c r="G30" s="388"/>
      <c r="H30" s="388"/>
      <c r="I30" s="388"/>
      <c r="J30" s="388"/>
      <c r="K30" s="388"/>
      <c r="L30" s="389"/>
      <c r="M30" s="388"/>
      <c r="N30" s="388"/>
      <c r="O30" s="388"/>
      <c r="P30" s="388"/>
      <c r="Q30" s="390"/>
      <c r="R30" s="390"/>
      <c r="S30" s="390"/>
      <c r="T30" s="390"/>
      <c r="U30" s="309"/>
      <c r="V30" s="309"/>
      <c r="W30" s="309"/>
      <c r="X30" s="309"/>
      <c r="Y30" s="392"/>
    </row>
    <row r="31" spans="1:29" s="307" customFormat="1" ht="15.75" customHeight="1" thickBot="1">
      <c r="A31" s="385"/>
      <c r="B31" s="744"/>
      <c r="C31" s="406" t="s">
        <v>298</v>
      </c>
      <c r="D31" s="376" t="s">
        <v>35</v>
      </c>
      <c r="E31" s="376" t="s">
        <v>707</v>
      </c>
      <c r="F31" s="376" t="s">
        <v>708</v>
      </c>
      <c r="G31" s="388"/>
      <c r="H31" s="388"/>
      <c r="I31" s="388"/>
      <c r="J31" s="388"/>
      <c r="K31" s="388"/>
      <c r="L31" s="389"/>
      <c r="M31" s="388"/>
      <c r="N31" s="388"/>
      <c r="O31" s="388"/>
      <c r="P31" s="388"/>
      <c r="Q31" s="390"/>
      <c r="R31" s="390"/>
      <c r="S31" s="390"/>
      <c r="T31" s="390"/>
      <c r="U31" s="309"/>
      <c r="V31" s="309"/>
      <c r="W31" s="309"/>
      <c r="X31" s="309"/>
      <c r="Y31" s="392"/>
    </row>
    <row r="32" spans="1:29" s="307" customFormat="1" ht="15" customHeight="1" thickBot="1">
      <c r="A32" s="385"/>
      <c r="B32" s="745"/>
      <c r="C32" s="407">
        <f>SUM(Z5:Z23,I27:I28)</f>
        <v>7.5904195165041797</v>
      </c>
      <c r="D32" s="407">
        <f>SUM(AA5:AA23,J27:J28)</f>
        <v>3.2176011820736399</v>
      </c>
      <c r="E32" s="407">
        <f>SUM(AB5:AB23,K27:K28)</f>
        <v>0.69428507037685239</v>
      </c>
      <c r="F32" s="407">
        <f>SUM(AC5:AC23,L27:L28)</f>
        <v>2.4297673540965561</v>
      </c>
      <c r="G32" s="388"/>
      <c r="H32" s="388"/>
      <c r="I32" s="388"/>
      <c r="J32" s="388"/>
      <c r="K32" s="388"/>
      <c r="L32" s="389"/>
      <c r="M32" s="388"/>
      <c r="N32" s="388"/>
      <c r="O32" s="388"/>
      <c r="P32" s="388"/>
      <c r="Q32" s="390"/>
      <c r="R32" s="390"/>
      <c r="S32" s="390"/>
      <c r="T32" s="390"/>
      <c r="U32" s="309"/>
      <c r="V32" s="309"/>
      <c r="W32" s="309"/>
      <c r="X32" s="309"/>
      <c r="Y32" s="392"/>
    </row>
    <row r="33" spans="1:25" s="307" customFormat="1">
      <c r="A33" s="385"/>
      <c r="B33" s="385"/>
      <c r="C33" s="296"/>
      <c r="D33" s="388"/>
      <c r="E33" s="389"/>
      <c r="F33" s="389"/>
      <c r="G33" s="388"/>
      <c r="H33" s="388"/>
      <c r="I33" s="388"/>
      <c r="J33" s="388"/>
      <c r="K33" s="388"/>
      <c r="L33" s="389"/>
      <c r="M33" s="388"/>
      <c r="N33" s="388"/>
      <c r="O33" s="388"/>
      <c r="P33" s="388"/>
      <c r="Q33" s="390"/>
      <c r="R33" s="390"/>
      <c r="S33" s="390"/>
      <c r="T33" s="390"/>
      <c r="U33" s="309"/>
      <c r="V33" s="309"/>
      <c r="W33" s="309"/>
      <c r="X33" s="309"/>
      <c r="Y33" s="392"/>
    </row>
    <row r="34" spans="1:25" s="307" customFormat="1">
      <c r="A34" s="385"/>
      <c r="B34" s="385"/>
      <c r="C34" s="296"/>
      <c r="D34" s="388"/>
      <c r="E34" s="389"/>
      <c r="F34" s="389"/>
      <c r="G34" s="388"/>
      <c r="H34" s="388"/>
      <c r="I34" s="388"/>
      <c r="J34" s="388"/>
      <c r="K34" s="388"/>
      <c r="L34" s="389"/>
      <c r="M34" s="388"/>
      <c r="N34" s="388"/>
      <c r="O34" s="388"/>
      <c r="P34" s="388"/>
      <c r="Q34" s="390"/>
      <c r="R34" s="390"/>
      <c r="S34" s="390"/>
      <c r="T34" s="390"/>
      <c r="U34" s="309"/>
      <c r="V34" s="309"/>
      <c r="W34" s="309"/>
      <c r="X34" s="309"/>
      <c r="Y34" s="392"/>
    </row>
    <row r="35" spans="1:25">
      <c r="B35" s="309"/>
      <c r="C35" s="305" t="s">
        <v>728</v>
      </c>
      <c r="U35" s="307"/>
      <c r="V35" s="307"/>
      <c r="W35" s="307"/>
      <c r="X35" s="307"/>
      <c r="Y35" s="396"/>
    </row>
    <row r="36" spans="1:25">
      <c r="B36" s="309"/>
      <c r="C36" s="397" t="s">
        <v>729</v>
      </c>
      <c r="U36" s="307"/>
      <c r="V36" s="307"/>
      <c r="W36" s="307"/>
      <c r="X36" s="307"/>
      <c r="Y36" s="396"/>
    </row>
    <row r="37" spans="1:25" s="398" customFormat="1" ht="13.5" customHeight="1">
      <c r="A37" s="375"/>
      <c r="C37" s="397" t="s">
        <v>730</v>
      </c>
      <c r="D37" s="397"/>
      <c r="E37" s="397"/>
      <c r="F37" s="397"/>
      <c r="G37" s="397"/>
      <c r="H37" s="397"/>
      <c r="L37" s="399"/>
      <c r="M37" s="399"/>
      <c r="N37" s="399"/>
      <c r="O37" s="399"/>
      <c r="P37" s="399"/>
      <c r="U37" s="397"/>
      <c r="V37" s="397"/>
      <c r="W37" s="397"/>
      <c r="X37" s="397"/>
      <c r="Y37" s="399"/>
    </row>
    <row r="38" spans="1:25" s="398" customFormat="1" ht="11.25" hidden="1" customHeight="1">
      <c r="A38" s="375"/>
      <c r="C38" s="397" t="s">
        <v>731</v>
      </c>
      <c r="D38" s="397"/>
      <c r="E38" s="397"/>
      <c r="F38" s="397"/>
      <c r="G38" s="397"/>
      <c r="H38" s="397"/>
      <c r="L38" s="400"/>
      <c r="M38" s="400"/>
      <c r="N38" s="400"/>
      <c r="O38" s="400"/>
      <c r="P38" s="400"/>
      <c r="U38" s="397"/>
      <c r="V38" s="397"/>
      <c r="W38" s="397"/>
      <c r="X38" s="397"/>
      <c r="Y38" s="397"/>
    </row>
    <row r="39" spans="1:25" s="398" customFormat="1" ht="11.25" customHeight="1">
      <c r="A39" s="375"/>
      <c r="C39" s="398" t="s">
        <v>962</v>
      </c>
      <c r="D39" s="397"/>
      <c r="E39" s="397"/>
      <c r="F39" s="397"/>
      <c r="G39" s="397"/>
      <c r="H39" s="397"/>
      <c r="L39" s="400"/>
      <c r="M39" s="400"/>
      <c r="N39" s="400"/>
      <c r="O39" s="400"/>
      <c r="P39" s="400"/>
      <c r="U39" s="397"/>
      <c r="V39" s="397"/>
      <c r="W39" s="397"/>
      <c r="X39" s="397"/>
      <c r="Y39" s="397"/>
    </row>
    <row r="40" spans="1:25" s="398" customFormat="1" ht="11.25" customHeight="1">
      <c r="A40" s="375"/>
      <c r="C40" s="397" t="s">
        <v>732</v>
      </c>
      <c r="D40" s="397"/>
      <c r="E40" s="397"/>
      <c r="F40" s="397"/>
      <c r="G40" s="397"/>
      <c r="H40" s="397"/>
      <c r="L40" s="400"/>
      <c r="M40" s="400"/>
      <c r="N40" s="400"/>
      <c r="O40" s="400"/>
      <c r="P40" s="400"/>
      <c r="U40" s="397"/>
      <c r="V40" s="397"/>
      <c r="W40" s="397"/>
      <c r="X40" s="397"/>
      <c r="Y40" s="397"/>
    </row>
    <row r="41" spans="1:25" s="398" customFormat="1" ht="12" customHeight="1">
      <c r="A41" s="375"/>
      <c r="C41" s="397" t="s">
        <v>733</v>
      </c>
      <c r="D41" s="397"/>
      <c r="E41" s="397"/>
      <c r="F41" s="397"/>
      <c r="G41" s="397"/>
      <c r="H41" s="397"/>
      <c r="L41" s="400"/>
      <c r="M41" s="400"/>
      <c r="N41" s="400"/>
      <c r="O41" s="400"/>
      <c r="P41" s="400"/>
      <c r="U41" s="397"/>
      <c r="V41" s="397"/>
      <c r="W41" s="397"/>
      <c r="X41" s="397"/>
      <c r="Y41" s="397"/>
    </row>
    <row r="42" spans="1:25" s="398" customFormat="1" ht="12" customHeight="1">
      <c r="A42" s="375"/>
      <c r="C42" s="397" t="s">
        <v>734</v>
      </c>
      <c r="D42" s="397"/>
      <c r="E42" s="397"/>
      <c r="F42" s="397"/>
      <c r="G42" s="397"/>
      <c r="H42" s="397"/>
      <c r="L42" s="400"/>
      <c r="M42" s="400"/>
      <c r="N42" s="400"/>
      <c r="O42" s="400"/>
      <c r="P42" s="400"/>
      <c r="U42" s="397"/>
      <c r="V42" s="397"/>
      <c r="W42" s="397"/>
      <c r="X42" s="397"/>
      <c r="Y42" s="397"/>
    </row>
    <row r="43" spans="1:25" s="398" customFormat="1" ht="11.25" customHeight="1">
      <c r="A43" s="375"/>
      <c r="C43" s="401" t="s">
        <v>735</v>
      </c>
      <c r="D43" s="401"/>
      <c r="E43" s="401"/>
      <c r="F43" s="401"/>
      <c r="G43" s="401"/>
      <c r="H43" s="401"/>
      <c r="L43" s="400"/>
      <c r="M43" s="400"/>
      <c r="N43" s="400"/>
      <c r="O43" s="400"/>
      <c r="P43" s="400"/>
      <c r="U43" s="401"/>
      <c r="V43" s="401"/>
      <c r="W43" s="401"/>
      <c r="X43" s="401"/>
      <c r="Y43" s="401"/>
    </row>
    <row r="44" spans="1:25" s="398" customFormat="1" ht="12" customHeight="1">
      <c r="A44" s="375"/>
      <c r="C44" s="397" t="s">
        <v>736</v>
      </c>
      <c r="D44" s="397"/>
      <c r="E44" s="397"/>
      <c r="F44" s="397"/>
      <c r="G44" s="397"/>
      <c r="H44" s="397"/>
      <c r="L44" s="400"/>
      <c r="M44" s="400"/>
      <c r="N44" s="400"/>
      <c r="O44" s="400"/>
      <c r="P44" s="400"/>
      <c r="U44" s="397"/>
      <c r="V44" s="397"/>
      <c r="W44" s="397"/>
      <c r="X44" s="397"/>
      <c r="Y44" s="397"/>
    </row>
    <row r="45" spans="1:25" s="398" customFormat="1" ht="12" customHeight="1">
      <c r="A45" s="375"/>
      <c r="C45" s="532" t="s">
        <v>968</v>
      </c>
      <c r="D45" s="528"/>
      <c r="E45" s="528"/>
      <c r="F45" s="528"/>
      <c r="G45" s="528"/>
      <c r="H45" s="528"/>
      <c r="I45" s="528"/>
      <c r="J45" s="528"/>
      <c r="U45" s="403"/>
      <c r="V45" s="403"/>
      <c r="W45" s="403"/>
      <c r="X45" s="403"/>
      <c r="Y45" s="397"/>
    </row>
    <row r="46" spans="1:25" s="398" customFormat="1" ht="11.25" customHeight="1">
      <c r="A46" s="375"/>
      <c r="C46" s="530" t="s">
        <v>963</v>
      </c>
      <c r="D46" s="531"/>
      <c r="E46" s="531"/>
      <c r="F46" s="530"/>
      <c r="G46" s="530"/>
      <c r="H46" s="531"/>
      <c r="I46" s="531"/>
      <c r="J46" s="531"/>
      <c r="Y46" s="404"/>
    </row>
    <row r="47" spans="1:25" ht="12.75" customHeight="1">
      <c r="B47" s="309"/>
      <c r="C47" s="530"/>
      <c r="D47" s="531">
        <v>2.247E-2</v>
      </c>
      <c r="E47" s="531" t="s">
        <v>964</v>
      </c>
      <c r="F47" s="533"/>
      <c r="G47" s="533"/>
      <c r="H47" s="531"/>
      <c r="I47" s="531"/>
      <c r="J47" s="531"/>
      <c r="Y47" s="397"/>
    </row>
    <row r="48" spans="1:25" ht="12.75" customHeight="1">
      <c r="A48" s="309"/>
      <c r="B48" s="309"/>
      <c r="C48" s="530"/>
      <c r="D48" s="529">
        <v>0.3</v>
      </c>
      <c r="E48" s="531" t="s">
        <v>965</v>
      </c>
      <c r="F48" s="533"/>
      <c r="G48" s="533"/>
      <c r="H48" s="531"/>
      <c r="I48" s="531"/>
      <c r="J48" s="531"/>
      <c r="Y48" s="402"/>
    </row>
    <row r="49" spans="1:25" ht="12.75" customHeight="1">
      <c r="A49" s="309"/>
      <c r="B49" s="309"/>
      <c r="C49" s="531"/>
      <c r="D49" s="529">
        <v>0.03</v>
      </c>
      <c r="E49" s="531" t="s">
        <v>966</v>
      </c>
      <c r="F49" s="533"/>
      <c r="G49" s="533"/>
      <c r="H49" s="531"/>
      <c r="I49" s="531"/>
      <c r="J49" s="531"/>
      <c r="Y49" s="397"/>
    </row>
    <row r="50" spans="1:25" ht="12.75" customHeight="1">
      <c r="A50" s="309"/>
      <c r="B50" s="309"/>
      <c r="C50" s="530"/>
      <c r="D50" s="531">
        <v>1.5E-3</v>
      </c>
      <c r="E50" s="530" t="s">
        <v>967</v>
      </c>
      <c r="F50" s="533"/>
      <c r="G50" s="533"/>
      <c r="H50" s="531"/>
      <c r="I50" s="531"/>
      <c r="J50" s="531"/>
      <c r="Y50" s="402"/>
    </row>
    <row r="51" spans="1:25" ht="12.75" customHeight="1">
      <c r="A51" s="309"/>
      <c r="B51" s="309"/>
      <c r="C51" s="530"/>
      <c r="D51" s="531">
        <v>1.5E-3</v>
      </c>
      <c r="E51" s="531" t="s">
        <v>969</v>
      </c>
      <c r="F51" s="533"/>
      <c r="G51" s="533"/>
      <c r="H51" s="531"/>
      <c r="I51" s="531"/>
      <c r="J51" s="531"/>
      <c r="Y51" s="402"/>
    </row>
    <row r="52" spans="1:25">
      <c r="A52" s="309"/>
      <c r="C52" s="532" t="s">
        <v>971</v>
      </c>
      <c r="I52" s="405"/>
      <c r="J52" s="405"/>
      <c r="K52" s="405"/>
    </row>
    <row r="128" spans="1:25" s="307" customFormat="1" ht="12" customHeight="1">
      <c r="A128" s="309"/>
      <c r="B128" s="309"/>
      <c r="C128" s="309"/>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row>
  </sheetData>
  <dataConsolidate/>
  <mergeCells count="37">
    <mergeCell ref="S3:S4"/>
    <mergeCell ref="T3:T4"/>
    <mergeCell ref="U3:U4"/>
    <mergeCell ref="H2:K2"/>
    <mergeCell ref="U2:X2"/>
    <mergeCell ref="Z2:AC2"/>
    <mergeCell ref="A3:A4"/>
    <mergeCell ref="B3:B4"/>
    <mergeCell ref="C3:C4"/>
    <mergeCell ref="D3:D4"/>
    <mergeCell ref="E3:E4"/>
    <mergeCell ref="F3:F4"/>
    <mergeCell ref="H3:H4"/>
    <mergeCell ref="I3:I4"/>
    <mergeCell ref="J3:J4"/>
    <mergeCell ref="K3:K4"/>
    <mergeCell ref="L3:L4"/>
    <mergeCell ref="Q3:Q4"/>
    <mergeCell ref="Q2:T2"/>
    <mergeCell ref="G3:G4"/>
    <mergeCell ref="R3:R4"/>
    <mergeCell ref="C30:F30"/>
    <mergeCell ref="B30:B32"/>
    <mergeCell ref="AB3:AB4"/>
    <mergeCell ref="AC3:AC4"/>
    <mergeCell ref="A25:A26"/>
    <mergeCell ref="B25:B26"/>
    <mergeCell ref="C25:C26"/>
    <mergeCell ref="D25:D26"/>
    <mergeCell ref="E25:H25"/>
    <mergeCell ref="I25:L25"/>
    <mergeCell ref="V3:V4"/>
    <mergeCell ref="W3:W4"/>
    <mergeCell ref="X3:X4"/>
    <mergeCell ref="Y3:Y4"/>
    <mergeCell ref="Z3:Z4"/>
    <mergeCell ref="AA3:AA4"/>
  </mergeCells>
  <pageMargins left="1" right="0.63" top="0.55000000000000004" bottom="0.56999999999999995" header="0.39" footer="0.41"/>
  <pageSetup paperSize="3" scale="63" fitToWidth="2" fitToHeight="0" pageOrder="overThenDown" orientation="landscape" r:id="rId1"/>
  <headerFooter alignWithMargins="0">
    <oddHeader xml:space="preserve">&amp;L    AECOM&amp;RB-&amp;P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AE44"/>
  <sheetViews>
    <sheetView showGridLines="0" zoomScale="70" zoomScaleNormal="70" workbookViewId="0">
      <pane xSplit="3" ySplit="5" topLeftCell="G6" activePane="bottomRight" state="frozen"/>
      <selection pane="topRight" activeCell="D1" sqref="D1"/>
      <selection pane="bottomLeft" activeCell="A6" sqref="A6"/>
      <selection pane="bottomRight" activeCell="B23" sqref="B23"/>
    </sheetView>
  </sheetViews>
  <sheetFormatPr defaultRowHeight="15"/>
  <cols>
    <col min="1" max="1" width="15" customWidth="1"/>
    <col min="2" max="2" width="66.7109375" customWidth="1"/>
    <col min="3" max="3" width="13.28515625" customWidth="1"/>
    <col min="4" max="4" width="10" bestFit="1" customWidth="1"/>
    <col min="5" max="5" width="9.42578125" bestFit="1" customWidth="1"/>
    <col min="6" max="6" width="10" bestFit="1" customWidth="1"/>
    <col min="7" max="7" width="11.140625" bestFit="1" customWidth="1"/>
    <col min="8" max="8" width="10.28515625" bestFit="1" customWidth="1"/>
    <col min="9" max="9" width="10" bestFit="1" customWidth="1"/>
    <col min="10" max="11" width="9.42578125" bestFit="1" customWidth="1"/>
    <col min="12" max="12" width="10.28515625" bestFit="1" customWidth="1"/>
    <col min="13" max="14" width="9.42578125" bestFit="1" customWidth="1"/>
    <col min="15" max="15" width="10.28515625" bestFit="1" customWidth="1"/>
    <col min="16" max="19" width="9.42578125" bestFit="1" customWidth="1"/>
    <col min="20" max="20" width="14.5703125" hidden="1" customWidth="1"/>
    <col min="21" max="21" width="13.42578125" bestFit="1" customWidth="1"/>
    <col min="22" max="22" width="8.42578125" hidden="1" customWidth="1"/>
    <col min="23" max="23" width="11.28515625" bestFit="1" customWidth="1"/>
    <col min="24" max="24" width="8.42578125" hidden="1" customWidth="1"/>
    <col min="25" max="25" width="11.28515625" bestFit="1" customWidth="1"/>
    <col min="26" max="26" width="13.85546875" hidden="1" customWidth="1"/>
    <col min="27" max="27" width="13.7109375" bestFit="1" customWidth="1"/>
    <col min="31" max="31" width="10.42578125" customWidth="1"/>
  </cols>
  <sheetData>
    <row r="2" spans="1:31">
      <c r="A2" s="158"/>
      <c r="B2" s="159" t="s">
        <v>401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row>
    <row r="3" spans="1:31">
      <c r="A3" s="633" t="s">
        <v>386</v>
      </c>
      <c r="B3" s="633" t="s">
        <v>387</v>
      </c>
      <c r="C3" s="634" t="s">
        <v>388</v>
      </c>
      <c r="D3" s="633" t="s">
        <v>389</v>
      </c>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row>
    <row r="4" spans="1:31" ht="25.5" customHeight="1">
      <c r="A4" s="633"/>
      <c r="B4" s="633"/>
      <c r="C4" s="634"/>
      <c r="D4" s="635" t="s">
        <v>390</v>
      </c>
      <c r="E4" s="636"/>
      <c r="F4" s="637" t="s">
        <v>35</v>
      </c>
      <c r="G4" s="638"/>
      <c r="H4" s="639"/>
      <c r="I4" s="640" t="s">
        <v>393</v>
      </c>
      <c r="J4" s="641"/>
      <c r="K4" s="637" t="s">
        <v>392</v>
      </c>
      <c r="L4" s="638"/>
      <c r="M4" s="639"/>
      <c r="N4" s="637" t="s">
        <v>391</v>
      </c>
      <c r="O4" s="638"/>
      <c r="P4" s="639"/>
      <c r="Q4" s="635" t="s">
        <v>405</v>
      </c>
      <c r="R4" s="636"/>
      <c r="S4" s="636"/>
      <c r="T4" s="19"/>
      <c r="U4" s="560" t="s">
        <v>689</v>
      </c>
      <c r="V4" s="556"/>
      <c r="W4" s="560" t="s">
        <v>690</v>
      </c>
      <c r="X4" s="556"/>
      <c r="Y4" s="560" t="s">
        <v>691</v>
      </c>
      <c r="Z4" s="556"/>
      <c r="AA4" s="560" t="s">
        <v>987</v>
      </c>
      <c r="AB4" s="644" t="s">
        <v>409</v>
      </c>
      <c r="AC4" s="644"/>
      <c r="AD4" s="642" t="s">
        <v>410</v>
      </c>
      <c r="AE4" s="643"/>
    </row>
    <row r="5" spans="1:31">
      <c r="A5" s="633"/>
      <c r="B5" s="633"/>
      <c r="C5" s="634"/>
      <c r="D5" s="164" t="s">
        <v>394</v>
      </c>
      <c r="E5" s="164" t="s">
        <v>395</v>
      </c>
      <c r="F5" s="164" t="s">
        <v>394</v>
      </c>
      <c r="G5" s="164" t="s">
        <v>397</v>
      </c>
      <c r="H5" s="164" t="s">
        <v>395</v>
      </c>
      <c r="I5" s="165" t="s">
        <v>394</v>
      </c>
      <c r="J5" s="165" t="s">
        <v>395</v>
      </c>
      <c r="K5" s="164" t="s">
        <v>394</v>
      </c>
      <c r="L5" s="164" t="s">
        <v>396</v>
      </c>
      <c r="M5" s="164" t="s">
        <v>395</v>
      </c>
      <c r="N5" s="164" t="s">
        <v>394</v>
      </c>
      <c r="O5" s="164" t="s">
        <v>396</v>
      </c>
      <c r="P5" s="164" t="s">
        <v>395</v>
      </c>
      <c r="Q5" s="164" t="s">
        <v>394</v>
      </c>
      <c r="R5" s="164" t="s">
        <v>396</v>
      </c>
      <c r="S5" s="164" t="s">
        <v>395</v>
      </c>
      <c r="T5" s="165" t="s">
        <v>394</v>
      </c>
      <c r="U5" s="165" t="s">
        <v>919</v>
      </c>
      <c r="V5" s="165" t="s">
        <v>394</v>
      </c>
      <c r="W5" s="165" t="s">
        <v>918</v>
      </c>
      <c r="X5" s="165" t="s">
        <v>394</v>
      </c>
      <c r="Y5" s="165" t="s">
        <v>918</v>
      </c>
      <c r="Z5" s="165" t="s">
        <v>394</v>
      </c>
      <c r="AA5" s="165" t="s">
        <v>918</v>
      </c>
      <c r="AB5" s="177" t="s">
        <v>394</v>
      </c>
      <c r="AC5" s="177" t="s">
        <v>395</v>
      </c>
      <c r="AD5" s="177" t="s">
        <v>394</v>
      </c>
      <c r="AE5" s="177" t="s">
        <v>395</v>
      </c>
    </row>
    <row r="6" spans="1:31">
      <c r="A6" s="160" t="s">
        <v>344</v>
      </c>
      <c r="B6" s="128" t="s">
        <v>345</v>
      </c>
      <c r="C6" s="172">
        <v>8760</v>
      </c>
      <c r="D6" s="166">
        <f>'LNG Turbines'!$C$45</f>
        <v>37.639505089996554</v>
      </c>
      <c r="E6" s="161">
        <f>'LNG Turbines'!$D$56</f>
        <v>156.73533323922777</v>
      </c>
      <c r="F6" s="166">
        <f>'LNG Turbines'!$C$46</f>
        <v>63.650567362819906</v>
      </c>
      <c r="G6" s="166">
        <f>'LNG Turbines'!$C$46*$A$41</f>
        <v>509.20453890255925</v>
      </c>
      <c r="H6" s="161">
        <f>'LNG Turbines'!$D$57</f>
        <v>265.04846072295697</v>
      </c>
      <c r="I6" s="166">
        <f>'LNG Turbines'!$C$47</f>
        <v>2.6183911764705878</v>
      </c>
      <c r="J6" s="161">
        <f>'LNG Turbines'!$D$58</f>
        <v>10.909828958823526</v>
      </c>
      <c r="K6" s="166">
        <f>'LNG Turbines'!$C$48</f>
        <v>8.229229411764706</v>
      </c>
      <c r="L6" s="166">
        <f>'LNG Turbines'!$C$48*$A$43</f>
        <v>197.50150588235294</v>
      </c>
      <c r="M6" s="161">
        <f>'LNG Turbines'!$D$59</f>
        <v>34.288033870588237</v>
      </c>
      <c r="N6" s="166">
        <f>'LNG Turbines'!$C$49</f>
        <v>8.229229411764706</v>
      </c>
      <c r="O6" s="166">
        <f>'LNG Turbines'!$C$49*$A$43</f>
        <v>197.50150588235294</v>
      </c>
      <c r="P6" s="161">
        <f>'LNG Turbines'!$D$60</f>
        <v>34.288033870588237</v>
      </c>
      <c r="Q6" s="166">
        <f>'LNG Turbines'!$C$50</f>
        <v>2.9166335524003277</v>
      </c>
      <c r="R6" s="166">
        <f>'LNG Turbines'!$C$50*$A$43</f>
        <v>69.999205257607869</v>
      </c>
      <c r="S6" s="161">
        <f>'LNG Turbines'!$D$61</f>
        <v>12.150520700809214</v>
      </c>
      <c r="T6" s="166">
        <f>'LNG Turbines'!$C$51</f>
        <v>136862.00892000002</v>
      </c>
      <c r="U6" s="161">
        <f>'LNG Turbines'!$D$62</f>
        <v>517328.63280000002</v>
      </c>
      <c r="V6" s="166">
        <f>'LNG Turbines'!$C$52</f>
        <v>2.5793819999999998</v>
      </c>
      <c r="W6" s="161">
        <f>'LNG Turbines'!$D$63</f>
        <v>9.749880000000001</v>
      </c>
      <c r="X6" s="166">
        <f>'LNG Turbines'!$C$53</f>
        <v>0.25793820000000001</v>
      </c>
      <c r="Y6" s="161">
        <f>'LNG Turbines'!$D$64</f>
        <v>0.97498800000000008</v>
      </c>
      <c r="Z6" s="166">
        <f>'LNG Turbines'!$C$54</f>
        <v>137003.35905360003</v>
      </c>
      <c r="AA6" s="161">
        <f>'LNG Turbines'!$D$65</f>
        <v>517862.926224</v>
      </c>
      <c r="AB6" s="166">
        <f>AC6*2000/C6</f>
        <v>0.79022999999999999</v>
      </c>
      <c r="AC6" s="166">
        <f>'LNG HAPs Calc'!$C$34</f>
        <v>3.4612073999999997</v>
      </c>
      <c r="AD6" s="166">
        <f>AE6*2000/C6</f>
        <v>1.1434182900000001</v>
      </c>
      <c r="AE6" s="166">
        <f>'LNG HAPs Calc'!$C$77</f>
        <v>5.0081721102000003</v>
      </c>
    </row>
    <row r="7" spans="1:31">
      <c r="A7" s="160" t="s">
        <v>339</v>
      </c>
      <c r="B7" s="128" t="s">
        <v>346</v>
      </c>
      <c r="C7" s="172">
        <v>8760</v>
      </c>
      <c r="D7" s="166">
        <f>'LNG Turbines'!$C$45</f>
        <v>37.639505089996554</v>
      </c>
      <c r="E7" s="161">
        <f>'LNG Turbines'!$D$56</f>
        <v>156.73533323922777</v>
      </c>
      <c r="F7" s="166">
        <f>'LNG Turbines'!$C$46</f>
        <v>63.650567362819906</v>
      </c>
      <c r="G7" s="166">
        <f>'LNG Turbines'!$C$46*$A$41</f>
        <v>509.20453890255925</v>
      </c>
      <c r="H7" s="161">
        <f>'LNG Turbines'!$D$57</f>
        <v>265.04846072295697</v>
      </c>
      <c r="I7" s="166">
        <f>'LNG Turbines'!$C$47</f>
        <v>2.6183911764705878</v>
      </c>
      <c r="J7" s="161">
        <f>'LNG Turbines'!$D$58</f>
        <v>10.909828958823526</v>
      </c>
      <c r="K7" s="166">
        <f>'LNG Turbines'!$C$48</f>
        <v>8.229229411764706</v>
      </c>
      <c r="L7" s="166">
        <f>'LNG Turbines'!$C$48*$A$43</f>
        <v>197.50150588235294</v>
      </c>
      <c r="M7" s="161">
        <f>'LNG Turbines'!$D$59</f>
        <v>34.288033870588237</v>
      </c>
      <c r="N7" s="166">
        <f>'LNG Turbines'!$C$49</f>
        <v>8.229229411764706</v>
      </c>
      <c r="O7" s="166">
        <f>'LNG Turbines'!$C$49*$A$43</f>
        <v>197.50150588235294</v>
      </c>
      <c r="P7" s="161">
        <f>'LNG Turbines'!$D$60</f>
        <v>34.288033870588237</v>
      </c>
      <c r="Q7" s="166">
        <f>'LNG Turbines'!$C$50</f>
        <v>2.9166335524003277</v>
      </c>
      <c r="R7" s="166">
        <f>'LNG Turbines'!$C$50*$A$43</f>
        <v>69.999205257607869</v>
      </c>
      <c r="S7" s="161">
        <f>'LNG Turbines'!$D$61</f>
        <v>12.150520700809214</v>
      </c>
      <c r="T7" s="166">
        <f>'LNG Turbines'!$C$51</f>
        <v>136862.00892000002</v>
      </c>
      <c r="U7" s="161">
        <f>'LNG Turbines'!$D$62</f>
        <v>517328.63280000002</v>
      </c>
      <c r="V7" s="166">
        <f>'LNG Turbines'!$C$52</f>
        <v>2.5793819999999998</v>
      </c>
      <c r="W7" s="161">
        <f>'LNG Turbines'!$D$63</f>
        <v>9.749880000000001</v>
      </c>
      <c r="X7" s="166">
        <f>'LNG Turbines'!$C$53</f>
        <v>0.25793820000000001</v>
      </c>
      <c r="Y7" s="161">
        <f>'LNG Turbines'!$D$64</f>
        <v>0.97498800000000008</v>
      </c>
      <c r="Z7" s="166">
        <f>'LNG Turbines'!$C$54</f>
        <v>137003.35905360003</v>
      </c>
      <c r="AA7" s="161">
        <f>'LNG Turbines'!$D$65</f>
        <v>517862.926224</v>
      </c>
      <c r="AB7" s="166">
        <f t="shared" ref="AB7:AB32" si="0">AC7*2000/C7</f>
        <v>0.79022999999999999</v>
      </c>
      <c r="AC7" s="166">
        <f>'LNG HAPs Calc'!$D$34</f>
        <v>3.4612073999999997</v>
      </c>
      <c r="AD7" s="166">
        <f t="shared" ref="AD7:AD32" si="1">AE7*2000/C7</f>
        <v>1.1434182900000001</v>
      </c>
      <c r="AE7" s="166">
        <f>'LNG HAPs Calc'!$D$77</f>
        <v>5.0081721102000003</v>
      </c>
    </row>
    <row r="8" spans="1:31">
      <c r="A8" s="160" t="s">
        <v>340</v>
      </c>
      <c r="B8" s="128" t="s">
        <v>347</v>
      </c>
      <c r="C8" s="172">
        <v>8760</v>
      </c>
      <c r="D8" s="166">
        <f>'LNG Turbines'!$C$45</f>
        <v>37.639505089996554</v>
      </c>
      <c r="E8" s="161">
        <f>'LNG Turbines'!$D$56</f>
        <v>156.73533323922777</v>
      </c>
      <c r="F8" s="166">
        <f>'LNG Turbines'!$C$46</f>
        <v>63.650567362819906</v>
      </c>
      <c r="G8" s="166">
        <f>'LNG Turbines'!$C$46*$A$41</f>
        <v>509.20453890255925</v>
      </c>
      <c r="H8" s="161">
        <f>'LNG Turbines'!$D$57</f>
        <v>265.04846072295697</v>
      </c>
      <c r="I8" s="166">
        <f>'LNG Turbines'!$C$47</f>
        <v>2.6183911764705878</v>
      </c>
      <c r="J8" s="161">
        <f>'LNG Turbines'!$D$58</f>
        <v>10.909828958823526</v>
      </c>
      <c r="K8" s="166">
        <f>'LNG Turbines'!$C$48</f>
        <v>8.229229411764706</v>
      </c>
      <c r="L8" s="166">
        <f>'LNG Turbines'!$C$48*$A$43</f>
        <v>197.50150588235294</v>
      </c>
      <c r="M8" s="161">
        <f>'LNG Turbines'!$D$59</f>
        <v>34.288033870588237</v>
      </c>
      <c r="N8" s="166">
        <f>'LNG Turbines'!$C$49</f>
        <v>8.229229411764706</v>
      </c>
      <c r="O8" s="166">
        <f>'LNG Turbines'!$C$49*$A$43</f>
        <v>197.50150588235294</v>
      </c>
      <c r="P8" s="161">
        <f>'LNG Turbines'!$D$60</f>
        <v>34.288033870588237</v>
      </c>
      <c r="Q8" s="166">
        <f>'LNG Turbines'!$C$50</f>
        <v>2.9166335524003277</v>
      </c>
      <c r="R8" s="166">
        <f>'LNG Turbines'!$C$50*$A$43</f>
        <v>69.999205257607869</v>
      </c>
      <c r="S8" s="161">
        <f>'LNG Turbines'!$D$61</f>
        <v>12.150520700809214</v>
      </c>
      <c r="T8" s="166">
        <f>'LNG Turbines'!$C$51</f>
        <v>136862.00892000002</v>
      </c>
      <c r="U8" s="161">
        <f>'LNG Turbines'!$D$62</f>
        <v>517328.63280000002</v>
      </c>
      <c r="V8" s="166">
        <f>'LNG Turbines'!$C$52</f>
        <v>2.5793819999999998</v>
      </c>
      <c r="W8" s="161">
        <f>'LNG Turbines'!$D$63</f>
        <v>9.749880000000001</v>
      </c>
      <c r="X8" s="166">
        <f>'LNG Turbines'!$C$53</f>
        <v>0.25793820000000001</v>
      </c>
      <c r="Y8" s="161">
        <f>'LNG Turbines'!$D$64</f>
        <v>0.97498800000000008</v>
      </c>
      <c r="Z8" s="166">
        <f>'LNG Turbines'!$C$54</f>
        <v>137003.35905360003</v>
      </c>
      <c r="AA8" s="161">
        <f>'LNG Turbines'!$D$65</f>
        <v>517862.926224</v>
      </c>
      <c r="AB8" s="166">
        <f t="shared" si="0"/>
        <v>0.79022999999999999</v>
      </c>
      <c r="AC8" s="166">
        <f>'LNG HAPs Calc'!$E$34</f>
        <v>3.4612073999999997</v>
      </c>
      <c r="AD8" s="166">
        <f t="shared" si="1"/>
        <v>1.1434182900000001</v>
      </c>
      <c r="AE8" s="166">
        <f>'LNG HAPs Calc'!$E$77</f>
        <v>5.0081721102000003</v>
      </c>
    </row>
    <row r="9" spans="1:31">
      <c r="A9" s="160" t="s">
        <v>341</v>
      </c>
      <c r="B9" s="128" t="s">
        <v>348</v>
      </c>
      <c r="C9" s="172">
        <v>8760</v>
      </c>
      <c r="D9" s="166">
        <f>'LNG Turbines'!$C$45</f>
        <v>37.639505089996554</v>
      </c>
      <c r="E9" s="161">
        <f>'LNG Turbines'!$D$56</f>
        <v>156.73533323922777</v>
      </c>
      <c r="F9" s="166">
        <f>'LNG Turbines'!$C$46</f>
        <v>63.650567362819906</v>
      </c>
      <c r="G9" s="166">
        <f>'LNG Turbines'!$C$46*$A$41</f>
        <v>509.20453890255925</v>
      </c>
      <c r="H9" s="161">
        <f>'LNG Turbines'!$D$57</f>
        <v>265.04846072295697</v>
      </c>
      <c r="I9" s="166">
        <f>'LNG Turbines'!$C$47</f>
        <v>2.6183911764705878</v>
      </c>
      <c r="J9" s="161">
        <f>'LNG Turbines'!$D$58</f>
        <v>10.909828958823526</v>
      </c>
      <c r="K9" s="166">
        <f>'LNG Turbines'!$C$48</f>
        <v>8.229229411764706</v>
      </c>
      <c r="L9" s="166">
        <f>'LNG Turbines'!$C$48*$A$43</f>
        <v>197.50150588235294</v>
      </c>
      <c r="M9" s="161">
        <f>'LNG Turbines'!$D$59</f>
        <v>34.288033870588237</v>
      </c>
      <c r="N9" s="166">
        <f>'LNG Turbines'!$C$49</f>
        <v>8.229229411764706</v>
      </c>
      <c r="O9" s="166">
        <f>'LNG Turbines'!$C$49*$A$43</f>
        <v>197.50150588235294</v>
      </c>
      <c r="P9" s="161">
        <f>'LNG Turbines'!$D$60</f>
        <v>34.288033870588237</v>
      </c>
      <c r="Q9" s="166">
        <f>'LNG Turbines'!$C$50</f>
        <v>2.9166335524003277</v>
      </c>
      <c r="R9" s="166">
        <f>'LNG Turbines'!$C$50*$A$43</f>
        <v>69.999205257607869</v>
      </c>
      <c r="S9" s="161">
        <f>'LNG Turbines'!$D$61</f>
        <v>12.150520700809214</v>
      </c>
      <c r="T9" s="166">
        <f>'LNG Turbines'!$C$51</f>
        <v>136862.00892000002</v>
      </c>
      <c r="U9" s="161">
        <f>'LNG Turbines'!$D$62</f>
        <v>517328.63280000002</v>
      </c>
      <c r="V9" s="166">
        <f>'LNG Turbines'!$C$52</f>
        <v>2.5793819999999998</v>
      </c>
      <c r="W9" s="161">
        <f>'LNG Turbines'!$D$63</f>
        <v>9.749880000000001</v>
      </c>
      <c r="X9" s="166">
        <f>'LNG Turbines'!$C$53</f>
        <v>0.25793820000000001</v>
      </c>
      <c r="Y9" s="161">
        <f>'LNG Turbines'!$D$64</f>
        <v>0.97498800000000008</v>
      </c>
      <c r="Z9" s="166">
        <f>'LNG Turbines'!$C$54</f>
        <v>137003.35905360003</v>
      </c>
      <c r="AA9" s="161">
        <f>'LNG Turbines'!$D$65</f>
        <v>517862.926224</v>
      </c>
      <c r="AB9" s="166">
        <f t="shared" si="0"/>
        <v>0.79022999999999999</v>
      </c>
      <c r="AC9" s="166">
        <f>'LNG HAPs Calc'!$F$34</f>
        <v>3.4612073999999997</v>
      </c>
      <c r="AD9" s="166">
        <f t="shared" si="1"/>
        <v>1.1434182900000001</v>
      </c>
      <c r="AE9" s="166">
        <f>'LNG HAPs Calc'!$F$77</f>
        <v>5.0081721102000003</v>
      </c>
    </row>
    <row r="10" spans="1:31">
      <c r="A10" s="160" t="s">
        <v>342</v>
      </c>
      <c r="B10" s="128" t="s">
        <v>349</v>
      </c>
      <c r="C10" s="172">
        <v>8760</v>
      </c>
      <c r="D10" s="166">
        <f>'LNG Turbines'!$C$45</f>
        <v>37.639505089996554</v>
      </c>
      <c r="E10" s="161">
        <f>'LNG Turbines'!$D$56</f>
        <v>156.73533323922777</v>
      </c>
      <c r="F10" s="166">
        <f>'LNG Turbines'!$C$46</f>
        <v>63.650567362819906</v>
      </c>
      <c r="G10" s="166">
        <f>'LNG Turbines'!$C$46*$A$41</f>
        <v>509.20453890255925</v>
      </c>
      <c r="H10" s="161">
        <f>'LNG Turbines'!$D$57</f>
        <v>265.04846072295697</v>
      </c>
      <c r="I10" s="166">
        <f>'LNG Turbines'!$C$47</f>
        <v>2.6183911764705878</v>
      </c>
      <c r="J10" s="161">
        <f>'LNG Turbines'!$D$58</f>
        <v>10.909828958823526</v>
      </c>
      <c r="K10" s="166">
        <f>'LNG Turbines'!$C$48</f>
        <v>8.229229411764706</v>
      </c>
      <c r="L10" s="166">
        <f>'LNG Turbines'!$C$48*$A$43</f>
        <v>197.50150588235294</v>
      </c>
      <c r="M10" s="161">
        <f>'LNG Turbines'!$D$59</f>
        <v>34.288033870588237</v>
      </c>
      <c r="N10" s="166">
        <f>'LNG Turbines'!$C$49</f>
        <v>8.229229411764706</v>
      </c>
      <c r="O10" s="166">
        <f>'LNG Turbines'!$C$49*$A$43</f>
        <v>197.50150588235294</v>
      </c>
      <c r="P10" s="161">
        <f>'LNG Turbines'!$D$60</f>
        <v>34.288033870588237</v>
      </c>
      <c r="Q10" s="166">
        <f>'LNG Turbines'!$C$50</f>
        <v>2.9166335524003277</v>
      </c>
      <c r="R10" s="166">
        <f>'LNG Turbines'!$C$50*$A$43</f>
        <v>69.999205257607869</v>
      </c>
      <c r="S10" s="161">
        <f>'LNG Turbines'!$D$61</f>
        <v>12.150520700809214</v>
      </c>
      <c r="T10" s="166">
        <f>'LNG Turbines'!$C$51</f>
        <v>136862.00892000002</v>
      </c>
      <c r="U10" s="161">
        <f>'LNG Turbines'!$D$62</f>
        <v>517328.63280000002</v>
      </c>
      <c r="V10" s="166">
        <f>'LNG Turbines'!$C$52</f>
        <v>2.5793819999999998</v>
      </c>
      <c r="W10" s="161">
        <f>'LNG Turbines'!$D$63</f>
        <v>9.749880000000001</v>
      </c>
      <c r="X10" s="166">
        <f>'LNG Turbines'!$C$53</f>
        <v>0.25793820000000001</v>
      </c>
      <c r="Y10" s="161">
        <f>'LNG Turbines'!$D$64</f>
        <v>0.97498800000000008</v>
      </c>
      <c r="Z10" s="166">
        <f>'LNG Turbines'!$C$54</f>
        <v>137003.35905360003</v>
      </c>
      <c r="AA10" s="161">
        <f>'LNG Turbines'!$D$65</f>
        <v>517862.926224</v>
      </c>
      <c r="AB10" s="166">
        <f t="shared" si="0"/>
        <v>0.79022999999999999</v>
      </c>
      <c r="AC10" s="166">
        <f>'LNG HAPs Calc'!$G$34</f>
        <v>3.4612073999999997</v>
      </c>
      <c r="AD10" s="166">
        <f t="shared" si="1"/>
        <v>1.1434182900000001</v>
      </c>
      <c r="AE10" s="166">
        <f>'LNG HAPs Calc'!$G$77</f>
        <v>5.0081721102000003</v>
      </c>
    </row>
    <row r="11" spans="1:31">
      <c r="A11" s="160" t="s">
        <v>343</v>
      </c>
      <c r="B11" s="128" t="s">
        <v>350</v>
      </c>
      <c r="C11" s="172">
        <v>8760</v>
      </c>
      <c r="D11" s="166">
        <f>'LNG Turbines'!$C$45</f>
        <v>37.639505089996554</v>
      </c>
      <c r="E11" s="161">
        <f>'LNG Turbines'!$D$56</f>
        <v>156.73533323922777</v>
      </c>
      <c r="F11" s="166">
        <f>'LNG Turbines'!$C$46</f>
        <v>63.650567362819906</v>
      </c>
      <c r="G11" s="166">
        <f>'LNG Turbines'!$C$46*$A$41</f>
        <v>509.20453890255925</v>
      </c>
      <c r="H11" s="161">
        <f>'LNG Turbines'!$D$57</f>
        <v>265.04846072295697</v>
      </c>
      <c r="I11" s="166">
        <f>'LNG Turbines'!$C$47</f>
        <v>2.6183911764705878</v>
      </c>
      <c r="J11" s="161">
        <f>'LNG Turbines'!$D$58</f>
        <v>10.909828958823526</v>
      </c>
      <c r="K11" s="166">
        <f>'LNG Turbines'!$C$48</f>
        <v>8.229229411764706</v>
      </c>
      <c r="L11" s="166">
        <f>'LNG Turbines'!$C$48*$A$43</f>
        <v>197.50150588235294</v>
      </c>
      <c r="M11" s="161">
        <f>'LNG Turbines'!$D$59</f>
        <v>34.288033870588237</v>
      </c>
      <c r="N11" s="166">
        <f>'LNG Turbines'!$C$49</f>
        <v>8.229229411764706</v>
      </c>
      <c r="O11" s="166">
        <f>'LNG Turbines'!$C$49*$A$43</f>
        <v>197.50150588235294</v>
      </c>
      <c r="P11" s="161">
        <f>'LNG Turbines'!$D$60</f>
        <v>34.288033870588237</v>
      </c>
      <c r="Q11" s="166">
        <f>'LNG Turbines'!$C$50</f>
        <v>2.9166335524003277</v>
      </c>
      <c r="R11" s="166">
        <f>'LNG Turbines'!$C$50*$A$43</f>
        <v>69.999205257607869</v>
      </c>
      <c r="S11" s="161">
        <f>'LNG Turbines'!$D$61</f>
        <v>12.150520700809214</v>
      </c>
      <c r="T11" s="166">
        <f>'LNG Turbines'!$C$51</f>
        <v>136862.00892000002</v>
      </c>
      <c r="U11" s="161">
        <f>'LNG Turbines'!$D$62</f>
        <v>517328.63280000002</v>
      </c>
      <c r="V11" s="166">
        <f>'LNG Turbines'!$C$52</f>
        <v>2.5793819999999998</v>
      </c>
      <c r="W11" s="161">
        <f>'LNG Turbines'!$D$63</f>
        <v>9.749880000000001</v>
      </c>
      <c r="X11" s="166">
        <f>'LNG Turbines'!$C$53</f>
        <v>0.25793820000000001</v>
      </c>
      <c r="Y11" s="161">
        <f>'LNG Turbines'!$D$64</f>
        <v>0.97498800000000008</v>
      </c>
      <c r="Z11" s="166">
        <f>'LNG Turbines'!$C$54</f>
        <v>137003.35905360003</v>
      </c>
      <c r="AA11" s="161">
        <f>'LNG Turbines'!$D$65</f>
        <v>517862.926224</v>
      </c>
      <c r="AB11" s="166">
        <f t="shared" si="0"/>
        <v>0.79022999999999999</v>
      </c>
      <c r="AC11" s="166">
        <f>'LNG HAPs Calc'!$H$34</f>
        <v>3.4612073999999997</v>
      </c>
      <c r="AD11" s="166">
        <f t="shared" si="1"/>
        <v>1.1434182900000001</v>
      </c>
      <c r="AE11" s="166">
        <f>'LNG HAPs Calc'!$H$77</f>
        <v>5.0081721102000003</v>
      </c>
    </row>
    <row r="12" spans="1:31">
      <c r="A12" s="160" t="s">
        <v>351</v>
      </c>
      <c r="B12" s="128" t="s">
        <v>335</v>
      </c>
      <c r="C12" s="172">
        <v>8760</v>
      </c>
      <c r="D12" s="166">
        <f>'LNG Turbines'!$E$45</f>
        <v>14.614020032887421</v>
      </c>
      <c r="E12" s="161">
        <f>'LNG Turbines'!$F$56</f>
        <v>52.891970018859659</v>
      </c>
      <c r="F12" s="166">
        <f>'LNG Turbines'!$E$46</f>
        <v>7.9082074161883007</v>
      </c>
      <c r="G12" s="166">
        <f>'LNG Turbines'!$E$46*$A$41</f>
        <v>63.265659329506406</v>
      </c>
      <c r="H12" s="161">
        <f>'LNG Turbines'!$F$57</f>
        <v>17.888672513562991</v>
      </c>
      <c r="I12" s="166">
        <f>'LNG Turbines'!$E$47</f>
        <v>0.96902852941176454</v>
      </c>
      <c r="J12" s="161">
        <f>'LNG Turbines'!$F$58</f>
        <v>3.7640380235294111</v>
      </c>
      <c r="K12" s="166">
        <f>'LNG Turbines'!$E$48</f>
        <v>3.0455182352941175</v>
      </c>
      <c r="L12" s="166">
        <f>'LNG Turbines'!$E$48*$A$43</f>
        <v>73.092437647058816</v>
      </c>
      <c r="M12" s="161">
        <f>'LNG Turbines'!$F$59</f>
        <v>11.829833788235295</v>
      </c>
      <c r="N12" s="166">
        <f>'LNG Turbines'!$E$49</f>
        <v>3.0455182352941175</v>
      </c>
      <c r="O12" s="166">
        <f>'LNG Turbines'!$E$49*$A$43</f>
        <v>73.092437647058816</v>
      </c>
      <c r="P12" s="161">
        <f>'LNG Turbines'!$F$60</f>
        <v>11.829833788235295</v>
      </c>
      <c r="Q12" s="166">
        <f>'LNG Turbines'!$E$50</f>
        <v>1.0782790719754816</v>
      </c>
      <c r="R12" s="166">
        <f>'LNG Turbines'!$E$50*$A$43</f>
        <v>25.878697727411556</v>
      </c>
      <c r="S12" s="161">
        <f>'LNG Turbines'!$F$61</f>
        <v>4.1892506105689451</v>
      </c>
      <c r="T12" s="166">
        <f>'LNG Turbines'!$E$51</f>
        <v>50650.640908000001</v>
      </c>
      <c r="U12" s="161">
        <f>'LNG Turbines'!$F$62</f>
        <v>178485.35040000002</v>
      </c>
      <c r="V12" s="166">
        <f>'LNG Turbines'!$E$52</f>
        <v>0.95459179999999999</v>
      </c>
      <c r="W12" s="161">
        <f>'LNG Turbines'!$F$63</f>
        <v>3.3638400000000002</v>
      </c>
      <c r="X12" s="166">
        <f>'LNG Turbines'!$E$53</f>
        <v>9.5459180000000018E-2</v>
      </c>
      <c r="Y12" s="161">
        <f>'LNG Turbines'!$F$64</f>
        <v>0.33638400000000007</v>
      </c>
      <c r="Z12" s="166">
        <f>'LNG Turbines'!$E$54</f>
        <v>50702.952538640006</v>
      </c>
      <c r="AA12" s="161">
        <f>'LNG Turbines'!$F$65</f>
        <v>178669.68883200001</v>
      </c>
      <c r="AB12" s="166">
        <f t="shared" si="0"/>
        <v>0.27263999999999999</v>
      </c>
      <c r="AC12" s="166">
        <f>'LNG HAPs Calc'!$I$34</f>
        <v>1.1941632</v>
      </c>
      <c r="AD12" s="166">
        <f t="shared" si="1"/>
        <v>0.39449471999999997</v>
      </c>
      <c r="AE12" s="166">
        <f>'LNG HAPs Calc'!$I$77</f>
        <v>1.7278868735999999</v>
      </c>
    </row>
    <row r="13" spans="1:31">
      <c r="A13" s="160" t="s">
        <v>352</v>
      </c>
      <c r="B13" s="128" t="s">
        <v>335</v>
      </c>
      <c r="C13" s="172">
        <v>8760</v>
      </c>
      <c r="D13" s="166">
        <f>'LNG Turbines'!$E$45</f>
        <v>14.614020032887421</v>
      </c>
      <c r="E13" s="161">
        <f>'LNG Turbines'!$F$56</f>
        <v>52.891970018859659</v>
      </c>
      <c r="F13" s="166">
        <f>'LNG Turbines'!$E$46</f>
        <v>7.9082074161883007</v>
      </c>
      <c r="G13" s="166">
        <f>'LNG Turbines'!$E$46*$A$41</f>
        <v>63.265659329506406</v>
      </c>
      <c r="H13" s="161">
        <f>'LNG Turbines'!$F$57</f>
        <v>17.888672513562991</v>
      </c>
      <c r="I13" s="166">
        <f>'LNG Turbines'!$E$47</f>
        <v>0.96902852941176454</v>
      </c>
      <c r="J13" s="161">
        <f>'LNG Turbines'!$F$58</f>
        <v>3.7640380235294111</v>
      </c>
      <c r="K13" s="166">
        <f>'LNG Turbines'!$E$48</f>
        <v>3.0455182352941175</v>
      </c>
      <c r="L13" s="166">
        <f>'LNG Turbines'!$E$48*$A$43</f>
        <v>73.092437647058816</v>
      </c>
      <c r="M13" s="161">
        <f>'LNG Turbines'!$F$59</f>
        <v>11.829833788235295</v>
      </c>
      <c r="N13" s="166">
        <f>'LNG Turbines'!$E$49</f>
        <v>3.0455182352941175</v>
      </c>
      <c r="O13" s="166">
        <f>'LNG Turbines'!$E$49*$A$43</f>
        <v>73.092437647058816</v>
      </c>
      <c r="P13" s="161">
        <f>'LNG Turbines'!$F$60</f>
        <v>11.829833788235295</v>
      </c>
      <c r="Q13" s="166">
        <f>'LNG Turbines'!$E$50</f>
        <v>1.0782790719754816</v>
      </c>
      <c r="R13" s="166">
        <f>'LNG Turbines'!$E$50*$A$43</f>
        <v>25.878697727411556</v>
      </c>
      <c r="S13" s="161">
        <f>'LNG Turbines'!$F$61</f>
        <v>4.1892506105689451</v>
      </c>
      <c r="T13" s="166">
        <f>'LNG Turbines'!$E$51</f>
        <v>50650.640908000001</v>
      </c>
      <c r="U13" s="161">
        <f>'LNG Turbines'!$F$62</f>
        <v>178485.35040000002</v>
      </c>
      <c r="V13" s="166">
        <f>'LNG Turbines'!$E$52</f>
        <v>0.95459179999999999</v>
      </c>
      <c r="W13" s="161">
        <f>'LNG Turbines'!$F$63</f>
        <v>3.3638400000000002</v>
      </c>
      <c r="X13" s="166">
        <f>'LNG Turbines'!$E$53</f>
        <v>9.5459180000000018E-2</v>
      </c>
      <c r="Y13" s="161">
        <f>'LNG Turbines'!$F$64</f>
        <v>0.33638400000000007</v>
      </c>
      <c r="Z13" s="166">
        <f>'LNG Turbines'!$E$54</f>
        <v>50702.952538640006</v>
      </c>
      <c r="AA13" s="161">
        <f>'LNG Turbines'!$F$65</f>
        <v>178669.68883200001</v>
      </c>
      <c r="AB13" s="166">
        <f t="shared" si="0"/>
        <v>0.27263999999999999</v>
      </c>
      <c r="AC13" s="166">
        <f>'LNG HAPs Calc'!$J$34</f>
        <v>1.1941632</v>
      </c>
      <c r="AD13" s="166">
        <f t="shared" si="1"/>
        <v>0.39449471999999997</v>
      </c>
      <c r="AE13" s="166">
        <f>'LNG HAPs Calc'!$J$77</f>
        <v>1.7278868735999999</v>
      </c>
    </row>
    <row r="14" spans="1:31">
      <c r="A14" s="160" t="s">
        <v>353</v>
      </c>
      <c r="B14" s="128" t="s">
        <v>335</v>
      </c>
      <c r="C14" s="172">
        <v>8760</v>
      </c>
      <c r="D14" s="166">
        <f>'LNG Turbines'!$E$45</f>
        <v>14.614020032887421</v>
      </c>
      <c r="E14" s="161">
        <f>'LNG Turbines'!$F$56</f>
        <v>52.891970018859659</v>
      </c>
      <c r="F14" s="166">
        <f>'LNG Turbines'!$E$46</f>
        <v>7.9082074161883007</v>
      </c>
      <c r="G14" s="166">
        <f>'LNG Turbines'!$E$46*$A$41</f>
        <v>63.265659329506406</v>
      </c>
      <c r="H14" s="161">
        <f>'LNG Turbines'!$F$57</f>
        <v>17.888672513562991</v>
      </c>
      <c r="I14" s="166">
        <f>'LNG Turbines'!$E$47</f>
        <v>0.96902852941176454</v>
      </c>
      <c r="J14" s="161">
        <f>'LNG Turbines'!$F$58</f>
        <v>3.7640380235294111</v>
      </c>
      <c r="K14" s="166">
        <f>'LNG Turbines'!$E$48</f>
        <v>3.0455182352941175</v>
      </c>
      <c r="L14" s="166">
        <f>'LNG Turbines'!$E$48*$A$43</f>
        <v>73.092437647058816</v>
      </c>
      <c r="M14" s="161">
        <f>'LNG Turbines'!$F$59</f>
        <v>11.829833788235295</v>
      </c>
      <c r="N14" s="166">
        <f>'LNG Turbines'!$E$49</f>
        <v>3.0455182352941175</v>
      </c>
      <c r="O14" s="166">
        <f>'LNG Turbines'!$E$49*$A$43</f>
        <v>73.092437647058816</v>
      </c>
      <c r="P14" s="161">
        <f>'LNG Turbines'!$F$60</f>
        <v>11.829833788235295</v>
      </c>
      <c r="Q14" s="166">
        <f>'LNG Turbines'!$E$50</f>
        <v>1.0782790719754816</v>
      </c>
      <c r="R14" s="166">
        <f>'LNG Turbines'!$E$50*$A$43</f>
        <v>25.878697727411556</v>
      </c>
      <c r="S14" s="161">
        <f>'LNG Turbines'!$F$61</f>
        <v>4.1892506105689451</v>
      </c>
      <c r="T14" s="166">
        <f>'LNG Turbines'!$E$51</f>
        <v>50650.640908000001</v>
      </c>
      <c r="U14" s="161">
        <f>'LNG Turbines'!$F$62</f>
        <v>178485.35040000002</v>
      </c>
      <c r="V14" s="166">
        <f>'LNG Turbines'!$E$52</f>
        <v>0.95459179999999999</v>
      </c>
      <c r="W14" s="161">
        <f>'LNG Turbines'!$F$63</f>
        <v>3.3638400000000002</v>
      </c>
      <c r="X14" s="166">
        <f>'LNG Turbines'!$E$53</f>
        <v>9.5459180000000018E-2</v>
      </c>
      <c r="Y14" s="161">
        <f>'LNG Turbines'!$F$64</f>
        <v>0.33638400000000007</v>
      </c>
      <c r="Z14" s="166">
        <f>'LNG Turbines'!$E$54</f>
        <v>50702.952538640006</v>
      </c>
      <c r="AA14" s="161">
        <f>'LNG Turbines'!$F$65</f>
        <v>178669.68883200001</v>
      </c>
      <c r="AB14" s="166">
        <f t="shared" si="0"/>
        <v>0.27263999999999999</v>
      </c>
      <c r="AC14" s="166">
        <f>'LNG HAPs Calc'!$K$34</f>
        <v>1.1941632</v>
      </c>
      <c r="AD14" s="166">
        <f t="shared" si="1"/>
        <v>0.39449471999999997</v>
      </c>
      <c r="AE14" s="166">
        <f>'LNG HAPs Calc'!$K$77</f>
        <v>1.7278868735999999</v>
      </c>
    </row>
    <row r="15" spans="1:31">
      <c r="A15" s="160" t="s">
        <v>354</v>
      </c>
      <c r="B15" s="128" t="s">
        <v>335</v>
      </c>
      <c r="C15" s="172">
        <v>8760</v>
      </c>
      <c r="D15" s="166">
        <f>'LNG Turbines'!$E$45</f>
        <v>14.614020032887421</v>
      </c>
      <c r="E15" s="161">
        <f>'LNG Turbines'!$F$56</f>
        <v>52.891970018859659</v>
      </c>
      <c r="F15" s="166">
        <f>'LNG Turbines'!$E$46</f>
        <v>7.9082074161883007</v>
      </c>
      <c r="G15" s="166">
        <f>'LNG Turbines'!$E$46*$A$41</f>
        <v>63.265659329506406</v>
      </c>
      <c r="H15" s="161">
        <f>'LNG Turbines'!$F$57</f>
        <v>17.888672513562991</v>
      </c>
      <c r="I15" s="166">
        <f>'LNG Turbines'!$E$47</f>
        <v>0.96902852941176454</v>
      </c>
      <c r="J15" s="161">
        <f>'LNG Turbines'!$F$58</f>
        <v>3.7640380235294111</v>
      </c>
      <c r="K15" s="166">
        <f>'LNG Turbines'!$E$48</f>
        <v>3.0455182352941175</v>
      </c>
      <c r="L15" s="166">
        <f>'LNG Turbines'!$E$48*$A$43</f>
        <v>73.092437647058816</v>
      </c>
      <c r="M15" s="161">
        <f>'LNG Turbines'!$F$59</f>
        <v>11.829833788235295</v>
      </c>
      <c r="N15" s="166">
        <f>'LNG Turbines'!$E$49</f>
        <v>3.0455182352941175</v>
      </c>
      <c r="O15" s="166">
        <f>'LNG Turbines'!$E$49*$A$43</f>
        <v>73.092437647058816</v>
      </c>
      <c r="P15" s="161">
        <f>'LNG Turbines'!$F$60</f>
        <v>11.829833788235295</v>
      </c>
      <c r="Q15" s="166">
        <f>'LNG Turbines'!$E$50</f>
        <v>1.0782790719754816</v>
      </c>
      <c r="R15" s="166">
        <f>'LNG Turbines'!$E$50*$A$43</f>
        <v>25.878697727411556</v>
      </c>
      <c r="S15" s="161">
        <f>'LNG Turbines'!$F$61</f>
        <v>4.1892506105689451</v>
      </c>
      <c r="T15" s="166">
        <f>'LNG Turbines'!$E$51</f>
        <v>50650.640908000001</v>
      </c>
      <c r="U15" s="161">
        <f>'LNG Turbines'!$F$62</f>
        <v>178485.35040000002</v>
      </c>
      <c r="V15" s="166">
        <f>'LNG Turbines'!$E$52</f>
        <v>0.95459179999999999</v>
      </c>
      <c r="W15" s="161">
        <f>'LNG Turbines'!$F$63</f>
        <v>3.3638400000000002</v>
      </c>
      <c r="X15" s="166">
        <f>'LNG Turbines'!$E$53</f>
        <v>9.5459180000000018E-2</v>
      </c>
      <c r="Y15" s="161">
        <f>'LNG Turbines'!$F$64</f>
        <v>0.33638400000000007</v>
      </c>
      <c r="Z15" s="166">
        <f>'LNG Turbines'!$E$54</f>
        <v>50702.952538640006</v>
      </c>
      <c r="AA15" s="161">
        <f>'LNG Turbines'!$F$65</f>
        <v>178669.68883200001</v>
      </c>
      <c r="AB15" s="166">
        <f t="shared" si="0"/>
        <v>0.27263999999999999</v>
      </c>
      <c r="AC15" s="166">
        <f>'LNG HAPs Calc'!$L$34</f>
        <v>1.1941632</v>
      </c>
      <c r="AD15" s="166">
        <f t="shared" si="1"/>
        <v>0.39449471999999997</v>
      </c>
      <c r="AE15" s="166">
        <f>'LNG HAPs Calc'!$L$77</f>
        <v>1.7278868735999999</v>
      </c>
    </row>
    <row r="16" spans="1:31">
      <c r="A16" s="160" t="s">
        <v>355</v>
      </c>
      <c r="B16" s="128" t="s">
        <v>411</v>
      </c>
      <c r="C16" s="172">
        <v>500</v>
      </c>
      <c r="D16" s="166">
        <f>'LNG Diesel Equip'!$C$38</f>
        <v>0.2465993518375626</v>
      </c>
      <c r="E16" s="161">
        <f>'LNG Diesel Equip'!$C$49</f>
        <v>6.1649837959390649E-2</v>
      </c>
      <c r="F16" s="166">
        <f>'LNG Diesel Equip'!$C$39</f>
        <v>2.1577443285786724</v>
      </c>
      <c r="G16" s="166">
        <f>'LNG Diesel Equip'!$C$39*$A$41</f>
        <v>17.261954628629379</v>
      </c>
      <c r="H16" s="161">
        <f>'LNG Diesel Equip'!$C$50</f>
        <v>0.53943608214466809</v>
      </c>
      <c r="I16" s="166">
        <f>'LNG Diesel Equip'!$C$40</f>
        <v>0.11713469212284223</v>
      </c>
      <c r="J16" s="161">
        <f>'LNG Diesel Equip'!$C$51</f>
        <v>2.9283673030710559E-2</v>
      </c>
      <c r="K16" s="166">
        <f>'LNG Diesel Equip'!$C$41</f>
        <v>1.2329967591878127E-2</v>
      </c>
      <c r="L16" s="166">
        <f>'LNG Diesel Equip'!$C$41*$A$42</f>
        <v>0.29591922220507505</v>
      </c>
      <c r="M16" s="578">
        <f>'LNG Diesel Equip'!$C$52</f>
        <v>3.0824918979695318E-3</v>
      </c>
      <c r="N16" s="166">
        <f>'LNG Diesel Equip'!$C$42</f>
        <v>1.2329967591878127E-2</v>
      </c>
      <c r="O16" s="166">
        <f>'LNG Diesel Equip'!$C$42*$A$42</f>
        <v>0.29591922220507505</v>
      </c>
      <c r="P16" s="161">
        <f>'LNG Diesel Equip'!$C$53</f>
        <v>3.0824918979695318E-3</v>
      </c>
      <c r="Q16" s="166">
        <f>'LNG Diesel Equip'!$C$43</f>
        <v>2.9311442803430132E-3</v>
      </c>
      <c r="R16" s="166">
        <f>'LNG Diesel Equip'!$C$43*$A$42</f>
        <v>7.0347462728232321E-2</v>
      </c>
      <c r="S16" s="578">
        <f>'LNG Diesel Equip'!$C$54</f>
        <v>7.3278607008575331E-4</v>
      </c>
      <c r="T16" s="166">
        <f>'LNG Diesel Equip'!$C$44</f>
        <v>342.40965360000001</v>
      </c>
      <c r="U16" s="161">
        <f>'LNG Diesel Equip'!$C$55</f>
        <v>77.658000000000001</v>
      </c>
      <c r="V16" s="166">
        <f>'LNG Diesel Equip'!$C$45</f>
        <v>1.388898E-2</v>
      </c>
      <c r="W16" s="161">
        <f>'LNG Diesel Equip'!$C$56</f>
        <v>3.15E-3</v>
      </c>
      <c r="X16" s="166">
        <f>'LNG Diesel Equip'!$C$46</f>
        <v>2.7777959999999999E-3</v>
      </c>
      <c r="Y16" s="161">
        <f>'LNG Diesel Equip'!$C$57</f>
        <v>6.2999999999999992E-4</v>
      </c>
      <c r="Z16" s="166">
        <f>'LNG Diesel Equip'!$C$47</f>
        <v>343.58466130800002</v>
      </c>
      <c r="AA16" s="161">
        <f>'LNG Diesel Equip'!$C$58</f>
        <v>77.924490000000006</v>
      </c>
      <c r="AB16" s="166">
        <f t="shared" si="0"/>
        <v>2.4780000000000002E-3</v>
      </c>
      <c r="AC16" s="166">
        <f>'LNG HAPs Calc'!$M$34</f>
        <v>6.1950000000000004E-4</v>
      </c>
      <c r="AD16" s="166">
        <f t="shared" si="1"/>
        <v>8.4879104100000005E-3</v>
      </c>
      <c r="AE16" s="577">
        <f>'LNG HAPs Calc'!$M$77</f>
        <v>2.1219776025000001E-3</v>
      </c>
    </row>
    <row r="17" spans="1:31">
      <c r="A17" s="160" t="s">
        <v>356</v>
      </c>
      <c r="B17" s="128" t="s">
        <v>412</v>
      </c>
      <c r="C17" s="172">
        <v>500</v>
      </c>
      <c r="D17" s="166">
        <f>'LNG Diesel Equip'!$D$38</f>
        <v>4.5160552481315719</v>
      </c>
      <c r="E17" s="161">
        <f>'LNG Diesel Equip'!$D$49</f>
        <v>1.129013812032893</v>
      </c>
      <c r="F17" s="166">
        <f>'LNG Diesel Equip'!$D$39</f>
        <v>4.1199100509270492</v>
      </c>
      <c r="G17" s="166">
        <f>'LNG Diesel Equip'!$D$39*$A$41</f>
        <v>32.959280407416394</v>
      </c>
      <c r="H17" s="161">
        <f>'LNG Diesel Equip'!$D$50</f>
        <v>1.0299775127317623</v>
      </c>
      <c r="I17" s="166">
        <f>'LNG Diesel Equip'!$D$40</f>
        <v>0.23768711832271439</v>
      </c>
      <c r="J17" s="161">
        <f>'LNG Diesel Equip'!$D$51</f>
        <v>5.9421779580678596E-2</v>
      </c>
      <c r="K17" s="166">
        <f>'LNG Diesel Equip'!$D$41</f>
        <v>0.23768711832271436</v>
      </c>
      <c r="L17" s="166">
        <f>'LNG Diesel Equip'!$D$41*$A$42</f>
        <v>5.7044908397451444</v>
      </c>
      <c r="M17" s="161">
        <f>'LNG Diesel Equip'!$D$52</f>
        <v>5.942177958067859E-2</v>
      </c>
      <c r="N17" s="166">
        <f>'LNG Diesel Equip'!$D$42</f>
        <v>0.23768711832271436</v>
      </c>
      <c r="O17" s="166">
        <f>'LNG Diesel Equip'!$D$42*$A$42</f>
        <v>5.7044908397451444</v>
      </c>
      <c r="P17" s="161">
        <f>'LNG Diesel Equip'!$D$53</f>
        <v>5.942177958067859E-2</v>
      </c>
      <c r="Q17" s="166">
        <f>'LNG Diesel Equip'!$D$43</f>
        <v>5.6180265373241096E-3</v>
      </c>
      <c r="R17" s="166">
        <f>'LNG Diesel Equip'!$D$43*$A$42</f>
        <v>0.13483263689577862</v>
      </c>
      <c r="S17" s="578">
        <f>'LNG Diesel Equip'!$D$54</f>
        <v>1.4045066343310272E-3</v>
      </c>
      <c r="T17" s="166">
        <f>'LNG Diesel Equip'!$D$44</f>
        <v>656.28516940000009</v>
      </c>
      <c r="U17" s="161">
        <f>'LNG Diesel Equip'!$D$55</f>
        <v>148.84450000000001</v>
      </c>
      <c r="V17" s="166">
        <f>'LNG Diesel Equip'!$D$45</f>
        <v>2.6620545000000002E-2</v>
      </c>
      <c r="W17" s="161">
        <f>'LNG Diesel Equip'!$D$56</f>
        <v>6.0375000000000003E-3</v>
      </c>
      <c r="X17" s="166">
        <f>'LNG Diesel Equip'!$D$46</f>
        <v>5.3241090000000005E-3</v>
      </c>
      <c r="Y17" s="161">
        <f>'LNG Diesel Equip'!$D$57</f>
        <v>1.2075E-3</v>
      </c>
      <c r="Z17" s="166">
        <f>'LNG Diesel Equip'!$D$47</f>
        <v>658.53726750700014</v>
      </c>
      <c r="AA17" s="161">
        <f>'LNG Diesel Equip'!$D$58</f>
        <v>149.35527250000001</v>
      </c>
      <c r="AB17" s="166">
        <f t="shared" si="0"/>
        <v>4.7495000000000002E-3</v>
      </c>
      <c r="AC17" s="166">
        <f>'LNG HAPs Calc'!$N$34</f>
        <v>1.1873750000000001E-3</v>
      </c>
      <c r="AD17" s="166">
        <f t="shared" si="1"/>
        <v>1.62684949525E-2</v>
      </c>
      <c r="AE17" s="577">
        <f>'LNG HAPs Calc'!$N$77</f>
        <v>4.0671237381250001E-3</v>
      </c>
    </row>
    <row r="18" spans="1:31" s="501" customFormat="1">
      <c r="A18" s="499" t="s">
        <v>357</v>
      </c>
      <c r="B18" s="502" t="s">
        <v>366</v>
      </c>
      <c r="C18" s="503">
        <v>8760</v>
      </c>
      <c r="D18" s="497">
        <f>'LNG Flares'!$C$61</f>
        <v>0.48620000000000008</v>
      </c>
      <c r="E18" s="497">
        <f>'LNG Flares'!$C$72</f>
        <v>2.1295560000000004</v>
      </c>
      <c r="F18" s="497">
        <f>'LNG Flares'!$C$62</f>
        <v>2.2164999999999999</v>
      </c>
      <c r="G18" s="497">
        <f>'LNG Flares'!$C$62*$A$41</f>
        <v>17.731999999999999</v>
      </c>
      <c r="H18" s="497">
        <f>'LNG Flares'!$C$73</f>
        <v>9.7082700000000006</v>
      </c>
      <c r="I18" s="497">
        <f>'LNG Flares'!$C$63</f>
        <v>4.0754999999999999</v>
      </c>
      <c r="J18" s="497">
        <f>'LNG Flares'!$C$74</f>
        <v>17.85069</v>
      </c>
      <c r="K18" s="497">
        <f>'LNG Flares'!$C$64</f>
        <v>0.20177377134856653</v>
      </c>
      <c r="L18" s="497">
        <f>'LNG Flares'!$C$64*$A$43</f>
        <v>4.8425705123655964</v>
      </c>
      <c r="M18" s="497">
        <f>'LNG Flares'!$C$75</f>
        <v>0.88376911850672135</v>
      </c>
      <c r="N18" s="497">
        <f>'LNG Flares'!$C$65</f>
        <v>0.20177377134856653</v>
      </c>
      <c r="O18" s="497">
        <f>'LNG Flares'!$C$65*$A$43</f>
        <v>4.8425705123655964</v>
      </c>
      <c r="P18" s="497">
        <f>'LNG Flares'!$C$76</f>
        <v>0.88376911850672135</v>
      </c>
      <c r="Q18" s="497">
        <f>'LNG Flares'!$C$66</f>
        <v>1.7259853332981058E-2</v>
      </c>
      <c r="R18" s="497">
        <f>'LNG Flares'!$C$66*$A$43</f>
        <v>0.41423647999154539</v>
      </c>
      <c r="S18" s="497">
        <f>'LNG Flares'!$C$77</f>
        <v>7.5598157598457033E-2</v>
      </c>
      <c r="T18" s="497">
        <f>'LNG Flares'!$C$67</f>
        <v>836.37894340000014</v>
      </c>
      <c r="U18" s="497">
        <f>'LNG Flares'!$C$78</f>
        <v>3323.36004</v>
      </c>
      <c r="V18" s="497">
        <f>'LNG Flares'!$C$68</f>
        <v>1.5762890000000002E-2</v>
      </c>
      <c r="W18" s="497">
        <f>'LNG Flares'!$C$79</f>
        <v>6.2633999999999995E-2</v>
      </c>
      <c r="X18" s="497">
        <f>'LNG Flares'!$C$69</f>
        <v>1.5762890000000002E-3</v>
      </c>
      <c r="Y18" s="497">
        <f>'LNG Flares'!$C$80</f>
        <v>6.2634000000000006E-3</v>
      </c>
      <c r="Z18" s="497">
        <f>'LNG Flares'!$C$70</f>
        <v>837.24274977200014</v>
      </c>
      <c r="AA18" s="497">
        <f>'LNG Flares'!$C$81</f>
        <v>3326.7923832000001</v>
      </c>
      <c r="AB18" s="497">
        <f t="shared" si="0"/>
        <v>8.1944607843137257E-3</v>
      </c>
      <c r="AC18" s="497">
        <f>'LNG HAPs Calc'!$O$34</f>
        <v>3.5891738235294117E-2</v>
      </c>
      <c r="AD18" s="497">
        <f t="shared" si="1"/>
        <v>2.0714046184159934E-2</v>
      </c>
      <c r="AE18" s="497">
        <f>'LNG HAPs Calc'!$O$77</f>
        <v>9.072752228662051E-2</v>
      </c>
    </row>
    <row r="19" spans="1:31">
      <c r="A19" s="160" t="s">
        <v>360</v>
      </c>
      <c r="B19" s="128" t="s">
        <v>366</v>
      </c>
      <c r="C19" s="172">
        <v>8760</v>
      </c>
      <c r="D19" s="166">
        <f>'LNG Flares'!$C$61</f>
        <v>0.48620000000000008</v>
      </c>
      <c r="E19" s="166">
        <f>'LNG Flares'!$C$72</f>
        <v>2.1295560000000004</v>
      </c>
      <c r="F19" s="166">
        <f>'LNG Flares'!$C$62</f>
        <v>2.2164999999999999</v>
      </c>
      <c r="G19" s="166">
        <f>'LNG Flares'!$C$62*$A$41</f>
        <v>17.731999999999999</v>
      </c>
      <c r="H19" s="166">
        <f>'LNG Flares'!$C$73</f>
        <v>9.7082700000000006</v>
      </c>
      <c r="I19" s="166">
        <f>'LNG Flares'!$C$63</f>
        <v>4.0754999999999999</v>
      </c>
      <c r="J19" s="166">
        <f>'LNG Flares'!$C$74</f>
        <v>17.85069</v>
      </c>
      <c r="K19" s="166">
        <f>'LNG Flares'!$C$64</f>
        <v>0.20177377134856653</v>
      </c>
      <c r="L19" s="166">
        <f>'LNG Flares'!$C$64*$A$43</f>
        <v>4.8425705123655964</v>
      </c>
      <c r="M19" s="166">
        <f>'LNG Flares'!$C$75</f>
        <v>0.88376911850672135</v>
      </c>
      <c r="N19" s="166">
        <f>'LNG Flares'!$C$65</f>
        <v>0.20177377134856653</v>
      </c>
      <c r="O19" s="166">
        <f>'LNG Flares'!$C$65*$A$43</f>
        <v>4.8425705123655964</v>
      </c>
      <c r="P19" s="166">
        <f>'LNG Flares'!$C$76</f>
        <v>0.88376911850672135</v>
      </c>
      <c r="Q19" s="166">
        <f>'LNG Flares'!$C$66</f>
        <v>1.7259853332981058E-2</v>
      </c>
      <c r="R19" s="166">
        <f>'LNG Flares'!$C$66*$A$43</f>
        <v>0.41423647999154539</v>
      </c>
      <c r="S19" s="166">
        <f>'LNG Flares'!$C$77</f>
        <v>7.5598157598457033E-2</v>
      </c>
      <c r="T19" s="166">
        <f>'LNG Flares'!$C$67</f>
        <v>836.37894340000014</v>
      </c>
      <c r="U19" s="166">
        <f>'LNG Flares'!$C$78</f>
        <v>3323.36004</v>
      </c>
      <c r="V19" s="166">
        <f>'LNG Flares'!$C$68</f>
        <v>1.5762890000000002E-2</v>
      </c>
      <c r="W19" s="166">
        <f>'LNG Flares'!$C$79</f>
        <v>6.2633999999999995E-2</v>
      </c>
      <c r="X19" s="166">
        <f>'LNG Flares'!$C$69</f>
        <v>1.5762890000000002E-3</v>
      </c>
      <c r="Y19" s="166">
        <f>'LNG Flares'!$C$80</f>
        <v>6.2634000000000006E-3</v>
      </c>
      <c r="Z19" s="166">
        <f>'LNG Flares'!$C$70</f>
        <v>837.24274977200014</v>
      </c>
      <c r="AA19" s="166">
        <f>'LNG Flares'!$C$81</f>
        <v>3326.7923832000001</v>
      </c>
      <c r="AB19" s="166">
        <f t="shared" si="0"/>
        <v>8.1944607843137257E-3</v>
      </c>
      <c r="AC19" s="166">
        <f>'LNG HAPs Calc'!$P$34</f>
        <v>3.5891738235294117E-2</v>
      </c>
      <c r="AD19" s="166">
        <f t="shared" si="1"/>
        <v>2.0714046184159934E-2</v>
      </c>
      <c r="AE19" s="166">
        <f>'LNG HAPs Calc'!$P$77</f>
        <v>9.072752228662051E-2</v>
      </c>
    </row>
    <row r="20" spans="1:31">
      <c r="A20" s="160"/>
      <c r="B20" s="128" t="s">
        <v>416</v>
      </c>
      <c r="C20" s="172">
        <v>8760</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row>
    <row r="21" spans="1:31" s="498" customFormat="1">
      <c r="A21" s="160" t="s">
        <v>358</v>
      </c>
      <c r="B21" s="128" t="s">
        <v>367</v>
      </c>
      <c r="C21" s="172">
        <v>8760</v>
      </c>
      <c r="D21" s="166">
        <f>'LNG Flares'!$D$61</f>
        <v>0.15300000000000002</v>
      </c>
      <c r="E21" s="166">
        <f>'LNG Flares'!$D$72</f>
        <v>0.67014000000000007</v>
      </c>
      <c r="F21" s="166">
        <f>'LNG Flares'!$D$62</f>
        <v>0.69750000000000001</v>
      </c>
      <c r="G21" s="166">
        <f>'LNG Flares'!$D$62*$A$41</f>
        <v>5.58</v>
      </c>
      <c r="H21" s="166">
        <f>'LNG Flares'!$D$73</f>
        <v>3.05505</v>
      </c>
      <c r="I21" s="166">
        <f>'LNG Flares'!$D$63</f>
        <v>1.2825</v>
      </c>
      <c r="J21" s="166">
        <f>'LNG Flares'!$D$74</f>
        <v>5.6173499999999992</v>
      </c>
      <c r="K21" s="166">
        <f>'LNG Flares'!$D$64</f>
        <v>6.3495242732066373E-2</v>
      </c>
      <c r="L21" s="166">
        <f>'LNG Flares'!$D$64*$A$43</f>
        <v>1.5238858255695931</v>
      </c>
      <c r="M21" s="166">
        <f>'LNG Flares'!$D$75</f>
        <v>0.27810916316645073</v>
      </c>
      <c r="N21" s="166">
        <f>'LNG Flares'!$D$65</f>
        <v>6.3495242732066373E-2</v>
      </c>
      <c r="O21" s="166">
        <f>'LNG Flares'!$D$65*$A$43</f>
        <v>1.5238858255695931</v>
      </c>
      <c r="P21" s="166">
        <f>'LNG Flares'!$D$76</f>
        <v>0.27810916316645073</v>
      </c>
      <c r="Q21" s="166">
        <f>'LNG Flares'!$D$66</f>
        <v>5.6250926365293673E-3</v>
      </c>
      <c r="R21" s="166">
        <f>'LNG Flares'!$D$66*$A$43</f>
        <v>0.1350022232767048</v>
      </c>
      <c r="S21" s="166">
        <f>'LNG Flares'!$D$77</f>
        <v>2.463790574799863E-2</v>
      </c>
      <c r="T21" s="166">
        <f>'LNG Flares'!$D$67</f>
        <v>263.19617100000005</v>
      </c>
      <c r="U21" s="166">
        <f>'LNG Flares'!$D$78</f>
        <v>1045.8126</v>
      </c>
      <c r="V21" s="166">
        <f>'LNG Flares'!$D$68</f>
        <v>4.9603500000000005E-3</v>
      </c>
      <c r="W21" s="166">
        <f>'LNG Flares'!$D$79</f>
        <v>1.9710000000000002E-2</v>
      </c>
      <c r="X21" s="166">
        <f>'LNG Flares'!$D$69</f>
        <v>4.9603500000000003E-4</v>
      </c>
      <c r="Y21" s="166">
        <f>'LNG Flares'!$D$80</f>
        <v>1.9710000000000001E-3</v>
      </c>
      <c r="Z21" s="166">
        <f>'LNG Flares'!$D$70</f>
        <v>263.46799818</v>
      </c>
      <c r="AA21" s="166">
        <f>'LNG Flares'!$D$81</f>
        <v>1046.8927079999999</v>
      </c>
      <c r="AB21" s="166">
        <f t="shared" si="0"/>
        <v>2.5786764705882348E-3</v>
      </c>
      <c r="AC21" s="166">
        <f>'LNG HAPs Calc'!$R$34</f>
        <v>1.1294602941176469E-2</v>
      </c>
      <c r="AD21" s="166">
        <f t="shared" si="1"/>
        <v>6.5184061418685118E-3</v>
      </c>
      <c r="AE21" s="166">
        <f>'LNG HAPs Calc'!$R$77</f>
        <v>2.8550618901384082E-2</v>
      </c>
    </row>
    <row r="22" spans="1:31">
      <c r="A22" s="160" t="s">
        <v>361</v>
      </c>
      <c r="B22" s="128" t="s">
        <v>367</v>
      </c>
      <c r="C22" s="172">
        <v>8760</v>
      </c>
      <c r="D22" s="166">
        <f>'LNG Flares'!$D$61</f>
        <v>0.15300000000000002</v>
      </c>
      <c r="E22" s="166">
        <f>'LNG Flares'!$D$72</f>
        <v>0.67014000000000007</v>
      </c>
      <c r="F22" s="166">
        <f>'LNG Flares'!$D$62</f>
        <v>0.69750000000000001</v>
      </c>
      <c r="G22" s="166">
        <f>'LNG Flares'!$D$62*$A$41</f>
        <v>5.58</v>
      </c>
      <c r="H22" s="166">
        <f>'LNG Flares'!$D$73</f>
        <v>3.05505</v>
      </c>
      <c r="I22" s="166">
        <f>'LNG Flares'!$D$63</f>
        <v>1.2825</v>
      </c>
      <c r="J22" s="166">
        <f>'LNG Flares'!$D$74</f>
        <v>5.6173499999999992</v>
      </c>
      <c r="K22" s="166">
        <f>'LNG Flares'!$D$64</f>
        <v>6.3495242732066373E-2</v>
      </c>
      <c r="L22" s="166">
        <f>'LNG Flares'!$D$64*$A$43</f>
        <v>1.5238858255695931</v>
      </c>
      <c r="M22" s="166">
        <f>'LNG Flares'!$D$75</f>
        <v>0.27810916316645073</v>
      </c>
      <c r="N22" s="166">
        <f>'LNG Flares'!$D$65</f>
        <v>6.3495242732066373E-2</v>
      </c>
      <c r="O22" s="166">
        <f>'LNG Flares'!$D$65*$A$43</f>
        <v>1.5238858255695931</v>
      </c>
      <c r="P22" s="166">
        <f>'LNG Flares'!$D$76</f>
        <v>0.27810916316645073</v>
      </c>
      <c r="Q22" s="166">
        <f>'LNG Flares'!$D$66</f>
        <v>5.6250926365293673E-3</v>
      </c>
      <c r="R22" s="166">
        <f>'LNG Flares'!$D$66*$A$43</f>
        <v>0.1350022232767048</v>
      </c>
      <c r="S22" s="166">
        <f>'LNG Flares'!$D$77</f>
        <v>2.463790574799863E-2</v>
      </c>
      <c r="T22" s="166">
        <f>'LNG Flares'!$D$67</f>
        <v>263.19617100000005</v>
      </c>
      <c r="U22" s="166">
        <f>'LNG Flares'!$D$78</f>
        <v>1045.8126</v>
      </c>
      <c r="V22" s="166">
        <f>'LNG Flares'!$D$68</f>
        <v>4.9603500000000005E-3</v>
      </c>
      <c r="W22" s="166">
        <f>'LNG Flares'!$D$79</f>
        <v>1.9710000000000002E-2</v>
      </c>
      <c r="X22" s="166">
        <f>'LNG Flares'!$D$69</f>
        <v>4.9603500000000003E-4</v>
      </c>
      <c r="Y22" s="166">
        <f>'LNG Flares'!$D$80</f>
        <v>1.9710000000000001E-3</v>
      </c>
      <c r="Z22" s="166">
        <f>'LNG Flares'!$D$70</f>
        <v>263.46799818</v>
      </c>
      <c r="AA22" s="166">
        <f>'LNG Flares'!$D$81</f>
        <v>1046.8927079999999</v>
      </c>
      <c r="AB22" s="166">
        <f t="shared" si="0"/>
        <v>2.5786764705882348E-3</v>
      </c>
      <c r="AC22" s="166">
        <f>'LNG HAPs Calc'!$S$34</f>
        <v>1.1294602941176469E-2</v>
      </c>
      <c r="AD22" s="166">
        <f t="shared" si="1"/>
        <v>6.5184061418685118E-3</v>
      </c>
      <c r="AE22" s="166">
        <f>'LNG HAPs Calc'!$S$77</f>
        <v>2.8550618901384082E-2</v>
      </c>
    </row>
    <row r="23" spans="1:31">
      <c r="A23" s="160"/>
      <c r="B23" s="128" t="s">
        <v>417</v>
      </c>
      <c r="C23" s="172">
        <v>8760</v>
      </c>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row>
    <row r="24" spans="1:31" s="498" customFormat="1">
      <c r="A24" s="160" t="s">
        <v>359</v>
      </c>
      <c r="B24" s="128" t="s">
        <v>413</v>
      </c>
      <c r="C24" s="172">
        <v>500</v>
      </c>
      <c r="D24" s="166">
        <f>'LNG Flares'!$F$61*$A$44</f>
        <v>2039.7280000000001</v>
      </c>
      <c r="E24" s="166">
        <f>'LNG Flares'!$F$72</f>
        <v>1019.864</v>
      </c>
      <c r="F24" s="166">
        <f>'LNG Flares'!$F$62*$A$44</f>
        <v>9298.76</v>
      </c>
      <c r="G24" s="166">
        <f>'LNG Flares'!$F$62*$A$44</f>
        <v>9298.76</v>
      </c>
      <c r="H24" s="166">
        <f>'LNG Flares'!$F$73</f>
        <v>4649.38</v>
      </c>
      <c r="I24" s="166">
        <f>'LNG Flares'!$F$63*$A$44</f>
        <v>17097.719999999998</v>
      </c>
      <c r="J24" s="166">
        <f>'LNG Flares'!$F$74</f>
        <v>8548.8599999999988</v>
      </c>
      <c r="K24" s="166">
        <f>'LNG Flares'!$F$64*$A$44</f>
        <v>846.49035599602814</v>
      </c>
      <c r="L24" s="166">
        <f>'LNG Flares'!$F$64*$A$44</f>
        <v>846.49035599602814</v>
      </c>
      <c r="M24" s="166">
        <f>'LNG Flares'!$F$75</f>
        <v>423.24517799801407</v>
      </c>
      <c r="N24" s="166">
        <f>'LNG Flares'!$F$65*$A$44</f>
        <v>846.49035599602814</v>
      </c>
      <c r="O24" s="166">
        <f>'LNG Flares'!$F$65*$A$44</f>
        <v>846.49035599602814</v>
      </c>
      <c r="P24" s="166">
        <f>'LNG Flares'!$F$76</f>
        <v>423.24517799801407</v>
      </c>
      <c r="Q24" s="166">
        <f>'LNG Flares'!$F$66*$A$44</f>
        <v>74.750890545863825</v>
      </c>
      <c r="R24" s="166">
        <f>'LNG Flares'!$F$66*$A$44</f>
        <v>74.750890545863825</v>
      </c>
      <c r="S24" s="166">
        <f>'LNG Flares'!$F$77</f>
        <v>37.375445272931913</v>
      </c>
      <c r="T24" s="166">
        <f>'LNG Flares'!$F$67*$A$44</f>
        <v>3508814.3756960002</v>
      </c>
      <c r="U24" s="166">
        <f>'LNG Flares'!$F$78</f>
        <v>1591587.76</v>
      </c>
      <c r="V24" s="166">
        <f>'LNG Flares'!$F$68*$A$44</f>
        <v>66.12918160000001</v>
      </c>
      <c r="W24" s="166">
        <f>'LNG Flares'!$F$79</f>
        <v>29.996000000000002</v>
      </c>
      <c r="X24" s="166">
        <f>'LNG Flares'!$F$69*$A$44</f>
        <v>6.6129181600000004</v>
      </c>
      <c r="Y24" s="166">
        <f>'LNG Flares'!$F$80</f>
        <v>2.9996</v>
      </c>
      <c r="Z24" s="166">
        <f>'LNG Flares'!$F$70*$A$44</f>
        <v>3512438.2548476802</v>
      </c>
      <c r="AA24" s="166">
        <f>'LNG Flares'!$F$81</f>
        <v>1593231.5407999998</v>
      </c>
      <c r="AB24" s="166">
        <f>AC24*2000/C24*$A$44</f>
        <v>34.377768627450983</v>
      </c>
      <c r="AC24" s="166">
        <f>'LNG HAPs Calc'!$U$34</f>
        <v>17.188884313725492</v>
      </c>
      <c r="AD24" s="166">
        <f>AE24*2000/C24*$A$44</f>
        <v>86.900493613994627</v>
      </c>
      <c r="AE24" s="166">
        <f>'LNG HAPs Calc'!$U$77</f>
        <v>43.450246806997313</v>
      </c>
    </row>
    <row r="25" spans="1:31">
      <c r="A25" s="160" t="s">
        <v>362</v>
      </c>
      <c r="B25" s="128" t="s">
        <v>413</v>
      </c>
      <c r="C25" s="172">
        <v>500</v>
      </c>
      <c r="D25" s="166">
        <f>'LNG Flares'!$F$61*$A$44</f>
        <v>2039.7280000000001</v>
      </c>
      <c r="E25" s="166">
        <f>'LNG Flares'!$F$72</f>
        <v>1019.864</v>
      </c>
      <c r="F25" s="166">
        <f>'LNG Flares'!$F$62*$A$44</f>
        <v>9298.76</v>
      </c>
      <c r="G25" s="166">
        <f>'LNG Flares'!$F$62*$A$44</f>
        <v>9298.76</v>
      </c>
      <c r="H25" s="166">
        <f>'LNG Flares'!$F$73</f>
        <v>4649.38</v>
      </c>
      <c r="I25" s="166">
        <f>'LNG Flares'!$F$63*$A$44</f>
        <v>17097.719999999998</v>
      </c>
      <c r="J25" s="166">
        <f>'LNG Flares'!$F$74</f>
        <v>8548.8599999999988</v>
      </c>
      <c r="K25" s="166">
        <f>'LNG Flares'!$F$64*$A$44</f>
        <v>846.49035599602814</v>
      </c>
      <c r="L25" s="166">
        <f>'LNG Flares'!$F$64*$A$44</f>
        <v>846.49035599602814</v>
      </c>
      <c r="M25" s="166">
        <f>'LNG Flares'!$F$75</f>
        <v>423.24517799801407</v>
      </c>
      <c r="N25" s="166">
        <f>'LNG Flares'!$F$65*$A$44</f>
        <v>846.49035599602814</v>
      </c>
      <c r="O25" s="166">
        <f>'LNG Flares'!$F$65*$A$44</f>
        <v>846.49035599602814</v>
      </c>
      <c r="P25" s="166">
        <f>'LNG Flares'!$F$76</f>
        <v>423.24517799801407</v>
      </c>
      <c r="Q25" s="166">
        <f>'LNG Flares'!$F$66*$A$44</f>
        <v>74.750890545863825</v>
      </c>
      <c r="R25" s="166">
        <f>'LNG Flares'!$F$66*$A$44</f>
        <v>74.750890545863825</v>
      </c>
      <c r="S25" s="166">
        <f>'LNG Flares'!$F$77</f>
        <v>37.375445272931913</v>
      </c>
      <c r="T25" s="166">
        <f>'LNG Flares'!$F$67*$A$44</f>
        <v>3508814.3756960002</v>
      </c>
      <c r="U25" s="166">
        <f>'LNG Flares'!$F$78</f>
        <v>1591587.76</v>
      </c>
      <c r="V25" s="166">
        <f>'LNG Flares'!$F$68*$A$44</f>
        <v>66.12918160000001</v>
      </c>
      <c r="W25" s="166">
        <f>'LNG Flares'!$F$79</f>
        <v>29.996000000000002</v>
      </c>
      <c r="X25" s="166">
        <f>'LNG Flares'!$F$69*$A$44</f>
        <v>6.6129181600000004</v>
      </c>
      <c r="Y25" s="166">
        <f>'LNG Flares'!$F$80</f>
        <v>2.9996</v>
      </c>
      <c r="Z25" s="166">
        <f>'LNG Flares'!$F$70*$A$44</f>
        <v>3512438.2548476802</v>
      </c>
      <c r="AA25" s="166">
        <f>'LNG Flares'!$F$81</f>
        <v>1593231.5407999998</v>
      </c>
      <c r="AB25" s="166">
        <f>AC25*2000/C25*$A$44</f>
        <v>34.377768627450983</v>
      </c>
      <c r="AC25" s="166">
        <f>'LNG HAPs Calc'!$V$34</f>
        <v>17.188884313725492</v>
      </c>
      <c r="AD25" s="166">
        <f>AE25*2000/C25*$A$44</f>
        <v>86.900493613994627</v>
      </c>
      <c r="AE25" s="166">
        <f>'LNG HAPs Calc'!$V$77</f>
        <v>43.450246806997313</v>
      </c>
    </row>
    <row r="26" spans="1:31">
      <c r="A26" s="160"/>
      <c r="B26" s="128" t="s">
        <v>418</v>
      </c>
      <c r="C26" s="172">
        <v>500</v>
      </c>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row>
    <row r="27" spans="1:31" ht="15.75" customHeight="1">
      <c r="A27" s="569" t="s">
        <v>371</v>
      </c>
      <c r="B27" s="162" t="s">
        <v>414</v>
      </c>
      <c r="C27" s="172">
        <v>500</v>
      </c>
      <c r="D27" s="166">
        <f>'LNG Flares'!$G$61*$A$44</f>
        <v>476.68</v>
      </c>
      <c r="E27" s="166">
        <f>'LNG Flares'!$G$72</f>
        <v>238.34</v>
      </c>
      <c r="F27" s="166">
        <f>'LNG Flares'!$G$62*$A$44</f>
        <v>2173.1</v>
      </c>
      <c r="G27" s="166">
        <f>'LNG Flares'!$G$62*$A$44</f>
        <v>2173.1</v>
      </c>
      <c r="H27" s="166">
        <f>'LNG Flares'!$G$73</f>
        <v>1086.55</v>
      </c>
      <c r="I27" s="166">
        <f>'LNG Flares'!$G$63*$A$44</f>
        <v>3995.7</v>
      </c>
      <c r="J27" s="166">
        <f>'LNG Flares'!$G$74</f>
        <v>1997.85</v>
      </c>
      <c r="K27" s="166">
        <f>'LNG Flares'!$G$64*$A$44</f>
        <v>197.82295624523792</v>
      </c>
      <c r="L27" s="166">
        <f>'LNG Flares'!$G$64*$A$44</f>
        <v>197.82295624523792</v>
      </c>
      <c r="M27" s="166">
        <f>'LNG Flares'!$G$75</f>
        <v>98.911478122618959</v>
      </c>
      <c r="N27" s="166">
        <f>'LNG Flares'!$G$65*$A$44</f>
        <v>197.82295624523792</v>
      </c>
      <c r="O27" s="166">
        <f>'LNG Flares'!$G$65*$A$44</f>
        <v>197.82295624523792</v>
      </c>
      <c r="P27" s="166">
        <f>'LNG Flares'!$G$76</f>
        <v>98.911478122618959</v>
      </c>
      <c r="Q27" s="166">
        <f>'LNG Flares'!$G$66*$A$44</f>
        <v>17.47522640319163</v>
      </c>
      <c r="R27" s="166">
        <f>'LNG Flares'!$G$66*$A$44</f>
        <v>17.47522640319163</v>
      </c>
      <c r="S27" s="166">
        <f>'LNG Flares'!$G$77</f>
        <v>8.7376132015958152</v>
      </c>
      <c r="T27" s="166">
        <f>'LNG Flares'!$G$67*$A$44</f>
        <v>820002.2927600001</v>
      </c>
      <c r="U27" s="166">
        <f>'LNG Flares'!$G$78</f>
        <v>371950.60000000003</v>
      </c>
      <c r="V27" s="166">
        <f>'LNG Flares'!$G$68*$A$44</f>
        <v>15.454245999999999</v>
      </c>
      <c r="W27" s="166">
        <f>'LNG Flares'!$G$79</f>
        <v>7.01</v>
      </c>
      <c r="X27" s="166">
        <f>'LNG Flares'!$G$69*$A$44</f>
        <v>1.5454246000000003</v>
      </c>
      <c r="Y27" s="166">
        <f>'LNG Flares'!$G$80</f>
        <v>0.70100000000000007</v>
      </c>
      <c r="Z27" s="166">
        <f>'LNG Flares'!$G$70*$A$44</f>
        <v>820849.18544080015</v>
      </c>
      <c r="AA27" s="166">
        <f>'LNG Flares'!$G$81</f>
        <v>372334.74800000002</v>
      </c>
      <c r="AB27" s="166">
        <f>AC27*2000/C27*$A$44</f>
        <v>8.0340098039215686</v>
      </c>
      <c r="AC27" s="166">
        <f>'LNG HAPs Calc'!$X$34</f>
        <v>4.0170049019607843</v>
      </c>
      <c r="AD27" s="166">
        <f>AE27*2000/C27*$A$44</f>
        <v>20.308456468665899</v>
      </c>
      <c r="AE27" s="166">
        <f>'LNG HAPs Calc'!$X$77</f>
        <v>10.154228234332949</v>
      </c>
    </row>
    <row r="28" spans="1:31">
      <c r="A28" s="569" t="s">
        <v>370</v>
      </c>
      <c r="B28" s="162" t="s">
        <v>414</v>
      </c>
      <c r="C28" s="172">
        <v>500</v>
      </c>
      <c r="D28" s="166">
        <f>'LNG Flares'!$G$61*$A$44</f>
        <v>476.68</v>
      </c>
      <c r="E28" s="166">
        <f>'LNG Flares'!$G$72</f>
        <v>238.34</v>
      </c>
      <c r="F28" s="166">
        <f>'LNG Flares'!$G$62*$A$44</f>
        <v>2173.1</v>
      </c>
      <c r="G28" s="166">
        <f>'LNG Flares'!$G$62*$A$44</f>
        <v>2173.1</v>
      </c>
      <c r="H28" s="166">
        <f>'LNG Flares'!$G$73</f>
        <v>1086.55</v>
      </c>
      <c r="I28" s="166">
        <f>'LNG Flares'!$G$63*$A$44</f>
        <v>3995.7</v>
      </c>
      <c r="J28" s="166">
        <f>'LNG Flares'!$G$74</f>
        <v>1997.85</v>
      </c>
      <c r="K28" s="166">
        <f>'LNG Flares'!$G$64*$A$44</f>
        <v>197.82295624523792</v>
      </c>
      <c r="L28" s="166">
        <f>'LNG Flares'!$G$64*$A$44</f>
        <v>197.82295624523792</v>
      </c>
      <c r="M28" s="166">
        <f>'LNG Flares'!$G$75</f>
        <v>98.911478122618959</v>
      </c>
      <c r="N28" s="166">
        <f>'LNG Flares'!$G$65*$A$44</f>
        <v>197.82295624523792</v>
      </c>
      <c r="O28" s="166">
        <f>'LNG Flares'!$G$65*$A$44</f>
        <v>197.82295624523792</v>
      </c>
      <c r="P28" s="166">
        <f>'LNG Flares'!$G$76</f>
        <v>98.911478122618959</v>
      </c>
      <c r="Q28" s="166">
        <f>'LNG Flares'!$G$66*$A$44</f>
        <v>17.47522640319163</v>
      </c>
      <c r="R28" s="166">
        <f>'LNG Flares'!$G$66*$A$44</f>
        <v>17.47522640319163</v>
      </c>
      <c r="S28" s="166">
        <f>'LNG Flares'!$G$77</f>
        <v>8.7376132015958152</v>
      </c>
      <c r="T28" s="166">
        <f>'LNG Flares'!$G$67*$A$44</f>
        <v>820002.2927600001</v>
      </c>
      <c r="U28" s="166">
        <f>'LNG Flares'!$G$78</f>
        <v>371950.60000000003</v>
      </c>
      <c r="V28" s="166">
        <f>'LNG Flares'!$G$68*$A$44</f>
        <v>15.454245999999999</v>
      </c>
      <c r="W28" s="166">
        <f>'LNG Flares'!$G$79</f>
        <v>7.01</v>
      </c>
      <c r="X28" s="166">
        <f>'LNG Flares'!$G$69*$A$44</f>
        <v>1.5454246000000003</v>
      </c>
      <c r="Y28" s="166">
        <f>'LNG Flares'!$G$80</f>
        <v>0.70100000000000007</v>
      </c>
      <c r="Z28" s="166">
        <f>'LNG Flares'!$G$70*$A$44</f>
        <v>820849.18544080015</v>
      </c>
      <c r="AA28" s="166">
        <f>'LNG Flares'!$G$81</f>
        <v>372334.74800000002</v>
      </c>
      <c r="AB28" s="166">
        <f>AC28*2000/C28*$A$44</f>
        <v>8.0340098039215686</v>
      </c>
      <c r="AC28" s="166">
        <f>'LNG HAPs Calc'!$Y$34</f>
        <v>4.0170049019607843</v>
      </c>
      <c r="AD28" s="166">
        <f>AE28*2000/C28*$A$44</f>
        <v>20.308456468665899</v>
      </c>
      <c r="AE28" s="166">
        <f>'LNG HAPs Calc'!$Y$77</f>
        <v>10.154228234332949</v>
      </c>
    </row>
    <row r="29" spans="1:31">
      <c r="A29" s="569"/>
      <c r="B29" s="162" t="s">
        <v>419</v>
      </c>
      <c r="C29" s="172">
        <v>500</v>
      </c>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row>
    <row r="30" spans="1:31" s="498" customFormat="1">
      <c r="A30" s="160" t="s">
        <v>363</v>
      </c>
      <c r="B30" s="128" t="s">
        <v>368</v>
      </c>
      <c r="C30" s="172">
        <v>8760</v>
      </c>
      <c r="D30" s="166">
        <f>'LNG Flares'!$E$61</f>
        <v>0.71400000000000008</v>
      </c>
      <c r="E30" s="166">
        <f>'LNG Flares'!$E$72</f>
        <v>3.1273200000000001</v>
      </c>
      <c r="F30" s="166">
        <f>'LNG Flares'!$E$62</f>
        <v>3.2549999999999999</v>
      </c>
      <c r="G30" s="166">
        <f>'LNG Flares'!$E$62*$A$41</f>
        <v>26.04</v>
      </c>
      <c r="H30" s="166">
        <f>'LNG Flares'!$E$73</f>
        <v>14.2569</v>
      </c>
      <c r="I30" s="166">
        <f>'LNG Flares'!$E$63</f>
        <v>5.9849999999999994</v>
      </c>
      <c r="J30" s="166">
        <f>'LNG Flares'!$E$74</f>
        <v>26.214299999999998</v>
      </c>
      <c r="K30" s="166">
        <f>'LNG Flares'!$E$64</f>
        <v>0.29631113274964316</v>
      </c>
      <c r="L30" s="166">
        <f>'LNG Flares'!$E$64*$A$43</f>
        <v>7.1114671859914358</v>
      </c>
      <c r="M30" s="166">
        <f>'LNG Flares'!$E$75</f>
        <v>1.2978427614434369</v>
      </c>
      <c r="N30" s="166">
        <f>'LNG Flares'!$E$65</f>
        <v>0.29631113274964316</v>
      </c>
      <c r="O30" s="166">
        <f>'LNG Flares'!$E$65*$A$43</f>
        <v>7.1114671859914358</v>
      </c>
      <c r="P30" s="166">
        <f>'LNG Flares'!$E$76</f>
        <v>1.2978427614434369</v>
      </c>
      <c r="Q30" s="166">
        <f>'LNG Flares'!$E$66</f>
        <v>5.046604534862216E-2</v>
      </c>
      <c r="R30" s="166">
        <f>'LNG Flares'!$E$66*$A$43</f>
        <v>1.211185088366932</v>
      </c>
      <c r="S30" s="166">
        <f>'LNG Flares'!$E$77</f>
        <v>0.22104127862696507</v>
      </c>
      <c r="T30" s="166">
        <f>'LNG Flares'!$E$67</f>
        <v>1228.2487980000001</v>
      </c>
      <c r="U30" s="166">
        <f>'LNG Flares'!$E$78</f>
        <v>4880.4588000000003</v>
      </c>
      <c r="V30" s="166">
        <f>'LNG Flares'!$E$68</f>
        <v>2.3148300000000004E-2</v>
      </c>
      <c r="W30" s="166">
        <f>'LNG Flares'!$E$79</f>
        <v>9.1980000000000006E-2</v>
      </c>
      <c r="X30" s="166">
        <f>'LNG Flares'!$E$69</f>
        <v>2.3148300000000004E-3</v>
      </c>
      <c r="Y30" s="166">
        <f>'LNG Flares'!$E$80</f>
        <v>9.1980000000000013E-3</v>
      </c>
      <c r="Z30" s="166">
        <f>'LNG Flares'!$E$70</f>
        <v>1229.5173248400001</v>
      </c>
      <c r="AA30" s="166">
        <f>'LNG Flares'!$E$81</f>
        <v>4885.4993040000008</v>
      </c>
      <c r="AB30" s="166">
        <f t="shared" si="0"/>
        <v>1.2033823529411763E-2</v>
      </c>
      <c r="AC30" s="166">
        <f>'LNG HAPs Calc'!$AA$34</f>
        <v>5.2708147058823526E-2</v>
      </c>
      <c r="AD30" s="166">
        <f t="shared" si="1"/>
        <v>3.0419228662053068E-2</v>
      </c>
      <c r="AE30" s="166">
        <f>'LNG HAPs Calc'!$AA$77</f>
        <v>0.13323622153979245</v>
      </c>
    </row>
    <row r="31" spans="1:31" s="498" customFormat="1">
      <c r="A31" s="160" t="s">
        <v>364</v>
      </c>
      <c r="B31" s="128" t="s">
        <v>914</v>
      </c>
      <c r="C31" s="172">
        <v>144</v>
      </c>
      <c r="D31" s="166">
        <f>'LNG Flares'!$H$61</f>
        <v>71.37166666666667</v>
      </c>
      <c r="E31" s="166">
        <f>'LNG Flares'!$H$72</f>
        <v>5.1387600000000004</v>
      </c>
      <c r="F31" s="166">
        <f>'LNG Flares'!$H$62</f>
        <v>311.37777777777779</v>
      </c>
      <c r="G31" s="166">
        <f>'LNG Flares'!$H$62*$A$41</f>
        <v>2491.0222222222224</v>
      </c>
      <c r="H31" s="166">
        <f>'LNG Flares'!$H$73</f>
        <v>22.4192</v>
      </c>
      <c r="I31" s="166">
        <f>'LNG Flares'!$H$63</f>
        <v>568.57499999999993</v>
      </c>
      <c r="J31" s="166">
        <f>'LNG Flares'!$H$74</f>
        <v>40.937399999999997</v>
      </c>
      <c r="K31" s="166">
        <f>'LNG Flares'!$H$64</f>
        <v>28.149557611216096</v>
      </c>
      <c r="L31" s="166">
        <f>'LNG Flares'!$H$64*$A$42</f>
        <v>675.58938266918631</v>
      </c>
      <c r="M31" s="166">
        <f>'LNG Flares'!$H$75</f>
        <v>2.0267681480075588</v>
      </c>
      <c r="N31" s="166">
        <f>'LNG Flares'!$H$65</f>
        <v>28.149557611216096</v>
      </c>
      <c r="O31" s="166">
        <f>'LNG Flares'!$H$65*$A$42</f>
        <v>675.58938266918631</v>
      </c>
      <c r="P31" s="166">
        <f>'LNG Flares'!$H$76</f>
        <v>2.0267681480075588</v>
      </c>
      <c r="Q31" s="166">
        <f>'LNG Flares'!$H$66</f>
        <v>2.7385352811059152</v>
      </c>
      <c r="R31" s="166">
        <f>'LNG Flares'!$H$66*$A$42</f>
        <v>65.724846746541971</v>
      </c>
      <c r="S31" s="166">
        <f>'LNG Flares'!$H$77</f>
        <v>0.19717454023962588</v>
      </c>
      <c r="T31" s="166">
        <f>'LNG Flares'!$H$67</f>
        <v>121772.39503585569</v>
      </c>
      <c r="U31" s="166">
        <f>'LNG Flares'!$H$78</f>
        <v>7621.5384000000004</v>
      </c>
      <c r="V31" s="166">
        <f>'LNG Flares'!$H$68</f>
        <v>2.1990885000000002</v>
      </c>
      <c r="W31" s="166">
        <f>'LNG Flares'!$H$79</f>
        <v>0.14364000000000002</v>
      </c>
      <c r="X31" s="166">
        <f>'LNG Flares'!$H$69</f>
        <v>0.21990885000000002</v>
      </c>
      <c r="Y31" s="166">
        <f>'LNG Flares'!$H$80</f>
        <v>1.4364E-2</v>
      </c>
      <c r="Z31" s="166">
        <f>'LNG Flares'!$H$70</f>
        <v>121892.90508565569</v>
      </c>
      <c r="AA31" s="166">
        <f>'LNG Flares'!$H$81</f>
        <v>7629.4098720000011</v>
      </c>
      <c r="AB31" s="166">
        <f t="shared" si="0"/>
        <v>1.1432132352941178</v>
      </c>
      <c r="AC31" s="166">
        <f>'LNG HAPs Calc'!$AB$34</f>
        <v>8.2311352941176474E-2</v>
      </c>
      <c r="AD31" s="166">
        <f t="shared" si="1"/>
        <v>2.8898267228950405</v>
      </c>
      <c r="AE31" s="166">
        <f>'LNG HAPs Calc'!$AB$77</f>
        <v>0.20806752404844292</v>
      </c>
    </row>
    <row r="32" spans="1:31">
      <c r="A32" s="160" t="s">
        <v>365</v>
      </c>
      <c r="B32" s="128" t="s">
        <v>369</v>
      </c>
      <c r="C32" s="172">
        <v>8760</v>
      </c>
      <c r="D32" s="166">
        <f>'LNG Thermal Oxidizer'!$C$34</f>
        <v>0.60099999999999998</v>
      </c>
      <c r="E32" s="166">
        <f>'LNG Thermal Oxidizer'!$C$45</f>
        <v>2.6323799999999999</v>
      </c>
      <c r="F32" s="166">
        <f>'LNG Thermal Oxidizer'!$C$35</f>
        <v>0.49494117647058822</v>
      </c>
      <c r="G32" s="166">
        <f>'LNG Thermal Oxidizer'!$C$35*$A$41</f>
        <v>3.9595294117647057</v>
      </c>
      <c r="H32" s="166">
        <f>'LNG Thermal Oxidizer'!$C$46</f>
        <v>2.1678423529411766</v>
      </c>
      <c r="I32" s="166">
        <f>'LNG Thermal Oxidizer'!$C$36</f>
        <v>3.240686274509804E-2</v>
      </c>
      <c r="J32" s="166">
        <f>'LNG Thermal Oxidizer'!$C$47</f>
        <v>0.14194205882352942</v>
      </c>
      <c r="K32" s="166">
        <f>'LNG Thermal Oxidizer'!$C$37</f>
        <v>4.4780392156862733E-2</v>
      </c>
      <c r="L32" s="166">
        <f>'LNG Thermal Oxidizer'!$C$37*$A$43</f>
        <v>1.0747294117647055</v>
      </c>
      <c r="M32" s="166">
        <f>'LNG Thermal Oxidizer'!$C$48</f>
        <v>0.19613811764705877</v>
      </c>
      <c r="N32" s="166">
        <f>'LNG Thermal Oxidizer'!$C$38</f>
        <v>4.4780392156862733E-2</v>
      </c>
      <c r="O32" s="166">
        <f>'LNG Thermal Oxidizer'!$C$38*$A$43</f>
        <v>1.0747294117647055</v>
      </c>
      <c r="P32" s="166">
        <f>'LNG Thermal Oxidizer'!$C$49</f>
        <v>0.19613811764705877</v>
      </c>
      <c r="Q32" s="166">
        <f>'LNG Thermal Oxidizer'!$C$39</f>
        <v>1.6400896000000002E-2</v>
      </c>
      <c r="R32" s="166">
        <f>'LNG Thermal Oxidizer'!$C$39*$A$43</f>
        <v>0.39362150400000007</v>
      </c>
      <c r="S32" s="166">
        <f>'LNG Thermal Oxidizer'!$C$50</f>
        <v>7.1835924480000007E-2</v>
      </c>
      <c r="T32" s="166">
        <f>'LNG Thermal Oxidizer'!$C$40</f>
        <v>703.02621676000001</v>
      </c>
      <c r="U32" s="166">
        <f>'LNG Thermal Oxidizer'!$C$51</f>
        <v>2793.4816560000004</v>
      </c>
      <c r="V32" s="166">
        <f>'LNG Thermal Oxidizer'!$C$41</f>
        <v>1.3249646E-2</v>
      </c>
      <c r="W32" s="166">
        <f>'LNG Thermal Oxidizer'!$C$52</f>
        <v>5.2647600000000003E-2</v>
      </c>
      <c r="X32" s="166">
        <f>'LNG Thermal Oxidizer'!$C$42</f>
        <v>1.3249646000000001E-3</v>
      </c>
      <c r="Y32" s="166">
        <f>'LNG Thermal Oxidizer'!$C$53</f>
        <v>5.2647599999999994E-3</v>
      </c>
      <c r="Z32" s="166">
        <f>'LNG Thermal Oxidizer'!$C$43</f>
        <v>703.75229736079996</v>
      </c>
      <c r="AA32" s="166">
        <f>'LNG Thermal Oxidizer'!$C$54</f>
        <v>2796.3667444800003</v>
      </c>
      <c r="AB32" s="166">
        <f t="shared" si="0"/>
        <v>4.4191169400000001E-4</v>
      </c>
      <c r="AC32" s="166">
        <f>'LNG HAPs Calc'!$AC$34</f>
        <v>1.9355732197199999E-3</v>
      </c>
      <c r="AD32" s="166">
        <f t="shared" si="1"/>
        <v>1.1087262423999999E-2</v>
      </c>
      <c r="AE32" s="166">
        <f>'LNG HAPs Calc'!$AC$77</f>
        <v>4.8562209417119993E-2</v>
      </c>
    </row>
    <row r="33" spans="1:31">
      <c r="A33" s="122"/>
      <c r="B33" s="163" t="s">
        <v>398</v>
      </c>
      <c r="C33" s="169">
        <v>8760</v>
      </c>
      <c r="D33" s="178"/>
      <c r="E33" s="168"/>
      <c r="F33" s="168"/>
      <c r="G33" s="178"/>
      <c r="H33" s="178"/>
      <c r="I33" s="178"/>
      <c r="J33" s="178"/>
      <c r="K33" s="178"/>
      <c r="L33" s="178"/>
      <c r="M33" s="178"/>
      <c r="N33" s="178"/>
      <c r="O33" s="178"/>
      <c r="P33" s="178"/>
      <c r="Q33" s="178"/>
      <c r="R33" s="178"/>
      <c r="S33" s="178"/>
      <c r="T33" s="178"/>
      <c r="U33" s="178"/>
      <c r="V33" s="178"/>
      <c r="W33" s="178"/>
      <c r="X33" s="178"/>
      <c r="Y33" s="178"/>
      <c r="Z33" s="178"/>
      <c r="AA33" s="178"/>
      <c r="AB33" s="178"/>
      <c r="AC33" s="179"/>
      <c r="AD33" s="179"/>
      <c r="AE33" s="179"/>
    </row>
    <row r="34" spans="1:31">
      <c r="A34" s="122"/>
      <c r="B34" s="163" t="s">
        <v>399</v>
      </c>
      <c r="C34" s="169">
        <v>8760</v>
      </c>
      <c r="D34" s="178"/>
      <c r="E34" s="168"/>
      <c r="F34" s="168"/>
      <c r="G34" s="178"/>
      <c r="H34" s="178"/>
      <c r="I34" s="166">
        <f>'LNG Misc'!$D$6</f>
        <v>4.0999999999999996</v>
      </c>
      <c r="J34" s="161">
        <f>'LNG Misc'!$D$12</f>
        <v>17.957999999999998</v>
      </c>
      <c r="K34" s="168"/>
      <c r="L34" s="168"/>
      <c r="M34" s="168"/>
      <c r="N34" s="168"/>
      <c r="O34" s="168"/>
      <c r="P34" s="168"/>
      <c r="Q34" s="170"/>
      <c r="R34" s="170"/>
      <c r="S34" s="168"/>
      <c r="T34" s="179"/>
      <c r="U34" s="179"/>
      <c r="V34" s="166">
        <f>'LNG Misc'!$D$5</f>
        <v>24.4</v>
      </c>
      <c r="W34" s="161">
        <f>'LNG Misc'!$D$10</f>
        <v>96.953642384105947</v>
      </c>
      <c r="X34" s="179"/>
      <c r="Y34" s="179"/>
      <c r="Z34" s="526">
        <f>'LNG Misc'!$D$7</f>
        <v>610</v>
      </c>
      <c r="AA34" s="167">
        <f>'LNG Misc'!$D$11</f>
        <v>2423.8410596026488</v>
      </c>
      <c r="AB34" s="179"/>
      <c r="AC34" s="179"/>
      <c r="AD34" s="179"/>
      <c r="AE34" s="179"/>
    </row>
    <row r="35" spans="1:31">
      <c r="A35" s="122"/>
      <c r="B35" s="163" t="s">
        <v>400</v>
      </c>
      <c r="C35" s="169">
        <v>8760</v>
      </c>
      <c r="D35" s="178"/>
      <c r="E35" s="161">
        <f>'Mobile Emissions'!$O$11</f>
        <v>3.2590391112645785</v>
      </c>
      <c r="F35" s="168"/>
      <c r="G35" s="178"/>
      <c r="H35" s="166">
        <f>'Mobile Emissions'!$P$11</f>
        <v>3.2583482111580944</v>
      </c>
      <c r="I35" s="178"/>
      <c r="J35" s="161">
        <f>'Mobile Emissions'!$N$11</f>
        <v>0.33303959595229177</v>
      </c>
      <c r="K35" s="178"/>
      <c r="L35" s="178"/>
      <c r="M35" s="161">
        <f>'Mobile Emissions'!$R$11</f>
        <v>0.1932769308798695</v>
      </c>
      <c r="N35" s="178"/>
      <c r="O35" s="178"/>
      <c r="P35" s="161">
        <f>'Mobile Emissions'!$S$11</f>
        <v>0.1689914802618929</v>
      </c>
      <c r="Q35" s="178"/>
      <c r="R35" s="178"/>
      <c r="S35" s="161">
        <f>'Mobile Emissions'!$Q$11</f>
        <v>1.813599979717366E-2</v>
      </c>
      <c r="T35" s="178"/>
      <c r="U35" s="167">
        <f>'Mobile Emissions'!$T$11</f>
        <v>2159.6627153155937</v>
      </c>
      <c r="V35" s="178"/>
      <c r="W35" s="161">
        <f>'Mobile Emissions'!$U$11</f>
        <v>0.12735038258819636</v>
      </c>
      <c r="X35" s="178"/>
      <c r="Y35" s="167">
        <f>'Mobile Emissions'!$V$11</f>
        <v>8.7667233810269189E-3</v>
      </c>
      <c r="Z35" s="178"/>
      <c r="AA35" s="167">
        <f>'Mobile Emissions'!$W$11</f>
        <v>2165.4589584478445</v>
      </c>
      <c r="AB35" s="178"/>
      <c r="AC35" s="178"/>
      <c r="AD35" s="178"/>
      <c r="AE35" s="167">
        <f>'Mobile Emissions'!$X$11</f>
        <v>6.9860340216258754E-2</v>
      </c>
    </row>
    <row r="36" spans="1:31">
      <c r="A36" s="507"/>
      <c r="B36" s="163" t="s">
        <v>738</v>
      </c>
      <c r="C36" s="169">
        <v>8760</v>
      </c>
      <c r="D36" s="178"/>
      <c r="E36" s="161">
        <f>'Non-Road Emissions'!$C$32</f>
        <v>7.5904195165041797</v>
      </c>
      <c r="F36" s="168"/>
      <c r="G36" s="178"/>
      <c r="H36" s="166">
        <f>'Non-Road Emissions'!$D$32</f>
        <v>3.2176011820736399</v>
      </c>
      <c r="I36" s="178"/>
      <c r="J36" s="161">
        <f>'Non-Road Emissions'!$F$32</f>
        <v>2.4297673540965561</v>
      </c>
      <c r="K36" s="178"/>
      <c r="L36" s="178"/>
      <c r="M36" s="161">
        <f>'Non-Road Emissions'!$E$32</f>
        <v>0.69428507037685239</v>
      </c>
      <c r="N36" s="178"/>
      <c r="O36" s="178"/>
      <c r="P36" s="161">
        <f>'Non-Road Emissions'!$E$32</f>
        <v>0.69428507037685239</v>
      </c>
      <c r="Q36" s="178"/>
      <c r="R36" s="178"/>
      <c r="S36" s="178"/>
      <c r="T36" s="178"/>
      <c r="U36" s="178"/>
      <c r="V36" s="178"/>
      <c r="W36" s="178"/>
      <c r="X36" s="178"/>
      <c r="Y36" s="178"/>
      <c r="Z36" s="178"/>
      <c r="AA36" s="178"/>
      <c r="AB36" s="178"/>
      <c r="AC36" s="178"/>
      <c r="AD36" s="178"/>
      <c r="AE36" s="178"/>
    </row>
    <row r="37" spans="1:31">
      <c r="A37" s="507"/>
      <c r="B37" s="163" t="s">
        <v>938</v>
      </c>
      <c r="C37" s="169">
        <v>8760</v>
      </c>
      <c r="D37" s="166">
        <f>'[7]Emissions Summary'!$J$8</f>
        <v>279.30929572962589</v>
      </c>
      <c r="E37" s="161">
        <f>'[7]Emissions Summary'!$J$19</f>
        <v>379.59283477458047</v>
      </c>
      <c r="F37" s="161">
        <f>'[7]Emissions Summary'!$J$9</f>
        <v>457.69162624562762</v>
      </c>
      <c r="G37" s="166">
        <f>F37*$A$41</f>
        <v>3661.5330099650209</v>
      </c>
      <c r="H37" s="166">
        <f>'[7]Emissions Summary'!J$20</f>
        <v>630.3830592285251</v>
      </c>
      <c r="I37" s="166">
        <f>'[7]Emissions Summary'!J$10</f>
        <v>59.174650282654945</v>
      </c>
      <c r="J37" s="161">
        <f>'[7]Emissions Summary'!J$21</f>
        <v>116.58160964624815</v>
      </c>
      <c r="K37" s="166">
        <f>'[7]Emissions Summary'!J$11</f>
        <v>13.326532199890202</v>
      </c>
      <c r="L37" s="166">
        <f>K37*$A$43</f>
        <v>319.83677279736486</v>
      </c>
      <c r="M37" s="161">
        <f>'[7]Emissions Summary'!J$22</f>
        <v>14.012317395855819</v>
      </c>
      <c r="N37" s="166">
        <f>'[7]Emissions Summary'!J$12</f>
        <v>12.257327442636374</v>
      </c>
      <c r="O37" s="166">
        <f>N37*$A$43</f>
        <v>294.17585862327297</v>
      </c>
      <c r="P37" s="161">
        <f>'[7]Emissions Summary'!J$23</f>
        <v>12.975645079994786</v>
      </c>
      <c r="Q37" s="166">
        <f>'[7]Emissions Summary'!J$13</f>
        <v>18.283605218931971</v>
      </c>
      <c r="R37" s="166">
        <f>Q37*$A$43</f>
        <v>438.80652525436733</v>
      </c>
      <c r="S37" s="166">
        <f>'[7]Emissions Summary'!$J$24</f>
        <v>1.1740993348412458</v>
      </c>
      <c r="T37" s="508"/>
      <c r="U37" s="178"/>
      <c r="V37" s="178"/>
      <c r="W37" s="178"/>
      <c r="X37" s="178"/>
      <c r="Y37" s="178"/>
      <c r="Z37" s="508"/>
      <c r="AA37" s="166">
        <f>'[7]Emissions Summary'!$J$25</f>
        <v>81247.804895886235</v>
      </c>
      <c r="AB37" s="178"/>
      <c r="AC37" s="178"/>
      <c r="AD37" s="166">
        <f>'[7]Emissions Summary'!$J$15</f>
        <v>0.30566101621786856</v>
      </c>
      <c r="AE37" s="166">
        <f>'[7]Emissions Summary'!$J$26</f>
        <v>0.32663816043094951</v>
      </c>
    </row>
    <row r="38" spans="1:31">
      <c r="A38" s="630" t="s">
        <v>420</v>
      </c>
      <c r="B38" s="631"/>
      <c r="C38" s="632"/>
      <c r="D38" s="176">
        <f>SUM(D6:D23,D30:D37)</f>
        <v>642.33012766779075</v>
      </c>
      <c r="E38" s="176">
        <f t="shared" ref="E38:AE38" si="2">SUM(E6:E23,E30:E37)</f>
        <v>1560.1106885631468</v>
      </c>
      <c r="F38" s="176">
        <f t="shared" si="2"/>
        <v>1198.4612334210542</v>
      </c>
      <c r="G38" s="176">
        <f t="shared" si="2"/>
        <v>9587.6898673684336</v>
      </c>
      <c r="H38" s="176">
        <f t="shared" si="2"/>
        <v>2364.6444589615685</v>
      </c>
      <c r="I38" s="176">
        <f t="shared" si="2"/>
        <v>668.52434013231618</v>
      </c>
      <c r="J38" s="176">
        <f t="shared" si="2"/>
        <v>332.13596995479071</v>
      </c>
      <c r="K38" s="176">
        <f t="shared" si="2"/>
        <v>104.15518586185337</v>
      </c>
      <c r="L38" s="176">
        <f t="shared" si="2"/>
        <v>2499.7244606844811</v>
      </c>
      <c r="M38" s="176">
        <f t="shared" si="2"/>
        <v>273.85442763550623</v>
      </c>
      <c r="N38" s="176">
        <f t="shared" si="2"/>
        <v>103.08598110459954</v>
      </c>
      <c r="O38" s="176">
        <f t="shared" si="2"/>
        <v>2474.0635465103892</v>
      </c>
      <c r="P38" s="176">
        <f t="shared" si="2"/>
        <v>272.79346986902721</v>
      </c>
      <c r="Q38" s="176">
        <f t="shared" si="2"/>
        <v>42.956244106447073</v>
      </c>
      <c r="R38" s="176">
        <f t="shared" si="2"/>
        <v>1030.9498585547303</v>
      </c>
      <c r="S38" s="176">
        <f t="shared" si="2"/>
        <v>91.545023144513408</v>
      </c>
      <c r="T38" s="176">
        <f t="shared" si="2"/>
        <v>1150676.1322544161</v>
      </c>
      <c r="U38" s="176">
        <f t="shared" si="2"/>
        <v>3844333.1877513151</v>
      </c>
      <c r="V38" s="176">
        <f t="shared" si="2"/>
        <v>46.012101650999995</v>
      </c>
      <c r="W38" s="176">
        <f t="shared" si="2"/>
        <v>169.49777586669418</v>
      </c>
      <c r="X38" s="176">
        <f t="shared" si="2"/>
        <v>2.1652611176000001</v>
      </c>
      <c r="Y38" s="176">
        <f t="shared" si="2"/>
        <v>7.2513637833810254</v>
      </c>
      <c r="Z38" s="176">
        <f t="shared" si="2"/>
        <v>1152471.6826087357</v>
      </c>
      <c r="AA38" s="176">
        <f t="shared" si="2"/>
        <v>3931979.343451316</v>
      </c>
      <c r="AB38" s="176">
        <f t="shared" si="2"/>
        <v>7.0164027450273334</v>
      </c>
      <c r="AC38" s="176">
        <f t="shared" si="2"/>
        <v>25.77703183057265</v>
      </c>
      <c r="AD38" s="176">
        <f t="shared" si="2"/>
        <v>11.754704160213523</v>
      </c>
      <c r="AE38" s="176">
        <f t="shared" si="2"/>
        <v>37.9916899949692</v>
      </c>
    </row>
    <row r="39" spans="1:31">
      <c r="A39" s="630" t="s">
        <v>421</v>
      </c>
      <c r="B39" s="631"/>
      <c r="C39" s="632"/>
      <c r="D39" s="176">
        <f>SUM(D6:D37)</f>
        <v>5675.146127667791</v>
      </c>
      <c r="E39" s="176">
        <f t="shared" ref="E39:AE39" si="3">SUM(E6:E37)</f>
        <v>4076.5186885631465</v>
      </c>
      <c r="F39" s="176">
        <f t="shared" si="3"/>
        <v>24142.181233421055</v>
      </c>
      <c r="G39" s="176">
        <f t="shared" si="3"/>
        <v>32531.409867368431</v>
      </c>
      <c r="H39" s="176">
        <f t="shared" si="3"/>
        <v>13836.504458961568</v>
      </c>
      <c r="I39" s="176">
        <f t="shared" si="3"/>
        <v>42855.364340132306</v>
      </c>
      <c r="J39" s="176">
        <f t="shared" si="3"/>
        <v>21425.555969954785</v>
      </c>
      <c r="K39" s="176">
        <f t="shared" si="3"/>
        <v>2192.7818103443856</v>
      </c>
      <c r="L39" s="176">
        <f t="shared" si="3"/>
        <v>4588.3510851670135</v>
      </c>
      <c r="M39" s="176">
        <f t="shared" si="3"/>
        <v>1318.1677398767724</v>
      </c>
      <c r="N39" s="176">
        <f t="shared" si="3"/>
        <v>2191.7126055871317</v>
      </c>
      <c r="O39" s="176">
        <f t="shared" si="3"/>
        <v>4562.6901709929216</v>
      </c>
      <c r="P39" s="176">
        <f t="shared" si="3"/>
        <v>1317.1067821102934</v>
      </c>
      <c r="Q39" s="176">
        <f t="shared" si="3"/>
        <v>227.40847800455802</v>
      </c>
      <c r="R39" s="176">
        <f t="shared" si="3"/>
        <v>1215.4020924528413</v>
      </c>
      <c r="S39" s="176">
        <f t="shared" si="3"/>
        <v>183.7711400935689</v>
      </c>
      <c r="T39" s="176">
        <f t="shared" si="3"/>
        <v>9808309.4691664148</v>
      </c>
      <c r="U39" s="176">
        <f t="shared" si="3"/>
        <v>7771409.9077513143</v>
      </c>
      <c r="V39" s="176">
        <f t="shared" si="3"/>
        <v>209.17895685100004</v>
      </c>
      <c r="W39" s="176">
        <f t="shared" si="3"/>
        <v>243.50977586669416</v>
      </c>
      <c r="X39" s="176">
        <f t="shared" si="3"/>
        <v>18.4819466376</v>
      </c>
      <c r="Y39" s="176">
        <f t="shared" si="3"/>
        <v>14.652563783381026</v>
      </c>
      <c r="Z39" s="176">
        <f t="shared" si="3"/>
        <v>9819046.5631856956</v>
      </c>
      <c r="AA39" s="176">
        <f t="shared" si="3"/>
        <v>7863111.921051315</v>
      </c>
      <c r="AB39" s="176">
        <f t="shared" si="3"/>
        <v>91.839959607772414</v>
      </c>
      <c r="AC39" s="176">
        <f t="shared" si="3"/>
        <v>68.188810261945221</v>
      </c>
      <c r="AD39" s="176">
        <f t="shared" si="3"/>
        <v>226.17260432553459</v>
      </c>
      <c r="AE39" s="176">
        <f t="shared" si="3"/>
        <v>145.20064007762971</v>
      </c>
    </row>
    <row r="41" spans="1:31">
      <c r="A41">
        <v>8</v>
      </c>
      <c r="B41" s="171" t="s">
        <v>408</v>
      </c>
    </row>
    <row r="42" spans="1:31">
      <c r="A42" s="171">
        <v>24</v>
      </c>
      <c r="B42" s="171" t="s">
        <v>406</v>
      </c>
    </row>
    <row r="43" spans="1:31">
      <c r="A43" s="171">
        <v>24</v>
      </c>
      <c r="B43" s="171" t="s">
        <v>407</v>
      </c>
    </row>
    <row r="44" spans="1:31">
      <c r="A44" s="171">
        <v>0.5</v>
      </c>
      <c r="B44" s="512" t="s">
        <v>940</v>
      </c>
    </row>
  </sheetData>
  <mergeCells count="14">
    <mergeCell ref="D3:AE3"/>
    <mergeCell ref="D4:E4"/>
    <mergeCell ref="F4:H4"/>
    <mergeCell ref="I4:J4"/>
    <mergeCell ref="AD4:AE4"/>
    <mergeCell ref="AB4:AC4"/>
    <mergeCell ref="K4:M4"/>
    <mergeCell ref="N4:P4"/>
    <mergeCell ref="Q4:S4"/>
    <mergeCell ref="A38:C38"/>
    <mergeCell ref="A39:C39"/>
    <mergeCell ref="A3:A5"/>
    <mergeCell ref="B3:B5"/>
    <mergeCell ref="C3:C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2550"/>
  <sheetViews>
    <sheetView zoomScaleNormal="100" workbookViewId="0">
      <pane xSplit="1" ySplit="3" topLeftCell="AF4" activePane="bottomRight" state="frozen"/>
      <selection activeCell="B2" sqref="B2"/>
      <selection pane="topRight" activeCell="B2" sqref="B2"/>
      <selection pane="bottomLeft" activeCell="B2" sqref="B2"/>
      <selection pane="bottomRight" activeCell="AH27" sqref="AH27"/>
    </sheetView>
  </sheetViews>
  <sheetFormatPr defaultRowHeight="12.75"/>
  <cols>
    <col min="1" max="1" width="34.5703125" style="463" customWidth="1"/>
    <col min="2" max="2" width="11.5703125" style="463" customWidth="1"/>
    <col min="3" max="3" width="9.5703125" style="463" customWidth="1"/>
    <col min="4" max="4" width="25.85546875" style="463" customWidth="1"/>
    <col min="5" max="5" width="11.5703125" style="463" customWidth="1"/>
    <col min="6" max="6" width="9.140625" style="463"/>
    <col min="7" max="7" width="25.85546875" style="463" customWidth="1"/>
    <col min="8" max="8" width="9.42578125" style="463" customWidth="1"/>
    <col min="9" max="9" width="9" style="463" customWidth="1"/>
    <col min="10" max="10" width="34.42578125" style="463" customWidth="1"/>
    <col min="11" max="11" width="9.85546875" style="190" bestFit="1" customWidth="1"/>
    <col min="12" max="12" width="10.7109375" style="190" customWidth="1"/>
    <col min="13" max="13" width="22.28515625" style="190" customWidth="1"/>
    <col min="14" max="14" width="12.42578125" style="190" customWidth="1"/>
    <col min="15" max="15" width="9.5703125" style="190" customWidth="1"/>
    <col min="16" max="16" width="23.7109375" style="190" customWidth="1"/>
    <col min="17" max="17" width="9.85546875" style="190" customWidth="1"/>
    <col min="18" max="20" width="11.7109375" style="190" customWidth="1"/>
    <col min="21" max="21" width="21.85546875" style="190" customWidth="1"/>
    <col min="22" max="22" width="11.28515625" style="190" customWidth="1"/>
    <col min="23" max="23" width="11.85546875" style="190" customWidth="1"/>
    <col min="24" max="24" width="21.85546875" style="190" customWidth="1"/>
    <col min="25" max="25" width="10.42578125" style="190" customWidth="1"/>
    <col min="26" max="26" width="10.140625" style="190" customWidth="1"/>
    <col min="27" max="27" width="20" style="190" customWidth="1"/>
    <col min="28" max="28" width="9.140625" style="260"/>
    <col min="29" max="29" width="11.7109375" style="260" customWidth="1"/>
    <col min="30" max="30" width="23.7109375" style="260" customWidth="1"/>
    <col min="31" max="32" width="9.140625" style="260"/>
    <col min="33" max="33" width="22.85546875" style="260" customWidth="1"/>
    <col min="34" max="35" width="9.140625" style="190"/>
    <col min="36" max="36" width="18" style="190" customWidth="1"/>
    <col min="37" max="38" width="9.140625" style="190"/>
    <col min="39" max="39" width="21.140625" style="190" customWidth="1"/>
    <col min="40" max="40" width="9.140625" style="190"/>
    <col min="41" max="41" width="10.28515625" style="190" customWidth="1"/>
    <col min="42" max="42" width="22.85546875" style="190" customWidth="1"/>
    <col min="43" max="256" width="9.140625" style="190"/>
    <col min="257" max="257" width="34.5703125" style="190" customWidth="1"/>
    <col min="258" max="258" width="11.5703125" style="190" customWidth="1"/>
    <col min="259" max="259" width="9.5703125" style="190" customWidth="1"/>
    <col min="260" max="260" width="25.85546875" style="190" customWidth="1"/>
    <col min="261" max="261" width="11.5703125" style="190" customWidth="1"/>
    <col min="262" max="262" width="9.140625" style="190"/>
    <col min="263" max="263" width="25.85546875" style="190" customWidth="1"/>
    <col min="264" max="264" width="9.42578125" style="190" customWidth="1"/>
    <col min="265" max="265" width="9" style="190" customWidth="1"/>
    <col min="266" max="266" width="34.42578125" style="190" customWidth="1"/>
    <col min="267" max="267" width="9.85546875" style="190" bestFit="1" customWidth="1"/>
    <col min="268" max="268" width="10.7109375" style="190" customWidth="1"/>
    <col min="269" max="269" width="22.28515625" style="190" customWidth="1"/>
    <col min="270" max="270" width="12.42578125" style="190" customWidth="1"/>
    <col min="271" max="271" width="9.5703125" style="190" customWidth="1"/>
    <col min="272" max="272" width="23.7109375" style="190" customWidth="1"/>
    <col min="273" max="273" width="9.85546875" style="190" customWidth="1"/>
    <col min="274" max="276" width="11.7109375" style="190" customWidth="1"/>
    <col min="277" max="277" width="21.85546875" style="190" customWidth="1"/>
    <col min="278" max="278" width="11.28515625" style="190" customWidth="1"/>
    <col min="279" max="279" width="11.85546875" style="190" customWidth="1"/>
    <col min="280" max="280" width="21.85546875" style="190" customWidth="1"/>
    <col min="281" max="281" width="10.42578125" style="190" customWidth="1"/>
    <col min="282" max="282" width="10.140625" style="190" customWidth="1"/>
    <col min="283" max="283" width="20" style="190" customWidth="1"/>
    <col min="284" max="284" width="9.140625" style="190"/>
    <col min="285" max="285" width="11.7109375" style="190" customWidth="1"/>
    <col min="286" max="286" width="23.7109375" style="190" customWidth="1"/>
    <col min="287" max="288" width="9.140625" style="190"/>
    <col min="289" max="289" width="22.85546875" style="190" customWidth="1"/>
    <col min="290" max="291" width="9.140625" style="190"/>
    <col min="292" max="292" width="18" style="190" customWidth="1"/>
    <col min="293" max="294" width="9.140625" style="190"/>
    <col min="295" max="295" width="21.140625" style="190" customWidth="1"/>
    <col min="296" max="296" width="9.140625" style="190"/>
    <col min="297" max="297" width="10.28515625" style="190" customWidth="1"/>
    <col min="298" max="298" width="22.85546875" style="190" customWidth="1"/>
    <col min="299" max="512" width="9.140625" style="190"/>
    <col min="513" max="513" width="34.5703125" style="190" customWidth="1"/>
    <col min="514" max="514" width="11.5703125" style="190" customWidth="1"/>
    <col min="515" max="515" width="9.5703125" style="190" customWidth="1"/>
    <col min="516" max="516" width="25.85546875" style="190" customWidth="1"/>
    <col min="517" max="517" width="11.5703125" style="190" customWidth="1"/>
    <col min="518" max="518" width="9.140625" style="190"/>
    <col min="519" max="519" width="25.85546875" style="190" customWidth="1"/>
    <col min="520" max="520" width="9.42578125" style="190" customWidth="1"/>
    <col min="521" max="521" width="9" style="190" customWidth="1"/>
    <col min="522" max="522" width="34.42578125" style="190" customWidth="1"/>
    <col min="523" max="523" width="9.85546875" style="190" bestFit="1" customWidth="1"/>
    <col min="524" max="524" width="10.7109375" style="190" customWidth="1"/>
    <col min="525" max="525" width="22.28515625" style="190" customWidth="1"/>
    <col min="526" max="526" width="12.42578125" style="190" customWidth="1"/>
    <col min="527" max="527" width="9.5703125" style="190" customWidth="1"/>
    <col min="528" max="528" width="23.7109375" style="190" customWidth="1"/>
    <col min="529" max="529" width="9.85546875" style="190" customWidth="1"/>
    <col min="530" max="532" width="11.7109375" style="190" customWidth="1"/>
    <col min="533" max="533" width="21.85546875" style="190" customWidth="1"/>
    <col min="534" max="534" width="11.28515625" style="190" customWidth="1"/>
    <col min="535" max="535" width="11.85546875" style="190" customWidth="1"/>
    <col min="536" max="536" width="21.85546875" style="190" customWidth="1"/>
    <col min="537" max="537" width="10.42578125" style="190" customWidth="1"/>
    <col min="538" max="538" width="10.140625" style="190" customWidth="1"/>
    <col min="539" max="539" width="20" style="190" customWidth="1"/>
    <col min="540" max="540" width="9.140625" style="190"/>
    <col min="541" max="541" width="11.7109375" style="190" customWidth="1"/>
    <col min="542" max="542" width="23.7109375" style="190" customWidth="1"/>
    <col min="543" max="544" width="9.140625" style="190"/>
    <col min="545" max="545" width="22.85546875" style="190" customWidth="1"/>
    <col min="546" max="547" width="9.140625" style="190"/>
    <col min="548" max="548" width="18" style="190" customWidth="1"/>
    <col min="549" max="550" width="9.140625" style="190"/>
    <col min="551" max="551" width="21.140625" style="190" customWidth="1"/>
    <col min="552" max="552" width="9.140625" style="190"/>
    <col min="553" max="553" width="10.28515625" style="190" customWidth="1"/>
    <col min="554" max="554" width="22.85546875" style="190" customWidth="1"/>
    <col min="555" max="768" width="9.140625" style="190"/>
    <col min="769" max="769" width="34.5703125" style="190" customWidth="1"/>
    <col min="770" max="770" width="11.5703125" style="190" customWidth="1"/>
    <col min="771" max="771" width="9.5703125" style="190" customWidth="1"/>
    <col min="772" max="772" width="25.85546875" style="190" customWidth="1"/>
    <col min="773" max="773" width="11.5703125" style="190" customWidth="1"/>
    <col min="774" max="774" width="9.140625" style="190"/>
    <col min="775" max="775" width="25.85546875" style="190" customWidth="1"/>
    <col min="776" max="776" width="9.42578125" style="190" customWidth="1"/>
    <col min="777" max="777" width="9" style="190" customWidth="1"/>
    <col min="778" max="778" width="34.42578125" style="190" customWidth="1"/>
    <col min="779" max="779" width="9.85546875" style="190" bestFit="1" customWidth="1"/>
    <col min="780" max="780" width="10.7109375" style="190" customWidth="1"/>
    <col min="781" max="781" width="22.28515625" style="190" customWidth="1"/>
    <col min="782" max="782" width="12.42578125" style="190" customWidth="1"/>
    <col min="783" max="783" width="9.5703125" style="190" customWidth="1"/>
    <col min="784" max="784" width="23.7109375" style="190" customWidth="1"/>
    <col min="785" max="785" width="9.85546875" style="190" customWidth="1"/>
    <col min="786" max="788" width="11.7109375" style="190" customWidth="1"/>
    <col min="789" max="789" width="21.85546875" style="190" customWidth="1"/>
    <col min="790" max="790" width="11.28515625" style="190" customWidth="1"/>
    <col min="791" max="791" width="11.85546875" style="190" customWidth="1"/>
    <col min="792" max="792" width="21.85546875" style="190" customWidth="1"/>
    <col min="793" max="793" width="10.42578125" style="190" customWidth="1"/>
    <col min="794" max="794" width="10.140625" style="190" customWidth="1"/>
    <col min="795" max="795" width="20" style="190" customWidth="1"/>
    <col min="796" max="796" width="9.140625" style="190"/>
    <col min="797" max="797" width="11.7109375" style="190" customWidth="1"/>
    <col min="798" max="798" width="23.7109375" style="190" customWidth="1"/>
    <col min="799" max="800" width="9.140625" style="190"/>
    <col min="801" max="801" width="22.85546875" style="190" customWidth="1"/>
    <col min="802" max="803" width="9.140625" style="190"/>
    <col min="804" max="804" width="18" style="190" customWidth="1"/>
    <col min="805" max="806" width="9.140625" style="190"/>
    <col min="807" max="807" width="21.140625" style="190" customWidth="1"/>
    <col min="808" max="808" width="9.140625" style="190"/>
    <col min="809" max="809" width="10.28515625" style="190" customWidth="1"/>
    <col min="810" max="810" width="22.85546875" style="190" customWidth="1"/>
    <col min="811" max="1024" width="9.140625" style="190"/>
    <col min="1025" max="1025" width="34.5703125" style="190" customWidth="1"/>
    <col min="1026" max="1026" width="11.5703125" style="190" customWidth="1"/>
    <col min="1027" max="1027" width="9.5703125" style="190" customWidth="1"/>
    <col min="1028" max="1028" width="25.85546875" style="190" customWidth="1"/>
    <col min="1029" max="1029" width="11.5703125" style="190" customWidth="1"/>
    <col min="1030" max="1030" width="9.140625" style="190"/>
    <col min="1031" max="1031" width="25.85546875" style="190" customWidth="1"/>
    <col min="1032" max="1032" width="9.42578125" style="190" customWidth="1"/>
    <col min="1033" max="1033" width="9" style="190" customWidth="1"/>
    <col min="1034" max="1034" width="34.42578125" style="190" customWidth="1"/>
    <col min="1035" max="1035" width="9.85546875" style="190" bestFit="1" customWidth="1"/>
    <col min="1036" max="1036" width="10.7109375" style="190" customWidth="1"/>
    <col min="1037" max="1037" width="22.28515625" style="190" customWidth="1"/>
    <col min="1038" max="1038" width="12.42578125" style="190" customWidth="1"/>
    <col min="1039" max="1039" width="9.5703125" style="190" customWidth="1"/>
    <col min="1040" max="1040" width="23.7109375" style="190" customWidth="1"/>
    <col min="1041" max="1041" width="9.85546875" style="190" customWidth="1"/>
    <col min="1042" max="1044" width="11.7109375" style="190" customWidth="1"/>
    <col min="1045" max="1045" width="21.85546875" style="190" customWidth="1"/>
    <col min="1046" max="1046" width="11.28515625" style="190" customWidth="1"/>
    <col min="1047" max="1047" width="11.85546875" style="190" customWidth="1"/>
    <col min="1048" max="1048" width="21.85546875" style="190" customWidth="1"/>
    <col min="1049" max="1049" width="10.42578125" style="190" customWidth="1"/>
    <col min="1050" max="1050" width="10.140625" style="190" customWidth="1"/>
    <col min="1051" max="1051" width="20" style="190" customWidth="1"/>
    <col min="1052" max="1052" width="9.140625" style="190"/>
    <col min="1053" max="1053" width="11.7109375" style="190" customWidth="1"/>
    <col min="1054" max="1054" width="23.7109375" style="190" customWidth="1"/>
    <col min="1055" max="1056" width="9.140625" style="190"/>
    <col min="1057" max="1057" width="22.85546875" style="190" customWidth="1"/>
    <col min="1058" max="1059" width="9.140625" style="190"/>
    <col min="1060" max="1060" width="18" style="190" customWidth="1"/>
    <col min="1061" max="1062" width="9.140625" style="190"/>
    <col min="1063" max="1063" width="21.140625" style="190" customWidth="1"/>
    <col min="1064" max="1064" width="9.140625" style="190"/>
    <col min="1065" max="1065" width="10.28515625" style="190" customWidth="1"/>
    <col min="1066" max="1066" width="22.85546875" style="190" customWidth="1"/>
    <col min="1067" max="1280" width="9.140625" style="190"/>
    <col min="1281" max="1281" width="34.5703125" style="190" customWidth="1"/>
    <col min="1282" max="1282" width="11.5703125" style="190" customWidth="1"/>
    <col min="1283" max="1283" width="9.5703125" style="190" customWidth="1"/>
    <col min="1284" max="1284" width="25.85546875" style="190" customWidth="1"/>
    <col min="1285" max="1285" width="11.5703125" style="190" customWidth="1"/>
    <col min="1286" max="1286" width="9.140625" style="190"/>
    <col min="1287" max="1287" width="25.85546875" style="190" customWidth="1"/>
    <col min="1288" max="1288" width="9.42578125" style="190" customWidth="1"/>
    <col min="1289" max="1289" width="9" style="190" customWidth="1"/>
    <col min="1290" max="1290" width="34.42578125" style="190" customWidth="1"/>
    <col min="1291" max="1291" width="9.85546875" style="190" bestFit="1" customWidth="1"/>
    <col min="1292" max="1292" width="10.7109375" style="190" customWidth="1"/>
    <col min="1293" max="1293" width="22.28515625" style="190" customWidth="1"/>
    <col min="1294" max="1294" width="12.42578125" style="190" customWidth="1"/>
    <col min="1295" max="1295" width="9.5703125" style="190" customWidth="1"/>
    <col min="1296" max="1296" width="23.7109375" style="190" customWidth="1"/>
    <col min="1297" max="1297" width="9.85546875" style="190" customWidth="1"/>
    <col min="1298" max="1300" width="11.7109375" style="190" customWidth="1"/>
    <col min="1301" max="1301" width="21.85546875" style="190" customWidth="1"/>
    <col min="1302" max="1302" width="11.28515625" style="190" customWidth="1"/>
    <col min="1303" max="1303" width="11.85546875" style="190" customWidth="1"/>
    <col min="1304" max="1304" width="21.85546875" style="190" customWidth="1"/>
    <col min="1305" max="1305" width="10.42578125" style="190" customWidth="1"/>
    <col min="1306" max="1306" width="10.140625" style="190" customWidth="1"/>
    <col min="1307" max="1307" width="20" style="190" customWidth="1"/>
    <col min="1308" max="1308" width="9.140625" style="190"/>
    <col min="1309" max="1309" width="11.7109375" style="190" customWidth="1"/>
    <col min="1310" max="1310" width="23.7109375" style="190" customWidth="1"/>
    <col min="1311" max="1312" width="9.140625" style="190"/>
    <col min="1313" max="1313" width="22.85546875" style="190" customWidth="1"/>
    <col min="1314" max="1315" width="9.140625" style="190"/>
    <col min="1316" max="1316" width="18" style="190" customWidth="1"/>
    <col min="1317" max="1318" width="9.140625" style="190"/>
    <col min="1319" max="1319" width="21.140625" style="190" customWidth="1"/>
    <col min="1320" max="1320" width="9.140625" style="190"/>
    <col min="1321" max="1321" width="10.28515625" style="190" customWidth="1"/>
    <col min="1322" max="1322" width="22.85546875" style="190" customWidth="1"/>
    <col min="1323" max="1536" width="9.140625" style="190"/>
    <col min="1537" max="1537" width="34.5703125" style="190" customWidth="1"/>
    <col min="1538" max="1538" width="11.5703125" style="190" customWidth="1"/>
    <col min="1539" max="1539" width="9.5703125" style="190" customWidth="1"/>
    <col min="1540" max="1540" width="25.85546875" style="190" customWidth="1"/>
    <col min="1541" max="1541" width="11.5703125" style="190" customWidth="1"/>
    <col min="1542" max="1542" width="9.140625" style="190"/>
    <col min="1543" max="1543" width="25.85546875" style="190" customWidth="1"/>
    <col min="1544" max="1544" width="9.42578125" style="190" customWidth="1"/>
    <col min="1545" max="1545" width="9" style="190" customWidth="1"/>
    <col min="1546" max="1546" width="34.42578125" style="190" customWidth="1"/>
    <col min="1547" max="1547" width="9.85546875" style="190" bestFit="1" customWidth="1"/>
    <col min="1548" max="1548" width="10.7109375" style="190" customWidth="1"/>
    <col min="1549" max="1549" width="22.28515625" style="190" customWidth="1"/>
    <col min="1550" max="1550" width="12.42578125" style="190" customWidth="1"/>
    <col min="1551" max="1551" width="9.5703125" style="190" customWidth="1"/>
    <col min="1552" max="1552" width="23.7109375" style="190" customWidth="1"/>
    <col min="1553" max="1553" width="9.85546875" style="190" customWidth="1"/>
    <col min="1554" max="1556" width="11.7109375" style="190" customWidth="1"/>
    <col min="1557" max="1557" width="21.85546875" style="190" customWidth="1"/>
    <col min="1558" max="1558" width="11.28515625" style="190" customWidth="1"/>
    <col min="1559" max="1559" width="11.85546875" style="190" customWidth="1"/>
    <col min="1560" max="1560" width="21.85546875" style="190" customWidth="1"/>
    <col min="1561" max="1561" width="10.42578125" style="190" customWidth="1"/>
    <col min="1562" max="1562" width="10.140625" style="190" customWidth="1"/>
    <col min="1563" max="1563" width="20" style="190" customWidth="1"/>
    <col min="1564" max="1564" width="9.140625" style="190"/>
    <col min="1565" max="1565" width="11.7109375" style="190" customWidth="1"/>
    <col min="1566" max="1566" width="23.7109375" style="190" customWidth="1"/>
    <col min="1567" max="1568" width="9.140625" style="190"/>
    <col min="1569" max="1569" width="22.85546875" style="190" customWidth="1"/>
    <col min="1570" max="1571" width="9.140625" style="190"/>
    <col min="1572" max="1572" width="18" style="190" customWidth="1"/>
    <col min="1573" max="1574" width="9.140625" style="190"/>
    <col min="1575" max="1575" width="21.140625" style="190" customWidth="1"/>
    <col min="1576" max="1576" width="9.140625" style="190"/>
    <col min="1577" max="1577" width="10.28515625" style="190" customWidth="1"/>
    <col min="1578" max="1578" width="22.85546875" style="190" customWidth="1"/>
    <col min="1579" max="1792" width="9.140625" style="190"/>
    <col min="1793" max="1793" width="34.5703125" style="190" customWidth="1"/>
    <col min="1794" max="1794" width="11.5703125" style="190" customWidth="1"/>
    <col min="1795" max="1795" width="9.5703125" style="190" customWidth="1"/>
    <col min="1796" max="1796" width="25.85546875" style="190" customWidth="1"/>
    <col min="1797" max="1797" width="11.5703125" style="190" customWidth="1"/>
    <col min="1798" max="1798" width="9.140625" style="190"/>
    <col min="1799" max="1799" width="25.85546875" style="190" customWidth="1"/>
    <col min="1800" max="1800" width="9.42578125" style="190" customWidth="1"/>
    <col min="1801" max="1801" width="9" style="190" customWidth="1"/>
    <col min="1802" max="1802" width="34.42578125" style="190" customWidth="1"/>
    <col min="1803" max="1803" width="9.85546875" style="190" bestFit="1" customWidth="1"/>
    <col min="1804" max="1804" width="10.7109375" style="190" customWidth="1"/>
    <col min="1805" max="1805" width="22.28515625" style="190" customWidth="1"/>
    <col min="1806" max="1806" width="12.42578125" style="190" customWidth="1"/>
    <col min="1807" max="1807" width="9.5703125" style="190" customWidth="1"/>
    <col min="1808" max="1808" width="23.7109375" style="190" customWidth="1"/>
    <col min="1809" max="1809" width="9.85546875" style="190" customWidth="1"/>
    <col min="1810" max="1812" width="11.7109375" style="190" customWidth="1"/>
    <col min="1813" max="1813" width="21.85546875" style="190" customWidth="1"/>
    <col min="1814" max="1814" width="11.28515625" style="190" customWidth="1"/>
    <col min="1815" max="1815" width="11.85546875" style="190" customWidth="1"/>
    <col min="1816" max="1816" width="21.85546875" style="190" customWidth="1"/>
    <col min="1817" max="1817" width="10.42578125" style="190" customWidth="1"/>
    <col min="1818" max="1818" width="10.140625" style="190" customWidth="1"/>
    <col min="1819" max="1819" width="20" style="190" customWidth="1"/>
    <col min="1820" max="1820" width="9.140625" style="190"/>
    <col min="1821" max="1821" width="11.7109375" style="190" customWidth="1"/>
    <col min="1822" max="1822" width="23.7109375" style="190" customWidth="1"/>
    <col min="1823" max="1824" width="9.140625" style="190"/>
    <col min="1825" max="1825" width="22.85546875" style="190" customWidth="1"/>
    <col min="1826" max="1827" width="9.140625" style="190"/>
    <col min="1828" max="1828" width="18" style="190" customWidth="1"/>
    <col min="1829" max="1830" width="9.140625" style="190"/>
    <col min="1831" max="1831" width="21.140625" style="190" customWidth="1"/>
    <col min="1832" max="1832" width="9.140625" style="190"/>
    <col min="1833" max="1833" width="10.28515625" style="190" customWidth="1"/>
    <col min="1834" max="1834" width="22.85546875" style="190" customWidth="1"/>
    <col min="1835" max="2048" width="9.140625" style="190"/>
    <col min="2049" max="2049" width="34.5703125" style="190" customWidth="1"/>
    <col min="2050" max="2050" width="11.5703125" style="190" customWidth="1"/>
    <col min="2051" max="2051" width="9.5703125" style="190" customWidth="1"/>
    <col min="2052" max="2052" width="25.85546875" style="190" customWidth="1"/>
    <col min="2053" max="2053" width="11.5703125" style="190" customWidth="1"/>
    <col min="2054" max="2054" width="9.140625" style="190"/>
    <col min="2055" max="2055" width="25.85546875" style="190" customWidth="1"/>
    <col min="2056" max="2056" width="9.42578125" style="190" customWidth="1"/>
    <col min="2057" max="2057" width="9" style="190" customWidth="1"/>
    <col min="2058" max="2058" width="34.42578125" style="190" customWidth="1"/>
    <col min="2059" max="2059" width="9.85546875" style="190" bestFit="1" customWidth="1"/>
    <col min="2060" max="2060" width="10.7109375" style="190" customWidth="1"/>
    <col min="2061" max="2061" width="22.28515625" style="190" customWidth="1"/>
    <col min="2062" max="2062" width="12.42578125" style="190" customWidth="1"/>
    <col min="2063" max="2063" width="9.5703125" style="190" customWidth="1"/>
    <col min="2064" max="2064" width="23.7109375" style="190" customWidth="1"/>
    <col min="2065" max="2065" width="9.85546875" style="190" customWidth="1"/>
    <col min="2066" max="2068" width="11.7109375" style="190" customWidth="1"/>
    <col min="2069" max="2069" width="21.85546875" style="190" customWidth="1"/>
    <col min="2070" max="2070" width="11.28515625" style="190" customWidth="1"/>
    <col min="2071" max="2071" width="11.85546875" style="190" customWidth="1"/>
    <col min="2072" max="2072" width="21.85546875" style="190" customWidth="1"/>
    <col min="2073" max="2073" width="10.42578125" style="190" customWidth="1"/>
    <col min="2074" max="2074" width="10.140625" style="190" customWidth="1"/>
    <col min="2075" max="2075" width="20" style="190" customWidth="1"/>
    <col min="2076" max="2076" width="9.140625" style="190"/>
    <col min="2077" max="2077" width="11.7109375" style="190" customWidth="1"/>
    <col min="2078" max="2078" width="23.7109375" style="190" customWidth="1"/>
    <col min="2079" max="2080" width="9.140625" style="190"/>
    <col min="2081" max="2081" width="22.85546875" style="190" customWidth="1"/>
    <col min="2082" max="2083" width="9.140625" style="190"/>
    <col min="2084" max="2084" width="18" style="190" customWidth="1"/>
    <col min="2085" max="2086" width="9.140625" style="190"/>
    <col min="2087" max="2087" width="21.140625" style="190" customWidth="1"/>
    <col min="2088" max="2088" width="9.140625" style="190"/>
    <col min="2089" max="2089" width="10.28515625" style="190" customWidth="1"/>
    <col min="2090" max="2090" width="22.85546875" style="190" customWidth="1"/>
    <col min="2091" max="2304" width="9.140625" style="190"/>
    <col min="2305" max="2305" width="34.5703125" style="190" customWidth="1"/>
    <col min="2306" max="2306" width="11.5703125" style="190" customWidth="1"/>
    <col min="2307" max="2307" width="9.5703125" style="190" customWidth="1"/>
    <col min="2308" max="2308" width="25.85546875" style="190" customWidth="1"/>
    <col min="2309" max="2309" width="11.5703125" style="190" customWidth="1"/>
    <col min="2310" max="2310" width="9.140625" style="190"/>
    <col min="2311" max="2311" width="25.85546875" style="190" customWidth="1"/>
    <col min="2312" max="2312" width="9.42578125" style="190" customWidth="1"/>
    <col min="2313" max="2313" width="9" style="190" customWidth="1"/>
    <col min="2314" max="2314" width="34.42578125" style="190" customWidth="1"/>
    <col min="2315" max="2315" width="9.85546875" style="190" bestFit="1" customWidth="1"/>
    <col min="2316" max="2316" width="10.7109375" style="190" customWidth="1"/>
    <col min="2317" max="2317" width="22.28515625" style="190" customWidth="1"/>
    <col min="2318" max="2318" width="12.42578125" style="190" customWidth="1"/>
    <col min="2319" max="2319" width="9.5703125" style="190" customWidth="1"/>
    <col min="2320" max="2320" width="23.7109375" style="190" customWidth="1"/>
    <col min="2321" max="2321" width="9.85546875" style="190" customWidth="1"/>
    <col min="2322" max="2324" width="11.7109375" style="190" customWidth="1"/>
    <col min="2325" max="2325" width="21.85546875" style="190" customWidth="1"/>
    <col min="2326" max="2326" width="11.28515625" style="190" customWidth="1"/>
    <col min="2327" max="2327" width="11.85546875" style="190" customWidth="1"/>
    <col min="2328" max="2328" width="21.85546875" style="190" customWidth="1"/>
    <col min="2329" max="2329" width="10.42578125" style="190" customWidth="1"/>
    <col min="2330" max="2330" width="10.140625" style="190" customWidth="1"/>
    <col min="2331" max="2331" width="20" style="190" customWidth="1"/>
    <col min="2332" max="2332" width="9.140625" style="190"/>
    <col min="2333" max="2333" width="11.7109375" style="190" customWidth="1"/>
    <col min="2334" max="2334" width="23.7109375" style="190" customWidth="1"/>
    <col min="2335" max="2336" width="9.140625" style="190"/>
    <col min="2337" max="2337" width="22.85546875" style="190" customWidth="1"/>
    <col min="2338" max="2339" width="9.140625" style="190"/>
    <col min="2340" max="2340" width="18" style="190" customWidth="1"/>
    <col min="2341" max="2342" width="9.140625" style="190"/>
    <col min="2343" max="2343" width="21.140625" style="190" customWidth="1"/>
    <col min="2344" max="2344" width="9.140625" style="190"/>
    <col min="2345" max="2345" width="10.28515625" style="190" customWidth="1"/>
    <col min="2346" max="2346" width="22.85546875" style="190" customWidth="1"/>
    <col min="2347" max="2560" width="9.140625" style="190"/>
    <col min="2561" max="2561" width="34.5703125" style="190" customWidth="1"/>
    <col min="2562" max="2562" width="11.5703125" style="190" customWidth="1"/>
    <col min="2563" max="2563" width="9.5703125" style="190" customWidth="1"/>
    <col min="2564" max="2564" width="25.85546875" style="190" customWidth="1"/>
    <col min="2565" max="2565" width="11.5703125" style="190" customWidth="1"/>
    <col min="2566" max="2566" width="9.140625" style="190"/>
    <col min="2567" max="2567" width="25.85546875" style="190" customWidth="1"/>
    <col min="2568" max="2568" width="9.42578125" style="190" customWidth="1"/>
    <col min="2569" max="2569" width="9" style="190" customWidth="1"/>
    <col min="2570" max="2570" width="34.42578125" style="190" customWidth="1"/>
    <col min="2571" max="2571" width="9.85546875" style="190" bestFit="1" customWidth="1"/>
    <col min="2572" max="2572" width="10.7109375" style="190" customWidth="1"/>
    <col min="2573" max="2573" width="22.28515625" style="190" customWidth="1"/>
    <col min="2574" max="2574" width="12.42578125" style="190" customWidth="1"/>
    <col min="2575" max="2575" width="9.5703125" style="190" customWidth="1"/>
    <col min="2576" max="2576" width="23.7109375" style="190" customWidth="1"/>
    <col min="2577" max="2577" width="9.85546875" style="190" customWidth="1"/>
    <col min="2578" max="2580" width="11.7109375" style="190" customWidth="1"/>
    <col min="2581" max="2581" width="21.85546875" style="190" customWidth="1"/>
    <col min="2582" max="2582" width="11.28515625" style="190" customWidth="1"/>
    <col min="2583" max="2583" width="11.85546875" style="190" customWidth="1"/>
    <col min="2584" max="2584" width="21.85546875" style="190" customWidth="1"/>
    <col min="2585" max="2585" width="10.42578125" style="190" customWidth="1"/>
    <col min="2586" max="2586" width="10.140625" style="190" customWidth="1"/>
    <col min="2587" max="2587" width="20" style="190" customWidth="1"/>
    <col min="2588" max="2588" width="9.140625" style="190"/>
    <col min="2589" max="2589" width="11.7109375" style="190" customWidth="1"/>
    <col min="2590" max="2590" width="23.7109375" style="190" customWidth="1"/>
    <col min="2591" max="2592" width="9.140625" style="190"/>
    <col min="2593" max="2593" width="22.85546875" style="190" customWidth="1"/>
    <col min="2594" max="2595" width="9.140625" style="190"/>
    <col min="2596" max="2596" width="18" style="190" customWidth="1"/>
    <col min="2597" max="2598" width="9.140625" style="190"/>
    <col min="2599" max="2599" width="21.140625" style="190" customWidth="1"/>
    <col min="2600" max="2600" width="9.140625" style="190"/>
    <col min="2601" max="2601" width="10.28515625" style="190" customWidth="1"/>
    <col min="2602" max="2602" width="22.85546875" style="190" customWidth="1"/>
    <col min="2603" max="2816" width="9.140625" style="190"/>
    <col min="2817" max="2817" width="34.5703125" style="190" customWidth="1"/>
    <col min="2818" max="2818" width="11.5703125" style="190" customWidth="1"/>
    <col min="2819" max="2819" width="9.5703125" style="190" customWidth="1"/>
    <col min="2820" max="2820" width="25.85546875" style="190" customWidth="1"/>
    <col min="2821" max="2821" width="11.5703125" style="190" customWidth="1"/>
    <col min="2822" max="2822" width="9.140625" style="190"/>
    <col min="2823" max="2823" width="25.85546875" style="190" customWidth="1"/>
    <col min="2824" max="2824" width="9.42578125" style="190" customWidth="1"/>
    <col min="2825" max="2825" width="9" style="190" customWidth="1"/>
    <col min="2826" max="2826" width="34.42578125" style="190" customWidth="1"/>
    <col min="2827" max="2827" width="9.85546875" style="190" bestFit="1" customWidth="1"/>
    <col min="2828" max="2828" width="10.7109375" style="190" customWidth="1"/>
    <col min="2829" max="2829" width="22.28515625" style="190" customWidth="1"/>
    <col min="2830" max="2830" width="12.42578125" style="190" customWidth="1"/>
    <col min="2831" max="2831" width="9.5703125" style="190" customWidth="1"/>
    <col min="2832" max="2832" width="23.7109375" style="190" customWidth="1"/>
    <col min="2833" max="2833" width="9.85546875" style="190" customWidth="1"/>
    <col min="2834" max="2836" width="11.7109375" style="190" customWidth="1"/>
    <col min="2837" max="2837" width="21.85546875" style="190" customWidth="1"/>
    <col min="2838" max="2838" width="11.28515625" style="190" customWidth="1"/>
    <col min="2839" max="2839" width="11.85546875" style="190" customWidth="1"/>
    <col min="2840" max="2840" width="21.85546875" style="190" customWidth="1"/>
    <col min="2841" max="2841" width="10.42578125" style="190" customWidth="1"/>
    <col min="2842" max="2842" width="10.140625" style="190" customWidth="1"/>
    <col min="2843" max="2843" width="20" style="190" customWidth="1"/>
    <col min="2844" max="2844" width="9.140625" style="190"/>
    <col min="2845" max="2845" width="11.7109375" style="190" customWidth="1"/>
    <col min="2846" max="2846" width="23.7109375" style="190" customWidth="1"/>
    <col min="2847" max="2848" width="9.140625" style="190"/>
    <col min="2849" max="2849" width="22.85546875" style="190" customWidth="1"/>
    <col min="2850" max="2851" width="9.140625" style="190"/>
    <col min="2852" max="2852" width="18" style="190" customWidth="1"/>
    <col min="2853" max="2854" width="9.140625" style="190"/>
    <col min="2855" max="2855" width="21.140625" style="190" customWidth="1"/>
    <col min="2856" max="2856" width="9.140625" style="190"/>
    <col min="2857" max="2857" width="10.28515625" style="190" customWidth="1"/>
    <col min="2858" max="2858" width="22.85546875" style="190" customWidth="1"/>
    <col min="2859" max="3072" width="9.140625" style="190"/>
    <col min="3073" max="3073" width="34.5703125" style="190" customWidth="1"/>
    <col min="3074" max="3074" width="11.5703125" style="190" customWidth="1"/>
    <col min="3075" max="3075" width="9.5703125" style="190" customWidth="1"/>
    <col min="3076" max="3076" width="25.85546875" style="190" customWidth="1"/>
    <col min="3077" max="3077" width="11.5703125" style="190" customWidth="1"/>
    <col min="3078" max="3078" width="9.140625" style="190"/>
    <col min="3079" max="3079" width="25.85546875" style="190" customWidth="1"/>
    <col min="3080" max="3080" width="9.42578125" style="190" customWidth="1"/>
    <col min="3081" max="3081" width="9" style="190" customWidth="1"/>
    <col min="3082" max="3082" width="34.42578125" style="190" customWidth="1"/>
    <col min="3083" max="3083" width="9.85546875" style="190" bestFit="1" customWidth="1"/>
    <col min="3084" max="3084" width="10.7109375" style="190" customWidth="1"/>
    <col min="3085" max="3085" width="22.28515625" style="190" customWidth="1"/>
    <col min="3086" max="3086" width="12.42578125" style="190" customWidth="1"/>
    <col min="3087" max="3087" width="9.5703125" style="190" customWidth="1"/>
    <col min="3088" max="3088" width="23.7109375" style="190" customWidth="1"/>
    <col min="3089" max="3089" width="9.85546875" style="190" customWidth="1"/>
    <col min="3090" max="3092" width="11.7109375" style="190" customWidth="1"/>
    <col min="3093" max="3093" width="21.85546875" style="190" customWidth="1"/>
    <col min="3094" max="3094" width="11.28515625" style="190" customWidth="1"/>
    <col min="3095" max="3095" width="11.85546875" style="190" customWidth="1"/>
    <col min="3096" max="3096" width="21.85546875" style="190" customWidth="1"/>
    <col min="3097" max="3097" width="10.42578125" style="190" customWidth="1"/>
    <col min="3098" max="3098" width="10.140625" style="190" customWidth="1"/>
    <col min="3099" max="3099" width="20" style="190" customWidth="1"/>
    <col min="3100" max="3100" width="9.140625" style="190"/>
    <col min="3101" max="3101" width="11.7109375" style="190" customWidth="1"/>
    <col min="3102" max="3102" width="23.7109375" style="190" customWidth="1"/>
    <col min="3103" max="3104" width="9.140625" style="190"/>
    <col min="3105" max="3105" width="22.85546875" style="190" customWidth="1"/>
    <col min="3106" max="3107" width="9.140625" style="190"/>
    <col min="3108" max="3108" width="18" style="190" customWidth="1"/>
    <col min="3109" max="3110" width="9.140625" style="190"/>
    <col min="3111" max="3111" width="21.140625" style="190" customWidth="1"/>
    <col min="3112" max="3112" width="9.140625" style="190"/>
    <col min="3113" max="3113" width="10.28515625" style="190" customWidth="1"/>
    <col min="3114" max="3114" width="22.85546875" style="190" customWidth="1"/>
    <col min="3115" max="3328" width="9.140625" style="190"/>
    <col min="3329" max="3329" width="34.5703125" style="190" customWidth="1"/>
    <col min="3330" max="3330" width="11.5703125" style="190" customWidth="1"/>
    <col min="3331" max="3331" width="9.5703125" style="190" customWidth="1"/>
    <col min="3332" max="3332" width="25.85546875" style="190" customWidth="1"/>
    <col min="3333" max="3333" width="11.5703125" style="190" customWidth="1"/>
    <col min="3334" max="3334" width="9.140625" style="190"/>
    <col min="3335" max="3335" width="25.85546875" style="190" customWidth="1"/>
    <col min="3336" max="3336" width="9.42578125" style="190" customWidth="1"/>
    <col min="3337" max="3337" width="9" style="190" customWidth="1"/>
    <col min="3338" max="3338" width="34.42578125" style="190" customWidth="1"/>
    <col min="3339" max="3339" width="9.85546875" style="190" bestFit="1" customWidth="1"/>
    <col min="3340" max="3340" width="10.7109375" style="190" customWidth="1"/>
    <col min="3341" max="3341" width="22.28515625" style="190" customWidth="1"/>
    <col min="3342" max="3342" width="12.42578125" style="190" customWidth="1"/>
    <col min="3343" max="3343" width="9.5703125" style="190" customWidth="1"/>
    <col min="3344" max="3344" width="23.7109375" style="190" customWidth="1"/>
    <col min="3345" max="3345" width="9.85546875" style="190" customWidth="1"/>
    <col min="3346" max="3348" width="11.7109375" style="190" customWidth="1"/>
    <col min="3349" max="3349" width="21.85546875" style="190" customWidth="1"/>
    <col min="3350" max="3350" width="11.28515625" style="190" customWidth="1"/>
    <col min="3351" max="3351" width="11.85546875" style="190" customWidth="1"/>
    <col min="3352" max="3352" width="21.85546875" style="190" customWidth="1"/>
    <col min="3353" max="3353" width="10.42578125" style="190" customWidth="1"/>
    <col min="3354" max="3354" width="10.140625" style="190" customWidth="1"/>
    <col min="3355" max="3355" width="20" style="190" customWidth="1"/>
    <col min="3356" max="3356" width="9.140625" style="190"/>
    <col min="3357" max="3357" width="11.7109375" style="190" customWidth="1"/>
    <col min="3358" max="3358" width="23.7109375" style="190" customWidth="1"/>
    <col min="3359" max="3360" width="9.140625" style="190"/>
    <col min="3361" max="3361" width="22.85546875" style="190" customWidth="1"/>
    <col min="3362" max="3363" width="9.140625" style="190"/>
    <col min="3364" max="3364" width="18" style="190" customWidth="1"/>
    <col min="3365" max="3366" width="9.140625" style="190"/>
    <col min="3367" max="3367" width="21.140625" style="190" customWidth="1"/>
    <col min="3368" max="3368" width="9.140625" style="190"/>
    <col min="3369" max="3369" width="10.28515625" style="190" customWidth="1"/>
    <col min="3370" max="3370" width="22.85546875" style="190" customWidth="1"/>
    <col min="3371" max="3584" width="9.140625" style="190"/>
    <col min="3585" max="3585" width="34.5703125" style="190" customWidth="1"/>
    <col min="3586" max="3586" width="11.5703125" style="190" customWidth="1"/>
    <col min="3587" max="3587" width="9.5703125" style="190" customWidth="1"/>
    <col min="3588" max="3588" width="25.85546875" style="190" customWidth="1"/>
    <col min="3589" max="3589" width="11.5703125" style="190" customWidth="1"/>
    <col min="3590" max="3590" width="9.140625" style="190"/>
    <col min="3591" max="3591" width="25.85546875" style="190" customWidth="1"/>
    <col min="3592" max="3592" width="9.42578125" style="190" customWidth="1"/>
    <col min="3593" max="3593" width="9" style="190" customWidth="1"/>
    <col min="3594" max="3594" width="34.42578125" style="190" customWidth="1"/>
    <col min="3595" max="3595" width="9.85546875" style="190" bestFit="1" customWidth="1"/>
    <col min="3596" max="3596" width="10.7109375" style="190" customWidth="1"/>
    <col min="3597" max="3597" width="22.28515625" style="190" customWidth="1"/>
    <col min="3598" max="3598" width="12.42578125" style="190" customWidth="1"/>
    <col min="3599" max="3599" width="9.5703125" style="190" customWidth="1"/>
    <col min="3600" max="3600" width="23.7109375" style="190" customWidth="1"/>
    <col min="3601" max="3601" width="9.85546875" style="190" customWidth="1"/>
    <col min="3602" max="3604" width="11.7109375" style="190" customWidth="1"/>
    <col min="3605" max="3605" width="21.85546875" style="190" customWidth="1"/>
    <col min="3606" max="3606" width="11.28515625" style="190" customWidth="1"/>
    <col min="3607" max="3607" width="11.85546875" style="190" customWidth="1"/>
    <col min="3608" max="3608" width="21.85546875" style="190" customWidth="1"/>
    <col min="3609" max="3609" width="10.42578125" style="190" customWidth="1"/>
    <col min="3610" max="3610" width="10.140625" style="190" customWidth="1"/>
    <col min="3611" max="3611" width="20" style="190" customWidth="1"/>
    <col min="3612" max="3612" width="9.140625" style="190"/>
    <col min="3613" max="3613" width="11.7109375" style="190" customWidth="1"/>
    <col min="3614" max="3614" width="23.7109375" style="190" customWidth="1"/>
    <col min="3615" max="3616" width="9.140625" style="190"/>
    <col min="3617" max="3617" width="22.85546875" style="190" customWidth="1"/>
    <col min="3618" max="3619" width="9.140625" style="190"/>
    <col min="3620" max="3620" width="18" style="190" customWidth="1"/>
    <col min="3621" max="3622" width="9.140625" style="190"/>
    <col min="3623" max="3623" width="21.140625" style="190" customWidth="1"/>
    <col min="3624" max="3624" width="9.140625" style="190"/>
    <col min="3625" max="3625" width="10.28515625" style="190" customWidth="1"/>
    <col min="3626" max="3626" width="22.85546875" style="190" customWidth="1"/>
    <col min="3627" max="3840" width="9.140625" style="190"/>
    <col min="3841" max="3841" width="34.5703125" style="190" customWidth="1"/>
    <col min="3842" max="3842" width="11.5703125" style="190" customWidth="1"/>
    <col min="3843" max="3843" width="9.5703125" style="190" customWidth="1"/>
    <col min="3844" max="3844" width="25.85546875" style="190" customWidth="1"/>
    <col min="3845" max="3845" width="11.5703125" style="190" customWidth="1"/>
    <col min="3846" max="3846" width="9.140625" style="190"/>
    <col min="3847" max="3847" width="25.85546875" style="190" customWidth="1"/>
    <col min="3848" max="3848" width="9.42578125" style="190" customWidth="1"/>
    <col min="3849" max="3849" width="9" style="190" customWidth="1"/>
    <col min="3850" max="3850" width="34.42578125" style="190" customWidth="1"/>
    <col min="3851" max="3851" width="9.85546875" style="190" bestFit="1" customWidth="1"/>
    <col min="3852" max="3852" width="10.7109375" style="190" customWidth="1"/>
    <col min="3853" max="3853" width="22.28515625" style="190" customWidth="1"/>
    <col min="3854" max="3854" width="12.42578125" style="190" customWidth="1"/>
    <col min="3855" max="3855" width="9.5703125" style="190" customWidth="1"/>
    <col min="3856" max="3856" width="23.7109375" style="190" customWidth="1"/>
    <col min="3857" max="3857" width="9.85546875" style="190" customWidth="1"/>
    <col min="3858" max="3860" width="11.7109375" style="190" customWidth="1"/>
    <col min="3861" max="3861" width="21.85546875" style="190" customWidth="1"/>
    <col min="3862" max="3862" width="11.28515625" style="190" customWidth="1"/>
    <col min="3863" max="3863" width="11.85546875" style="190" customWidth="1"/>
    <col min="3864" max="3864" width="21.85546875" style="190" customWidth="1"/>
    <col min="3865" max="3865" width="10.42578125" style="190" customWidth="1"/>
    <col min="3866" max="3866" width="10.140625" style="190" customWidth="1"/>
    <col min="3867" max="3867" width="20" style="190" customWidth="1"/>
    <col min="3868" max="3868" width="9.140625" style="190"/>
    <col min="3869" max="3869" width="11.7109375" style="190" customWidth="1"/>
    <col min="3870" max="3870" width="23.7109375" style="190" customWidth="1"/>
    <col min="3871" max="3872" width="9.140625" style="190"/>
    <col min="3873" max="3873" width="22.85546875" style="190" customWidth="1"/>
    <col min="3874" max="3875" width="9.140625" style="190"/>
    <col min="3876" max="3876" width="18" style="190" customWidth="1"/>
    <col min="3877" max="3878" width="9.140625" style="190"/>
    <col min="3879" max="3879" width="21.140625" style="190" customWidth="1"/>
    <col min="3880" max="3880" width="9.140625" style="190"/>
    <col min="3881" max="3881" width="10.28515625" style="190" customWidth="1"/>
    <col min="3882" max="3882" width="22.85546875" style="190" customWidth="1"/>
    <col min="3883" max="4096" width="9.140625" style="190"/>
    <col min="4097" max="4097" width="34.5703125" style="190" customWidth="1"/>
    <col min="4098" max="4098" width="11.5703125" style="190" customWidth="1"/>
    <col min="4099" max="4099" width="9.5703125" style="190" customWidth="1"/>
    <col min="4100" max="4100" width="25.85546875" style="190" customWidth="1"/>
    <col min="4101" max="4101" width="11.5703125" style="190" customWidth="1"/>
    <col min="4102" max="4102" width="9.140625" style="190"/>
    <col min="4103" max="4103" width="25.85546875" style="190" customWidth="1"/>
    <col min="4104" max="4104" width="9.42578125" style="190" customWidth="1"/>
    <col min="4105" max="4105" width="9" style="190" customWidth="1"/>
    <col min="4106" max="4106" width="34.42578125" style="190" customWidth="1"/>
    <col min="4107" max="4107" width="9.85546875" style="190" bestFit="1" customWidth="1"/>
    <col min="4108" max="4108" width="10.7109375" style="190" customWidth="1"/>
    <col min="4109" max="4109" width="22.28515625" style="190" customWidth="1"/>
    <col min="4110" max="4110" width="12.42578125" style="190" customWidth="1"/>
    <col min="4111" max="4111" width="9.5703125" style="190" customWidth="1"/>
    <col min="4112" max="4112" width="23.7109375" style="190" customWidth="1"/>
    <col min="4113" max="4113" width="9.85546875" style="190" customWidth="1"/>
    <col min="4114" max="4116" width="11.7109375" style="190" customWidth="1"/>
    <col min="4117" max="4117" width="21.85546875" style="190" customWidth="1"/>
    <col min="4118" max="4118" width="11.28515625" style="190" customWidth="1"/>
    <col min="4119" max="4119" width="11.85546875" style="190" customWidth="1"/>
    <col min="4120" max="4120" width="21.85546875" style="190" customWidth="1"/>
    <col min="4121" max="4121" width="10.42578125" style="190" customWidth="1"/>
    <col min="4122" max="4122" width="10.140625" style="190" customWidth="1"/>
    <col min="4123" max="4123" width="20" style="190" customWidth="1"/>
    <col min="4124" max="4124" width="9.140625" style="190"/>
    <col min="4125" max="4125" width="11.7109375" style="190" customWidth="1"/>
    <col min="4126" max="4126" width="23.7109375" style="190" customWidth="1"/>
    <col min="4127" max="4128" width="9.140625" style="190"/>
    <col min="4129" max="4129" width="22.85546875" style="190" customWidth="1"/>
    <col min="4130" max="4131" width="9.140625" style="190"/>
    <col min="4132" max="4132" width="18" style="190" customWidth="1"/>
    <col min="4133" max="4134" width="9.140625" style="190"/>
    <col min="4135" max="4135" width="21.140625" style="190" customWidth="1"/>
    <col min="4136" max="4136" width="9.140625" style="190"/>
    <col min="4137" max="4137" width="10.28515625" style="190" customWidth="1"/>
    <col min="4138" max="4138" width="22.85546875" style="190" customWidth="1"/>
    <col min="4139" max="4352" width="9.140625" style="190"/>
    <col min="4353" max="4353" width="34.5703125" style="190" customWidth="1"/>
    <col min="4354" max="4354" width="11.5703125" style="190" customWidth="1"/>
    <col min="4355" max="4355" width="9.5703125" style="190" customWidth="1"/>
    <col min="4356" max="4356" width="25.85546875" style="190" customWidth="1"/>
    <col min="4357" max="4357" width="11.5703125" style="190" customWidth="1"/>
    <col min="4358" max="4358" width="9.140625" style="190"/>
    <col min="4359" max="4359" width="25.85546875" style="190" customWidth="1"/>
    <col min="4360" max="4360" width="9.42578125" style="190" customWidth="1"/>
    <col min="4361" max="4361" width="9" style="190" customWidth="1"/>
    <col min="4362" max="4362" width="34.42578125" style="190" customWidth="1"/>
    <col min="4363" max="4363" width="9.85546875" style="190" bestFit="1" customWidth="1"/>
    <col min="4364" max="4364" width="10.7109375" style="190" customWidth="1"/>
    <col min="4365" max="4365" width="22.28515625" style="190" customWidth="1"/>
    <col min="4366" max="4366" width="12.42578125" style="190" customWidth="1"/>
    <col min="4367" max="4367" width="9.5703125" style="190" customWidth="1"/>
    <col min="4368" max="4368" width="23.7109375" style="190" customWidth="1"/>
    <col min="4369" max="4369" width="9.85546875" style="190" customWidth="1"/>
    <col min="4370" max="4372" width="11.7109375" style="190" customWidth="1"/>
    <col min="4373" max="4373" width="21.85546875" style="190" customWidth="1"/>
    <col min="4374" max="4374" width="11.28515625" style="190" customWidth="1"/>
    <col min="4375" max="4375" width="11.85546875" style="190" customWidth="1"/>
    <col min="4376" max="4376" width="21.85546875" style="190" customWidth="1"/>
    <col min="4377" max="4377" width="10.42578125" style="190" customWidth="1"/>
    <col min="4378" max="4378" width="10.140625" style="190" customWidth="1"/>
    <col min="4379" max="4379" width="20" style="190" customWidth="1"/>
    <col min="4380" max="4380" width="9.140625" style="190"/>
    <col min="4381" max="4381" width="11.7109375" style="190" customWidth="1"/>
    <col min="4382" max="4382" width="23.7109375" style="190" customWidth="1"/>
    <col min="4383" max="4384" width="9.140625" style="190"/>
    <col min="4385" max="4385" width="22.85546875" style="190" customWidth="1"/>
    <col min="4386" max="4387" width="9.140625" style="190"/>
    <col min="4388" max="4388" width="18" style="190" customWidth="1"/>
    <col min="4389" max="4390" width="9.140625" style="190"/>
    <col min="4391" max="4391" width="21.140625" style="190" customWidth="1"/>
    <col min="4392" max="4392" width="9.140625" style="190"/>
    <col min="4393" max="4393" width="10.28515625" style="190" customWidth="1"/>
    <col min="4394" max="4394" width="22.85546875" style="190" customWidth="1"/>
    <col min="4395" max="4608" width="9.140625" style="190"/>
    <col min="4609" max="4609" width="34.5703125" style="190" customWidth="1"/>
    <col min="4610" max="4610" width="11.5703125" style="190" customWidth="1"/>
    <col min="4611" max="4611" width="9.5703125" style="190" customWidth="1"/>
    <col min="4612" max="4612" width="25.85546875" style="190" customWidth="1"/>
    <col min="4613" max="4613" width="11.5703125" style="190" customWidth="1"/>
    <col min="4614" max="4614" width="9.140625" style="190"/>
    <col min="4615" max="4615" width="25.85546875" style="190" customWidth="1"/>
    <col min="4616" max="4616" width="9.42578125" style="190" customWidth="1"/>
    <col min="4617" max="4617" width="9" style="190" customWidth="1"/>
    <col min="4618" max="4618" width="34.42578125" style="190" customWidth="1"/>
    <col min="4619" max="4619" width="9.85546875" style="190" bestFit="1" customWidth="1"/>
    <col min="4620" max="4620" width="10.7109375" style="190" customWidth="1"/>
    <col min="4621" max="4621" width="22.28515625" style="190" customWidth="1"/>
    <col min="4622" max="4622" width="12.42578125" style="190" customWidth="1"/>
    <col min="4623" max="4623" width="9.5703125" style="190" customWidth="1"/>
    <col min="4624" max="4624" width="23.7109375" style="190" customWidth="1"/>
    <col min="4625" max="4625" width="9.85546875" style="190" customWidth="1"/>
    <col min="4626" max="4628" width="11.7109375" style="190" customWidth="1"/>
    <col min="4629" max="4629" width="21.85546875" style="190" customWidth="1"/>
    <col min="4630" max="4630" width="11.28515625" style="190" customWidth="1"/>
    <col min="4631" max="4631" width="11.85546875" style="190" customWidth="1"/>
    <col min="4632" max="4632" width="21.85546875" style="190" customWidth="1"/>
    <col min="4633" max="4633" width="10.42578125" style="190" customWidth="1"/>
    <col min="4634" max="4634" width="10.140625" style="190" customWidth="1"/>
    <col min="4635" max="4635" width="20" style="190" customWidth="1"/>
    <col min="4636" max="4636" width="9.140625" style="190"/>
    <col min="4637" max="4637" width="11.7109375" style="190" customWidth="1"/>
    <col min="4638" max="4638" width="23.7109375" style="190" customWidth="1"/>
    <col min="4639" max="4640" width="9.140625" style="190"/>
    <col min="4641" max="4641" width="22.85546875" style="190" customWidth="1"/>
    <col min="4642" max="4643" width="9.140625" style="190"/>
    <col min="4644" max="4644" width="18" style="190" customWidth="1"/>
    <col min="4645" max="4646" width="9.140625" style="190"/>
    <col min="4647" max="4647" width="21.140625" style="190" customWidth="1"/>
    <col min="4648" max="4648" width="9.140625" style="190"/>
    <col min="4649" max="4649" width="10.28515625" style="190" customWidth="1"/>
    <col min="4650" max="4650" width="22.85546875" style="190" customWidth="1"/>
    <col min="4651" max="4864" width="9.140625" style="190"/>
    <col min="4865" max="4865" width="34.5703125" style="190" customWidth="1"/>
    <col min="4866" max="4866" width="11.5703125" style="190" customWidth="1"/>
    <col min="4867" max="4867" width="9.5703125" style="190" customWidth="1"/>
    <col min="4868" max="4868" width="25.85546875" style="190" customWidth="1"/>
    <col min="4869" max="4869" width="11.5703125" style="190" customWidth="1"/>
    <col min="4870" max="4870" width="9.140625" style="190"/>
    <col min="4871" max="4871" width="25.85546875" style="190" customWidth="1"/>
    <col min="4872" max="4872" width="9.42578125" style="190" customWidth="1"/>
    <col min="4873" max="4873" width="9" style="190" customWidth="1"/>
    <col min="4874" max="4874" width="34.42578125" style="190" customWidth="1"/>
    <col min="4875" max="4875" width="9.85546875" style="190" bestFit="1" customWidth="1"/>
    <col min="4876" max="4876" width="10.7109375" style="190" customWidth="1"/>
    <col min="4877" max="4877" width="22.28515625" style="190" customWidth="1"/>
    <col min="4878" max="4878" width="12.42578125" style="190" customWidth="1"/>
    <col min="4879" max="4879" width="9.5703125" style="190" customWidth="1"/>
    <col min="4880" max="4880" width="23.7109375" style="190" customWidth="1"/>
    <col min="4881" max="4881" width="9.85546875" style="190" customWidth="1"/>
    <col min="4882" max="4884" width="11.7109375" style="190" customWidth="1"/>
    <col min="4885" max="4885" width="21.85546875" style="190" customWidth="1"/>
    <col min="4886" max="4886" width="11.28515625" style="190" customWidth="1"/>
    <col min="4887" max="4887" width="11.85546875" style="190" customWidth="1"/>
    <col min="4888" max="4888" width="21.85546875" style="190" customWidth="1"/>
    <col min="4889" max="4889" width="10.42578125" style="190" customWidth="1"/>
    <col min="4890" max="4890" width="10.140625" style="190" customWidth="1"/>
    <col min="4891" max="4891" width="20" style="190" customWidth="1"/>
    <col min="4892" max="4892" width="9.140625" style="190"/>
    <col min="4893" max="4893" width="11.7109375" style="190" customWidth="1"/>
    <col min="4894" max="4894" width="23.7109375" style="190" customWidth="1"/>
    <col min="4895" max="4896" width="9.140625" style="190"/>
    <col min="4897" max="4897" width="22.85546875" style="190" customWidth="1"/>
    <col min="4898" max="4899" width="9.140625" style="190"/>
    <col min="4900" max="4900" width="18" style="190" customWidth="1"/>
    <col min="4901" max="4902" width="9.140625" style="190"/>
    <col min="4903" max="4903" width="21.140625" style="190" customWidth="1"/>
    <col min="4904" max="4904" width="9.140625" style="190"/>
    <col min="4905" max="4905" width="10.28515625" style="190" customWidth="1"/>
    <col min="4906" max="4906" width="22.85546875" style="190" customWidth="1"/>
    <col min="4907" max="5120" width="9.140625" style="190"/>
    <col min="5121" max="5121" width="34.5703125" style="190" customWidth="1"/>
    <col min="5122" max="5122" width="11.5703125" style="190" customWidth="1"/>
    <col min="5123" max="5123" width="9.5703125" style="190" customWidth="1"/>
    <col min="5124" max="5124" width="25.85546875" style="190" customWidth="1"/>
    <col min="5125" max="5125" width="11.5703125" style="190" customWidth="1"/>
    <col min="5126" max="5126" width="9.140625" style="190"/>
    <col min="5127" max="5127" width="25.85546875" style="190" customWidth="1"/>
    <col min="5128" max="5128" width="9.42578125" style="190" customWidth="1"/>
    <col min="5129" max="5129" width="9" style="190" customWidth="1"/>
    <col min="5130" max="5130" width="34.42578125" style="190" customWidth="1"/>
    <col min="5131" max="5131" width="9.85546875" style="190" bestFit="1" customWidth="1"/>
    <col min="5132" max="5132" width="10.7109375" style="190" customWidth="1"/>
    <col min="5133" max="5133" width="22.28515625" style="190" customWidth="1"/>
    <col min="5134" max="5134" width="12.42578125" style="190" customWidth="1"/>
    <col min="5135" max="5135" width="9.5703125" style="190" customWidth="1"/>
    <col min="5136" max="5136" width="23.7109375" style="190" customWidth="1"/>
    <col min="5137" max="5137" width="9.85546875" style="190" customWidth="1"/>
    <col min="5138" max="5140" width="11.7109375" style="190" customWidth="1"/>
    <col min="5141" max="5141" width="21.85546875" style="190" customWidth="1"/>
    <col min="5142" max="5142" width="11.28515625" style="190" customWidth="1"/>
    <col min="5143" max="5143" width="11.85546875" style="190" customWidth="1"/>
    <col min="5144" max="5144" width="21.85546875" style="190" customWidth="1"/>
    <col min="5145" max="5145" width="10.42578125" style="190" customWidth="1"/>
    <col min="5146" max="5146" width="10.140625" style="190" customWidth="1"/>
    <col min="5147" max="5147" width="20" style="190" customWidth="1"/>
    <col min="5148" max="5148" width="9.140625" style="190"/>
    <col min="5149" max="5149" width="11.7109375" style="190" customWidth="1"/>
    <col min="5150" max="5150" width="23.7109375" style="190" customWidth="1"/>
    <col min="5151" max="5152" width="9.140625" style="190"/>
    <col min="5153" max="5153" width="22.85546875" style="190" customWidth="1"/>
    <col min="5154" max="5155" width="9.140625" style="190"/>
    <col min="5156" max="5156" width="18" style="190" customWidth="1"/>
    <col min="5157" max="5158" width="9.140625" style="190"/>
    <col min="5159" max="5159" width="21.140625" style="190" customWidth="1"/>
    <col min="5160" max="5160" width="9.140625" style="190"/>
    <col min="5161" max="5161" width="10.28515625" style="190" customWidth="1"/>
    <col min="5162" max="5162" width="22.85546875" style="190" customWidth="1"/>
    <col min="5163" max="5376" width="9.140625" style="190"/>
    <col min="5377" max="5377" width="34.5703125" style="190" customWidth="1"/>
    <col min="5378" max="5378" width="11.5703125" style="190" customWidth="1"/>
    <col min="5379" max="5379" width="9.5703125" style="190" customWidth="1"/>
    <col min="5380" max="5380" width="25.85546875" style="190" customWidth="1"/>
    <col min="5381" max="5381" width="11.5703125" style="190" customWidth="1"/>
    <col min="5382" max="5382" width="9.140625" style="190"/>
    <col min="5383" max="5383" width="25.85546875" style="190" customWidth="1"/>
    <col min="5384" max="5384" width="9.42578125" style="190" customWidth="1"/>
    <col min="5385" max="5385" width="9" style="190" customWidth="1"/>
    <col min="5386" max="5386" width="34.42578125" style="190" customWidth="1"/>
    <col min="5387" max="5387" width="9.85546875" style="190" bestFit="1" customWidth="1"/>
    <col min="5388" max="5388" width="10.7109375" style="190" customWidth="1"/>
    <col min="5389" max="5389" width="22.28515625" style="190" customWidth="1"/>
    <col min="5390" max="5390" width="12.42578125" style="190" customWidth="1"/>
    <col min="5391" max="5391" width="9.5703125" style="190" customWidth="1"/>
    <col min="5392" max="5392" width="23.7109375" style="190" customWidth="1"/>
    <col min="5393" max="5393" width="9.85546875" style="190" customWidth="1"/>
    <col min="5394" max="5396" width="11.7109375" style="190" customWidth="1"/>
    <col min="5397" max="5397" width="21.85546875" style="190" customWidth="1"/>
    <col min="5398" max="5398" width="11.28515625" style="190" customWidth="1"/>
    <col min="5399" max="5399" width="11.85546875" style="190" customWidth="1"/>
    <col min="5400" max="5400" width="21.85546875" style="190" customWidth="1"/>
    <col min="5401" max="5401" width="10.42578125" style="190" customWidth="1"/>
    <col min="5402" max="5402" width="10.140625" style="190" customWidth="1"/>
    <col min="5403" max="5403" width="20" style="190" customWidth="1"/>
    <col min="5404" max="5404" width="9.140625" style="190"/>
    <col min="5405" max="5405" width="11.7109375" style="190" customWidth="1"/>
    <col min="5406" max="5406" width="23.7109375" style="190" customWidth="1"/>
    <col min="5407" max="5408" width="9.140625" style="190"/>
    <col min="5409" max="5409" width="22.85546875" style="190" customWidth="1"/>
    <col min="5410" max="5411" width="9.140625" style="190"/>
    <col min="5412" max="5412" width="18" style="190" customWidth="1"/>
    <col min="5413" max="5414" width="9.140625" style="190"/>
    <col min="5415" max="5415" width="21.140625" style="190" customWidth="1"/>
    <col min="5416" max="5416" width="9.140625" style="190"/>
    <col min="5417" max="5417" width="10.28515625" style="190" customWidth="1"/>
    <col min="5418" max="5418" width="22.85546875" style="190" customWidth="1"/>
    <col min="5419" max="5632" width="9.140625" style="190"/>
    <col min="5633" max="5633" width="34.5703125" style="190" customWidth="1"/>
    <col min="5634" max="5634" width="11.5703125" style="190" customWidth="1"/>
    <col min="5635" max="5635" width="9.5703125" style="190" customWidth="1"/>
    <col min="5636" max="5636" width="25.85546875" style="190" customWidth="1"/>
    <col min="5637" max="5637" width="11.5703125" style="190" customWidth="1"/>
    <col min="5638" max="5638" width="9.140625" style="190"/>
    <col min="5639" max="5639" width="25.85546875" style="190" customWidth="1"/>
    <col min="5640" max="5640" width="9.42578125" style="190" customWidth="1"/>
    <col min="5641" max="5641" width="9" style="190" customWidth="1"/>
    <col min="5642" max="5642" width="34.42578125" style="190" customWidth="1"/>
    <col min="5643" max="5643" width="9.85546875" style="190" bestFit="1" customWidth="1"/>
    <col min="5644" max="5644" width="10.7109375" style="190" customWidth="1"/>
    <col min="5645" max="5645" width="22.28515625" style="190" customWidth="1"/>
    <col min="5646" max="5646" width="12.42578125" style="190" customWidth="1"/>
    <col min="5647" max="5647" width="9.5703125" style="190" customWidth="1"/>
    <col min="5648" max="5648" width="23.7109375" style="190" customWidth="1"/>
    <col min="5649" max="5649" width="9.85546875" style="190" customWidth="1"/>
    <col min="5650" max="5652" width="11.7109375" style="190" customWidth="1"/>
    <col min="5653" max="5653" width="21.85546875" style="190" customWidth="1"/>
    <col min="5654" max="5654" width="11.28515625" style="190" customWidth="1"/>
    <col min="5655" max="5655" width="11.85546875" style="190" customWidth="1"/>
    <col min="5656" max="5656" width="21.85546875" style="190" customWidth="1"/>
    <col min="5657" max="5657" width="10.42578125" style="190" customWidth="1"/>
    <col min="5658" max="5658" width="10.140625" style="190" customWidth="1"/>
    <col min="5659" max="5659" width="20" style="190" customWidth="1"/>
    <col min="5660" max="5660" width="9.140625" style="190"/>
    <col min="5661" max="5661" width="11.7109375" style="190" customWidth="1"/>
    <col min="5662" max="5662" width="23.7109375" style="190" customWidth="1"/>
    <col min="5663" max="5664" width="9.140625" style="190"/>
    <col min="5665" max="5665" width="22.85546875" style="190" customWidth="1"/>
    <col min="5666" max="5667" width="9.140625" style="190"/>
    <col min="5668" max="5668" width="18" style="190" customWidth="1"/>
    <col min="5669" max="5670" width="9.140625" style="190"/>
    <col min="5671" max="5671" width="21.140625" style="190" customWidth="1"/>
    <col min="5672" max="5672" width="9.140625" style="190"/>
    <col min="5673" max="5673" width="10.28515625" style="190" customWidth="1"/>
    <col min="5674" max="5674" width="22.85546875" style="190" customWidth="1"/>
    <col min="5675" max="5888" width="9.140625" style="190"/>
    <col min="5889" max="5889" width="34.5703125" style="190" customWidth="1"/>
    <col min="5890" max="5890" width="11.5703125" style="190" customWidth="1"/>
    <col min="5891" max="5891" width="9.5703125" style="190" customWidth="1"/>
    <col min="5892" max="5892" width="25.85546875" style="190" customWidth="1"/>
    <col min="5893" max="5893" width="11.5703125" style="190" customWidth="1"/>
    <col min="5894" max="5894" width="9.140625" style="190"/>
    <col min="5895" max="5895" width="25.85546875" style="190" customWidth="1"/>
    <col min="5896" max="5896" width="9.42578125" style="190" customWidth="1"/>
    <col min="5897" max="5897" width="9" style="190" customWidth="1"/>
    <col min="5898" max="5898" width="34.42578125" style="190" customWidth="1"/>
    <col min="5899" max="5899" width="9.85546875" style="190" bestFit="1" customWidth="1"/>
    <col min="5900" max="5900" width="10.7109375" style="190" customWidth="1"/>
    <col min="5901" max="5901" width="22.28515625" style="190" customWidth="1"/>
    <col min="5902" max="5902" width="12.42578125" style="190" customWidth="1"/>
    <col min="5903" max="5903" width="9.5703125" style="190" customWidth="1"/>
    <col min="5904" max="5904" width="23.7109375" style="190" customWidth="1"/>
    <col min="5905" max="5905" width="9.85546875" style="190" customWidth="1"/>
    <col min="5906" max="5908" width="11.7109375" style="190" customWidth="1"/>
    <col min="5909" max="5909" width="21.85546875" style="190" customWidth="1"/>
    <col min="5910" max="5910" width="11.28515625" style="190" customWidth="1"/>
    <col min="5911" max="5911" width="11.85546875" style="190" customWidth="1"/>
    <col min="5912" max="5912" width="21.85546875" style="190" customWidth="1"/>
    <col min="5913" max="5913" width="10.42578125" style="190" customWidth="1"/>
    <col min="5914" max="5914" width="10.140625" style="190" customWidth="1"/>
    <col min="5915" max="5915" width="20" style="190" customWidth="1"/>
    <col min="5916" max="5916" width="9.140625" style="190"/>
    <col min="5917" max="5917" width="11.7109375" style="190" customWidth="1"/>
    <col min="5918" max="5918" width="23.7109375" style="190" customWidth="1"/>
    <col min="5919" max="5920" width="9.140625" style="190"/>
    <col min="5921" max="5921" width="22.85546875" style="190" customWidth="1"/>
    <col min="5922" max="5923" width="9.140625" style="190"/>
    <col min="5924" max="5924" width="18" style="190" customWidth="1"/>
    <col min="5925" max="5926" width="9.140625" style="190"/>
    <col min="5927" max="5927" width="21.140625" style="190" customWidth="1"/>
    <col min="5928" max="5928" width="9.140625" style="190"/>
    <col min="5929" max="5929" width="10.28515625" style="190" customWidth="1"/>
    <col min="5930" max="5930" width="22.85546875" style="190" customWidth="1"/>
    <col min="5931" max="6144" width="9.140625" style="190"/>
    <col min="6145" max="6145" width="34.5703125" style="190" customWidth="1"/>
    <col min="6146" max="6146" width="11.5703125" style="190" customWidth="1"/>
    <col min="6147" max="6147" width="9.5703125" style="190" customWidth="1"/>
    <col min="6148" max="6148" width="25.85546875" style="190" customWidth="1"/>
    <col min="6149" max="6149" width="11.5703125" style="190" customWidth="1"/>
    <col min="6150" max="6150" width="9.140625" style="190"/>
    <col min="6151" max="6151" width="25.85546875" style="190" customWidth="1"/>
    <col min="6152" max="6152" width="9.42578125" style="190" customWidth="1"/>
    <col min="6153" max="6153" width="9" style="190" customWidth="1"/>
    <col min="6154" max="6154" width="34.42578125" style="190" customWidth="1"/>
    <col min="6155" max="6155" width="9.85546875" style="190" bestFit="1" customWidth="1"/>
    <col min="6156" max="6156" width="10.7109375" style="190" customWidth="1"/>
    <col min="6157" max="6157" width="22.28515625" style="190" customWidth="1"/>
    <col min="6158" max="6158" width="12.42578125" style="190" customWidth="1"/>
    <col min="6159" max="6159" width="9.5703125" style="190" customWidth="1"/>
    <col min="6160" max="6160" width="23.7109375" style="190" customWidth="1"/>
    <col min="6161" max="6161" width="9.85546875" style="190" customWidth="1"/>
    <col min="6162" max="6164" width="11.7109375" style="190" customWidth="1"/>
    <col min="6165" max="6165" width="21.85546875" style="190" customWidth="1"/>
    <col min="6166" max="6166" width="11.28515625" style="190" customWidth="1"/>
    <col min="6167" max="6167" width="11.85546875" style="190" customWidth="1"/>
    <col min="6168" max="6168" width="21.85546875" style="190" customWidth="1"/>
    <col min="6169" max="6169" width="10.42578125" style="190" customWidth="1"/>
    <col min="6170" max="6170" width="10.140625" style="190" customWidth="1"/>
    <col min="6171" max="6171" width="20" style="190" customWidth="1"/>
    <col min="6172" max="6172" width="9.140625" style="190"/>
    <col min="6173" max="6173" width="11.7109375" style="190" customWidth="1"/>
    <col min="6174" max="6174" width="23.7109375" style="190" customWidth="1"/>
    <col min="6175" max="6176" width="9.140625" style="190"/>
    <col min="6177" max="6177" width="22.85546875" style="190" customWidth="1"/>
    <col min="6178" max="6179" width="9.140625" style="190"/>
    <col min="6180" max="6180" width="18" style="190" customWidth="1"/>
    <col min="6181" max="6182" width="9.140625" style="190"/>
    <col min="6183" max="6183" width="21.140625" style="190" customWidth="1"/>
    <col min="6184" max="6184" width="9.140625" style="190"/>
    <col min="6185" max="6185" width="10.28515625" style="190" customWidth="1"/>
    <col min="6186" max="6186" width="22.85546875" style="190" customWidth="1"/>
    <col min="6187" max="6400" width="9.140625" style="190"/>
    <col min="6401" max="6401" width="34.5703125" style="190" customWidth="1"/>
    <col min="6402" max="6402" width="11.5703125" style="190" customWidth="1"/>
    <col min="6403" max="6403" width="9.5703125" style="190" customWidth="1"/>
    <col min="6404" max="6404" width="25.85546875" style="190" customWidth="1"/>
    <col min="6405" max="6405" width="11.5703125" style="190" customWidth="1"/>
    <col min="6406" max="6406" width="9.140625" style="190"/>
    <col min="6407" max="6407" width="25.85546875" style="190" customWidth="1"/>
    <col min="6408" max="6408" width="9.42578125" style="190" customWidth="1"/>
    <col min="6409" max="6409" width="9" style="190" customWidth="1"/>
    <col min="6410" max="6410" width="34.42578125" style="190" customWidth="1"/>
    <col min="6411" max="6411" width="9.85546875" style="190" bestFit="1" customWidth="1"/>
    <col min="6412" max="6412" width="10.7109375" style="190" customWidth="1"/>
    <col min="6413" max="6413" width="22.28515625" style="190" customWidth="1"/>
    <col min="6414" max="6414" width="12.42578125" style="190" customWidth="1"/>
    <col min="6415" max="6415" width="9.5703125" style="190" customWidth="1"/>
    <col min="6416" max="6416" width="23.7109375" style="190" customWidth="1"/>
    <col min="6417" max="6417" width="9.85546875" style="190" customWidth="1"/>
    <col min="6418" max="6420" width="11.7109375" style="190" customWidth="1"/>
    <col min="6421" max="6421" width="21.85546875" style="190" customWidth="1"/>
    <col min="6422" max="6422" width="11.28515625" style="190" customWidth="1"/>
    <col min="6423" max="6423" width="11.85546875" style="190" customWidth="1"/>
    <col min="6424" max="6424" width="21.85546875" style="190" customWidth="1"/>
    <col min="6425" max="6425" width="10.42578125" style="190" customWidth="1"/>
    <col min="6426" max="6426" width="10.140625" style="190" customWidth="1"/>
    <col min="6427" max="6427" width="20" style="190" customWidth="1"/>
    <col min="6428" max="6428" width="9.140625" style="190"/>
    <col min="6429" max="6429" width="11.7109375" style="190" customWidth="1"/>
    <col min="6430" max="6430" width="23.7109375" style="190" customWidth="1"/>
    <col min="6431" max="6432" width="9.140625" style="190"/>
    <col min="6433" max="6433" width="22.85546875" style="190" customWidth="1"/>
    <col min="6434" max="6435" width="9.140625" style="190"/>
    <col min="6436" max="6436" width="18" style="190" customWidth="1"/>
    <col min="6437" max="6438" width="9.140625" style="190"/>
    <col min="6439" max="6439" width="21.140625" style="190" customWidth="1"/>
    <col min="6440" max="6440" width="9.140625" style="190"/>
    <col min="6441" max="6441" width="10.28515625" style="190" customWidth="1"/>
    <col min="6442" max="6442" width="22.85546875" style="190" customWidth="1"/>
    <col min="6443" max="6656" width="9.140625" style="190"/>
    <col min="6657" max="6657" width="34.5703125" style="190" customWidth="1"/>
    <col min="6658" max="6658" width="11.5703125" style="190" customWidth="1"/>
    <col min="6659" max="6659" width="9.5703125" style="190" customWidth="1"/>
    <col min="6660" max="6660" width="25.85546875" style="190" customWidth="1"/>
    <col min="6661" max="6661" width="11.5703125" style="190" customWidth="1"/>
    <col min="6662" max="6662" width="9.140625" style="190"/>
    <col min="6663" max="6663" width="25.85546875" style="190" customWidth="1"/>
    <col min="6664" max="6664" width="9.42578125" style="190" customWidth="1"/>
    <col min="6665" max="6665" width="9" style="190" customWidth="1"/>
    <col min="6666" max="6666" width="34.42578125" style="190" customWidth="1"/>
    <col min="6667" max="6667" width="9.85546875" style="190" bestFit="1" customWidth="1"/>
    <col min="6668" max="6668" width="10.7109375" style="190" customWidth="1"/>
    <col min="6669" max="6669" width="22.28515625" style="190" customWidth="1"/>
    <col min="6670" max="6670" width="12.42578125" style="190" customWidth="1"/>
    <col min="6671" max="6671" width="9.5703125" style="190" customWidth="1"/>
    <col min="6672" max="6672" width="23.7109375" style="190" customWidth="1"/>
    <col min="6673" max="6673" width="9.85546875" style="190" customWidth="1"/>
    <col min="6674" max="6676" width="11.7109375" style="190" customWidth="1"/>
    <col min="6677" max="6677" width="21.85546875" style="190" customWidth="1"/>
    <col min="6678" max="6678" width="11.28515625" style="190" customWidth="1"/>
    <col min="6679" max="6679" width="11.85546875" style="190" customWidth="1"/>
    <col min="6680" max="6680" width="21.85546875" style="190" customWidth="1"/>
    <col min="6681" max="6681" width="10.42578125" style="190" customWidth="1"/>
    <col min="6682" max="6682" width="10.140625" style="190" customWidth="1"/>
    <col min="6683" max="6683" width="20" style="190" customWidth="1"/>
    <col min="6684" max="6684" width="9.140625" style="190"/>
    <col min="6685" max="6685" width="11.7109375" style="190" customWidth="1"/>
    <col min="6686" max="6686" width="23.7109375" style="190" customWidth="1"/>
    <col min="6687" max="6688" width="9.140625" style="190"/>
    <col min="6689" max="6689" width="22.85546875" style="190" customWidth="1"/>
    <col min="6690" max="6691" width="9.140625" style="190"/>
    <col min="6692" max="6692" width="18" style="190" customWidth="1"/>
    <col min="6693" max="6694" width="9.140625" style="190"/>
    <col min="6695" max="6695" width="21.140625" style="190" customWidth="1"/>
    <col min="6696" max="6696" width="9.140625" style="190"/>
    <col min="6697" max="6697" width="10.28515625" style="190" customWidth="1"/>
    <col min="6698" max="6698" width="22.85546875" style="190" customWidth="1"/>
    <col min="6699" max="6912" width="9.140625" style="190"/>
    <col min="6913" max="6913" width="34.5703125" style="190" customWidth="1"/>
    <col min="6914" max="6914" width="11.5703125" style="190" customWidth="1"/>
    <col min="6915" max="6915" width="9.5703125" style="190" customWidth="1"/>
    <col min="6916" max="6916" width="25.85546875" style="190" customWidth="1"/>
    <col min="6917" max="6917" width="11.5703125" style="190" customWidth="1"/>
    <col min="6918" max="6918" width="9.140625" style="190"/>
    <col min="6919" max="6919" width="25.85546875" style="190" customWidth="1"/>
    <col min="6920" max="6920" width="9.42578125" style="190" customWidth="1"/>
    <col min="6921" max="6921" width="9" style="190" customWidth="1"/>
    <col min="6922" max="6922" width="34.42578125" style="190" customWidth="1"/>
    <col min="6923" max="6923" width="9.85546875" style="190" bestFit="1" customWidth="1"/>
    <col min="6924" max="6924" width="10.7109375" style="190" customWidth="1"/>
    <col min="6925" max="6925" width="22.28515625" style="190" customWidth="1"/>
    <col min="6926" max="6926" width="12.42578125" style="190" customWidth="1"/>
    <col min="6927" max="6927" width="9.5703125" style="190" customWidth="1"/>
    <col min="6928" max="6928" width="23.7109375" style="190" customWidth="1"/>
    <col min="6929" max="6929" width="9.85546875" style="190" customWidth="1"/>
    <col min="6930" max="6932" width="11.7109375" style="190" customWidth="1"/>
    <col min="6933" max="6933" width="21.85546875" style="190" customWidth="1"/>
    <col min="6934" max="6934" width="11.28515625" style="190" customWidth="1"/>
    <col min="6935" max="6935" width="11.85546875" style="190" customWidth="1"/>
    <col min="6936" max="6936" width="21.85546875" style="190" customWidth="1"/>
    <col min="6937" max="6937" width="10.42578125" style="190" customWidth="1"/>
    <col min="6938" max="6938" width="10.140625" style="190" customWidth="1"/>
    <col min="6939" max="6939" width="20" style="190" customWidth="1"/>
    <col min="6940" max="6940" width="9.140625" style="190"/>
    <col min="6941" max="6941" width="11.7109375" style="190" customWidth="1"/>
    <col min="6942" max="6942" width="23.7109375" style="190" customWidth="1"/>
    <col min="6943" max="6944" width="9.140625" style="190"/>
    <col min="6945" max="6945" width="22.85546875" style="190" customWidth="1"/>
    <col min="6946" max="6947" width="9.140625" style="190"/>
    <col min="6948" max="6948" width="18" style="190" customWidth="1"/>
    <col min="6949" max="6950" width="9.140625" style="190"/>
    <col min="6951" max="6951" width="21.140625" style="190" customWidth="1"/>
    <col min="6952" max="6952" width="9.140625" style="190"/>
    <col min="6953" max="6953" width="10.28515625" style="190" customWidth="1"/>
    <col min="6954" max="6954" width="22.85546875" style="190" customWidth="1"/>
    <col min="6955" max="7168" width="9.140625" style="190"/>
    <col min="7169" max="7169" width="34.5703125" style="190" customWidth="1"/>
    <col min="7170" max="7170" width="11.5703125" style="190" customWidth="1"/>
    <col min="7171" max="7171" width="9.5703125" style="190" customWidth="1"/>
    <col min="7172" max="7172" width="25.85546875" style="190" customWidth="1"/>
    <col min="7173" max="7173" width="11.5703125" style="190" customWidth="1"/>
    <col min="7174" max="7174" width="9.140625" style="190"/>
    <col min="7175" max="7175" width="25.85546875" style="190" customWidth="1"/>
    <col min="7176" max="7176" width="9.42578125" style="190" customWidth="1"/>
    <col min="7177" max="7177" width="9" style="190" customWidth="1"/>
    <col min="7178" max="7178" width="34.42578125" style="190" customWidth="1"/>
    <col min="7179" max="7179" width="9.85546875" style="190" bestFit="1" customWidth="1"/>
    <col min="7180" max="7180" width="10.7109375" style="190" customWidth="1"/>
    <col min="7181" max="7181" width="22.28515625" style="190" customWidth="1"/>
    <col min="7182" max="7182" width="12.42578125" style="190" customWidth="1"/>
    <col min="7183" max="7183" width="9.5703125" style="190" customWidth="1"/>
    <col min="7184" max="7184" width="23.7109375" style="190" customWidth="1"/>
    <col min="7185" max="7185" width="9.85546875" style="190" customWidth="1"/>
    <col min="7186" max="7188" width="11.7109375" style="190" customWidth="1"/>
    <col min="7189" max="7189" width="21.85546875" style="190" customWidth="1"/>
    <col min="7190" max="7190" width="11.28515625" style="190" customWidth="1"/>
    <col min="7191" max="7191" width="11.85546875" style="190" customWidth="1"/>
    <col min="7192" max="7192" width="21.85546875" style="190" customWidth="1"/>
    <col min="7193" max="7193" width="10.42578125" style="190" customWidth="1"/>
    <col min="7194" max="7194" width="10.140625" style="190" customWidth="1"/>
    <col min="7195" max="7195" width="20" style="190" customWidth="1"/>
    <col min="7196" max="7196" width="9.140625" style="190"/>
    <col min="7197" max="7197" width="11.7109375" style="190" customWidth="1"/>
    <col min="7198" max="7198" width="23.7109375" style="190" customWidth="1"/>
    <col min="7199" max="7200" width="9.140625" style="190"/>
    <col min="7201" max="7201" width="22.85546875" style="190" customWidth="1"/>
    <col min="7202" max="7203" width="9.140625" style="190"/>
    <col min="7204" max="7204" width="18" style="190" customWidth="1"/>
    <col min="7205" max="7206" width="9.140625" style="190"/>
    <col min="7207" max="7207" width="21.140625" style="190" customWidth="1"/>
    <col min="7208" max="7208" width="9.140625" style="190"/>
    <col min="7209" max="7209" width="10.28515625" style="190" customWidth="1"/>
    <col min="7210" max="7210" width="22.85546875" style="190" customWidth="1"/>
    <col min="7211" max="7424" width="9.140625" style="190"/>
    <col min="7425" max="7425" width="34.5703125" style="190" customWidth="1"/>
    <col min="7426" max="7426" width="11.5703125" style="190" customWidth="1"/>
    <col min="7427" max="7427" width="9.5703125" style="190" customWidth="1"/>
    <col min="7428" max="7428" width="25.85546875" style="190" customWidth="1"/>
    <col min="7429" max="7429" width="11.5703125" style="190" customWidth="1"/>
    <col min="7430" max="7430" width="9.140625" style="190"/>
    <col min="7431" max="7431" width="25.85546875" style="190" customWidth="1"/>
    <col min="7432" max="7432" width="9.42578125" style="190" customWidth="1"/>
    <col min="7433" max="7433" width="9" style="190" customWidth="1"/>
    <col min="7434" max="7434" width="34.42578125" style="190" customWidth="1"/>
    <col min="7435" max="7435" width="9.85546875" style="190" bestFit="1" customWidth="1"/>
    <col min="7436" max="7436" width="10.7109375" style="190" customWidth="1"/>
    <col min="7437" max="7437" width="22.28515625" style="190" customWidth="1"/>
    <col min="7438" max="7438" width="12.42578125" style="190" customWidth="1"/>
    <col min="7439" max="7439" width="9.5703125" style="190" customWidth="1"/>
    <col min="7440" max="7440" width="23.7109375" style="190" customWidth="1"/>
    <col min="7441" max="7441" width="9.85546875" style="190" customWidth="1"/>
    <col min="7442" max="7444" width="11.7109375" style="190" customWidth="1"/>
    <col min="7445" max="7445" width="21.85546875" style="190" customWidth="1"/>
    <col min="7446" max="7446" width="11.28515625" style="190" customWidth="1"/>
    <col min="7447" max="7447" width="11.85546875" style="190" customWidth="1"/>
    <col min="7448" max="7448" width="21.85546875" style="190" customWidth="1"/>
    <col min="7449" max="7449" width="10.42578125" style="190" customWidth="1"/>
    <col min="7450" max="7450" width="10.140625" style="190" customWidth="1"/>
    <col min="7451" max="7451" width="20" style="190" customWidth="1"/>
    <col min="7452" max="7452" width="9.140625" style="190"/>
    <col min="7453" max="7453" width="11.7109375" style="190" customWidth="1"/>
    <col min="7454" max="7454" width="23.7109375" style="190" customWidth="1"/>
    <col min="7455" max="7456" width="9.140625" style="190"/>
    <col min="7457" max="7457" width="22.85546875" style="190" customWidth="1"/>
    <col min="7458" max="7459" width="9.140625" style="190"/>
    <col min="7460" max="7460" width="18" style="190" customWidth="1"/>
    <col min="7461" max="7462" width="9.140625" style="190"/>
    <col min="7463" max="7463" width="21.140625" style="190" customWidth="1"/>
    <col min="7464" max="7464" width="9.140625" style="190"/>
    <col min="7465" max="7465" width="10.28515625" style="190" customWidth="1"/>
    <col min="7466" max="7466" width="22.85546875" style="190" customWidth="1"/>
    <col min="7467" max="7680" width="9.140625" style="190"/>
    <col min="7681" max="7681" width="34.5703125" style="190" customWidth="1"/>
    <col min="7682" max="7682" width="11.5703125" style="190" customWidth="1"/>
    <col min="7683" max="7683" width="9.5703125" style="190" customWidth="1"/>
    <col min="7684" max="7684" width="25.85546875" style="190" customWidth="1"/>
    <col min="7685" max="7685" width="11.5703125" style="190" customWidth="1"/>
    <col min="7686" max="7686" width="9.140625" style="190"/>
    <col min="7687" max="7687" width="25.85546875" style="190" customWidth="1"/>
    <col min="7688" max="7688" width="9.42578125" style="190" customWidth="1"/>
    <col min="7689" max="7689" width="9" style="190" customWidth="1"/>
    <col min="7690" max="7690" width="34.42578125" style="190" customWidth="1"/>
    <col min="7691" max="7691" width="9.85546875" style="190" bestFit="1" customWidth="1"/>
    <col min="7692" max="7692" width="10.7109375" style="190" customWidth="1"/>
    <col min="7693" max="7693" width="22.28515625" style="190" customWidth="1"/>
    <col min="7694" max="7694" width="12.42578125" style="190" customWidth="1"/>
    <col min="7695" max="7695" width="9.5703125" style="190" customWidth="1"/>
    <col min="7696" max="7696" width="23.7109375" style="190" customWidth="1"/>
    <col min="7697" max="7697" width="9.85546875" style="190" customWidth="1"/>
    <col min="7698" max="7700" width="11.7109375" style="190" customWidth="1"/>
    <col min="7701" max="7701" width="21.85546875" style="190" customWidth="1"/>
    <col min="7702" max="7702" width="11.28515625" style="190" customWidth="1"/>
    <col min="7703" max="7703" width="11.85546875" style="190" customWidth="1"/>
    <col min="7704" max="7704" width="21.85546875" style="190" customWidth="1"/>
    <col min="7705" max="7705" width="10.42578125" style="190" customWidth="1"/>
    <col min="7706" max="7706" width="10.140625" style="190" customWidth="1"/>
    <col min="7707" max="7707" width="20" style="190" customWidth="1"/>
    <col min="7708" max="7708" width="9.140625" style="190"/>
    <col min="7709" max="7709" width="11.7109375" style="190" customWidth="1"/>
    <col min="7710" max="7710" width="23.7109375" style="190" customWidth="1"/>
    <col min="7711" max="7712" width="9.140625" style="190"/>
    <col min="7713" max="7713" width="22.85546875" style="190" customWidth="1"/>
    <col min="7714" max="7715" width="9.140625" style="190"/>
    <col min="7716" max="7716" width="18" style="190" customWidth="1"/>
    <col min="7717" max="7718" width="9.140625" style="190"/>
    <col min="7719" max="7719" width="21.140625" style="190" customWidth="1"/>
    <col min="7720" max="7720" width="9.140625" style="190"/>
    <col min="7721" max="7721" width="10.28515625" style="190" customWidth="1"/>
    <col min="7722" max="7722" width="22.85546875" style="190" customWidth="1"/>
    <col min="7723" max="7936" width="9.140625" style="190"/>
    <col min="7937" max="7937" width="34.5703125" style="190" customWidth="1"/>
    <col min="7938" max="7938" width="11.5703125" style="190" customWidth="1"/>
    <col min="7939" max="7939" width="9.5703125" style="190" customWidth="1"/>
    <col min="7940" max="7940" width="25.85546875" style="190" customWidth="1"/>
    <col min="7941" max="7941" width="11.5703125" style="190" customWidth="1"/>
    <col min="7942" max="7942" width="9.140625" style="190"/>
    <col min="7943" max="7943" width="25.85546875" style="190" customWidth="1"/>
    <col min="7944" max="7944" width="9.42578125" style="190" customWidth="1"/>
    <col min="7945" max="7945" width="9" style="190" customWidth="1"/>
    <col min="7946" max="7946" width="34.42578125" style="190" customWidth="1"/>
    <col min="7947" max="7947" width="9.85546875" style="190" bestFit="1" customWidth="1"/>
    <col min="7948" max="7948" width="10.7109375" style="190" customWidth="1"/>
    <col min="7949" max="7949" width="22.28515625" style="190" customWidth="1"/>
    <col min="7950" max="7950" width="12.42578125" style="190" customWidth="1"/>
    <col min="7951" max="7951" width="9.5703125" style="190" customWidth="1"/>
    <col min="7952" max="7952" width="23.7109375" style="190" customWidth="1"/>
    <col min="7953" max="7953" width="9.85546875" style="190" customWidth="1"/>
    <col min="7954" max="7956" width="11.7109375" style="190" customWidth="1"/>
    <col min="7957" max="7957" width="21.85546875" style="190" customWidth="1"/>
    <col min="7958" max="7958" width="11.28515625" style="190" customWidth="1"/>
    <col min="7959" max="7959" width="11.85546875" style="190" customWidth="1"/>
    <col min="7960" max="7960" width="21.85546875" style="190" customWidth="1"/>
    <col min="7961" max="7961" width="10.42578125" style="190" customWidth="1"/>
    <col min="7962" max="7962" width="10.140625" style="190" customWidth="1"/>
    <col min="7963" max="7963" width="20" style="190" customWidth="1"/>
    <col min="7964" max="7964" width="9.140625" style="190"/>
    <col min="7965" max="7965" width="11.7109375" style="190" customWidth="1"/>
    <col min="7966" max="7966" width="23.7109375" style="190" customWidth="1"/>
    <col min="7967" max="7968" width="9.140625" style="190"/>
    <col min="7969" max="7969" width="22.85546875" style="190" customWidth="1"/>
    <col min="7970" max="7971" width="9.140625" style="190"/>
    <col min="7972" max="7972" width="18" style="190" customWidth="1"/>
    <col min="7973" max="7974" width="9.140625" style="190"/>
    <col min="7975" max="7975" width="21.140625" style="190" customWidth="1"/>
    <col min="7976" max="7976" width="9.140625" style="190"/>
    <col min="7977" max="7977" width="10.28515625" style="190" customWidth="1"/>
    <col min="7978" max="7978" width="22.85546875" style="190" customWidth="1"/>
    <col min="7979" max="8192" width="9.140625" style="190"/>
    <col min="8193" max="8193" width="34.5703125" style="190" customWidth="1"/>
    <col min="8194" max="8194" width="11.5703125" style="190" customWidth="1"/>
    <col min="8195" max="8195" width="9.5703125" style="190" customWidth="1"/>
    <col min="8196" max="8196" width="25.85546875" style="190" customWidth="1"/>
    <col min="8197" max="8197" width="11.5703125" style="190" customWidth="1"/>
    <col min="8198" max="8198" width="9.140625" style="190"/>
    <col min="8199" max="8199" width="25.85546875" style="190" customWidth="1"/>
    <col min="8200" max="8200" width="9.42578125" style="190" customWidth="1"/>
    <col min="8201" max="8201" width="9" style="190" customWidth="1"/>
    <col min="8202" max="8202" width="34.42578125" style="190" customWidth="1"/>
    <col min="8203" max="8203" width="9.85546875" style="190" bestFit="1" customWidth="1"/>
    <col min="8204" max="8204" width="10.7109375" style="190" customWidth="1"/>
    <col min="8205" max="8205" width="22.28515625" style="190" customWidth="1"/>
    <col min="8206" max="8206" width="12.42578125" style="190" customWidth="1"/>
    <col min="8207" max="8207" width="9.5703125" style="190" customWidth="1"/>
    <col min="8208" max="8208" width="23.7109375" style="190" customWidth="1"/>
    <col min="8209" max="8209" width="9.85546875" style="190" customWidth="1"/>
    <col min="8210" max="8212" width="11.7109375" style="190" customWidth="1"/>
    <col min="8213" max="8213" width="21.85546875" style="190" customWidth="1"/>
    <col min="8214" max="8214" width="11.28515625" style="190" customWidth="1"/>
    <col min="8215" max="8215" width="11.85546875" style="190" customWidth="1"/>
    <col min="8216" max="8216" width="21.85546875" style="190" customWidth="1"/>
    <col min="8217" max="8217" width="10.42578125" style="190" customWidth="1"/>
    <col min="8218" max="8218" width="10.140625" style="190" customWidth="1"/>
    <col min="8219" max="8219" width="20" style="190" customWidth="1"/>
    <col min="8220" max="8220" width="9.140625" style="190"/>
    <col min="8221" max="8221" width="11.7109375" style="190" customWidth="1"/>
    <col min="8222" max="8222" width="23.7109375" style="190" customWidth="1"/>
    <col min="8223" max="8224" width="9.140625" style="190"/>
    <col min="8225" max="8225" width="22.85546875" style="190" customWidth="1"/>
    <col min="8226" max="8227" width="9.140625" style="190"/>
    <col min="8228" max="8228" width="18" style="190" customWidth="1"/>
    <col min="8229" max="8230" width="9.140625" style="190"/>
    <col min="8231" max="8231" width="21.140625" style="190" customWidth="1"/>
    <col min="8232" max="8232" width="9.140625" style="190"/>
    <col min="8233" max="8233" width="10.28515625" style="190" customWidth="1"/>
    <col min="8234" max="8234" width="22.85546875" style="190" customWidth="1"/>
    <col min="8235" max="8448" width="9.140625" style="190"/>
    <col min="8449" max="8449" width="34.5703125" style="190" customWidth="1"/>
    <col min="8450" max="8450" width="11.5703125" style="190" customWidth="1"/>
    <col min="8451" max="8451" width="9.5703125" style="190" customWidth="1"/>
    <col min="8452" max="8452" width="25.85546875" style="190" customWidth="1"/>
    <col min="8453" max="8453" width="11.5703125" style="190" customWidth="1"/>
    <col min="8454" max="8454" width="9.140625" style="190"/>
    <col min="8455" max="8455" width="25.85546875" style="190" customWidth="1"/>
    <col min="8456" max="8456" width="9.42578125" style="190" customWidth="1"/>
    <col min="8457" max="8457" width="9" style="190" customWidth="1"/>
    <col min="8458" max="8458" width="34.42578125" style="190" customWidth="1"/>
    <col min="8459" max="8459" width="9.85546875" style="190" bestFit="1" customWidth="1"/>
    <col min="8460" max="8460" width="10.7109375" style="190" customWidth="1"/>
    <col min="8461" max="8461" width="22.28515625" style="190" customWidth="1"/>
    <col min="8462" max="8462" width="12.42578125" style="190" customWidth="1"/>
    <col min="8463" max="8463" width="9.5703125" style="190" customWidth="1"/>
    <col min="8464" max="8464" width="23.7109375" style="190" customWidth="1"/>
    <col min="8465" max="8465" width="9.85546875" style="190" customWidth="1"/>
    <col min="8466" max="8468" width="11.7109375" style="190" customWidth="1"/>
    <col min="8469" max="8469" width="21.85546875" style="190" customWidth="1"/>
    <col min="8470" max="8470" width="11.28515625" style="190" customWidth="1"/>
    <col min="8471" max="8471" width="11.85546875" style="190" customWidth="1"/>
    <col min="8472" max="8472" width="21.85546875" style="190" customWidth="1"/>
    <col min="8473" max="8473" width="10.42578125" style="190" customWidth="1"/>
    <col min="8474" max="8474" width="10.140625" style="190" customWidth="1"/>
    <col min="8475" max="8475" width="20" style="190" customWidth="1"/>
    <col min="8476" max="8476" width="9.140625" style="190"/>
    <col min="8477" max="8477" width="11.7109375" style="190" customWidth="1"/>
    <col min="8478" max="8478" width="23.7109375" style="190" customWidth="1"/>
    <col min="8479" max="8480" width="9.140625" style="190"/>
    <col min="8481" max="8481" width="22.85546875" style="190" customWidth="1"/>
    <col min="8482" max="8483" width="9.140625" style="190"/>
    <col min="8484" max="8484" width="18" style="190" customWidth="1"/>
    <col min="8485" max="8486" width="9.140625" style="190"/>
    <col min="8487" max="8487" width="21.140625" style="190" customWidth="1"/>
    <col min="8488" max="8488" width="9.140625" style="190"/>
    <col min="8489" max="8489" width="10.28515625" style="190" customWidth="1"/>
    <col min="8490" max="8490" width="22.85546875" style="190" customWidth="1"/>
    <col min="8491" max="8704" width="9.140625" style="190"/>
    <col min="8705" max="8705" width="34.5703125" style="190" customWidth="1"/>
    <col min="8706" max="8706" width="11.5703125" style="190" customWidth="1"/>
    <col min="8707" max="8707" width="9.5703125" style="190" customWidth="1"/>
    <col min="8708" max="8708" width="25.85546875" style="190" customWidth="1"/>
    <col min="8709" max="8709" width="11.5703125" style="190" customWidth="1"/>
    <col min="8710" max="8710" width="9.140625" style="190"/>
    <col min="8711" max="8711" width="25.85546875" style="190" customWidth="1"/>
    <col min="8712" max="8712" width="9.42578125" style="190" customWidth="1"/>
    <col min="8713" max="8713" width="9" style="190" customWidth="1"/>
    <col min="8714" max="8714" width="34.42578125" style="190" customWidth="1"/>
    <col min="8715" max="8715" width="9.85546875" style="190" bestFit="1" customWidth="1"/>
    <col min="8716" max="8716" width="10.7109375" style="190" customWidth="1"/>
    <col min="8717" max="8717" width="22.28515625" style="190" customWidth="1"/>
    <col min="8718" max="8718" width="12.42578125" style="190" customWidth="1"/>
    <col min="8719" max="8719" width="9.5703125" style="190" customWidth="1"/>
    <col min="8720" max="8720" width="23.7109375" style="190" customWidth="1"/>
    <col min="8721" max="8721" width="9.85546875" style="190" customWidth="1"/>
    <col min="8722" max="8724" width="11.7109375" style="190" customWidth="1"/>
    <col min="8725" max="8725" width="21.85546875" style="190" customWidth="1"/>
    <col min="8726" max="8726" width="11.28515625" style="190" customWidth="1"/>
    <col min="8727" max="8727" width="11.85546875" style="190" customWidth="1"/>
    <col min="8728" max="8728" width="21.85546875" style="190" customWidth="1"/>
    <col min="8729" max="8729" width="10.42578125" style="190" customWidth="1"/>
    <col min="8730" max="8730" width="10.140625" style="190" customWidth="1"/>
    <col min="8731" max="8731" width="20" style="190" customWidth="1"/>
    <col min="8732" max="8732" width="9.140625" style="190"/>
    <col min="8733" max="8733" width="11.7109375" style="190" customWidth="1"/>
    <col min="8734" max="8734" width="23.7109375" style="190" customWidth="1"/>
    <col min="8735" max="8736" width="9.140625" style="190"/>
    <col min="8737" max="8737" width="22.85546875" style="190" customWidth="1"/>
    <col min="8738" max="8739" width="9.140625" style="190"/>
    <col min="8740" max="8740" width="18" style="190" customWidth="1"/>
    <col min="8741" max="8742" width="9.140625" style="190"/>
    <col min="8743" max="8743" width="21.140625" style="190" customWidth="1"/>
    <col min="8744" max="8744" width="9.140625" style="190"/>
    <col min="8745" max="8745" width="10.28515625" style="190" customWidth="1"/>
    <col min="8746" max="8746" width="22.85546875" style="190" customWidth="1"/>
    <col min="8747" max="8960" width="9.140625" style="190"/>
    <col min="8961" max="8961" width="34.5703125" style="190" customWidth="1"/>
    <col min="8962" max="8962" width="11.5703125" style="190" customWidth="1"/>
    <col min="8963" max="8963" width="9.5703125" style="190" customWidth="1"/>
    <col min="8964" max="8964" width="25.85546875" style="190" customWidth="1"/>
    <col min="8965" max="8965" width="11.5703125" style="190" customWidth="1"/>
    <col min="8966" max="8966" width="9.140625" style="190"/>
    <col min="8967" max="8967" width="25.85546875" style="190" customWidth="1"/>
    <col min="8968" max="8968" width="9.42578125" style="190" customWidth="1"/>
    <col min="8969" max="8969" width="9" style="190" customWidth="1"/>
    <col min="8970" max="8970" width="34.42578125" style="190" customWidth="1"/>
    <col min="8971" max="8971" width="9.85546875" style="190" bestFit="1" customWidth="1"/>
    <col min="8972" max="8972" width="10.7109375" style="190" customWidth="1"/>
    <col min="8973" max="8973" width="22.28515625" style="190" customWidth="1"/>
    <col min="8974" max="8974" width="12.42578125" style="190" customWidth="1"/>
    <col min="8975" max="8975" width="9.5703125" style="190" customWidth="1"/>
    <col min="8976" max="8976" width="23.7109375" style="190" customWidth="1"/>
    <col min="8977" max="8977" width="9.85546875" style="190" customWidth="1"/>
    <col min="8978" max="8980" width="11.7109375" style="190" customWidth="1"/>
    <col min="8981" max="8981" width="21.85546875" style="190" customWidth="1"/>
    <col min="8982" max="8982" width="11.28515625" style="190" customWidth="1"/>
    <col min="8983" max="8983" width="11.85546875" style="190" customWidth="1"/>
    <col min="8984" max="8984" width="21.85546875" style="190" customWidth="1"/>
    <col min="8985" max="8985" width="10.42578125" style="190" customWidth="1"/>
    <col min="8986" max="8986" width="10.140625" style="190" customWidth="1"/>
    <col min="8987" max="8987" width="20" style="190" customWidth="1"/>
    <col min="8988" max="8988" width="9.140625" style="190"/>
    <col min="8989" max="8989" width="11.7109375" style="190" customWidth="1"/>
    <col min="8990" max="8990" width="23.7109375" style="190" customWidth="1"/>
    <col min="8991" max="8992" width="9.140625" style="190"/>
    <col min="8993" max="8993" width="22.85546875" style="190" customWidth="1"/>
    <col min="8994" max="8995" width="9.140625" style="190"/>
    <col min="8996" max="8996" width="18" style="190" customWidth="1"/>
    <col min="8997" max="8998" width="9.140625" style="190"/>
    <col min="8999" max="8999" width="21.140625" style="190" customWidth="1"/>
    <col min="9000" max="9000" width="9.140625" style="190"/>
    <col min="9001" max="9001" width="10.28515625" style="190" customWidth="1"/>
    <col min="9002" max="9002" width="22.85546875" style="190" customWidth="1"/>
    <col min="9003" max="9216" width="9.140625" style="190"/>
    <col min="9217" max="9217" width="34.5703125" style="190" customWidth="1"/>
    <col min="9218" max="9218" width="11.5703125" style="190" customWidth="1"/>
    <col min="9219" max="9219" width="9.5703125" style="190" customWidth="1"/>
    <col min="9220" max="9220" width="25.85546875" style="190" customWidth="1"/>
    <col min="9221" max="9221" width="11.5703125" style="190" customWidth="1"/>
    <col min="9222" max="9222" width="9.140625" style="190"/>
    <col min="9223" max="9223" width="25.85546875" style="190" customWidth="1"/>
    <col min="9224" max="9224" width="9.42578125" style="190" customWidth="1"/>
    <col min="9225" max="9225" width="9" style="190" customWidth="1"/>
    <col min="9226" max="9226" width="34.42578125" style="190" customWidth="1"/>
    <col min="9227" max="9227" width="9.85546875" style="190" bestFit="1" customWidth="1"/>
    <col min="9228" max="9228" width="10.7109375" style="190" customWidth="1"/>
    <col min="9229" max="9229" width="22.28515625" style="190" customWidth="1"/>
    <col min="9230" max="9230" width="12.42578125" style="190" customWidth="1"/>
    <col min="9231" max="9231" width="9.5703125" style="190" customWidth="1"/>
    <col min="9232" max="9232" width="23.7109375" style="190" customWidth="1"/>
    <col min="9233" max="9233" width="9.85546875" style="190" customWidth="1"/>
    <col min="9234" max="9236" width="11.7109375" style="190" customWidth="1"/>
    <col min="9237" max="9237" width="21.85546875" style="190" customWidth="1"/>
    <col min="9238" max="9238" width="11.28515625" style="190" customWidth="1"/>
    <col min="9239" max="9239" width="11.85546875" style="190" customWidth="1"/>
    <col min="9240" max="9240" width="21.85546875" style="190" customWidth="1"/>
    <col min="9241" max="9241" width="10.42578125" style="190" customWidth="1"/>
    <col min="9242" max="9242" width="10.140625" style="190" customWidth="1"/>
    <col min="9243" max="9243" width="20" style="190" customWidth="1"/>
    <col min="9244" max="9244" width="9.140625" style="190"/>
    <col min="9245" max="9245" width="11.7109375" style="190" customWidth="1"/>
    <col min="9246" max="9246" width="23.7109375" style="190" customWidth="1"/>
    <col min="9247" max="9248" width="9.140625" style="190"/>
    <col min="9249" max="9249" width="22.85546875" style="190" customWidth="1"/>
    <col min="9250" max="9251" width="9.140625" style="190"/>
    <col min="9252" max="9252" width="18" style="190" customWidth="1"/>
    <col min="9253" max="9254" width="9.140625" style="190"/>
    <col min="9255" max="9255" width="21.140625" style="190" customWidth="1"/>
    <col min="9256" max="9256" width="9.140625" style="190"/>
    <col min="9257" max="9257" width="10.28515625" style="190" customWidth="1"/>
    <col min="9258" max="9258" width="22.85546875" style="190" customWidth="1"/>
    <col min="9259" max="9472" width="9.140625" style="190"/>
    <col min="9473" max="9473" width="34.5703125" style="190" customWidth="1"/>
    <col min="9474" max="9474" width="11.5703125" style="190" customWidth="1"/>
    <col min="9475" max="9475" width="9.5703125" style="190" customWidth="1"/>
    <col min="9476" max="9476" width="25.85546875" style="190" customWidth="1"/>
    <col min="9477" max="9477" width="11.5703125" style="190" customWidth="1"/>
    <col min="9478" max="9478" width="9.140625" style="190"/>
    <col min="9479" max="9479" width="25.85546875" style="190" customWidth="1"/>
    <col min="9480" max="9480" width="9.42578125" style="190" customWidth="1"/>
    <col min="9481" max="9481" width="9" style="190" customWidth="1"/>
    <col min="9482" max="9482" width="34.42578125" style="190" customWidth="1"/>
    <col min="9483" max="9483" width="9.85546875" style="190" bestFit="1" customWidth="1"/>
    <col min="9484" max="9484" width="10.7109375" style="190" customWidth="1"/>
    <col min="9485" max="9485" width="22.28515625" style="190" customWidth="1"/>
    <col min="9486" max="9486" width="12.42578125" style="190" customWidth="1"/>
    <col min="9487" max="9487" width="9.5703125" style="190" customWidth="1"/>
    <col min="9488" max="9488" width="23.7109375" style="190" customWidth="1"/>
    <col min="9489" max="9489" width="9.85546875" style="190" customWidth="1"/>
    <col min="9490" max="9492" width="11.7109375" style="190" customWidth="1"/>
    <col min="9493" max="9493" width="21.85546875" style="190" customWidth="1"/>
    <col min="9494" max="9494" width="11.28515625" style="190" customWidth="1"/>
    <col min="9495" max="9495" width="11.85546875" style="190" customWidth="1"/>
    <col min="9496" max="9496" width="21.85546875" style="190" customWidth="1"/>
    <col min="9497" max="9497" width="10.42578125" style="190" customWidth="1"/>
    <col min="9498" max="9498" width="10.140625" style="190" customWidth="1"/>
    <col min="9499" max="9499" width="20" style="190" customWidth="1"/>
    <col min="9500" max="9500" width="9.140625" style="190"/>
    <col min="9501" max="9501" width="11.7109375" style="190" customWidth="1"/>
    <col min="9502" max="9502" width="23.7109375" style="190" customWidth="1"/>
    <col min="9503" max="9504" width="9.140625" style="190"/>
    <col min="9505" max="9505" width="22.85546875" style="190" customWidth="1"/>
    <col min="9506" max="9507" width="9.140625" style="190"/>
    <col min="9508" max="9508" width="18" style="190" customWidth="1"/>
    <col min="9509" max="9510" width="9.140625" style="190"/>
    <col min="9511" max="9511" width="21.140625" style="190" customWidth="1"/>
    <col min="9512" max="9512" width="9.140625" style="190"/>
    <col min="9513" max="9513" width="10.28515625" style="190" customWidth="1"/>
    <col min="9514" max="9514" width="22.85546875" style="190" customWidth="1"/>
    <col min="9515" max="9728" width="9.140625" style="190"/>
    <col min="9729" max="9729" width="34.5703125" style="190" customWidth="1"/>
    <col min="9730" max="9730" width="11.5703125" style="190" customWidth="1"/>
    <col min="9731" max="9731" width="9.5703125" style="190" customWidth="1"/>
    <col min="9732" max="9732" width="25.85546875" style="190" customWidth="1"/>
    <col min="9733" max="9733" width="11.5703125" style="190" customWidth="1"/>
    <col min="9734" max="9734" width="9.140625" style="190"/>
    <col min="9735" max="9735" width="25.85546875" style="190" customWidth="1"/>
    <col min="9736" max="9736" width="9.42578125" style="190" customWidth="1"/>
    <col min="9737" max="9737" width="9" style="190" customWidth="1"/>
    <col min="9738" max="9738" width="34.42578125" style="190" customWidth="1"/>
    <col min="9739" max="9739" width="9.85546875" style="190" bestFit="1" customWidth="1"/>
    <col min="9740" max="9740" width="10.7109375" style="190" customWidth="1"/>
    <col min="9741" max="9741" width="22.28515625" style="190" customWidth="1"/>
    <col min="9742" max="9742" width="12.42578125" style="190" customWidth="1"/>
    <col min="9743" max="9743" width="9.5703125" style="190" customWidth="1"/>
    <col min="9744" max="9744" width="23.7109375" style="190" customWidth="1"/>
    <col min="9745" max="9745" width="9.85546875" style="190" customWidth="1"/>
    <col min="9746" max="9748" width="11.7109375" style="190" customWidth="1"/>
    <col min="9749" max="9749" width="21.85546875" style="190" customWidth="1"/>
    <col min="9750" max="9750" width="11.28515625" style="190" customWidth="1"/>
    <col min="9751" max="9751" width="11.85546875" style="190" customWidth="1"/>
    <col min="9752" max="9752" width="21.85546875" style="190" customWidth="1"/>
    <col min="9753" max="9753" width="10.42578125" style="190" customWidth="1"/>
    <col min="9754" max="9754" width="10.140625" style="190" customWidth="1"/>
    <col min="9755" max="9755" width="20" style="190" customWidth="1"/>
    <col min="9756" max="9756" width="9.140625" style="190"/>
    <col min="9757" max="9757" width="11.7109375" style="190" customWidth="1"/>
    <col min="9758" max="9758" width="23.7109375" style="190" customWidth="1"/>
    <col min="9759" max="9760" width="9.140625" style="190"/>
    <col min="9761" max="9761" width="22.85546875" style="190" customWidth="1"/>
    <col min="9762" max="9763" width="9.140625" style="190"/>
    <col min="9764" max="9764" width="18" style="190" customWidth="1"/>
    <col min="9765" max="9766" width="9.140625" style="190"/>
    <col min="9767" max="9767" width="21.140625" style="190" customWidth="1"/>
    <col min="9768" max="9768" width="9.140625" style="190"/>
    <col min="9769" max="9769" width="10.28515625" style="190" customWidth="1"/>
    <col min="9770" max="9770" width="22.85546875" style="190" customWidth="1"/>
    <col min="9771" max="9984" width="9.140625" style="190"/>
    <col min="9985" max="9985" width="34.5703125" style="190" customWidth="1"/>
    <col min="9986" max="9986" width="11.5703125" style="190" customWidth="1"/>
    <col min="9987" max="9987" width="9.5703125" style="190" customWidth="1"/>
    <col min="9988" max="9988" width="25.85546875" style="190" customWidth="1"/>
    <col min="9989" max="9989" width="11.5703125" style="190" customWidth="1"/>
    <col min="9990" max="9990" width="9.140625" style="190"/>
    <col min="9991" max="9991" width="25.85546875" style="190" customWidth="1"/>
    <col min="9992" max="9992" width="9.42578125" style="190" customWidth="1"/>
    <col min="9993" max="9993" width="9" style="190" customWidth="1"/>
    <col min="9994" max="9994" width="34.42578125" style="190" customWidth="1"/>
    <col min="9995" max="9995" width="9.85546875" style="190" bestFit="1" customWidth="1"/>
    <col min="9996" max="9996" width="10.7109375" style="190" customWidth="1"/>
    <col min="9997" max="9997" width="22.28515625" style="190" customWidth="1"/>
    <col min="9998" max="9998" width="12.42578125" style="190" customWidth="1"/>
    <col min="9999" max="9999" width="9.5703125" style="190" customWidth="1"/>
    <col min="10000" max="10000" width="23.7109375" style="190" customWidth="1"/>
    <col min="10001" max="10001" width="9.85546875" style="190" customWidth="1"/>
    <col min="10002" max="10004" width="11.7109375" style="190" customWidth="1"/>
    <col min="10005" max="10005" width="21.85546875" style="190" customWidth="1"/>
    <col min="10006" max="10006" width="11.28515625" style="190" customWidth="1"/>
    <col min="10007" max="10007" width="11.85546875" style="190" customWidth="1"/>
    <col min="10008" max="10008" width="21.85546875" style="190" customWidth="1"/>
    <col min="10009" max="10009" width="10.42578125" style="190" customWidth="1"/>
    <col min="10010" max="10010" width="10.140625" style="190" customWidth="1"/>
    <col min="10011" max="10011" width="20" style="190" customWidth="1"/>
    <col min="10012" max="10012" width="9.140625" style="190"/>
    <col min="10013" max="10013" width="11.7109375" style="190" customWidth="1"/>
    <col min="10014" max="10014" width="23.7109375" style="190" customWidth="1"/>
    <col min="10015" max="10016" width="9.140625" style="190"/>
    <col min="10017" max="10017" width="22.85546875" style="190" customWidth="1"/>
    <col min="10018" max="10019" width="9.140625" style="190"/>
    <col min="10020" max="10020" width="18" style="190" customWidth="1"/>
    <col min="10021" max="10022" width="9.140625" style="190"/>
    <col min="10023" max="10023" width="21.140625" style="190" customWidth="1"/>
    <col min="10024" max="10024" width="9.140625" style="190"/>
    <col min="10025" max="10025" width="10.28515625" style="190" customWidth="1"/>
    <col min="10026" max="10026" width="22.85546875" style="190" customWidth="1"/>
    <col min="10027" max="10240" width="9.140625" style="190"/>
    <col min="10241" max="10241" width="34.5703125" style="190" customWidth="1"/>
    <col min="10242" max="10242" width="11.5703125" style="190" customWidth="1"/>
    <col min="10243" max="10243" width="9.5703125" style="190" customWidth="1"/>
    <col min="10244" max="10244" width="25.85546875" style="190" customWidth="1"/>
    <col min="10245" max="10245" width="11.5703125" style="190" customWidth="1"/>
    <col min="10246" max="10246" width="9.140625" style="190"/>
    <col min="10247" max="10247" width="25.85546875" style="190" customWidth="1"/>
    <col min="10248" max="10248" width="9.42578125" style="190" customWidth="1"/>
    <col min="10249" max="10249" width="9" style="190" customWidth="1"/>
    <col min="10250" max="10250" width="34.42578125" style="190" customWidth="1"/>
    <col min="10251" max="10251" width="9.85546875" style="190" bestFit="1" customWidth="1"/>
    <col min="10252" max="10252" width="10.7109375" style="190" customWidth="1"/>
    <col min="10253" max="10253" width="22.28515625" style="190" customWidth="1"/>
    <col min="10254" max="10254" width="12.42578125" style="190" customWidth="1"/>
    <col min="10255" max="10255" width="9.5703125" style="190" customWidth="1"/>
    <col min="10256" max="10256" width="23.7109375" style="190" customWidth="1"/>
    <col min="10257" max="10257" width="9.85546875" style="190" customWidth="1"/>
    <col min="10258" max="10260" width="11.7109375" style="190" customWidth="1"/>
    <col min="10261" max="10261" width="21.85546875" style="190" customWidth="1"/>
    <col min="10262" max="10262" width="11.28515625" style="190" customWidth="1"/>
    <col min="10263" max="10263" width="11.85546875" style="190" customWidth="1"/>
    <col min="10264" max="10264" width="21.85546875" style="190" customWidth="1"/>
    <col min="10265" max="10265" width="10.42578125" style="190" customWidth="1"/>
    <col min="10266" max="10266" width="10.140625" style="190" customWidth="1"/>
    <col min="10267" max="10267" width="20" style="190" customWidth="1"/>
    <col min="10268" max="10268" width="9.140625" style="190"/>
    <col min="10269" max="10269" width="11.7109375" style="190" customWidth="1"/>
    <col min="10270" max="10270" width="23.7109375" style="190" customWidth="1"/>
    <col min="10271" max="10272" width="9.140625" style="190"/>
    <col min="10273" max="10273" width="22.85546875" style="190" customWidth="1"/>
    <col min="10274" max="10275" width="9.140625" style="190"/>
    <col min="10276" max="10276" width="18" style="190" customWidth="1"/>
    <col min="10277" max="10278" width="9.140625" style="190"/>
    <col min="10279" max="10279" width="21.140625" style="190" customWidth="1"/>
    <col min="10280" max="10280" width="9.140625" style="190"/>
    <col min="10281" max="10281" width="10.28515625" style="190" customWidth="1"/>
    <col min="10282" max="10282" width="22.85546875" style="190" customWidth="1"/>
    <col min="10283" max="10496" width="9.140625" style="190"/>
    <col min="10497" max="10497" width="34.5703125" style="190" customWidth="1"/>
    <col min="10498" max="10498" width="11.5703125" style="190" customWidth="1"/>
    <col min="10499" max="10499" width="9.5703125" style="190" customWidth="1"/>
    <col min="10500" max="10500" width="25.85546875" style="190" customWidth="1"/>
    <col min="10501" max="10501" width="11.5703125" style="190" customWidth="1"/>
    <col min="10502" max="10502" width="9.140625" style="190"/>
    <col min="10503" max="10503" width="25.85546875" style="190" customWidth="1"/>
    <col min="10504" max="10504" width="9.42578125" style="190" customWidth="1"/>
    <col min="10505" max="10505" width="9" style="190" customWidth="1"/>
    <col min="10506" max="10506" width="34.42578125" style="190" customWidth="1"/>
    <col min="10507" max="10507" width="9.85546875" style="190" bestFit="1" customWidth="1"/>
    <col min="10508" max="10508" width="10.7109375" style="190" customWidth="1"/>
    <col min="10509" max="10509" width="22.28515625" style="190" customWidth="1"/>
    <col min="10510" max="10510" width="12.42578125" style="190" customWidth="1"/>
    <col min="10511" max="10511" width="9.5703125" style="190" customWidth="1"/>
    <col min="10512" max="10512" width="23.7109375" style="190" customWidth="1"/>
    <col min="10513" max="10513" width="9.85546875" style="190" customWidth="1"/>
    <col min="10514" max="10516" width="11.7109375" style="190" customWidth="1"/>
    <col min="10517" max="10517" width="21.85546875" style="190" customWidth="1"/>
    <col min="10518" max="10518" width="11.28515625" style="190" customWidth="1"/>
    <col min="10519" max="10519" width="11.85546875" style="190" customWidth="1"/>
    <col min="10520" max="10520" width="21.85546875" style="190" customWidth="1"/>
    <col min="10521" max="10521" width="10.42578125" style="190" customWidth="1"/>
    <col min="10522" max="10522" width="10.140625" style="190" customWidth="1"/>
    <col min="10523" max="10523" width="20" style="190" customWidth="1"/>
    <col min="10524" max="10524" width="9.140625" style="190"/>
    <col min="10525" max="10525" width="11.7109375" style="190" customWidth="1"/>
    <col min="10526" max="10526" width="23.7109375" style="190" customWidth="1"/>
    <col min="10527" max="10528" width="9.140625" style="190"/>
    <col min="10529" max="10529" width="22.85546875" style="190" customWidth="1"/>
    <col min="10530" max="10531" width="9.140625" style="190"/>
    <col min="10532" max="10532" width="18" style="190" customWidth="1"/>
    <col min="10533" max="10534" width="9.140625" style="190"/>
    <col min="10535" max="10535" width="21.140625" style="190" customWidth="1"/>
    <col min="10536" max="10536" width="9.140625" style="190"/>
    <col min="10537" max="10537" width="10.28515625" style="190" customWidth="1"/>
    <col min="10538" max="10538" width="22.85546875" style="190" customWidth="1"/>
    <col min="10539" max="10752" width="9.140625" style="190"/>
    <col min="10753" max="10753" width="34.5703125" style="190" customWidth="1"/>
    <col min="10754" max="10754" width="11.5703125" style="190" customWidth="1"/>
    <col min="10755" max="10755" width="9.5703125" style="190" customWidth="1"/>
    <col min="10756" max="10756" width="25.85546875" style="190" customWidth="1"/>
    <col min="10757" max="10757" width="11.5703125" style="190" customWidth="1"/>
    <col min="10758" max="10758" width="9.140625" style="190"/>
    <col min="10759" max="10759" width="25.85546875" style="190" customWidth="1"/>
    <col min="10760" max="10760" width="9.42578125" style="190" customWidth="1"/>
    <col min="10761" max="10761" width="9" style="190" customWidth="1"/>
    <col min="10762" max="10762" width="34.42578125" style="190" customWidth="1"/>
    <col min="10763" max="10763" width="9.85546875" style="190" bestFit="1" customWidth="1"/>
    <col min="10764" max="10764" width="10.7109375" style="190" customWidth="1"/>
    <col min="10765" max="10765" width="22.28515625" style="190" customWidth="1"/>
    <col min="10766" max="10766" width="12.42578125" style="190" customWidth="1"/>
    <col min="10767" max="10767" width="9.5703125" style="190" customWidth="1"/>
    <col min="10768" max="10768" width="23.7109375" style="190" customWidth="1"/>
    <col min="10769" max="10769" width="9.85546875" style="190" customWidth="1"/>
    <col min="10770" max="10772" width="11.7109375" style="190" customWidth="1"/>
    <col min="10773" max="10773" width="21.85546875" style="190" customWidth="1"/>
    <col min="10774" max="10774" width="11.28515625" style="190" customWidth="1"/>
    <col min="10775" max="10775" width="11.85546875" style="190" customWidth="1"/>
    <col min="10776" max="10776" width="21.85546875" style="190" customWidth="1"/>
    <col min="10777" max="10777" width="10.42578125" style="190" customWidth="1"/>
    <col min="10778" max="10778" width="10.140625" style="190" customWidth="1"/>
    <col min="10779" max="10779" width="20" style="190" customWidth="1"/>
    <col min="10780" max="10780" width="9.140625" style="190"/>
    <col min="10781" max="10781" width="11.7109375" style="190" customWidth="1"/>
    <col min="10782" max="10782" width="23.7109375" style="190" customWidth="1"/>
    <col min="10783" max="10784" width="9.140625" style="190"/>
    <col min="10785" max="10785" width="22.85546875" style="190" customWidth="1"/>
    <col min="10786" max="10787" width="9.140625" style="190"/>
    <col min="10788" max="10788" width="18" style="190" customWidth="1"/>
    <col min="10789" max="10790" width="9.140625" style="190"/>
    <col min="10791" max="10791" width="21.140625" style="190" customWidth="1"/>
    <col min="10792" max="10792" width="9.140625" style="190"/>
    <col min="10793" max="10793" width="10.28515625" style="190" customWidth="1"/>
    <col min="10794" max="10794" width="22.85546875" style="190" customWidth="1"/>
    <col min="10795" max="11008" width="9.140625" style="190"/>
    <col min="11009" max="11009" width="34.5703125" style="190" customWidth="1"/>
    <col min="11010" max="11010" width="11.5703125" style="190" customWidth="1"/>
    <col min="11011" max="11011" width="9.5703125" style="190" customWidth="1"/>
    <col min="11012" max="11012" width="25.85546875" style="190" customWidth="1"/>
    <col min="11013" max="11013" width="11.5703125" style="190" customWidth="1"/>
    <col min="11014" max="11014" width="9.140625" style="190"/>
    <col min="11015" max="11015" width="25.85546875" style="190" customWidth="1"/>
    <col min="11016" max="11016" width="9.42578125" style="190" customWidth="1"/>
    <col min="11017" max="11017" width="9" style="190" customWidth="1"/>
    <col min="11018" max="11018" width="34.42578125" style="190" customWidth="1"/>
    <col min="11019" max="11019" width="9.85546875" style="190" bestFit="1" customWidth="1"/>
    <col min="11020" max="11020" width="10.7109375" style="190" customWidth="1"/>
    <col min="11021" max="11021" width="22.28515625" style="190" customWidth="1"/>
    <col min="11022" max="11022" width="12.42578125" style="190" customWidth="1"/>
    <col min="11023" max="11023" width="9.5703125" style="190" customWidth="1"/>
    <col min="11024" max="11024" width="23.7109375" style="190" customWidth="1"/>
    <col min="11025" max="11025" width="9.85546875" style="190" customWidth="1"/>
    <col min="11026" max="11028" width="11.7109375" style="190" customWidth="1"/>
    <col min="11029" max="11029" width="21.85546875" style="190" customWidth="1"/>
    <col min="11030" max="11030" width="11.28515625" style="190" customWidth="1"/>
    <col min="11031" max="11031" width="11.85546875" style="190" customWidth="1"/>
    <col min="11032" max="11032" width="21.85546875" style="190" customWidth="1"/>
    <col min="11033" max="11033" width="10.42578125" style="190" customWidth="1"/>
    <col min="11034" max="11034" width="10.140625" style="190" customWidth="1"/>
    <col min="11035" max="11035" width="20" style="190" customWidth="1"/>
    <col min="11036" max="11036" width="9.140625" style="190"/>
    <col min="11037" max="11037" width="11.7109375" style="190" customWidth="1"/>
    <col min="11038" max="11038" width="23.7109375" style="190" customWidth="1"/>
    <col min="11039" max="11040" width="9.140625" style="190"/>
    <col min="11041" max="11041" width="22.85546875" style="190" customWidth="1"/>
    <col min="11042" max="11043" width="9.140625" style="190"/>
    <col min="11044" max="11044" width="18" style="190" customWidth="1"/>
    <col min="11045" max="11046" width="9.140625" style="190"/>
    <col min="11047" max="11047" width="21.140625" style="190" customWidth="1"/>
    <col min="11048" max="11048" width="9.140625" style="190"/>
    <col min="11049" max="11049" width="10.28515625" style="190" customWidth="1"/>
    <col min="11050" max="11050" width="22.85546875" style="190" customWidth="1"/>
    <col min="11051" max="11264" width="9.140625" style="190"/>
    <col min="11265" max="11265" width="34.5703125" style="190" customWidth="1"/>
    <col min="11266" max="11266" width="11.5703125" style="190" customWidth="1"/>
    <col min="11267" max="11267" width="9.5703125" style="190" customWidth="1"/>
    <col min="11268" max="11268" width="25.85546875" style="190" customWidth="1"/>
    <col min="11269" max="11269" width="11.5703125" style="190" customWidth="1"/>
    <col min="11270" max="11270" width="9.140625" style="190"/>
    <col min="11271" max="11271" width="25.85546875" style="190" customWidth="1"/>
    <col min="11272" max="11272" width="9.42578125" style="190" customWidth="1"/>
    <col min="11273" max="11273" width="9" style="190" customWidth="1"/>
    <col min="11274" max="11274" width="34.42578125" style="190" customWidth="1"/>
    <col min="11275" max="11275" width="9.85546875" style="190" bestFit="1" customWidth="1"/>
    <col min="11276" max="11276" width="10.7109375" style="190" customWidth="1"/>
    <col min="11277" max="11277" width="22.28515625" style="190" customWidth="1"/>
    <col min="11278" max="11278" width="12.42578125" style="190" customWidth="1"/>
    <col min="11279" max="11279" width="9.5703125" style="190" customWidth="1"/>
    <col min="11280" max="11280" width="23.7109375" style="190" customWidth="1"/>
    <col min="11281" max="11281" width="9.85546875" style="190" customWidth="1"/>
    <col min="11282" max="11284" width="11.7109375" style="190" customWidth="1"/>
    <col min="11285" max="11285" width="21.85546875" style="190" customWidth="1"/>
    <col min="11286" max="11286" width="11.28515625" style="190" customWidth="1"/>
    <col min="11287" max="11287" width="11.85546875" style="190" customWidth="1"/>
    <col min="11288" max="11288" width="21.85546875" style="190" customWidth="1"/>
    <col min="11289" max="11289" width="10.42578125" style="190" customWidth="1"/>
    <col min="11290" max="11290" width="10.140625" style="190" customWidth="1"/>
    <col min="11291" max="11291" width="20" style="190" customWidth="1"/>
    <col min="11292" max="11292" width="9.140625" style="190"/>
    <col min="11293" max="11293" width="11.7109375" style="190" customWidth="1"/>
    <col min="11294" max="11294" width="23.7109375" style="190" customWidth="1"/>
    <col min="11295" max="11296" width="9.140625" style="190"/>
    <col min="11297" max="11297" width="22.85546875" style="190" customWidth="1"/>
    <col min="11298" max="11299" width="9.140625" style="190"/>
    <col min="11300" max="11300" width="18" style="190" customWidth="1"/>
    <col min="11301" max="11302" width="9.140625" style="190"/>
    <col min="11303" max="11303" width="21.140625" style="190" customWidth="1"/>
    <col min="11304" max="11304" width="9.140625" style="190"/>
    <col min="11305" max="11305" width="10.28515625" style="190" customWidth="1"/>
    <col min="11306" max="11306" width="22.85546875" style="190" customWidth="1"/>
    <col min="11307" max="11520" width="9.140625" style="190"/>
    <col min="11521" max="11521" width="34.5703125" style="190" customWidth="1"/>
    <col min="11522" max="11522" width="11.5703125" style="190" customWidth="1"/>
    <col min="11523" max="11523" width="9.5703125" style="190" customWidth="1"/>
    <col min="11524" max="11524" width="25.85546875" style="190" customWidth="1"/>
    <col min="11525" max="11525" width="11.5703125" style="190" customWidth="1"/>
    <col min="11526" max="11526" width="9.140625" style="190"/>
    <col min="11527" max="11527" width="25.85546875" style="190" customWidth="1"/>
    <col min="11528" max="11528" width="9.42578125" style="190" customWidth="1"/>
    <col min="11529" max="11529" width="9" style="190" customWidth="1"/>
    <col min="11530" max="11530" width="34.42578125" style="190" customWidth="1"/>
    <col min="11531" max="11531" width="9.85546875" style="190" bestFit="1" customWidth="1"/>
    <col min="11532" max="11532" width="10.7109375" style="190" customWidth="1"/>
    <col min="11533" max="11533" width="22.28515625" style="190" customWidth="1"/>
    <col min="11534" max="11534" width="12.42578125" style="190" customWidth="1"/>
    <col min="11535" max="11535" width="9.5703125" style="190" customWidth="1"/>
    <col min="11536" max="11536" width="23.7109375" style="190" customWidth="1"/>
    <col min="11537" max="11537" width="9.85546875" style="190" customWidth="1"/>
    <col min="11538" max="11540" width="11.7109375" style="190" customWidth="1"/>
    <col min="11541" max="11541" width="21.85546875" style="190" customWidth="1"/>
    <col min="11542" max="11542" width="11.28515625" style="190" customWidth="1"/>
    <col min="11543" max="11543" width="11.85546875" style="190" customWidth="1"/>
    <col min="11544" max="11544" width="21.85546875" style="190" customWidth="1"/>
    <col min="11545" max="11545" width="10.42578125" style="190" customWidth="1"/>
    <col min="11546" max="11546" width="10.140625" style="190" customWidth="1"/>
    <col min="11547" max="11547" width="20" style="190" customWidth="1"/>
    <col min="11548" max="11548" width="9.140625" style="190"/>
    <col min="11549" max="11549" width="11.7109375" style="190" customWidth="1"/>
    <col min="11550" max="11550" width="23.7109375" style="190" customWidth="1"/>
    <col min="11551" max="11552" width="9.140625" style="190"/>
    <col min="11553" max="11553" width="22.85546875" style="190" customWidth="1"/>
    <col min="11554" max="11555" width="9.140625" style="190"/>
    <col min="11556" max="11556" width="18" style="190" customWidth="1"/>
    <col min="11557" max="11558" width="9.140625" style="190"/>
    <col min="11559" max="11559" width="21.140625" style="190" customWidth="1"/>
    <col min="11560" max="11560" width="9.140625" style="190"/>
    <col min="11561" max="11561" width="10.28515625" style="190" customWidth="1"/>
    <col min="11562" max="11562" width="22.85546875" style="190" customWidth="1"/>
    <col min="11563" max="11776" width="9.140625" style="190"/>
    <col min="11777" max="11777" width="34.5703125" style="190" customWidth="1"/>
    <col min="11778" max="11778" width="11.5703125" style="190" customWidth="1"/>
    <col min="11779" max="11779" width="9.5703125" style="190" customWidth="1"/>
    <col min="11780" max="11780" width="25.85546875" style="190" customWidth="1"/>
    <col min="11781" max="11781" width="11.5703125" style="190" customWidth="1"/>
    <col min="11782" max="11782" width="9.140625" style="190"/>
    <col min="11783" max="11783" width="25.85546875" style="190" customWidth="1"/>
    <col min="11784" max="11784" width="9.42578125" style="190" customWidth="1"/>
    <col min="11785" max="11785" width="9" style="190" customWidth="1"/>
    <col min="11786" max="11786" width="34.42578125" style="190" customWidth="1"/>
    <col min="11787" max="11787" width="9.85546875" style="190" bestFit="1" customWidth="1"/>
    <col min="11788" max="11788" width="10.7109375" style="190" customWidth="1"/>
    <col min="11789" max="11789" width="22.28515625" style="190" customWidth="1"/>
    <col min="11790" max="11790" width="12.42578125" style="190" customWidth="1"/>
    <col min="11791" max="11791" width="9.5703125" style="190" customWidth="1"/>
    <col min="11792" max="11792" width="23.7109375" style="190" customWidth="1"/>
    <col min="11793" max="11793" width="9.85546875" style="190" customWidth="1"/>
    <col min="11794" max="11796" width="11.7109375" style="190" customWidth="1"/>
    <col min="11797" max="11797" width="21.85546875" style="190" customWidth="1"/>
    <col min="11798" max="11798" width="11.28515625" style="190" customWidth="1"/>
    <col min="11799" max="11799" width="11.85546875" style="190" customWidth="1"/>
    <col min="11800" max="11800" width="21.85546875" style="190" customWidth="1"/>
    <col min="11801" max="11801" width="10.42578125" style="190" customWidth="1"/>
    <col min="11802" max="11802" width="10.140625" style="190" customWidth="1"/>
    <col min="11803" max="11803" width="20" style="190" customWidth="1"/>
    <col min="11804" max="11804" width="9.140625" style="190"/>
    <col min="11805" max="11805" width="11.7109375" style="190" customWidth="1"/>
    <col min="11806" max="11806" width="23.7109375" style="190" customWidth="1"/>
    <col min="11807" max="11808" width="9.140625" style="190"/>
    <col min="11809" max="11809" width="22.85546875" style="190" customWidth="1"/>
    <col min="11810" max="11811" width="9.140625" style="190"/>
    <col min="11812" max="11812" width="18" style="190" customWidth="1"/>
    <col min="11813" max="11814" width="9.140625" style="190"/>
    <col min="11815" max="11815" width="21.140625" style="190" customWidth="1"/>
    <col min="11816" max="11816" width="9.140625" style="190"/>
    <col min="11817" max="11817" width="10.28515625" style="190" customWidth="1"/>
    <col min="11818" max="11818" width="22.85546875" style="190" customWidth="1"/>
    <col min="11819" max="12032" width="9.140625" style="190"/>
    <col min="12033" max="12033" width="34.5703125" style="190" customWidth="1"/>
    <col min="12034" max="12034" width="11.5703125" style="190" customWidth="1"/>
    <col min="12035" max="12035" width="9.5703125" style="190" customWidth="1"/>
    <col min="12036" max="12036" width="25.85546875" style="190" customWidth="1"/>
    <col min="12037" max="12037" width="11.5703125" style="190" customWidth="1"/>
    <col min="12038" max="12038" width="9.140625" style="190"/>
    <col min="12039" max="12039" width="25.85546875" style="190" customWidth="1"/>
    <col min="12040" max="12040" width="9.42578125" style="190" customWidth="1"/>
    <col min="12041" max="12041" width="9" style="190" customWidth="1"/>
    <col min="12042" max="12042" width="34.42578125" style="190" customWidth="1"/>
    <col min="12043" max="12043" width="9.85546875" style="190" bestFit="1" customWidth="1"/>
    <col min="12044" max="12044" width="10.7109375" style="190" customWidth="1"/>
    <col min="12045" max="12045" width="22.28515625" style="190" customWidth="1"/>
    <col min="12046" max="12046" width="12.42578125" style="190" customWidth="1"/>
    <col min="12047" max="12047" width="9.5703125" style="190" customWidth="1"/>
    <col min="12048" max="12048" width="23.7109375" style="190" customWidth="1"/>
    <col min="12049" max="12049" width="9.85546875" style="190" customWidth="1"/>
    <col min="12050" max="12052" width="11.7109375" style="190" customWidth="1"/>
    <col min="12053" max="12053" width="21.85546875" style="190" customWidth="1"/>
    <col min="12054" max="12054" width="11.28515625" style="190" customWidth="1"/>
    <col min="12055" max="12055" width="11.85546875" style="190" customWidth="1"/>
    <col min="12056" max="12056" width="21.85546875" style="190" customWidth="1"/>
    <col min="12057" max="12057" width="10.42578125" style="190" customWidth="1"/>
    <col min="12058" max="12058" width="10.140625" style="190" customWidth="1"/>
    <col min="12059" max="12059" width="20" style="190" customWidth="1"/>
    <col min="12060" max="12060" width="9.140625" style="190"/>
    <col min="12061" max="12061" width="11.7109375" style="190" customWidth="1"/>
    <col min="12062" max="12062" width="23.7109375" style="190" customWidth="1"/>
    <col min="12063" max="12064" width="9.140625" style="190"/>
    <col min="12065" max="12065" width="22.85546875" style="190" customWidth="1"/>
    <col min="12066" max="12067" width="9.140625" style="190"/>
    <col min="12068" max="12068" width="18" style="190" customWidth="1"/>
    <col min="12069" max="12070" width="9.140625" style="190"/>
    <col min="12071" max="12071" width="21.140625" style="190" customWidth="1"/>
    <col min="12072" max="12072" width="9.140625" style="190"/>
    <col min="12073" max="12073" width="10.28515625" style="190" customWidth="1"/>
    <col min="12074" max="12074" width="22.85546875" style="190" customWidth="1"/>
    <col min="12075" max="12288" width="9.140625" style="190"/>
    <col min="12289" max="12289" width="34.5703125" style="190" customWidth="1"/>
    <col min="12290" max="12290" width="11.5703125" style="190" customWidth="1"/>
    <col min="12291" max="12291" width="9.5703125" style="190" customWidth="1"/>
    <col min="12292" max="12292" width="25.85546875" style="190" customWidth="1"/>
    <col min="12293" max="12293" width="11.5703125" style="190" customWidth="1"/>
    <col min="12294" max="12294" width="9.140625" style="190"/>
    <col min="12295" max="12295" width="25.85546875" style="190" customWidth="1"/>
    <col min="12296" max="12296" width="9.42578125" style="190" customWidth="1"/>
    <col min="12297" max="12297" width="9" style="190" customWidth="1"/>
    <col min="12298" max="12298" width="34.42578125" style="190" customWidth="1"/>
    <col min="12299" max="12299" width="9.85546875" style="190" bestFit="1" customWidth="1"/>
    <col min="12300" max="12300" width="10.7109375" style="190" customWidth="1"/>
    <col min="12301" max="12301" width="22.28515625" style="190" customWidth="1"/>
    <col min="12302" max="12302" width="12.42578125" style="190" customWidth="1"/>
    <col min="12303" max="12303" width="9.5703125" style="190" customWidth="1"/>
    <col min="12304" max="12304" width="23.7109375" style="190" customWidth="1"/>
    <col min="12305" max="12305" width="9.85546875" style="190" customWidth="1"/>
    <col min="12306" max="12308" width="11.7109375" style="190" customWidth="1"/>
    <col min="12309" max="12309" width="21.85546875" style="190" customWidth="1"/>
    <col min="12310" max="12310" width="11.28515625" style="190" customWidth="1"/>
    <col min="12311" max="12311" width="11.85546875" style="190" customWidth="1"/>
    <col min="12312" max="12312" width="21.85546875" style="190" customWidth="1"/>
    <col min="12313" max="12313" width="10.42578125" style="190" customWidth="1"/>
    <col min="12314" max="12314" width="10.140625" style="190" customWidth="1"/>
    <col min="12315" max="12315" width="20" style="190" customWidth="1"/>
    <col min="12316" max="12316" width="9.140625" style="190"/>
    <col min="12317" max="12317" width="11.7109375" style="190" customWidth="1"/>
    <col min="12318" max="12318" width="23.7109375" style="190" customWidth="1"/>
    <col min="12319" max="12320" width="9.140625" style="190"/>
    <col min="12321" max="12321" width="22.85546875" style="190" customWidth="1"/>
    <col min="12322" max="12323" width="9.140625" style="190"/>
    <col min="12324" max="12324" width="18" style="190" customWidth="1"/>
    <col min="12325" max="12326" width="9.140625" style="190"/>
    <col min="12327" max="12327" width="21.140625" style="190" customWidth="1"/>
    <col min="12328" max="12328" width="9.140625" style="190"/>
    <col min="12329" max="12329" width="10.28515625" style="190" customWidth="1"/>
    <col min="12330" max="12330" width="22.85546875" style="190" customWidth="1"/>
    <col min="12331" max="12544" width="9.140625" style="190"/>
    <col min="12545" max="12545" width="34.5703125" style="190" customWidth="1"/>
    <col min="12546" max="12546" width="11.5703125" style="190" customWidth="1"/>
    <col min="12547" max="12547" width="9.5703125" style="190" customWidth="1"/>
    <col min="12548" max="12548" width="25.85546875" style="190" customWidth="1"/>
    <col min="12549" max="12549" width="11.5703125" style="190" customWidth="1"/>
    <col min="12550" max="12550" width="9.140625" style="190"/>
    <col min="12551" max="12551" width="25.85546875" style="190" customWidth="1"/>
    <col min="12552" max="12552" width="9.42578125" style="190" customWidth="1"/>
    <col min="12553" max="12553" width="9" style="190" customWidth="1"/>
    <col min="12554" max="12554" width="34.42578125" style="190" customWidth="1"/>
    <col min="12555" max="12555" width="9.85546875" style="190" bestFit="1" customWidth="1"/>
    <col min="12556" max="12556" width="10.7109375" style="190" customWidth="1"/>
    <col min="12557" max="12557" width="22.28515625" style="190" customWidth="1"/>
    <col min="12558" max="12558" width="12.42578125" style="190" customWidth="1"/>
    <col min="12559" max="12559" width="9.5703125" style="190" customWidth="1"/>
    <col min="12560" max="12560" width="23.7109375" style="190" customWidth="1"/>
    <col min="12561" max="12561" width="9.85546875" style="190" customWidth="1"/>
    <col min="12562" max="12564" width="11.7109375" style="190" customWidth="1"/>
    <col min="12565" max="12565" width="21.85546875" style="190" customWidth="1"/>
    <col min="12566" max="12566" width="11.28515625" style="190" customWidth="1"/>
    <col min="12567" max="12567" width="11.85546875" style="190" customWidth="1"/>
    <col min="12568" max="12568" width="21.85546875" style="190" customWidth="1"/>
    <col min="12569" max="12569" width="10.42578125" style="190" customWidth="1"/>
    <col min="12570" max="12570" width="10.140625" style="190" customWidth="1"/>
    <col min="12571" max="12571" width="20" style="190" customWidth="1"/>
    <col min="12572" max="12572" width="9.140625" style="190"/>
    <col min="12573" max="12573" width="11.7109375" style="190" customWidth="1"/>
    <col min="12574" max="12574" width="23.7109375" style="190" customWidth="1"/>
    <col min="12575" max="12576" width="9.140625" style="190"/>
    <col min="12577" max="12577" width="22.85546875" style="190" customWidth="1"/>
    <col min="12578" max="12579" width="9.140625" style="190"/>
    <col min="12580" max="12580" width="18" style="190" customWidth="1"/>
    <col min="12581" max="12582" width="9.140625" style="190"/>
    <col min="12583" max="12583" width="21.140625" style="190" customWidth="1"/>
    <col min="12584" max="12584" width="9.140625" style="190"/>
    <col min="12585" max="12585" width="10.28515625" style="190" customWidth="1"/>
    <col min="12586" max="12586" width="22.85546875" style="190" customWidth="1"/>
    <col min="12587" max="12800" width="9.140625" style="190"/>
    <col min="12801" max="12801" width="34.5703125" style="190" customWidth="1"/>
    <col min="12802" max="12802" width="11.5703125" style="190" customWidth="1"/>
    <col min="12803" max="12803" width="9.5703125" style="190" customWidth="1"/>
    <col min="12804" max="12804" width="25.85546875" style="190" customWidth="1"/>
    <col min="12805" max="12805" width="11.5703125" style="190" customWidth="1"/>
    <col min="12806" max="12806" width="9.140625" style="190"/>
    <col min="12807" max="12807" width="25.85546875" style="190" customWidth="1"/>
    <col min="12808" max="12808" width="9.42578125" style="190" customWidth="1"/>
    <col min="12809" max="12809" width="9" style="190" customWidth="1"/>
    <col min="12810" max="12810" width="34.42578125" style="190" customWidth="1"/>
    <col min="12811" max="12811" width="9.85546875" style="190" bestFit="1" customWidth="1"/>
    <col min="12812" max="12812" width="10.7109375" style="190" customWidth="1"/>
    <col min="12813" max="12813" width="22.28515625" style="190" customWidth="1"/>
    <col min="12814" max="12814" width="12.42578125" style="190" customWidth="1"/>
    <col min="12815" max="12815" width="9.5703125" style="190" customWidth="1"/>
    <col min="12816" max="12816" width="23.7109375" style="190" customWidth="1"/>
    <col min="12817" max="12817" width="9.85546875" style="190" customWidth="1"/>
    <col min="12818" max="12820" width="11.7109375" style="190" customWidth="1"/>
    <col min="12821" max="12821" width="21.85546875" style="190" customWidth="1"/>
    <col min="12822" max="12822" width="11.28515625" style="190" customWidth="1"/>
    <col min="12823" max="12823" width="11.85546875" style="190" customWidth="1"/>
    <col min="12824" max="12824" width="21.85546875" style="190" customWidth="1"/>
    <col min="12825" max="12825" width="10.42578125" style="190" customWidth="1"/>
    <col min="12826" max="12826" width="10.140625" style="190" customWidth="1"/>
    <col min="12827" max="12827" width="20" style="190" customWidth="1"/>
    <col min="12828" max="12828" width="9.140625" style="190"/>
    <col min="12829" max="12829" width="11.7109375" style="190" customWidth="1"/>
    <col min="12830" max="12830" width="23.7109375" style="190" customWidth="1"/>
    <col min="12831" max="12832" width="9.140625" style="190"/>
    <col min="12833" max="12833" width="22.85546875" style="190" customWidth="1"/>
    <col min="12834" max="12835" width="9.140625" style="190"/>
    <col min="12836" max="12836" width="18" style="190" customWidth="1"/>
    <col min="12837" max="12838" width="9.140625" style="190"/>
    <col min="12839" max="12839" width="21.140625" style="190" customWidth="1"/>
    <col min="12840" max="12840" width="9.140625" style="190"/>
    <col min="12841" max="12841" width="10.28515625" style="190" customWidth="1"/>
    <col min="12842" max="12842" width="22.85546875" style="190" customWidth="1"/>
    <col min="12843" max="13056" width="9.140625" style="190"/>
    <col min="13057" max="13057" width="34.5703125" style="190" customWidth="1"/>
    <col min="13058" max="13058" width="11.5703125" style="190" customWidth="1"/>
    <col min="13059" max="13059" width="9.5703125" style="190" customWidth="1"/>
    <col min="13060" max="13060" width="25.85546875" style="190" customWidth="1"/>
    <col min="13061" max="13061" width="11.5703125" style="190" customWidth="1"/>
    <col min="13062" max="13062" width="9.140625" style="190"/>
    <col min="13063" max="13063" width="25.85546875" style="190" customWidth="1"/>
    <col min="13064" max="13064" width="9.42578125" style="190" customWidth="1"/>
    <col min="13065" max="13065" width="9" style="190" customWidth="1"/>
    <col min="13066" max="13066" width="34.42578125" style="190" customWidth="1"/>
    <col min="13067" max="13067" width="9.85546875" style="190" bestFit="1" customWidth="1"/>
    <col min="13068" max="13068" width="10.7109375" style="190" customWidth="1"/>
    <col min="13069" max="13069" width="22.28515625" style="190" customWidth="1"/>
    <col min="13070" max="13070" width="12.42578125" style="190" customWidth="1"/>
    <col min="13071" max="13071" width="9.5703125" style="190" customWidth="1"/>
    <col min="13072" max="13072" width="23.7109375" style="190" customWidth="1"/>
    <col min="13073" max="13073" width="9.85546875" style="190" customWidth="1"/>
    <col min="13074" max="13076" width="11.7109375" style="190" customWidth="1"/>
    <col min="13077" max="13077" width="21.85546875" style="190" customWidth="1"/>
    <col min="13078" max="13078" width="11.28515625" style="190" customWidth="1"/>
    <col min="13079" max="13079" width="11.85546875" style="190" customWidth="1"/>
    <col min="13080" max="13080" width="21.85546875" style="190" customWidth="1"/>
    <col min="13081" max="13081" width="10.42578125" style="190" customWidth="1"/>
    <col min="13082" max="13082" width="10.140625" style="190" customWidth="1"/>
    <col min="13083" max="13083" width="20" style="190" customWidth="1"/>
    <col min="13084" max="13084" width="9.140625" style="190"/>
    <col min="13085" max="13085" width="11.7109375" style="190" customWidth="1"/>
    <col min="13086" max="13086" width="23.7109375" style="190" customWidth="1"/>
    <col min="13087" max="13088" width="9.140625" style="190"/>
    <col min="13089" max="13089" width="22.85546875" style="190" customWidth="1"/>
    <col min="13090" max="13091" width="9.140625" style="190"/>
    <col min="13092" max="13092" width="18" style="190" customWidth="1"/>
    <col min="13093" max="13094" width="9.140625" style="190"/>
    <col min="13095" max="13095" width="21.140625" style="190" customWidth="1"/>
    <col min="13096" max="13096" width="9.140625" style="190"/>
    <col min="13097" max="13097" width="10.28515625" style="190" customWidth="1"/>
    <col min="13098" max="13098" width="22.85546875" style="190" customWidth="1"/>
    <col min="13099" max="13312" width="9.140625" style="190"/>
    <col min="13313" max="13313" width="34.5703125" style="190" customWidth="1"/>
    <col min="13314" max="13314" width="11.5703125" style="190" customWidth="1"/>
    <col min="13315" max="13315" width="9.5703125" style="190" customWidth="1"/>
    <col min="13316" max="13316" width="25.85546875" style="190" customWidth="1"/>
    <col min="13317" max="13317" width="11.5703125" style="190" customWidth="1"/>
    <col min="13318" max="13318" width="9.140625" style="190"/>
    <col min="13319" max="13319" width="25.85546875" style="190" customWidth="1"/>
    <col min="13320" max="13320" width="9.42578125" style="190" customWidth="1"/>
    <col min="13321" max="13321" width="9" style="190" customWidth="1"/>
    <col min="13322" max="13322" width="34.42578125" style="190" customWidth="1"/>
    <col min="13323" max="13323" width="9.85546875" style="190" bestFit="1" customWidth="1"/>
    <col min="13324" max="13324" width="10.7109375" style="190" customWidth="1"/>
    <col min="13325" max="13325" width="22.28515625" style="190" customWidth="1"/>
    <col min="13326" max="13326" width="12.42578125" style="190" customWidth="1"/>
    <col min="13327" max="13327" width="9.5703125" style="190" customWidth="1"/>
    <col min="13328" max="13328" width="23.7109375" style="190" customWidth="1"/>
    <col min="13329" max="13329" width="9.85546875" style="190" customWidth="1"/>
    <col min="13330" max="13332" width="11.7109375" style="190" customWidth="1"/>
    <col min="13333" max="13333" width="21.85546875" style="190" customWidth="1"/>
    <col min="13334" max="13334" width="11.28515625" style="190" customWidth="1"/>
    <col min="13335" max="13335" width="11.85546875" style="190" customWidth="1"/>
    <col min="13336" max="13336" width="21.85546875" style="190" customWidth="1"/>
    <col min="13337" max="13337" width="10.42578125" style="190" customWidth="1"/>
    <col min="13338" max="13338" width="10.140625" style="190" customWidth="1"/>
    <col min="13339" max="13339" width="20" style="190" customWidth="1"/>
    <col min="13340" max="13340" width="9.140625" style="190"/>
    <col min="13341" max="13341" width="11.7109375" style="190" customWidth="1"/>
    <col min="13342" max="13342" width="23.7109375" style="190" customWidth="1"/>
    <col min="13343" max="13344" width="9.140625" style="190"/>
    <col min="13345" max="13345" width="22.85546875" style="190" customWidth="1"/>
    <col min="13346" max="13347" width="9.140625" style="190"/>
    <col min="13348" max="13348" width="18" style="190" customWidth="1"/>
    <col min="13349" max="13350" width="9.140625" style="190"/>
    <col min="13351" max="13351" width="21.140625" style="190" customWidth="1"/>
    <col min="13352" max="13352" width="9.140625" style="190"/>
    <col min="13353" max="13353" width="10.28515625" style="190" customWidth="1"/>
    <col min="13354" max="13354" width="22.85546875" style="190" customWidth="1"/>
    <col min="13355" max="13568" width="9.140625" style="190"/>
    <col min="13569" max="13569" width="34.5703125" style="190" customWidth="1"/>
    <col min="13570" max="13570" width="11.5703125" style="190" customWidth="1"/>
    <col min="13571" max="13571" width="9.5703125" style="190" customWidth="1"/>
    <col min="13572" max="13572" width="25.85546875" style="190" customWidth="1"/>
    <col min="13573" max="13573" width="11.5703125" style="190" customWidth="1"/>
    <col min="13574" max="13574" width="9.140625" style="190"/>
    <col min="13575" max="13575" width="25.85546875" style="190" customWidth="1"/>
    <col min="13576" max="13576" width="9.42578125" style="190" customWidth="1"/>
    <col min="13577" max="13577" width="9" style="190" customWidth="1"/>
    <col min="13578" max="13578" width="34.42578125" style="190" customWidth="1"/>
    <col min="13579" max="13579" width="9.85546875" style="190" bestFit="1" customWidth="1"/>
    <col min="13580" max="13580" width="10.7109375" style="190" customWidth="1"/>
    <col min="13581" max="13581" width="22.28515625" style="190" customWidth="1"/>
    <col min="13582" max="13582" width="12.42578125" style="190" customWidth="1"/>
    <col min="13583" max="13583" width="9.5703125" style="190" customWidth="1"/>
    <col min="13584" max="13584" width="23.7109375" style="190" customWidth="1"/>
    <col min="13585" max="13585" width="9.85546875" style="190" customWidth="1"/>
    <col min="13586" max="13588" width="11.7109375" style="190" customWidth="1"/>
    <col min="13589" max="13589" width="21.85546875" style="190" customWidth="1"/>
    <col min="13590" max="13590" width="11.28515625" style="190" customWidth="1"/>
    <col min="13591" max="13591" width="11.85546875" style="190" customWidth="1"/>
    <col min="13592" max="13592" width="21.85546875" style="190" customWidth="1"/>
    <col min="13593" max="13593" width="10.42578125" style="190" customWidth="1"/>
    <col min="13594" max="13594" width="10.140625" style="190" customWidth="1"/>
    <col min="13595" max="13595" width="20" style="190" customWidth="1"/>
    <col min="13596" max="13596" width="9.140625" style="190"/>
    <col min="13597" max="13597" width="11.7109375" style="190" customWidth="1"/>
    <col min="13598" max="13598" width="23.7109375" style="190" customWidth="1"/>
    <col min="13599" max="13600" width="9.140625" style="190"/>
    <col min="13601" max="13601" width="22.85546875" style="190" customWidth="1"/>
    <col min="13602" max="13603" width="9.140625" style="190"/>
    <col min="13604" max="13604" width="18" style="190" customWidth="1"/>
    <col min="13605" max="13606" width="9.140625" style="190"/>
    <col min="13607" max="13607" width="21.140625" style="190" customWidth="1"/>
    <col min="13608" max="13608" width="9.140625" style="190"/>
    <col min="13609" max="13609" width="10.28515625" style="190" customWidth="1"/>
    <col min="13610" max="13610" width="22.85546875" style="190" customWidth="1"/>
    <col min="13611" max="13824" width="9.140625" style="190"/>
    <col min="13825" max="13825" width="34.5703125" style="190" customWidth="1"/>
    <col min="13826" max="13826" width="11.5703125" style="190" customWidth="1"/>
    <col min="13827" max="13827" width="9.5703125" style="190" customWidth="1"/>
    <col min="13828" max="13828" width="25.85546875" style="190" customWidth="1"/>
    <col min="13829" max="13829" width="11.5703125" style="190" customWidth="1"/>
    <col min="13830" max="13830" width="9.140625" style="190"/>
    <col min="13831" max="13831" width="25.85546875" style="190" customWidth="1"/>
    <col min="13832" max="13832" width="9.42578125" style="190" customWidth="1"/>
    <col min="13833" max="13833" width="9" style="190" customWidth="1"/>
    <col min="13834" max="13834" width="34.42578125" style="190" customWidth="1"/>
    <col min="13835" max="13835" width="9.85546875" style="190" bestFit="1" customWidth="1"/>
    <col min="13836" max="13836" width="10.7109375" style="190" customWidth="1"/>
    <col min="13837" max="13837" width="22.28515625" style="190" customWidth="1"/>
    <col min="13838" max="13838" width="12.42578125" style="190" customWidth="1"/>
    <col min="13839" max="13839" width="9.5703125" style="190" customWidth="1"/>
    <col min="13840" max="13840" width="23.7109375" style="190" customWidth="1"/>
    <col min="13841" max="13841" width="9.85546875" style="190" customWidth="1"/>
    <col min="13842" max="13844" width="11.7109375" style="190" customWidth="1"/>
    <col min="13845" max="13845" width="21.85546875" style="190" customWidth="1"/>
    <col min="13846" max="13846" width="11.28515625" style="190" customWidth="1"/>
    <col min="13847" max="13847" width="11.85546875" style="190" customWidth="1"/>
    <col min="13848" max="13848" width="21.85546875" style="190" customWidth="1"/>
    <col min="13849" max="13849" width="10.42578125" style="190" customWidth="1"/>
    <col min="13850" max="13850" width="10.140625" style="190" customWidth="1"/>
    <col min="13851" max="13851" width="20" style="190" customWidth="1"/>
    <col min="13852" max="13852" width="9.140625" style="190"/>
    <col min="13853" max="13853" width="11.7109375" style="190" customWidth="1"/>
    <col min="13854" max="13854" width="23.7109375" style="190" customWidth="1"/>
    <col min="13855" max="13856" width="9.140625" style="190"/>
    <col min="13857" max="13857" width="22.85546875" style="190" customWidth="1"/>
    <col min="13858" max="13859" width="9.140625" style="190"/>
    <col min="13860" max="13860" width="18" style="190" customWidth="1"/>
    <col min="13861" max="13862" width="9.140625" style="190"/>
    <col min="13863" max="13863" width="21.140625" style="190" customWidth="1"/>
    <col min="13864" max="13864" width="9.140625" style="190"/>
    <col min="13865" max="13865" width="10.28515625" style="190" customWidth="1"/>
    <col min="13866" max="13866" width="22.85546875" style="190" customWidth="1"/>
    <col min="13867" max="14080" width="9.140625" style="190"/>
    <col min="14081" max="14081" width="34.5703125" style="190" customWidth="1"/>
    <col min="14082" max="14082" width="11.5703125" style="190" customWidth="1"/>
    <col min="14083" max="14083" width="9.5703125" style="190" customWidth="1"/>
    <col min="14084" max="14084" width="25.85546875" style="190" customWidth="1"/>
    <col min="14085" max="14085" width="11.5703125" style="190" customWidth="1"/>
    <col min="14086" max="14086" width="9.140625" style="190"/>
    <col min="14087" max="14087" width="25.85546875" style="190" customWidth="1"/>
    <col min="14088" max="14088" width="9.42578125" style="190" customWidth="1"/>
    <col min="14089" max="14089" width="9" style="190" customWidth="1"/>
    <col min="14090" max="14090" width="34.42578125" style="190" customWidth="1"/>
    <col min="14091" max="14091" width="9.85546875" style="190" bestFit="1" customWidth="1"/>
    <col min="14092" max="14092" width="10.7109375" style="190" customWidth="1"/>
    <col min="14093" max="14093" width="22.28515625" style="190" customWidth="1"/>
    <col min="14094" max="14094" width="12.42578125" style="190" customWidth="1"/>
    <col min="14095" max="14095" width="9.5703125" style="190" customWidth="1"/>
    <col min="14096" max="14096" width="23.7109375" style="190" customWidth="1"/>
    <col min="14097" max="14097" width="9.85546875" style="190" customWidth="1"/>
    <col min="14098" max="14100" width="11.7109375" style="190" customWidth="1"/>
    <col min="14101" max="14101" width="21.85546875" style="190" customWidth="1"/>
    <col min="14102" max="14102" width="11.28515625" style="190" customWidth="1"/>
    <col min="14103" max="14103" width="11.85546875" style="190" customWidth="1"/>
    <col min="14104" max="14104" width="21.85546875" style="190" customWidth="1"/>
    <col min="14105" max="14105" width="10.42578125" style="190" customWidth="1"/>
    <col min="14106" max="14106" width="10.140625" style="190" customWidth="1"/>
    <col min="14107" max="14107" width="20" style="190" customWidth="1"/>
    <col min="14108" max="14108" width="9.140625" style="190"/>
    <col min="14109" max="14109" width="11.7109375" style="190" customWidth="1"/>
    <col min="14110" max="14110" width="23.7109375" style="190" customWidth="1"/>
    <col min="14111" max="14112" width="9.140625" style="190"/>
    <col min="14113" max="14113" width="22.85546875" style="190" customWidth="1"/>
    <col min="14114" max="14115" width="9.140625" style="190"/>
    <col min="14116" max="14116" width="18" style="190" customWidth="1"/>
    <col min="14117" max="14118" width="9.140625" style="190"/>
    <col min="14119" max="14119" width="21.140625" style="190" customWidth="1"/>
    <col min="14120" max="14120" width="9.140625" style="190"/>
    <col min="14121" max="14121" width="10.28515625" style="190" customWidth="1"/>
    <col min="14122" max="14122" width="22.85546875" style="190" customWidth="1"/>
    <col min="14123" max="14336" width="9.140625" style="190"/>
    <col min="14337" max="14337" width="34.5703125" style="190" customWidth="1"/>
    <col min="14338" max="14338" width="11.5703125" style="190" customWidth="1"/>
    <col min="14339" max="14339" width="9.5703125" style="190" customWidth="1"/>
    <col min="14340" max="14340" width="25.85546875" style="190" customWidth="1"/>
    <col min="14341" max="14341" width="11.5703125" style="190" customWidth="1"/>
    <col min="14342" max="14342" width="9.140625" style="190"/>
    <col min="14343" max="14343" width="25.85546875" style="190" customWidth="1"/>
    <col min="14344" max="14344" width="9.42578125" style="190" customWidth="1"/>
    <col min="14345" max="14345" width="9" style="190" customWidth="1"/>
    <col min="14346" max="14346" width="34.42578125" style="190" customWidth="1"/>
    <col min="14347" max="14347" width="9.85546875" style="190" bestFit="1" customWidth="1"/>
    <col min="14348" max="14348" width="10.7109375" style="190" customWidth="1"/>
    <col min="14349" max="14349" width="22.28515625" style="190" customWidth="1"/>
    <col min="14350" max="14350" width="12.42578125" style="190" customWidth="1"/>
    <col min="14351" max="14351" width="9.5703125" style="190" customWidth="1"/>
    <col min="14352" max="14352" width="23.7109375" style="190" customWidth="1"/>
    <col min="14353" max="14353" width="9.85546875" style="190" customWidth="1"/>
    <col min="14354" max="14356" width="11.7109375" style="190" customWidth="1"/>
    <col min="14357" max="14357" width="21.85546875" style="190" customWidth="1"/>
    <col min="14358" max="14358" width="11.28515625" style="190" customWidth="1"/>
    <col min="14359" max="14359" width="11.85546875" style="190" customWidth="1"/>
    <col min="14360" max="14360" width="21.85546875" style="190" customWidth="1"/>
    <col min="14361" max="14361" width="10.42578125" style="190" customWidth="1"/>
    <col min="14362" max="14362" width="10.140625" style="190" customWidth="1"/>
    <col min="14363" max="14363" width="20" style="190" customWidth="1"/>
    <col min="14364" max="14364" width="9.140625" style="190"/>
    <col min="14365" max="14365" width="11.7109375" style="190" customWidth="1"/>
    <col min="14366" max="14366" width="23.7109375" style="190" customWidth="1"/>
    <col min="14367" max="14368" width="9.140625" style="190"/>
    <col min="14369" max="14369" width="22.85546875" style="190" customWidth="1"/>
    <col min="14370" max="14371" width="9.140625" style="190"/>
    <col min="14372" max="14372" width="18" style="190" customWidth="1"/>
    <col min="14373" max="14374" width="9.140625" style="190"/>
    <col min="14375" max="14375" width="21.140625" style="190" customWidth="1"/>
    <col min="14376" max="14376" width="9.140625" style="190"/>
    <col min="14377" max="14377" width="10.28515625" style="190" customWidth="1"/>
    <col min="14378" max="14378" width="22.85546875" style="190" customWidth="1"/>
    <col min="14379" max="14592" width="9.140625" style="190"/>
    <col min="14593" max="14593" width="34.5703125" style="190" customWidth="1"/>
    <col min="14594" max="14594" width="11.5703125" style="190" customWidth="1"/>
    <col min="14595" max="14595" width="9.5703125" style="190" customWidth="1"/>
    <col min="14596" max="14596" width="25.85546875" style="190" customWidth="1"/>
    <col min="14597" max="14597" width="11.5703125" style="190" customWidth="1"/>
    <col min="14598" max="14598" width="9.140625" style="190"/>
    <col min="14599" max="14599" width="25.85546875" style="190" customWidth="1"/>
    <col min="14600" max="14600" width="9.42578125" style="190" customWidth="1"/>
    <col min="14601" max="14601" width="9" style="190" customWidth="1"/>
    <col min="14602" max="14602" width="34.42578125" style="190" customWidth="1"/>
    <col min="14603" max="14603" width="9.85546875" style="190" bestFit="1" customWidth="1"/>
    <col min="14604" max="14604" width="10.7109375" style="190" customWidth="1"/>
    <col min="14605" max="14605" width="22.28515625" style="190" customWidth="1"/>
    <col min="14606" max="14606" width="12.42578125" style="190" customWidth="1"/>
    <col min="14607" max="14607" width="9.5703125" style="190" customWidth="1"/>
    <col min="14608" max="14608" width="23.7109375" style="190" customWidth="1"/>
    <col min="14609" max="14609" width="9.85546875" style="190" customWidth="1"/>
    <col min="14610" max="14612" width="11.7109375" style="190" customWidth="1"/>
    <col min="14613" max="14613" width="21.85546875" style="190" customWidth="1"/>
    <col min="14614" max="14614" width="11.28515625" style="190" customWidth="1"/>
    <col min="14615" max="14615" width="11.85546875" style="190" customWidth="1"/>
    <col min="14616" max="14616" width="21.85546875" style="190" customWidth="1"/>
    <col min="14617" max="14617" width="10.42578125" style="190" customWidth="1"/>
    <col min="14618" max="14618" width="10.140625" style="190" customWidth="1"/>
    <col min="14619" max="14619" width="20" style="190" customWidth="1"/>
    <col min="14620" max="14620" width="9.140625" style="190"/>
    <col min="14621" max="14621" width="11.7109375" style="190" customWidth="1"/>
    <col min="14622" max="14622" width="23.7109375" style="190" customWidth="1"/>
    <col min="14623" max="14624" width="9.140625" style="190"/>
    <col min="14625" max="14625" width="22.85546875" style="190" customWidth="1"/>
    <col min="14626" max="14627" width="9.140625" style="190"/>
    <col min="14628" max="14628" width="18" style="190" customWidth="1"/>
    <col min="14629" max="14630" width="9.140625" style="190"/>
    <col min="14631" max="14631" width="21.140625" style="190" customWidth="1"/>
    <col min="14632" max="14632" width="9.140625" style="190"/>
    <col min="14633" max="14633" width="10.28515625" style="190" customWidth="1"/>
    <col min="14634" max="14634" width="22.85546875" style="190" customWidth="1"/>
    <col min="14635" max="14848" width="9.140625" style="190"/>
    <col min="14849" max="14849" width="34.5703125" style="190" customWidth="1"/>
    <col min="14850" max="14850" width="11.5703125" style="190" customWidth="1"/>
    <col min="14851" max="14851" width="9.5703125" style="190" customWidth="1"/>
    <col min="14852" max="14852" width="25.85546875" style="190" customWidth="1"/>
    <col min="14853" max="14853" width="11.5703125" style="190" customWidth="1"/>
    <col min="14854" max="14854" width="9.140625" style="190"/>
    <col min="14855" max="14855" width="25.85546875" style="190" customWidth="1"/>
    <col min="14856" max="14856" width="9.42578125" style="190" customWidth="1"/>
    <col min="14857" max="14857" width="9" style="190" customWidth="1"/>
    <col min="14858" max="14858" width="34.42578125" style="190" customWidth="1"/>
    <col min="14859" max="14859" width="9.85546875" style="190" bestFit="1" customWidth="1"/>
    <col min="14860" max="14860" width="10.7109375" style="190" customWidth="1"/>
    <col min="14861" max="14861" width="22.28515625" style="190" customWidth="1"/>
    <col min="14862" max="14862" width="12.42578125" style="190" customWidth="1"/>
    <col min="14863" max="14863" width="9.5703125" style="190" customWidth="1"/>
    <col min="14864" max="14864" width="23.7109375" style="190" customWidth="1"/>
    <col min="14865" max="14865" width="9.85546875" style="190" customWidth="1"/>
    <col min="14866" max="14868" width="11.7109375" style="190" customWidth="1"/>
    <col min="14869" max="14869" width="21.85546875" style="190" customWidth="1"/>
    <col min="14870" max="14870" width="11.28515625" style="190" customWidth="1"/>
    <col min="14871" max="14871" width="11.85546875" style="190" customWidth="1"/>
    <col min="14872" max="14872" width="21.85546875" style="190" customWidth="1"/>
    <col min="14873" max="14873" width="10.42578125" style="190" customWidth="1"/>
    <col min="14874" max="14874" width="10.140625" style="190" customWidth="1"/>
    <col min="14875" max="14875" width="20" style="190" customWidth="1"/>
    <col min="14876" max="14876" width="9.140625" style="190"/>
    <col min="14877" max="14877" width="11.7109375" style="190" customWidth="1"/>
    <col min="14878" max="14878" width="23.7109375" style="190" customWidth="1"/>
    <col min="14879" max="14880" width="9.140625" style="190"/>
    <col min="14881" max="14881" width="22.85546875" style="190" customWidth="1"/>
    <col min="14882" max="14883" width="9.140625" style="190"/>
    <col min="14884" max="14884" width="18" style="190" customWidth="1"/>
    <col min="14885" max="14886" width="9.140625" style="190"/>
    <col min="14887" max="14887" width="21.140625" style="190" customWidth="1"/>
    <col min="14888" max="14888" width="9.140625" style="190"/>
    <col min="14889" max="14889" width="10.28515625" style="190" customWidth="1"/>
    <col min="14890" max="14890" width="22.85546875" style="190" customWidth="1"/>
    <col min="14891" max="15104" width="9.140625" style="190"/>
    <col min="15105" max="15105" width="34.5703125" style="190" customWidth="1"/>
    <col min="15106" max="15106" width="11.5703125" style="190" customWidth="1"/>
    <col min="15107" max="15107" width="9.5703125" style="190" customWidth="1"/>
    <col min="15108" max="15108" width="25.85546875" style="190" customWidth="1"/>
    <col min="15109" max="15109" width="11.5703125" style="190" customWidth="1"/>
    <col min="15110" max="15110" width="9.140625" style="190"/>
    <col min="15111" max="15111" width="25.85546875" style="190" customWidth="1"/>
    <col min="15112" max="15112" width="9.42578125" style="190" customWidth="1"/>
    <col min="15113" max="15113" width="9" style="190" customWidth="1"/>
    <col min="15114" max="15114" width="34.42578125" style="190" customWidth="1"/>
    <col min="15115" max="15115" width="9.85546875" style="190" bestFit="1" customWidth="1"/>
    <col min="15116" max="15116" width="10.7109375" style="190" customWidth="1"/>
    <col min="15117" max="15117" width="22.28515625" style="190" customWidth="1"/>
    <col min="15118" max="15118" width="12.42578125" style="190" customWidth="1"/>
    <col min="15119" max="15119" width="9.5703125" style="190" customWidth="1"/>
    <col min="15120" max="15120" width="23.7109375" style="190" customWidth="1"/>
    <col min="15121" max="15121" width="9.85546875" style="190" customWidth="1"/>
    <col min="15122" max="15124" width="11.7109375" style="190" customWidth="1"/>
    <col min="15125" max="15125" width="21.85546875" style="190" customWidth="1"/>
    <col min="15126" max="15126" width="11.28515625" style="190" customWidth="1"/>
    <col min="15127" max="15127" width="11.85546875" style="190" customWidth="1"/>
    <col min="15128" max="15128" width="21.85546875" style="190" customWidth="1"/>
    <col min="15129" max="15129" width="10.42578125" style="190" customWidth="1"/>
    <col min="15130" max="15130" width="10.140625" style="190" customWidth="1"/>
    <col min="15131" max="15131" width="20" style="190" customWidth="1"/>
    <col min="15132" max="15132" width="9.140625" style="190"/>
    <col min="15133" max="15133" width="11.7109375" style="190" customWidth="1"/>
    <col min="15134" max="15134" width="23.7109375" style="190" customWidth="1"/>
    <col min="15135" max="15136" width="9.140625" style="190"/>
    <col min="15137" max="15137" width="22.85546875" style="190" customWidth="1"/>
    <col min="15138" max="15139" width="9.140625" style="190"/>
    <col min="15140" max="15140" width="18" style="190" customWidth="1"/>
    <col min="15141" max="15142" width="9.140625" style="190"/>
    <col min="15143" max="15143" width="21.140625" style="190" customWidth="1"/>
    <col min="15144" max="15144" width="9.140625" style="190"/>
    <col min="15145" max="15145" width="10.28515625" style="190" customWidth="1"/>
    <col min="15146" max="15146" width="22.85546875" style="190" customWidth="1"/>
    <col min="15147" max="15360" width="9.140625" style="190"/>
    <col min="15361" max="15361" width="34.5703125" style="190" customWidth="1"/>
    <col min="15362" max="15362" width="11.5703125" style="190" customWidth="1"/>
    <col min="15363" max="15363" width="9.5703125" style="190" customWidth="1"/>
    <col min="15364" max="15364" width="25.85546875" style="190" customWidth="1"/>
    <col min="15365" max="15365" width="11.5703125" style="190" customWidth="1"/>
    <col min="15366" max="15366" width="9.140625" style="190"/>
    <col min="15367" max="15367" width="25.85546875" style="190" customWidth="1"/>
    <col min="15368" max="15368" width="9.42578125" style="190" customWidth="1"/>
    <col min="15369" max="15369" width="9" style="190" customWidth="1"/>
    <col min="15370" max="15370" width="34.42578125" style="190" customWidth="1"/>
    <col min="15371" max="15371" width="9.85546875" style="190" bestFit="1" customWidth="1"/>
    <col min="15372" max="15372" width="10.7109375" style="190" customWidth="1"/>
    <col min="15373" max="15373" width="22.28515625" style="190" customWidth="1"/>
    <col min="15374" max="15374" width="12.42578125" style="190" customWidth="1"/>
    <col min="15375" max="15375" width="9.5703125" style="190" customWidth="1"/>
    <col min="15376" max="15376" width="23.7109375" style="190" customWidth="1"/>
    <col min="15377" max="15377" width="9.85546875" style="190" customWidth="1"/>
    <col min="15378" max="15380" width="11.7109375" style="190" customWidth="1"/>
    <col min="15381" max="15381" width="21.85546875" style="190" customWidth="1"/>
    <col min="15382" max="15382" width="11.28515625" style="190" customWidth="1"/>
    <col min="15383" max="15383" width="11.85546875" style="190" customWidth="1"/>
    <col min="15384" max="15384" width="21.85546875" style="190" customWidth="1"/>
    <col min="15385" max="15385" width="10.42578125" style="190" customWidth="1"/>
    <col min="15386" max="15386" width="10.140625" style="190" customWidth="1"/>
    <col min="15387" max="15387" width="20" style="190" customWidth="1"/>
    <col min="15388" max="15388" width="9.140625" style="190"/>
    <col min="15389" max="15389" width="11.7109375" style="190" customWidth="1"/>
    <col min="15390" max="15390" width="23.7109375" style="190" customWidth="1"/>
    <col min="15391" max="15392" width="9.140625" style="190"/>
    <col min="15393" max="15393" width="22.85546875" style="190" customWidth="1"/>
    <col min="15394" max="15395" width="9.140625" style="190"/>
    <col min="15396" max="15396" width="18" style="190" customWidth="1"/>
    <col min="15397" max="15398" width="9.140625" style="190"/>
    <col min="15399" max="15399" width="21.140625" style="190" customWidth="1"/>
    <col min="15400" max="15400" width="9.140625" style="190"/>
    <col min="15401" max="15401" width="10.28515625" style="190" customWidth="1"/>
    <col min="15402" max="15402" width="22.85546875" style="190" customWidth="1"/>
    <col min="15403" max="15616" width="9.140625" style="190"/>
    <col min="15617" max="15617" width="34.5703125" style="190" customWidth="1"/>
    <col min="15618" max="15618" width="11.5703125" style="190" customWidth="1"/>
    <col min="15619" max="15619" width="9.5703125" style="190" customWidth="1"/>
    <col min="15620" max="15620" width="25.85546875" style="190" customWidth="1"/>
    <col min="15621" max="15621" width="11.5703125" style="190" customWidth="1"/>
    <col min="15622" max="15622" width="9.140625" style="190"/>
    <col min="15623" max="15623" width="25.85546875" style="190" customWidth="1"/>
    <col min="15624" max="15624" width="9.42578125" style="190" customWidth="1"/>
    <col min="15625" max="15625" width="9" style="190" customWidth="1"/>
    <col min="15626" max="15626" width="34.42578125" style="190" customWidth="1"/>
    <col min="15627" max="15627" width="9.85546875" style="190" bestFit="1" customWidth="1"/>
    <col min="15628" max="15628" width="10.7109375" style="190" customWidth="1"/>
    <col min="15629" max="15629" width="22.28515625" style="190" customWidth="1"/>
    <col min="15630" max="15630" width="12.42578125" style="190" customWidth="1"/>
    <col min="15631" max="15631" width="9.5703125" style="190" customWidth="1"/>
    <col min="15632" max="15632" width="23.7109375" style="190" customWidth="1"/>
    <col min="15633" max="15633" width="9.85546875" style="190" customWidth="1"/>
    <col min="15634" max="15636" width="11.7109375" style="190" customWidth="1"/>
    <col min="15637" max="15637" width="21.85546875" style="190" customWidth="1"/>
    <col min="15638" max="15638" width="11.28515625" style="190" customWidth="1"/>
    <col min="15639" max="15639" width="11.85546875" style="190" customWidth="1"/>
    <col min="15640" max="15640" width="21.85546875" style="190" customWidth="1"/>
    <col min="15641" max="15641" width="10.42578125" style="190" customWidth="1"/>
    <col min="15642" max="15642" width="10.140625" style="190" customWidth="1"/>
    <col min="15643" max="15643" width="20" style="190" customWidth="1"/>
    <col min="15644" max="15644" width="9.140625" style="190"/>
    <col min="15645" max="15645" width="11.7109375" style="190" customWidth="1"/>
    <col min="15646" max="15646" width="23.7109375" style="190" customWidth="1"/>
    <col min="15647" max="15648" width="9.140625" style="190"/>
    <col min="15649" max="15649" width="22.85546875" style="190" customWidth="1"/>
    <col min="15650" max="15651" width="9.140625" style="190"/>
    <col min="15652" max="15652" width="18" style="190" customWidth="1"/>
    <col min="15653" max="15654" width="9.140625" style="190"/>
    <col min="15655" max="15655" width="21.140625" style="190" customWidth="1"/>
    <col min="15656" max="15656" width="9.140625" style="190"/>
    <col min="15657" max="15657" width="10.28515625" style="190" customWidth="1"/>
    <col min="15658" max="15658" width="22.85546875" style="190" customWidth="1"/>
    <col min="15659" max="15872" width="9.140625" style="190"/>
    <col min="15873" max="15873" width="34.5703125" style="190" customWidth="1"/>
    <col min="15874" max="15874" width="11.5703125" style="190" customWidth="1"/>
    <col min="15875" max="15875" width="9.5703125" style="190" customWidth="1"/>
    <col min="15876" max="15876" width="25.85546875" style="190" customWidth="1"/>
    <col min="15877" max="15877" width="11.5703125" style="190" customWidth="1"/>
    <col min="15878" max="15878" width="9.140625" style="190"/>
    <col min="15879" max="15879" width="25.85546875" style="190" customWidth="1"/>
    <col min="15880" max="15880" width="9.42578125" style="190" customWidth="1"/>
    <col min="15881" max="15881" width="9" style="190" customWidth="1"/>
    <col min="15882" max="15882" width="34.42578125" style="190" customWidth="1"/>
    <col min="15883" max="15883" width="9.85546875" style="190" bestFit="1" customWidth="1"/>
    <col min="15884" max="15884" width="10.7109375" style="190" customWidth="1"/>
    <col min="15885" max="15885" width="22.28515625" style="190" customWidth="1"/>
    <col min="15886" max="15886" width="12.42578125" style="190" customWidth="1"/>
    <col min="15887" max="15887" width="9.5703125" style="190" customWidth="1"/>
    <col min="15888" max="15888" width="23.7109375" style="190" customWidth="1"/>
    <col min="15889" max="15889" width="9.85546875" style="190" customWidth="1"/>
    <col min="15890" max="15892" width="11.7109375" style="190" customWidth="1"/>
    <col min="15893" max="15893" width="21.85546875" style="190" customWidth="1"/>
    <col min="15894" max="15894" width="11.28515625" style="190" customWidth="1"/>
    <col min="15895" max="15895" width="11.85546875" style="190" customWidth="1"/>
    <col min="15896" max="15896" width="21.85546875" style="190" customWidth="1"/>
    <col min="15897" max="15897" width="10.42578125" style="190" customWidth="1"/>
    <col min="15898" max="15898" width="10.140625" style="190" customWidth="1"/>
    <col min="15899" max="15899" width="20" style="190" customWidth="1"/>
    <col min="15900" max="15900" width="9.140625" style="190"/>
    <col min="15901" max="15901" width="11.7109375" style="190" customWidth="1"/>
    <col min="15902" max="15902" width="23.7109375" style="190" customWidth="1"/>
    <col min="15903" max="15904" width="9.140625" style="190"/>
    <col min="15905" max="15905" width="22.85546875" style="190" customWidth="1"/>
    <col min="15906" max="15907" width="9.140625" style="190"/>
    <col min="15908" max="15908" width="18" style="190" customWidth="1"/>
    <col min="15909" max="15910" width="9.140625" style="190"/>
    <col min="15911" max="15911" width="21.140625" style="190" customWidth="1"/>
    <col min="15912" max="15912" width="9.140625" style="190"/>
    <col min="15913" max="15913" width="10.28515625" style="190" customWidth="1"/>
    <col min="15914" max="15914" width="22.85546875" style="190" customWidth="1"/>
    <col min="15915" max="16128" width="9.140625" style="190"/>
    <col min="16129" max="16129" width="34.5703125" style="190" customWidth="1"/>
    <col min="16130" max="16130" width="11.5703125" style="190" customWidth="1"/>
    <col min="16131" max="16131" width="9.5703125" style="190" customWidth="1"/>
    <col min="16132" max="16132" width="25.85546875" style="190" customWidth="1"/>
    <col min="16133" max="16133" width="11.5703125" style="190" customWidth="1"/>
    <col min="16134" max="16134" width="9.140625" style="190"/>
    <col min="16135" max="16135" width="25.85546875" style="190" customWidth="1"/>
    <col min="16136" max="16136" width="9.42578125" style="190" customWidth="1"/>
    <col min="16137" max="16137" width="9" style="190" customWidth="1"/>
    <col min="16138" max="16138" width="34.42578125" style="190" customWidth="1"/>
    <col min="16139" max="16139" width="9.85546875" style="190" bestFit="1" customWidth="1"/>
    <col min="16140" max="16140" width="10.7109375" style="190" customWidth="1"/>
    <col min="16141" max="16141" width="22.28515625" style="190" customWidth="1"/>
    <col min="16142" max="16142" width="12.42578125" style="190" customWidth="1"/>
    <col min="16143" max="16143" width="9.5703125" style="190" customWidth="1"/>
    <col min="16144" max="16144" width="23.7109375" style="190" customWidth="1"/>
    <col min="16145" max="16145" width="9.85546875" style="190" customWidth="1"/>
    <col min="16146" max="16148" width="11.7109375" style="190" customWidth="1"/>
    <col min="16149" max="16149" width="21.85546875" style="190" customWidth="1"/>
    <col min="16150" max="16150" width="11.28515625" style="190" customWidth="1"/>
    <col min="16151" max="16151" width="11.85546875" style="190" customWidth="1"/>
    <col min="16152" max="16152" width="21.85546875" style="190" customWidth="1"/>
    <col min="16153" max="16153" width="10.42578125" style="190" customWidth="1"/>
    <col min="16154" max="16154" width="10.140625" style="190" customWidth="1"/>
    <col min="16155" max="16155" width="20" style="190" customWidth="1"/>
    <col min="16156" max="16156" width="9.140625" style="190"/>
    <col min="16157" max="16157" width="11.7109375" style="190" customWidth="1"/>
    <col min="16158" max="16158" width="23.7109375" style="190" customWidth="1"/>
    <col min="16159" max="16160" width="9.140625" style="190"/>
    <col min="16161" max="16161" width="22.85546875" style="190" customWidth="1"/>
    <col min="16162" max="16163" width="9.140625" style="190"/>
    <col min="16164" max="16164" width="18" style="190" customWidth="1"/>
    <col min="16165" max="16166" width="9.140625" style="190"/>
    <col min="16167" max="16167" width="21.140625" style="190" customWidth="1"/>
    <col min="16168" max="16168" width="9.140625" style="190"/>
    <col min="16169" max="16169" width="10.28515625" style="190" customWidth="1"/>
    <col min="16170" max="16170" width="22.85546875" style="190" customWidth="1"/>
    <col min="16171" max="16384" width="9.140625" style="190"/>
  </cols>
  <sheetData>
    <row r="1" spans="1:42">
      <c r="A1" s="444" t="s">
        <v>774</v>
      </c>
      <c r="B1" s="760" t="s">
        <v>775</v>
      </c>
      <c r="C1" s="760"/>
      <c r="D1" s="760"/>
      <c r="E1" s="760" t="s">
        <v>775</v>
      </c>
      <c r="F1" s="760"/>
      <c r="G1" s="760"/>
      <c r="H1" s="760" t="s">
        <v>776</v>
      </c>
      <c r="I1" s="760"/>
      <c r="J1" s="760"/>
      <c r="K1" s="760" t="s">
        <v>776</v>
      </c>
      <c r="L1" s="760"/>
      <c r="M1" s="760"/>
      <c r="N1" s="760" t="s">
        <v>777</v>
      </c>
      <c r="O1" s="760"/>
      <c r="P1" s="760"/>
      <c r="Q1" s="760" t="s">
        <v>778</v>
      </c>
      <c r="R1" s="760"/>
      <c r="S1" s="760"/>
      <c r="T1" s="760"/>
      <c r="U1" s="760"/>
      <c r="V1" s="759" t="s">
        <v>779</v>
      </c>
      <c r="W1" s="759"/>
      <c r="X1" s="759"/>
      <c r="Y1" s="759" t="s">
        <v>780</v>
      </c>
      <c r="Z1" s="759"/>
      <c r="AA1" s="759"/>
      <c r="AB1" s="759" t="s">
        <v>781</v>
      </c>
      <c r="AC1" s="759"/>
      <c r="AD1" s="759"/>
      <c r="AE1" s="759" t="s">
        <v>782</v>
      </c>
      <c r="AF1" s="759"/>
      <c r="AG1" s="759"/>
      <c r="AH1" s="760" t="s">
        <v>329</v>
      </c>
      <c r="AI1" s="760"/>
      <c r="AJ1" s="760"/>
      <c r="AK1" s="761" t="s">
        <v>783</v>
      </c>
      <c r="AL1" s="761"/>
      <c r="AM1" s="761"/>
      <c r="AN1" s="761" t="s">
        <v>784</v>
      </c>
      <c r="AO1" s="761"/>
      <c r="AP1" s="761"/>
    </row>
    <row r="2" spans="1:42">
      <c r="A2" s="444"/>
      <c r="B2" s="760" t="s">
        <v>785</v>
      </c>
      <c r="C2" s="760"/>
      <c r="D2" s="760"/>
      <c r="E2" s="760" t="s">
        <v>786</v>
      </c>
      <c r="F2" s="760"/>
      <c r="G2" s="760"/>
      <c r="H2" s="760" t="s">
        <v>786</v>
      </c>
      <c r="I2" s="760"/>
      <c r="J2" s="760"/>
      <c r="K2" s="760" t="s">
        <v>787</v>
      </c>
      <c r="L2" s="760"/>
      <c r="M2" s="760"/>
      <c r="N2" s="760"/>
      <c r="O2" s="760"/>
      <c r="P2" s="760"/>
      <c r="Q2" s="445"/>
      <c r="R2" s="445"/>
      <c r="S2" s="445"/>
      <c r="T2" s="445"/>
      <c r="U2" s="445"/>
      <c r="V2" s="759"/>
      <c r="W2" s="759"/>
      <c r="X2" s="759"/>
      <c r="Y2" s="759"/>
      <c r="Z2" s="759"/>
      <c r="AA2" s="759"/>
      <c r="AB2" s="446"/>
      <c r="AC2" s="446"/>
      <c r="AD2" s="446"/>
      <c r="AE2" s="446"/>
      <c r="AF2" s="446"/>
      <c r="AG2" s="446"/>
      <c r="AH2" s="445"/>
      <c r="AI2" s="445"/>
      <c r="AJ2" s="445"/>
      <c r="AK2" s="445"/>
      <c r="AL2" s="445"/>
      <c r="AM2" s="445"/>
      <c r="AN2" s="445"/>
      <c r="AO2" s="445"/>
      <c r="AP2" s="445"/>
    </row>
    <row r="3" spans="1:42" ht="21.75" customHeight="1">
      <c r="A3" s="447" t="s">
        <v>788</v>
      </c>
      <c r="B3" s="448" t="s">
        <v>789</v>
      </c>
      <c r="C3" s="445" t="s">
        <v>790</v>
      </c>
      <c r="D3" s="449" t="s">
        <v>791</v>
      </c>
      <c r="E3" s="448" t="s">
        <v>789</v>
      </c>
      <c r="F3" s="445" t="s">
        <v>790</v>
      </c>
      <c r="G3" s="449" t="s">
        <v>791</v>
      </c>
      <c r="H3" s="448" t="s">
        <v>789</v>
      </c>
      <c r="I3" s="445" t="s">
        <v>790</v>
      </c>
      <c r="J3" s="449" t="s">
        <v>791</v>
      </c>
      <c r="K3" s="450" t="s">
        <v>789</v>
      </c>
      <c r="L3" s="445" t="s">
        <v>790</v>
      </c>
      <c r="M3" s="449" t="s">
        <v>791</v>
      </c>
      <c r="N3" s="448" t="s">
        <v>789</v>
      </c>
      <c r="O3" s="445" t="s">
        <v>790</v>
      </c>
      <c r="P3" s="449" t="s">
        <v>791</v>
      </c>
      <c r="Q3" s="445" t="s">
        <v>789</v>
      </c>
      <c r="R3" s="445" t="s">
        <v>790</v>
      </c>
      <c r="S3" s="448" t="s">
        <v>789</v>
      </c>
      <c r="T3" s="445" t="s">
        <v>790</v>
      </c>
      <c r="U3" s="445" t="s">
        <v>791</v>
      </c>
      <c r="V3" s="448" t="s">
        <v>789</v>
      </c>
      <c r="W3" s="446" t="s">
        <v>790</v>
      </c>
      <c r="X3" s="446" t="s">
        <v>791</v>
      </c>
      <c r="Y3" s="448" t="s">
        <v>789</v>
      </c>
      <c r="Z3" s="446" t="s">
        <v>790</v>
      </c>
      <c r="AA3" s="446" t="s">
        <v>791</v>
      </c>
      <c r="AB3" s="448" t="s">
        <v>789</v>
      </c>
      <c r="AC3" s="446" t="s">
        <v>790</v>
      </c>
      <c r="AD3" s="446" t="s">
        <v>791</v>
      </c>
      <c r="AE3" s="448" t="s">
        <v>789</v>
      </c>
      <c r="AF3" s="446" t="s">
        <v>790</v>
      </c>
      <c r="AG3" s="446" t="s">
        <v>791</v>
      </c>
      <c r="AH3" s="448" t="s">
        <v>789</v>
      </c>
      <c r="AI3" s="445" t="s">
        <v>790</v>
      </c>
      <c r="AJ3" s="445" t="s">
        <v>791</v>
      </c>
      <c r="AK3" s="448" t="s">
        <v>789</v>
      </c>
      <c r="AL3" s="445" t="s">
        <v>790</v>
      </c>
      <c r="AM3" s="445" t="s">
        <v>791</v>
      </c>
      <c r="AN3" s="448" t="s">
        <v>789</v>
      </c>
      <c r="AO3" s="445" t="s">
        <v>790</v>
      </c>
      <c r="AP3" s="445" t="s">
        <v>791</v>
      </c>
    </row>
    <row r="4" spans="1:42">
      <c r="A4" s="447" t="s">
        <v>792</v>
      </c>
      <c r="B4" s="450"/>
      <c r="C4" s="445"/>
      <c r="D4" s="449"/>
      <c r="E4" s="450"/>
      <c r="F4" s="445"/>
      <c r="G4" s="449"/>
      <c r="H4" s="450"/>
      <c r="I4" s="445"/>
      <c r="J4" s="449"/>
      <c r="K4" s="450"/>
      <c r="L4" s="445"/>
      <c r="M4" s="449"/>
      <c r="N4" s="450"/>
      <c r="O4" s="445"/>
      <c r="P4" s="449"/>
      <c r="Q4" s="445"/>
      <c r="R4" s="445"/>
      <c r="S4" s="450"/>
      <c r="T4" s="445"/>
      <c r="U4" s="445"/>
      <c r="V4" s="451">
        <v>6.6299999999999999E-5</v>
      </c>
      <c r="W4" s="194" t="s">
        <v>793</v>
      </c>
      <c r="X4" s="183" t="s">
        <v>794</v>
      </c>
      <c r="Y4" s="452">
        <v>2.5299999999999998E-5</v>
      </c>
      <c r="Z4" s="194" t="s">
        <v>793</v>
      </c>
      <c r="AA4" s="183" t="s">
        <v>795</v>
      </c>
      <c r="AB4" s="450"/>
      <c r="AC4" s="446"/>
      <c r="AD4" s="446"/>
      <c r="AE4" s="450"/>
      <c r="AF4" s="446"/>
      <c r="AG4" s="446"/>
      <c r="AH4" s="450"/>
      <c r="AI4" s="445"/>
      <c r="AJ4" s="445"/>
      <c r="AK4" s="450"/>
      <c r="AL4" s="445"/>
      <c r="AM4" s="445"/>
      <c r="AN4" s="450"/>
      <c r="AO4" s="445"/>
      <c r="AP4" s="445"/>
    </row>
    <row r="5" spans="1:42">
      <c r="A5" s="447" t="s">
        <v>796</v>
      </c>
      <c r="B5" s="450"/>
      <c r="C5" s="445"/>
      <c r="D5" s="449"/>
      <c r="E5" s="450"/>
      <c r="F5" s="445"/>
      <c r="G5" s="449"/>
      <c r="H5" s="450"/>
      <c r="I5" s="445"/>
      <c r="J5" s="449"/>
      <c r="K5" s="450"/>
      <c r="L5" s="445"/>
      <c r="M5" s="449"/>
      <c r="N5" s="450"/>
      <c r="O5" s="445"/>
      <c r="P5" s="449"/>
      <c r="Q5" s="445"/>
      <c r="R5" s="445"/>
      <c r="S5" s="450"/>
      <c r="T5" s="445"/>
      <c r="U5" s="445"/>
      <c r="V5" s="453">
        <v>5.27E-5</v>
      </c>
      <c r="W5" s="194" t="s">
        <v>793</v>
      </c>
      <c r="X5" s="183" t="s">
        <v>794</v>
      </c>
      <c r="Y5" s="452">
        <v>1.5299999999999999E-5</v>
      </c>
      <c r="Z5" s="194" t="s">
        <v>793</v>
      </c>
      <c r="AA5" s="183" t="s">
        <v>795</v>
      </c>
      <c r="AB5" s="450"/>
      <c r="AC5" s="446"/>
      <c r="AD5" s="446"/>
      <c r="AE5" s="450"/>
      <c r="AF5" s="446"/>
      <c r="AG5" s="446"/>
      <c r="AH5" s="450"/>
      <c r="AI5" s="445"/>
      <c r="AJ5" s="445"/>
      <c r="AK5" s="450"/>
      <c r="AL5" s="445"/>
      <c r="AM5" s="445"/>
      <c r="AN5" s="450"/>
      <c r="AO5" s="445"/>
      <c r="AP5" s="445"/>
    </row>
    <row r="6" spans="1:42">
      <c r="A6" s="454" t="s">
        <v>797</v>
      </c>
      <c r="B6" s="453">
        <v>4.3000000000000001E-7</v>
      </c>
      <c r="C6" s="190" t="s">
        <v>793</v>
      </c>
      <c r="D6" s="190" t="s">
        <v>798</v>
      </c>
      <c r="E6" s="453">
        <v>4.2899999999999999E-7</v>
      </c>
      <c r="F6" s="190" t="s">
        <v>793</v>
      </c>
      <c r="G6" s="455" t="s">
        <v>799</v>
      </c>
      <c r="H6" s="456">
        <v>1.6500000000000001E-5</v>
      </c>
      <c r="I6" s="190" t="s">
        <v>793</v>
      </c>
      <c r="J6" s="455" t="s">
        <v>799</v>
      </c>
      <c r="K6" s="453">
        <v>1.5999999999999999E-5</v>
      </c>
      <c r="L6" s="190" t="s">
        <v>793</v>
      </c>
      <c r="M6" s="190" t="s">
        <v>800</v>
      </c>
      <c r="N6" s="453"/>
      <c r="P6" s="457"/>
      <c r="S6" s="453"/>
      <c r="V6" s="453">
        <v>8.1999999999999998E-4</v>
      </c>
      <c r="W6" s="194" t="s">
        <v>793</v>
      </c>
      <c r="X6" s="183" t="s">
        <v>794</v>
      </c>
      <c r="Y6" s="452">
        <v>6.6299999999999996E-4</v>
      </c>
      <c r="Z6" s="194" t="s">
        <v>793</v>
      </c>
      <c r="AA6" s="183" t="s">
        <v>795</v>
      </c>
      <c r="AB6" s="453">
        <v>3.9100000000000002E-5</v>
      </c>
      <c r="AC6" s="260" t="s">
        <v>793</v>
      </c>
      <c r="AD6" s="260" t="s">
        <v>801</v>
      </c>
      <c r="AE6" s="453"/>
      <c r="AH6" s="453"/>
      <c r="AK6" s="453"/>
      <c r="AM6" s="457"/>
      <c r="AN6" s="453"/>
      <c r="AP6" s="457"/>
    </row>
    <row r="7" spans="1:42">
      <c r="A7" s="454" t="s">
        <v>802</v>
      </c>
      <c r="B7" s="453"/>
      <c r="C7" s="190"/>
      <c r="D7" s="190"/>
      <c r="E7" s="453"/>
      <c r="F7" s="190"/>
      <c r="G7" s="455"/>
      <c r="H7" s="456"/>
      <c r="I7" s="190"/>
      <c r="J7" s="455"/>
      <c r="K7" s="453"/>
      <c r="N7" s="453"/>
      <c r="P7" s="457"/>
      <c r="S7" s="453"/>
      <c r="V7" s="453">
        <v>4.3800000000000001E-5</v>
      </c>
      <c r="W7" s="194" t="s">
        <v>793</v>
      </c>
      <c r="X7" s="183" t="s">
        <v>794</v>
      </c>
      <c r="Y7" s="452">
        <v>1.27E-5</v>
      </c>
      <c r="Z7" s="194" t="s">
        <v>793</v>
      </c>
      <c r="AA7" s="183" t="s">
        <v>795</v>
      </c>
      <c r="AB7" s="453"/>
      <c r="AE7" s="453"/>
      <c r="AH7" s="453"/>
      <c r="AK7" s="453"/>
      <c r="AM7" s="457"/>
      <c r="AN7" s="453"/>
      <c r="AP7" s="457"/>
    </row>
    <row r="8" spans="1:42">
      <c r="A8" s="454" t="s">
        <v>803</v>
      </c>
      <c r="B8" s="458"/>
      <c r="C8" s="459"/>
      <c r="D8" s="460"/>
      <c r="E8" s="461"/>
      <c r="F8" s="460"/>
      <c r="G8" s="460"/>
      <c r="H8" s="456">
        <v>2.97E-5</v>
      </c>
      <c r="I8" s="190" t="s">
        <v>793</v>
      </c>
      <c r="J8" s="455" t="s">
        <v>799</v>
      </c>
      <c r="K8" s="453"/>
      <c r="N8" s="453"/>
      <c r="S8" s="453"/>
      <c r="V8" s="462"/>
      <c r="Y8" s="462"/>
      <c r="Z8" s="194"/>
      <c r="AB8" s="453"/>
      <c r="AE8" s="453"/>
      <c r="AH8" s="453"/>
      <c r="AK8" s="453"/>
      <c r="AN8" s="453"/>
    </row>
    <row r="9" spans="1:42">
      <c r="A9" s="454" t="s">
        <v>804</v>
      </c>
      <c r="B9" s="453"/>
      <c r="C9" s="190"/>
      <c r="E9" s="456"/>
      <c r="H9" s="456"/>
      <c r="I9" s="454"/>
      <c r="J9" s="454"/>
      <c r="K9" s="453"/>
      <c r="N9" s="464"/>
      <c r="P9" s="457"/>
      <c r="R9" s="465"/>
      <c r="S9" s="453"/>
      <c r="V9" s="453">
        <v>8.4599999999999996E-4</v>
      </c>
      <c r="W9" s="194" t="s">
        <v>793</v>
      </c>
      <c r="X9" s="183" t="s">
        <v>794</v>
      </c>
      <c r="Y9" s="462"/>
      <c r="Z9" s="194"/>
      <c r="AB9" s="453"/>
      <c r="AE9" s="453"/>
      <c r="AH9" s="453"/>
      <c r="AK9" s="453"/>
      <c r="AN9" s="453"/>
    </row>
    <row r="10" spans="1:42">
      <c r="A10" s="454" t="s">
        <v>805</v>
      </c>
      <c r="B10" s="453">
        <v>4.0000000000000003E-5</v>
      </c>
      <c r="C10" s="190" t="s">
        <v>793</v>
      </c>
      <c r="D10" s="190" t="s">
        <v>798</v>
      </c>
      <c r="E10" s="453">
        <v>4.4499999999999997E-5</v>
      </c>
      <c r="F10" s="190" t="s">
        <v>793</v>
      </c>
      <c r="G10" s="455" t="s">
        <v>799</v>
      </c>
      <c r="H10" s="456">
        <v>3.0300000000000001E-5</v>
      </c>
      <c r="I10" s="190" t="s">
        <v>793</v>
      </c>
      <c r="J10" s="455" t="s">
        <v>799</v>
      </c>
      <c r="K10" s="453"/>
      <c r="N10" s="453"/>
      <c r="P10" s="457"/>
      <c r="S10" s="453"/>
      <c r="V10" s="453">
        <v>7.7600000000000004E-3</v>
      </c>
      <c r="W10" s="194" t="s">
        <v>793</v>
      </c>
      <c r="X10" s="183" t="s">
        <v>794</v>
      </c>
      <c r="Y10" s="452">
        <v>2.7899999999999999E-3</v>
      </c>
      <c r="Z10" s="194" t="s">
        <v>793</v>
      </c>
      <c r="AA10" s="183" t="s">
        <v>795</v>
      </c>
      <c r="AB10" s="453">
        <v>7.67E-4</v>
      </c>
      <c r="AC10" s="260" t="s">
        <v>793</v>
      </c>
      <c r="AD10" s="260" t="s">
        <v>801</v>
      </c>
      <c r="AE10" s="453">
        <v>2.5199999999999999E-5</v>
      </c>
      <c r="AF10" s="260" t="s">
        <v>793</v>
      </c>
      <c r="AG10" s="190" t="s">
        <v>806</v>
      </c>
      <c r="AH10" s="453">
        <f>0.043/$AI$72</f>
        <v>4.2156862745098033E-5</v>
      </c>
      <c r="AI10" s="190" t="s">
        <v>793</v>
      </c>
      <c r="AJ10" s="190" t="s">
        <v>955</v>
      </c>
      <c r="AK10" s="453"/>
      <c r="AN10" s="453"/>
    </row>
    <row r="11" spans="1:42">
      <c r="A11" s="454" t="s">
        <v>807</v>
      </c>
      <c r="B11" s="453">
        <v>6.3999999999999997E-6</v>
      </c>
      <c r="C11" s="190" t="s">
        <v>793</v>
      </c>
      <c r="D11" s="190" t="s">
        <v>798</v>
      </c>
      <c r="E11" s="453">
        <v>8.3100000000000001E-6</v>
      </c>
      <c r="F11" s="190" t="s">
        <v>793</v>
      </c>
      <c r="G11" s="455" t="s">
        <v>799</v>
      </c>
      <c r="H11" s="456"/>
      <c r="I11" s="454"/>
      <c r="J11" s="454"/>
      <c r="K11" s="453"/>
      <c r="N11" s="453"/>
      <c r="S11" s="453"/>
      <c r="V11" s="453">
        <v>7.7799999999999996E-3</v>
      </c>
      <c r="W11" s="194" t="s">
        <v>793</v>
      </c>
      <c r="X11" s="183" t="s">
        <v>794</v>
      </c>
      <c r="Y11" s="452">
        <v>2.63E-3</v>
      </c>
      <c r="Z11" s="194" t="s">
        <v>793</v>
      </c>
      <c r="AA11" s="183" t="s">
        <v>795</v>
      </c>
      <c r="AB11" s="453">
        <v>9.2499999999999999E-5</v>
      </c>
      <c r="AC11" s="260" t="s">
        <v>793</v>
      </c>
      <c r="AD11" s="260" t="s">
        <v>801</v>
      </c>
      <c r="AE11" s="453">
        <v>7.8800000000000008E-6</v>
      </c>
      <c r="AF11" s="260" t="s">
        <v>793</v>
      </c>
      <c r="AG11" s="190" t="s">
        <v>806</v>
      </c>
      <c r="AH11" s="453">
        <f>0.01/$AI$72</f>
        <v>9.8039215686274513E-6</v>
      </c>
      <c r="AI11" s="190" t="s">
        <v>793</v>
      </c>
      <c r="AJ11" s="190" t="s">
        <v>955</v>
      </c>
      <c r="AK11" s="453"/>
      <c r="AN11" s="453"/>
    </row>
    <row r="12" spans="1:42">
      <c r="A12" s="454" t="s">
        <v>808</v>
      </c>
      <c r="B12" s="456"/>
      <c r="E12" s="456"/>
      <c r="H12" s="456"/>
      <c r="K12" s="453"/>
      <c r="N12" s="453"/>
      <c r="S12" s="453"/>
      <c r="V12" s="462"/>
      <c r="Y12" s="462"/>
      <c r="AB12" s="453"/>
      <c r="AE12" s="453"/>
      <c r="AH12" s="453"/>
      <c r="AK12" s="453"/>
      <c r="AN12" s="453">
        <v>4.4999999999999997E-3</v>
      </c>
      <c r="AO12" s="457" t="s">
        <v>809</v>
      </c>
      <c r="AP12" s="457" t="s">
        <v>810</v>
      </c>
    </row>
    <row r="13" spans="1:42">
      <c r="A13" s="454" t="s">
        <v>811</v>
      </c>
      <c r="B13" s="453"/>
      <c r="C13" s="190"/>
      <c r="E13" s="456"/>
      <c r="H13" s="456">
        <v>1.1E-5</v>
      </c>
      <c r="I13" s="190" t="s">
        <v>793</v>
      </c>
      <c r="J13" s="455" t="s">
        <v>799</v>
      </c>
      <c r="K13" s="453">
        <v>1.1E-5</v>
      </c>
      <c r="L13" s="190" t="s">
        <v>793</v>
      </c>
      <c r="M13" s="190" t="s">
        <v>812</v>
      </c>
      <c r="N13" s="453"/>
      <c r="Q13" s="466">
        <v>4</v>
      </c>
      <c r="R13" s="190" t="s">
        <v>813</v>
      </c>
      <c r="S13" s="453">
        <f>Q13*1000000</f>
        <v>4000000</v>
      </c>
      <c r="T13" s="190" t="s">
        <v>793</v>
      </c>
      <c r="U13" s="190" t="s">
        <v>814</v>
      </c>
      <c r="V13" s="462"/>
      <c r="Y13" s="462"/>
      <c r="AB13" s="453"/>
      <c r="AE13" s="453"/>
      <c r="AH13" s="453"/>
      <c r="AK13" s="453">
        <v>6.69E-4</v>
      </c>
      <c r="AL13" s="190" t="s">
        <v>815</v>
      </c>
      <c r="AM13" s="457" t="s">
        <v>816</v>
      </c>
      <c r="AN13" s="453">
        <v>0.06</v>
      </c>
      <c r="AO13" s="457" t="s">
        <v>809</v>
      </c>
      <c r="AP13" s="457" t="s">
        <v>810</v>
      </c>
    </row>
    <row r="14" spans="1:42">
      <c r="A14" s="454" t="s">
        <v>817</v>
      </c>
      <c r="B14" s="453">
        <v>1.2E-5</v>
      </c>
      <c r="C14" s="190" t="s">
        <v>793</v>
      </c>
      <c r="D14" s="190" t="s">
        <v>798</v>
      </c>
      <c r="E14" s="453">
        <v>1.03E-4</v>
      </c>
      <c r="F14" s="190" t="s">
        <v>793</v>
      </c>
      <c r="G14" s="455" t="s">
        <v>799</v>
      </c>
      <c r="H14" s="456">
        <v>5.4799999999999997E-5</v>
      </c>
      <c r="I14" s="190" t="s">
        <v>793</v>
      </c>
      <c r="J14" s="455" t="s">
        <v>799</v>
      </c>
      <c r="K14" s="453">
        <v>5.5000000000000002E-5</v>
      </c>
      <c r="L14" s="190" t="s">
        <v>793</v>
      </c>
      <c r="M14" s="190" t="s">
        <v>800</v>
      </c>
      <c r="N14" s="453">
        <v>2.0588000000000001E-6</v>
      </c>
      <c r="O14" s="190" t="s">
        <v>793</v>
      </c>
      <c r="P14" s="457" t="s">
        <v>818</v>
      </c>
      <c r="Q14" s="467"/>
      <c r="R14" s="468"/>
      <c r="S14" s="469"/>
      <c r="T14" s="468"/>
      <c r="U14" s="468"/>
      <c r="V14" s="453">
        <v>1.9400000000000001E-3</v>
      </c>
      <c r="W14" s="194" t="s">
        <v>793</v>
      </c>
      <c r="X14" s="183" t="s">
        <v>794</v>
      </c>
      <c r="Y14" s="462">
        <v>1.58E-3</v>
      </c>
      <c r="Z14" s="194" t="s">
        <v>793</v>
      </c>
      <c r="AA14" s="183" t="s">
        <v>795</v>
      </c>
      <c r="AB14" s="453">
        <v>9.3300000000000002E-4</v>
      </c>
      <c r="AC14" s="260" t="s">
        <v>793</v>
      </c>
      <c r="AD14" s="260" t="s">
        <v>801</v>
      </c>
      <c r="AE14" s="453">
        <v>7.76E-4</v>
      </c>
      <c r="AF14" s="260" t="s">
        <v>793</v>
      </c>
      <c r="AG14" s="190" t="s">
        <v>806</v>
      </c>
      <c r="AH14" s="453">
        <f>0.159/$AI$72</f>
        <v>1.5588235294117648E-4</v>
      </c>
      <c r="AI14" s="190" t="s">
        <v>793</v>
      </c>
      <c r="AJ14" s="190" t="s">
        <v>955</v>
      </c>
      <c r="AK14" s="453"/>
      <c r="AN14" s="453"/>
    </row>
    <row r="15" spans="1:42">
      <c r="A15" s="454" t="s">
        <v>819</v>
      </c>
      <c r="B15" s="453"/>
      <c r="C15" s="190"/>
      <c r="E15" s="456"/>
      <c r="H15" s="456">
        <v>3.0699999999999998E-7</v>
      </c>
      <c r="I15" s="190" t="s">
        <v>793</v>
      </c>
      <c r="J15" s="455" t="s">
        <v>799</v>
      </c>
      <c r="K15" s="453">
        <v>3.1E-7</v>
      </c>
      <c r="L15" s="190" t="s">
        <v>793</v>
      </c>
      <c r="M15" s="190" t="s">
        <v>812</v>
      </c>
      <c r="N15" s="453"/>
      <c r="Q15" s="466">
        <v>3</v>
      </c>
      <c r="R15" s="190" t="s">
        <v>813</v>
      </c>
      <c r="S15" s="453">
        <f>Q15*1000000</f>
        <v>3000000</v>
      </c>
      <c r="T15" s="190" t="s">
        <v>793</v>
      </c>
      <c r="U15" s="190" t="s">
        <v>814</v>
      </c>
      <c r="V15" s="462"/>
      <c r="Y15" s="462"/>
      <c r="AB15" s="453"/>
      <c r="AE15" s="453"/>
      <c r="AH15" s="453"/>
      <c r="AK15" s="453"/>
      <c r="AN15" s="453">
        <v>1.8E-3</v>
      </c>
      <c r="AO15" s="457" t="s">
        <v>809</v>
      </c>
      <c r="AP15" s="457" t="s">
        <v>810</v>
      </c>
    </row>
    <row r="16" spans="1:42">
      <c r="A16" s="454" t="s">
        <v>820</v>
      </c>
      <c r="B16" s="453"/>
      <c r="C16" s="190"/>
      <c r="E16" s="456"/>
      <c r="H16" s="456"/>
      <c r="I16" s="454"/>
      <c r="J16" s="454"/>
      <c r="K16" s="453"/>
      <c r="N16" s="453"/>
      <c r="P16" s="457"/>
      <c r="S16" s="453"/>
      <c r="V16" s="453">
        <v>3.9500000000000003E-6</v>
      </c>
      <c r="W16" s="194" t="s">
        <v>793</v>
      </c>
      <c r="X16" s="183" t="s">
        <v>794</v>
      </c>
      <c r="Y16" s="462"/>
      <c r="AB16" s="453"/>
      <c r="AE16" s="453"/>
      <c r="AH16" s="453"/>
      <c r="AK16" s="453"/>
      <c r="AN16" s="453"/>
    </row>
    <row r="17" spans="1:42">
      <c r="A17" s="454" t="s">
        <v>821</v>
      </c>
      <c r="B17" s="453"/>
      <c r="C17" s="190"/>
      <c r="E17" s="456"/>
      <c r="H17" s="456">
        <v>3.7500000000000001E-6</v>
      </c>
      <c r="I17" s="190" t="s">
        <v>793</v>
      </c>
      <c r="J17" s="455" t="s">
        <v>799</v>
      </c>
      <c r="K17" s="453">
        <v>4.7999999999999998E-6</v>
      </c>
      <c r="L17" s="190" t="s">
        <v>793</v>
      </c>
      <c r="M17" s="190" t="s">
        <v>812</v>
      </c>
      <c r="N17" s="453"/>
      <c r="Q17" s="466">
        <v>3</v>
      </c>
      <c r="R17" s="190" t="s">
        <v>813</v>
      </c>
      <c r="S17" s="453">
        <f>Q17*1000000</f>
        <v>3000000</v>
      </c>
      <c r="T17" s="190" t="s">
        <v>793</v>
      </c>
      <c r="U17" s="190" t="s">
        <v>814</v>
      </c>
      <c r="V17" s="462"/>
      <c r="Y17" s="462"/>
      <c r="AB17" s="453"/>
      <c r="AE17" s="453"/>
      <c r="AH17" s="453"/>
      <c r="AK17" s="453">
        <v>2.4099999999999998E-3</v>
      </c>
      <c r="AL17" s="190" t="s">
        <v>815</v>
      </c>
      <c r="AM17" s="457" t="s">
        <v>816</v>
      </c>
      <c r="AN17" s="453">
        <v>1.2E-2</v>
      </c>
      <c r="AO17" s="457" t="s">
        <v>809</v>
      </c>
      <c r="AP17" s="457" t="s">
        <v>810</v>
      </c>
    </row>
    <row r="18" spans="1:42">
      <c r="A18" s="454" t="s">
        <v>822</v>
      </c>
      <c r="B18" s="458"/>
      <c r="C18" s="459"/>
      <c r="D18" s="460"/>
      <c r="E18" s="461"/>
      <c r="F18" s="460"/>
      <c r="G18" s="460"/>
      <c r="H18" s="456">
        <v>3.0599999999999998E-5</v>
      </c>
      <c r="I18" s="190" t="s">
        <v>793</v>
      </c>
      <c r="J18" s="455" t="s">
        <v>799</v>
      </c>
      <c r="K18" s="453"/>
      <c r="N18" s="453"/>
      <c r="S18" s="453"/>
      <c r="V18" s="453">
        <v>6.0699999999999998E-5</v>
      </c>
      <c r="W18" s="194" t="s">
        <v>793</v>
      </c>
      <c r="X18" s="183" t="s">
        <v>794</v>
      </c>
      <c r="Y18" s="462">
        <v>1.77E-5</v>
      </c>
      <c r="Z18" s="194" t="s">
        <v>793</v>
      </c>
      <c r="AA18" s="183" t="s">
        <v>795</v>
      </c>
      <c r="AB18" s="453"/>
      <c r="AE18" s="453"/>
      <c r="AH18" s="453"/>
      <c r="AK18" s="453"/>
      <c r="AN18" s="453"/>
    </row>
    <row r="19" spans="1:42">
      <c r="A19" s="454" t="s">
        <v>823</v>
      </c>
      <c r="B19" s="458"/>
      <c r="C19" s="459"/>
      <c r="D19" s="460"/>
      <c r="E19" s="461"/>
      <c r="F19" s="460"/>
      <c r="G19" s="460"/>
      <c r="H19" s="456">
        <v>2.4899999999999999E-5</v>
      </c>
      <c r="I19" s="190" t="s">
        <v>793</v>
      </c>
      <c r="J19" s="455" t="s">
        <v>799</v>
      </c>
      <c r="K19" s="453"/>
      <c r="N19" s="453"/>
      <c r="S19" s="453"/>
      <c r="V19" s="453">
        <v>4.4400000000000002E-5</v>
      </c>
      <c r="W19" s="194" t="s">
        <v>793</v>
      </c>
      <c r="X19" s="183" t="s">
        <v>794</v>
      </c>
      <c r="Y19" s="462">
        <v>1.29E-5</v>
      </c>
      <c r="Z19" s="194" t="s">
        <v>793</v>
      </c>
      <c r="AA19" s="183" t="s">
        <v>795</v>
      </c>
      <c r="AB19" s="453"/>
      <c r="AE19" s="453"/>
      <c r="AH19" s="453"/>
      <c r="AK19" s="453"/>
      <c r="AN19" s="453"/>
    </row>
    <row r="20" spans="1:42">
      <c r="A20" s="454" t="s">
        <v>824</v>
      </c>
      <c r="B20" s="458"/>
      <c r="C20" s="459"/>
      <c r="D20" s="460"/>
      <c r="E20" s="461"/>
      <c r="F20" s="460"/>
      <c r="G20" s="460"/>
      <c r="H20" s="456">
        <v>2.55E-5</v>
      </c>
      <c r="I20" s="190" t="s">
        <v>793</v>
      </c>
      <c r="J20" s="455" t="s">
        <v>799</v>
      </c>
      <c r="K20" s="453"/>
      <c r="N20" s="453"/>
      <c r="S20" s="453"/>
      <c r="V20" s="453">
        <v>4.71E-5</v>
      </c>
      <c r="W20" s="194" t="s">
        <v>793</v>
      </c>
      <c r="X20" s="183" t="s">
        <v>794</v>
      </c>
      <c r="Y20" s="462">
        <v>1.3699999999999999E-5</v>
      </c>
      <c r="Z20" s="194" t="s">
        <v>793</v>
      </c>
      <c r="AA20" s="183" t="s">
        <v>795</v>
      </c>
      <c r="AB20" s="453"/>
      <c r="AE20" s="453"/>
      <c r="AH20" s="453"/>
      <c r="AK20" s="453"/>
      <c r="AN20" s="453"/>
    </row>
    <row r="21" spans="1:42">
      <c r="A21" s="454" t="s">
        <v>825</v>
      </c>
      <c r="B21" s="453"/>
      <c r="C21" s="190"/>
      <c r="E21" s="456"/>
      <c r="H21" s="456">
        <v>8.4300000000000006E-6</v>
      </c>
      <c r="I21" s="190" t="s">
        <v>793</v>
      </c>
      <c r="J21" s="455" t="s">
        <v>799</v>
      </c>
      <c r="K21" s="453">
        <v>1.1E-5</v>
      </c>
      <c r="L21" s="190" t="s">
        <v>793</v>
      </c>
      <c r="M21" s="190" t="s">
        <v>812</v>
      </c>
      <c r="N21" s="453"/>
      <c r="Q21" s="466">
        <v>3</v>
      </c>
      <c r="R21" s="190" t="s">
        <v>813</v>
      </c>
      <c r="S21" s="453">
        <f>Q21*1000000</f>
        <v>3000000</v>
      </c>
      <c r="T21" s="190" t="s">
        <v>793</v>
      </c>
      <c r="U21" s="190" t="s">
        <v>814</v>
      </c>
      <c r="V21" s="462"/>
      <c r="Y21" s="462"/>
      <c r="AB21" s="453"/>
      <c r="AE21" s="453"/>
      <c r="AH21" s="453"/>
      <c r="AK21" s="453">
        <v>3.31E-3</v>
      </c>
      <c r="AL21" s="190" t="s">
        <v>815</v>
      </c>
      <c r="AM21" s="457" t="s">
        <v>816</v>
      </c>
      <c r="AN21" s="453">
        <v>0.18</v>
      </c>
      <c r="AO21" s="457" t="s">
        <v>809</v>
      </c>
      <c r="AP21" s="457" t="s">
        <v>810</v>
      </c>
    </row>
    <row r="22" spans="1:42">
      <c r="A22" s="454" t="s">
        <v>826</v>
      </c>
      <c r="B22" s="453"/>
      <c r="C22" s="190"/>
      <c r="E22" s="456"/>
      <c r="H22" s="456"/>
      <c r="I22" s="454"/>
      <c r="J22" s="454"/>
      <c r="K22" s="453"/>
      <c r="N22" s="453"/>
      <c r="S22" s="453"/>
      <c r="V22" s="462"/>
      <c r="Y22" s="462"/>
      <c r="AB22" s="453"/>
      <c r="AE22" s="453"/>
      <c r="AH22" s="453"/>
      <c r="AK22" s="453"/>
      <c r="AN22" s="453">
        <v>5.1999999999999998E-3</v>
      </c>
      <c r="AO22" s="457" t="s">
        <v>809</v>
      </c>
      <c r="AP22" s="457" t="s">
        <v>810</v>
      </c>
    </row>
    <row r="23" spans="1:42">
      <c r="A23" s="454" t="s">
        <v>827</v>
      </c>
      <c r="B23" s="456"/>
      <c r="E23" s="456"/>
      <c r="H23" s="456"/>
      <c r="K23" s="453"/>
      <c r="N23" s="453"/>
      <c r="R23" s="470"/>
      <c r="S23" s="471"/>
      <c r="T23" s="472"/>
      <c r="V23" s="462"/>
      <c r="Y23" s="462"/>
      <c r="AB23" s="453"/>
      <c r="AE23" s="453"/>
      <c r="AH23" s="453"/>
      <c r="AK23" s="453"/>
      <c r="AN23" s="453">
        <v>3.4E-5</v>
      </c>
      <c r="AO23" s="457" t="s">
        <v>809</v>
      </c>
      <c r="AP23" s="457" t="s">
        <v>828</v>
      </c>
    </row>
    <row r="24" spans="1:42">
      <c r="A24" s="454" t="s">
        <v>829</v>
      </c>
      <c r="B24" s="453">
        <v>3.1999999999999999E-5</v>
      </c>
      <c r="C24" s="190" t="s">
        <v>793</v>
      </c>
      <c r="D24" s="190" t="s">
        <v>798</v>
      </c>
      <c r="E24" s="453">
        <v>2.58E-5</v>
      </c>
      <c r="F24" s="190" t="s">
        <v>793</v>
      </c>
      <c r="G24" s="455" t="s">
        <v>799</v>
      </c>
      <c r="H24" s="456"/>
      <c r="I24" s="454"/>
      <c r="J24" s="454"/>
      <c r="K24" s="453"/>
      <c r="N24" s="464"/>
      <c r="P24" s="457"/>
      <c r="S24" s="453"/>
      <c r="V24" s="453">
        <v>1.08E-4</v>
      </c>
      <c r="W24" s="194" t="s">
        <v>793</v>
      </c>
      <c r="X24" s="183" t="s">
        <v>794</v>
      </c>
      <c r="Y24" s="462">
        <v>2.48E-5</v>
      </c>
      <c r="Z24" s="194" t="s">
        <v>793</v>
      </c>
      <c r="AA24" s="183" t="s">
        <v>795</v>
      </c>
      <c r="AB24" s="453"/>
      <c r="AE24" s="453"/>
      <c r="AH24" s="453">
        <f>1.444/$AI$72</f>
        <v>1.415686274509804E-3</v>
      </c>
      <c r="AI24" s="190" t="s">
        <v>793</v>
      </c>
      <c r="AJ24" s="190" t="s">
        <v>955</v>
      </c>
      <c r="AK24" s="453"/>
      <c r="AN24" s="453"/>
    </row>
    <row r="25" spans="1:42">
      <c r="A25" s="454" t="s">
        <v>830</v>
      </c>
      <c r="B25" s="453"/>
      <c r="C25" s="190"/>
      <c r="D25" s="190"/>
      <c r="E25" s="453"/>
      <c r="F25" s="190"/>
      <c r="G25" s="455"/>
      <c r="H25" s="456"/>
      <c r="I25" s="454"/>
      <c r="J25" s="454"/>
      <c r="K25" s="453"/>
      <c r="N25" s="453"/>
      <c r="P25" s="457"/>
      <c r="S25" s="453"/>
      <c r="V25" s="453">
        <v>7.3399999999999995E-5</v>
      </c>
      <c r="W25" s="194" t="s">
        <v>793</v>
      </c>
      <c r="X25" s="183" t="s">
        <v>794</v>
      </c>
      <c r="Y25" s="462">
        <v>2.1299999999999999E-5</v>
      </c>
      <c r="Z25" s="194" t="s">
        <v>793</v>
      </c>
      <c r="AA25" s="183" t="s">
        <v>795</v>
      </c>
      <c r="AB25" s="453"/>
      <c r="AE25" s="453"/>
      <c r="AH25" s="453"/>
      <c r="AK25" s="453"/>
      <c r="AN25" s="453"/>
    </row>
    <row r="26" spans="1:42">
      <c r="A26" s="454" t="s">
        <v>831</v>
      </c>
      <c r="B26" s="458"/>
      <c r="C26" s="459"/>
      <c r="D26" s="460"/>
      <c r="E26" s="461"/>
      <c r="F26" s="460"/>
      <c r="G26" s="460"/>
      <c r="H26" s="456">
        <v>2.02E-5</v>
      </c>
      <c r="I26" s="190" t="s">
        <v>793</v>
      </c>
      <c r="J26" s="455" t="s">
        <v>799</v>
      </c>
      <c r="K26" s="453"/>
      <c r="N26" s="453"/>
      <c r="S26" s="453"/>
      <c r="V26" s="462"/>
      <c r="Y26" s="462"/>
      <c r="AB26" s="453"/>
      <c r="AE26" s="453"/>
      <c r="AH26" s="453"/>
      <c r="AK26" s="453"/>
      <c r="AN26" s="453"/>
    </row>
    <row r="27" spans="1:42">
      <c r="A27" s="454" t="s">
        <v>832</v>
      </c>
      <c r="B27" s="453">
        <v>7.1000000000000002E-4</v>
      </c>
      <c r="C27" s="190" t="s">
        <v>793</v>
      </c>
      <c r="D27" s="190" t="s">
        <v>798</v>
      </c>
      <c r="E27" s="453">
        <v>3.1199999999999999E-3</v>
      </c>
      <c r="F27" s="190" t="s">
        <v>793</v>
      </c>
      <c r="G27" s="455" t="s">
        <v>799</v>
      </c>
      <c r="H27" s="456">
        <v>2.4499999999999999E-4</v>
      </c>
      <c r="I27" s="190" t="s">
        <v>793</v>
      </c>
      <c r="J27" s="455" t="s">
        <v>799</v>
      </c>
      <c r="K27" s="453">
        <v>2.7999999999999998E-4</v>
      </c>
      <c r="L27" s="190" t="s">
        <v>793</v>
      </c>
      <c r="M27" s="190" t="s">
        <v>800</v>
      </c>
      <c r="N27" s="453">
        <v>7.3529399999999994E-5</v>
      </c>
      <c r="O27" s="190" t="s">
        <v>793</v>
      </c>
      <c r="P27" s="457" t="s">
        <v>818</v>
      </c>
      <c r="Q27" s="190">
        <v>6.0999999999999999E-2</v>
      </c>
      <c r="R27" s="190" t="s">
        <v>809</v>
      </c>
      <c r="S27" s="453">
        <f>Q27*1000/S$72*1000000</f>
        <v>453.36306205871421</v>
      </c>
      <c r="T27" s="190" t="s">
        <v>793</v>
      </c>
      <c r="U27" s="190" t="s">
        <v>833</v>
      </c>
      <c r="V27" s="453">
        <v>5.5199999999999999E-2</v>
      </c>
      <c r="W27" s="194" t="s">
        <v>793</v>
      </c>
      <c r="X27" s="183" t="s">
        <v>794</v>
      </c>
      <c r="Y27" s="462">
        <v>2.0500000000000001E-2</v>
      </c>
      <c r="Z27" s="194" t="s">
        <v>793</v>
      </c>
      <c r="AA27" s="183" t="s">
        <v>795</v>
      </c>
      <c r="AB27" s="453">
        <v>1.1800000000000001E-3</v>
      </c>
      <c r="AC27" s="260" t="s">
        <v>793</v>
      </c>
      <c r="AD27" s="260" t="s">
        <v>801</v>
      </c>
      <c r="AE27" s="453">
        <v>7.8899999999999993E-5</v>
      </c>
      <c r="AF27" s="260" t="s">
        <v>793</v>
      </c>
      <c r="AG27" s="190" t="s">
        <v>806</v>
      </c>
      <c r="AH27" s="453">
        <f>1.169/$AI$72</f>
        <v>1.146078431372549E-3</v>
      </c>
      <c r="AI27" s="190" t="s">
        <v>793</v>
      </c>
      <c r="AJ27" s="190" t="s">
        <v>955</v>
      </c>
      <c r="AK27" s="453"/>
      <c r="AN27" s="453"/>
    </row>
    <row r="28" spans="1:42">
      <c r="A28" s="454" t="s">
        <v>834</v>
      </c>
      <c r="B28" s="456"/>
      <c r="E28" s="456"/>
      <c r="H28" s="456"/>
      <c r="K28" s="453"/>
      <c r="N28" s="453"/>
      <c r="S28" s="453"/>
      <c r="V28" s="462"/>
      <c r="Y28" s="462"/>
      <c r="AB28" s="453"/>
      <c r="AE28" s="453"/>
      <c r="AH28" s="453"/>
      <c r="AK28" s="453">
        <v>2.15</v>
      </c>
      <c r="AL28" s="190" t="s">
        <v>815</v>
      </c>
      <c r="AM28" s="457" t="s">
        <v>816</v>
      </c>
      <c r="AN28" s="453"/>
      <c r="AO28" s="457"/>
      <c r="AP28" s="457"/>
    </row>
    <row r="29" spans="1:42">
      <c r="A29" s="454" t="s">
        <v>835</v>
      </c>
      <c r="B29" s="453"/>
      <c r="C29" s="190"/>
      <c r="E29" s="456"/>
      <c r="H29" s="456">
        <v>1.34E-5</v>
      </c>
      <c r="I29" s="190" t="s">
        <v>793</v>
      </c>
      <c r="J29" s="455" t="s">
        <v>799</v>
      </c>
      <c r="K29" s="453">
        <v>1.4E-5</v>
      </c>
      <c r="L29" s="190" t="s">
        <v>793</v>
      </c>
      <c r="M29" s="190" t="s">
        <v>812</v>
      </c>
      <c r="N29" s="453">
        <v>4.9019999999999998E-7</v>
      </c>
      <c r="O29" s="190" t="s">
        <v>793</v>
      </c>
      <c r="P29" s="457" t="s">
        <v>818</v>
      </c>
      <c r="Q29" s="466">
        <v>9</v>
      </c>
      <c r="R29" s="190" t="s">
        <v>813</v>
      </c>
      <c r="S29" s="453">
        <f>Q29*1000000</f>
        <v>9000000</v>
      </c>
      <c r="T29" s="190" t="s">
        <v>793</v>
      </c>
      <c r="U29" s="190" t="s">
        <v>814</v>
      </c>
      <c r="V29" s="462"/>
      <c r="Y29" s="462"/>
      <c r="AB29" s="453"/>
      <c r="AE29" s="453"/>
      <c r="AH29" s="453"/>
      <c r="AK29" s="453"/>
      <c r="AM29" s="457"/>
      <c r="AN29" s="453"/>
    </row>
    <row r="30" spans="1:42">
      <c r="A30" s="454" t="s">
        <v>836</v>
      </c>
      <c r="B30" s="453"/>
      <c r="C30" s="190"/>
      <c r="E30" s="456"/>
      <c r="H30" s="456">
        <v>7.8899999999999999E-4</v>
      </c>
      <c r="I30" s="190" t="s">
        <v>793</v>
      </c>
      <c r="J30" s="455" t="s">
        <v>799</v>
      </c>
      <c r="K30" s="453">
        <v>7.9000000000000001E-4</v>
      </c>
      <c r="L30" s="190" t="s">
        <v>793</v>
      </c>
      <c r="M30" s="190" t="s">
        <v>812</v>
      </c>
      <c r="N30" s="453"/>
      <c r="Q30" s="466">
        <v>6</v>
      </c>
      <c r="R30" s="190" t="s">
        <v>813</v>
      </c>
      <c r="S30" s="453">
        <f>Q30*1000000</f>
        <v>6000000</v>
      </c>
      <c r="T30" s="190" t="s">
        <v>793</v>
      </c>
      <c r="U30" s="190" t="s">
        <v>814</v>
      </c>
      <c r="V30" s="462"/>
      <c r="Y30" s="462"/>
      <c r="AB30" s="453"/>
      <c r="AE30" s="453"/>
      <c r="AH30" s="453"/>
      <c r="AK30" s="453"/>
      <c r="AN30" s="453">
        <v>0.05</v>
      </c>
      <c r="AO30" s="457" t="s">
        <v>809</v>
      </c>
      <c r="AP30" s="457" t="s">
        <v>810</v>
      </c>
    </row>
    <row r="31" spans="1:42">
      <c r="A31" s="454" t="s">
        <v>837</v>
      </c>
      <c r="B31" s="453"/>
      <c r="C31" s="190"/>
      <c r="E31" s="456"/>
      <c r="H31" s="456">
        <v>1.1999999999999999E-6</v>
      </c>
      <c r="I31" s="190" t="s">
        <v>793</v>
      </c>
      <c r="J31" s="455" t="s">
        <v>799</v>
      </c>
      <c r="K31" s="453">
        <v>1.1999999999999999E-6</v>
      </c>
      <c r="L31" s="190" t="s">
        <v>793</v>
      </c>
      <c r="M31" s="190" t="s">
        <v>812</v>
      </c>
      <c r="N31" s="453"/>
      <c r="Q31" s="466">
        <v>3</v>
      </c>
      <c r="R31" s="190" t="s">
        <v>813</v>
      </c>
      <c r="S31" s="453">
        <f>Q31*1000000</f>
        <v>3000000</v>
      </c>
      <c r="T31" s="190" t="s">
        <v>793</v>
      </c>
      <c r="U31" s="190" t="s">
        <v>814</v>
      </c>
      <c r="V31" s="469"/>
      <c r="W31" s="473"/>
      <c r="X31" s="468"/>
      <c r="Y31" s="469"/>
      <c r="Z31" s="468"/>
      <c r="AA31" s="468"/>
      <c r="AB31" s="469"/>
      <c r="AC31" s="468"/>
      <c r="AD31" s="468"/>
      <c r="AE31" s="453"/>
      <c r="AH31" s="453"/>
      <c r="AK31" s="453">
        <v>5.5999999999999999E-3</v>
      </c>
      <c r="AL31" s="190" t="s">
        <v>815</v>
      </c>
      <c r="AM31" s="457" t="s">
        <v>816</v>
      </c>
      <c r="AN31" s="453"/>
    </row>
    <row r="32" spans="1:42">
      <c r="A32" s="454" t="s">
        <v>838</v>
      </c>
      <c r="B32" s="474"/>
      <c r="C32" s="454"/>
      <c r="E32" s="456"/>
      <c r="H32" s="456"/>
      <c r="I32" s="454"/>
      <c r="J32" s="454"/>
      <c r="K32" s="453"/>
      <c r="N32" s="453"/>
      <c r="P32" s="457"/>
      <c r="S32" s="453"/>
      <c r="V32" s="453">
        <v>2.48E-3</v>
      </c>
      <c r="W32" s="194" t="s">
        <v>793</v>
      </c>
      <c r="X32" s="183" t="s">
        <v>794</v>
      </c>
      <c r="Y32" s="462">
        <v>3.0599999999999998E-3</v>
      </c>
      <c r="Z32" s="194" t="s">
        <v>793</v>
      </c>
      <c r="AA32" s="183" t="s">
        <v>795</v>
      </c>
      <c r="AB32" s="453"/>
      <c r="AE32" s="453"/>
      <c r="AH32" s="453"/>
      <c r="AK32" s="453"/>
      <c r="AN32" s="453"/>
    </row>
    <row r="33" spans="1:42">
      <c r="A33" s="454" t="s">
        <v>839</v>
      </c>
      <c r="B33" s="458"/>
      <c r="C33" s="459"/>
      <c r="D33" s="460"/>
      <c r="E33" s="461"/>
      <c r="F33" s="460"/>
      <c r="G33" s="460"/>
      <c r="H33" s="456">
        <v>2.1299999999999999E-5</v>
      </c>
      <c r="I33" s="190" t="s">
        <v>793</v>
      </c>
      <c r="J33" s="455" t="s">
        <v>799</v>
      </c>
      <c r="K33" s="453"/>
      <c r="N33" s="453"/>
      <c r="S33" s="453"/>
      <c r="V33" s="453">
        <v>1.47E-4</v>
      </c>
      <c r="W33" s="194" t="s">
        <v>793</v>
      </c>
      <c r="X33" s="183" t="s">
        <v>794</v>
      </c>
      <c r="Y33" s="462">
        <v>4.1199999999999999E-5</v>
      </c>
      <c r="Z33" s="194" t="s">
        <v>793</v>
      </c>
      <c r="AA33" s="183" t="s">
        <v>795</v>
      </c>
      <c r="AB33" s="453"/>
      <c r="AE33" s="453"/>
      <c r="AH33" s="453"/>
      <c r="AK33" s="453"/>
      <c r="AN33" s="453"/>
    </row>
    <row r="34" spans="1:42">
      <c r="A34" s="454" t="s">
        <v>840</v>
      </c>
      <c r="B34" s="453"/>
      <c r="C34" s="190"/>
      <c r="E34" s="456"/>
      <c r="H34" s="456"/>
      <c r="I34" s="454"/>
      <c r="J34" s="454"/>
      <c r="K34" s="453"/>
      <c r="N34" s="453">
        <v>1.7647059E-3</v>
      </c>
      <c r="O34" s="190" t="s">
        <v>793</v>
      </c>
      <c r="P34" s="457" t="s">
        <v>818</v>
      </c>
      <c r="S34" s="453"/>
      <c r="V34" s="453">
        <v>4.4499999999999997E-4</v>
      </c>
      <c r="W34" s="194" t="s">
        <v>793</v>
      </c>
      <c r="X34" s="183" t="s">
        <v>794</v>
      </c>
      <c r="Y34" s="462"/>
      <c r="AB34" s="453"/>
      <c r="AE34" s="453"/>
      <c r="AH34" s="453">
        <f>0.029/$AI$72</f>
        <v>2.8431372549019608E-5</v>
      </c>
      <c r="AI34" s="190" t="s">
        <v>793</v>
      </c>
      <c r="AJ34" s="190" t="s">
        <v>955</v>
      </c>
      <c r="AK34" s="453"/>
      <c r="AN34" s="453"/>
    </row>
    <row r="35" spans="1:42">
      <c r="A35" s="454" t="s">
        <v>841</v>
      </c>
      <c r="B35" s="453"/>
      <c r="C35" s="190"/>
      <c r="E35" s="456"/>
      <c r="H35" s="456">
        <v>1.6200000000000001E-5</v>
      </c>
      <c r="I35" s="190" t="s">
        <v>793</v>
      </c>
      <c r="J35" s="455" t="s">
        <v>799</v>
      </c>
      <c r="K35" s="453">
        <v>4.6E-6</v>
      </c>
      <c r="L35" s="190" t="s">
        <v>793</v>
      </c>
      <c r="M35" s="190" t="s">
        <v>812</v>
      </c>
      <c r="N35" s="453"/>
      <c r="Q35" s="466">
        <v>3</v>
      </c>
      <c r="R35" s="190" t="s">
        <v>813</v>
      </c>
      <c r="S35" s="453">
        <f>Q35*1000000</f>
        <v>3000000</v>
      </c>
      <c r="T35" s="190" t="s">
        <v>793</v>
      </c>
      <c r="U35" s="190" t="s">
        <v>833</v>
      </c>
      <c r="V35" s="462"/>
      <c r="Y35" s="462"/>
      <c r="AB35" s="453"/>
      <c r="AE35" s="453"/>
      <c r="AH35" s="453"/>
      <c r="AK35" s="453">
        <v>5.5199999999999997E-3</v>
      </c>
      <c r="AL35" s="190" t="s">
        <v>815</v>
      </c>
      <c r="AM35" s="457" t="s">
        <v>816</v>
      </c>
      <c r="AN35" s="453">
        <v>0.16</v>
      </c>
      <c r="AO35" s="457" t="s">
        <v>809</v>
      </c>
      <c r="AP35" s="457" t="s">
        <v>810</v>
      </c>
    </row>
    <row r="36" spans="1:42">
      <c r="A36" s="454" t="s">
        <v>842</v>
      </c>
      <c r="B36" s="453">
        <v>2.2000000000000001E-6</v>
      </c>
      <c r="C36" s="190" t="s">
        <v>793</v>
      </c>
      <c r="D36" s="190" t="s">
        <v>798</v>
      </c>
      <c r="E36" s="453">
        <v>2.2500000000000001E-6</v>
      </c>
      <c r="F36" s="190" t="s">
        <v>793</v>
      </c>
      <c r="G36" s="455" t="s">
        <v>799</v>
      </c>
      <c r="H36" s="456">
        <v>4.0299999999999997E-5</v>
      </c>
      <c r="I36" s="190" t="s">
        <v>793</v>
      </c>
      <c r="J36" s="455" t="s">
        <v>799</v>
      </c>
      <c r="K36" s="453">
        <v>4.0000000000000003E-5</v>
      </c>
      <c r="L36" s="190" t="s">
        <v>793</v>
      </c>
      <c r="M36" s="190" t="s">
        <v>800</v>
      </c>
      <c r="N36" s="453"/>
      <c r="S36" s="453"/>
      <c r="V36" s="462">
        <v>1.34E-4</v>
      </c>
      <c r="W36" s="194" t="s">
        <v>793</v>
      </c>
      <c r="X36" s="183" t="s">
        <v>794</v>
      </c>
      <c r="Y36" s="462">
        <f>0.000141</f>
        <v>1.4100000000000001E-4</v>
      </c>
      <c r="Z36" s="194" t="s">
        <v>793</v>
      </c>
      <c r="AA36" s="183" t="s">
        <v>795</v>
      </c>
      <c r="AB36" s="453">
        <v>1.6799999999999999E-4</v>
      </c>
      <c r="AC36" s="260" t="s">
        <v>793</v>
      </c>
      <c r="AD36" s="260" t="s">
        <v>801</v>
      </c>
      <c r="AE36" s="453">
        <v>2.12E-4</v>
      </c>
      <c r="AF36" s="260" t="s">
        <v>793</v>
      </c>
      <c r="AG36" s="190" t="s">
        <v>806</v>
      </c>
      <c r="AH36" s="453">
        <f>0.014/$AI$72</f>
        <v>1.3725490196078432E-5</v>
      </c>
      <c r="AI36" s="190" t="s">
        <v>793</v>
      </c>
      <c r="AJ36" s="190" t="s">
        <v>955</v>
      </c>
      <c r="AK36" s="453"/>
      <c r="AN36" s="453"/>
    </row>
    <row r="37" spans="1:42">
      <c r="A37" s="454" t="s">
        <v>843</v>
      </c>
      <c r="B37" s="453"/>
      <c r="C37" s="190"/>
      <c r="E37" s="456"/>
      <c r="H37" s="456"/>
      <c r="I37" s="454"/>
      <c r="J37" s="454"/>
      <c r="K37" s="453"/>
      <c r="N37" s="453"/>
      <c r="P37" s="457"/>
      <c r="S37" s="453"/>
      <c r="V37" s="453">
        <v>4.21E-5</v>
      </c>
      <c r="W37" s="194" t="s">
        <v>793</v>
      </c>
      <c r="X37" s="183" t="s">
        <v>794</v>
      </c>
      <c r="Y37" s="462"/>
      <c r="AB37" s="453"/>
      <c r="AE37" s="453"/>
      <c r="AH37" s="453"/>
      <c r="AK37" s="453"/>
      <c r="AN37" s="453">
        <v>2.8E-5</v>
      </c>
      <c r="AO37" s="457" t="s">
        <v>809</v>
      </c>
      <c r="AP37" s="457" t="s">
        <v>828</v>
      </c>
    </row>
    <row r="38" spans="1:42">
      <c r="A38" s="454" t="s">
        <v>844</v>
      </c>
      <c r="B38" s="453"/>
      <c r="C38" s="190"/>
      <c r="E38" s="456"/>
      <c r="H38" s="456"/>
      <c r="I38" s="454"/>
      <c r="J38" s="454"/>
      <c r="K38" s="453"/>
      <c r="N38" s="453"/>
      <c r="S38" s="453"/>
      <c r="V38" s="462"/>
      <c r="Y38" s="462"/>
      <c r="AB38" s="453"/>
      <c r="AE38" s="453"/>
      <c r="AH38" s="453"/>
      <c r="AK38" s="453"/>
      <c r="AN38" s="453"/>
      <c r="AO38" s="457"/>
      <c r="AP38" s="457"/>
    </row>
    <row r="39" spans="1:42" s="460" customFormat="1">
      <c r="A39" s="459" t="s">
        <v>845</v>
      </c>
      <c r="B39" s="461">
        <f>SUM(B40:B58)</f>
        <v>1.3E-6</v>
      </c>
      <c r="C39" s="460" t="s">
        <v>846</v>
      </c>
      <c r="E39" s="461">
        <f>SUM(E40:E58)</f>
        <v>1.37E-6</v>
      </c>
      <c r="H39" s="461">
        <f>SUM(H40:H58)</f>
        <v>3.5200000000000002E-5</v>
      </c>
      <c r="I39" s="460" t="s">
        <v>793</v>
      </c>
      <c r="J39" s="475" t="s">
        <v>799</v>
      </c>
      <c r="K39" s="461">
        <f>SUM(K40:K58)</f>
        <v>3.4999999999999997E-5</v>
      </c>
      <c r="L39" s="460" t="s">
        <v>793</v>
      </c>
      <c r="M39" s="460" t="s">
        <v>800</v>
      </c>
      <c r="N39" s="461">
        <f>SUM(N40:N58)</f>
        <v>6.848000000000001E-7</v>
      </c>
      <c r="O39" s="460" t="s">
        <v>793</v>
      </c>
      <c r="Q39" s="476">
        <f>SUM(0.0033,Q53)</f>
        <v>3.3E-3</v>
      </c>
      <c r="R39" s="460" t="s">
        <v>809</v>
      </c>
      <c r="S39" s="461">
        <f>Q39*1000/S72*1000000+S53</f>
        <v>24.526198439241917</v>
      </c>
      <c r="T39" s="460" t="s">
        <v>793</v>
      </c>
      <c r="U39" s="460" t="s">
        <v>833</v>
      </c>
      <c r="V39" s="461">
        <f>SUM(V40:V58)</f>
        <v>1.3014417999999999E-4</v>
      </c>
      <c r="Y39" s="461">
        <f>SUM(Y40:Y58)</f>
        <v>9.7100000000000002E-5</v>
      </c>
      <c r="AB39" s="461">
        <f>SUM(AB40:AB58)</f>
        <v>1.682621E-4</v>
      </c>
      <c r="AC39" s="477" t="s">
        <v>793</v>
      </c>
      <c r="AD39" s="477" t="s">
        <v>801</v>
      </c>
      <c r="AE39" s="461">
        <f>SUM(AE40:AE58)</f>
        <v>2.11533E-4</v>
      </c>
      <c r="AF39" s="477"/>
      <c r="AG39" s="477"/>
      <c r="AH39" s="453">
        <f>SUM(AH40:AH58)/$AI$72</f>
        <v>1.0572856593617839E-8</v>
      </c>
      <c r="AI39" s="190" t="s">
        <v>793</v>
      </c>
      <c r="AJ39" s="190" t="s">
        <v>955</v>
      </c>
      <c r="AK39" s="461">
        <f>SUM(AK40:AK58)</f>
        <v>0</v>
      </c>
      <c r="AN39" s="461">
        <f>SUM(AN40:AN58)</f>
        <v>2.0030000000000002E-4</v>
      </c>
      <c r="AO39" s="478" t="s">
        <v>809</v>
      </c>
      <c r="AP39" s="478" t="s">
        <v>847</v>
      </c>
    </row>
    <row r="40" spans="1:42">
      <c r="A40" s="459" t="s">
        <v>848</v>
      </c>
      <c r="B40" s="453"/>
      <c r="C40" s="190"/>
      <c r="E40" s="456"/>
      <c r="H40" s="456"/>
      <c r="I40" s="454"/>
      <c r="J40" s="454"/>
      <c r="K40" s="453"/>
      <c r="N40" s="453">
        <v>2.3499999999999999E-8</v>
      </c>
      <c r="O40" s="190" t="s">
        <v>793</v>
      </c>
      <c r="P40" s="457" t="s">
        <v>818</v>
      </c>
      <c r="S40" s="453"/>
      <c r="V40" s="453">
        <v>2.1399999999999998E-5</v>
      </c>
      <c r="W40" s="194" t="s">
        <v>793</v>
      </c>
      <c r="X40" s="183" t="s">
        <v>794</v>
      </c>
      <c r="Y40" s="462"/>
      <c r="AB40" s="453"/>
      <c r="AE40" s="453"/>
      <c r="AH40" s="453"/>
      <c r="AK40" s="453"/>
      <c r="AN40" s="453"/>
    </row>
    <row r="41" spans="1:42">
      <c r="A41" s="459" t="s">
        <v>849</v>
      </c>
      <c r="B41" s="474"/>
      <c r="C41" s="454"/>
      <c r="E41" s="456"/>
      <c r="H41" s="456"/>
      <c r="I41" s="454"/>
      <c r="J41" s="454"/>
      <c r="K41" s="453"/>
      <c r="N41" s="453">
        <v>1.8E-9</v>
      </c>
      <c r="O41" s="190" t="s">
        <v>793</v>
      </c>
      <c r="P41" s="457" t="s">
        <v>818</v>
      </c>
      <c r="S41" s="453"/>
      <c r="V41" s="462"/>
      <c r="Y41" s="462"/>
      <c r="AB41" s="453"/>
      <c r="AE41" s="453"/>
      <c r="AH41" s="453"/>
      <c r="AK41" s="453"/>
      <c r="AN41" s="453"/>
    </row>
    <row r="42" spans="1:42">
      <c r="A42" s="459" t="s">
        <v>850</v>
      </c>
      <c r="B42" s="474"/>
      <c r="C42" s="454"/>
      <c r="E42" s="456"/>
      <c r="H42" s="456"/>
      <c r="I42" s="454"/>
      <c r="J42" s="454"/>
      <c r="K42" s="453"/>
      <c r="N42" s="453">
        <v>1.5700000000000002E-8</v>
      </c>
      <c r="O42" s="190" t="s">
        <v>793</v>
      </c>
      <c r="P42" s="457" t="s">
        <v>818</v>
      </c>
      <c r="S42" s="453"/>
      <c r="V42" s="462"/>
      <c r="Y42" s="462"/>
      <c r="AB42" s="453"/>
      <c r="AE42" s="453"/>
      <c r="AH42" s="453"/>
      <c r="AK42" s="453"/>
      <c r="AN42" s="453"/>
    </row>
    <row r="43" spans="1:42">
      <c r="A43" s="459" t="s">
        <v>851</v>
      </c>
      <c r="B43" s="474"/>
      <c r="C43" s="454"/>
      <c r="E43" s="456"/>
      <c r="H43" s="456"/>
      <c r="I43" s="454"/>
      <c r="J43" s="454"/>
      <c r="K43" s="453"/>
      <c r="N43" s="453">
        <v>1.8E-9</v>
      </c>
      <c r="O43" s="190" t="s">
        <v>793</v>
      </c>
      <c r="P43" s="457" t="s">
        <v>818</v>
      </c>
      <c r="S43" s="453"/>
      <c r="V43" s="453">
        <v>1.33E-6</v>
      </c>
      <c r="W43" s="194" t="s">
        <v>793</v>
      </c>
      <c r="X43" s="183" t="s">
        <v>794</v>
      </c>
      <c r="Y43" s="462"/>
      <c r="AB43" s="453">
        <v>1.42E-6</v>
      </c>
      <c r="AC43" s="260" t="s">
        <v>793</v>
      </c>
      <c r="AD43" s="260" t="s">
        <v>801</v>
      </c>
      <c r="AE43" s="453">
        <v>4.6800000000000001E-6</v>
      </c>
      <c r="AF43" s="260" t="s">
        <v>793</v>
      </c>
      <c r="AG43" s="190" t="s">
        <v>806</v>
      </c>
      <c r="AH43" s="453"/>
      <c r="AK43" s="453"/>
      <c r="AN43" s="453"/>
    </row>
    <row r="44" spans="1:42">
      <c r="A44" s="459" t="s">
        <v>852</v>
      </c>
      <c r="B44" s="474"/>
      <c r="C44" s="454"/>
      <c r="E44" s="456"/>
      <c r="H44" s="456"/>
      <c r="I44" s="454"/>
      <c r="J44" s="454"/>
      <c r="K44" s="453"/>
      <c r="N44" s="453">
        <v>1.8E-9</v>
      </c>
      <c r="O44" s="190" t="s">
        <v>793</v>
      </c>
      <c r="P44" s="457" t="s">
        <v>818</v>
      </c>
      <c r="S44" s="453"/>
      <c r="V44" s="453">
        <v>3.1700000000000001E-6</v>
      </c>
      <c r="W44" s="194" t="s">
        <v>793</v>
      </c>
      <c r="X44" s="183" t="s">
        <v>794</v>
      </c>
      <c r="Y44" s="462"/>
      <c r="AB44" s="453">
        <v>5.0599999999999998E-6</v>
      </c>
      <c r="AC44" s="260" t="s">
        <v>793</v>
      </c>
      <c r="AD44" s="260" t="s">
        <v>801</v>
      </c>
      <c r="AE44" s="453">
        <v>9.2299999999999997E-6</v>
      </c>
      <c r="AF44" s="260" t="s">
        <v>793</v>
      </c>
      <c r="AG44" s="190" t="s">
        <v>806</v>
      </c>
      <c r="AH44" s="453"/>
      <c r="AK44" s="453"/>
      <c r="AN44" s="453"/>
    </row>
    <row r="45" spans="1:42">
      <c r="A45" s="459" t="s">
        <v>853</v>
      </c>
      <c r="B45" s="474"/>
      <c r="C45" s="454"/>
      <c r="E45" s="456"/>
      <c r="H45" s="456"/>
      <c r="I45" s="454"/>
      <c r="J45" s="454"/>
      <c r="K45" s="453"/>
      <c r="N45" s="453">
        <v>2.4E-9</v>
      </c>
      <c r="O45" s="190" t="s">
        <v>793</v>
      </c>
      <c r="P45" s="457" t="s">
        <v>818</v>
      </c>
      <c r="S45" s="453"/>
      <c r="V45" s="453">
        <v>7.1800000000000005E-7</v>
      </c>
      <c r="W45" s="194" t="s">
        <v>793</v>
      </c>
      <c r="X45" s="183" t="s">
        <v>794</v>
      </c>
      <c r="Y45" s="462"/>
      <c r="AB45" s="453">
        <v>1.8700000000000001E-6</v>
      </c>
      <c r="AC45" s="260" t="s">
        <v>793</v>
      </c>
      <c r="AD45" s="260" t="s">
        <v>801</v>
      </c>
      <c r="AE45" s="453">
        <v>1.2300000000000001E-6</v>
      </c>
      <c r="AF45" s="260" t="s">
        <v>793</v>
      </c>
      <c r="AG45" s="190" t="s">
        <v>806</v>
      </c>
      <c r="AH45" s="453"/>
      <c r="AK45" s="453"/>
      <c r="AN45" s="453"/>
    </row>
    <row r="46" spans="1:42">
      <c r="A46" s="459" t="s">
        <v>854</v>
      </c>
      <c r="B46" s="469"/>
      <c r="C46" s="468"/>
      <c r="D46" s="468"/>
      <c r="E46" s="456"/>
      <c r="H46" s="456"/>
      <c r="I46" s="454"/>
      <c r="J46" s="454"/>
      <c r="K46" s="453"/>
      <c r="N46" s="453">
        <v>1.8E-9</v>
      </c>
      <c r="O46" s="190" t="s">
        <v>793</v>
      </c>
      <c r="P46" s="457" t="s">
        <v>818</v>
      </c>
      <c r="S46" s="453"/>
      <c r="V46" s="453">
        <v>3.3599999999999999E-7</v>
      </c>
      <c r="W46" s="194" t="s">
        <v>793</v>
      </c>
      <c r="X46" s="183" t="s">
        <v>794</v>
      </c>
      <c r="Y46" s="462"/>
      <c r="AB46" s="453">
        <v>1.68E-6</v>
      </c>
      <c r="AC46" s="260" t="s">
        <v>793</v>
      </c>
      <c r="AD46" s="260" t="s">
        <v>801</v>
      </c>
      <c r="AE46" s="453">
        <v>6.2200000000000004E-7</v>
      </c>
      <c r="AF46" s="260" t="s">
        <v>793</v>
      </c>
      <c r="AG46" s="190" t="s">
        <v>806</v>
      </c>
      <c r="AH46" s="453"/>
      <c r="AK46" s="453"/>
      <c r="AN46" s="453"/>
    </row>
    <row r="47" spans="1:42">
      <c r="A47" s="459" t="s">
        <v>855</v>
      </c>
      <c r="B47" s="474"/>
      <c r="C47" s="454"/>
      <c r="E47" s="456"/>
      <c r="H47" s="456"/>
      <c r="I47" s="454"/>
      <c r="J47" s="454"/>
      <c r="K47" s="453"/>
      <c r="N47" s="453">
        <v>1.2E-9</v>
      </c>
      <c r="O47" s="190" t="s">
        <v>793</v>
      </c>
      <c r="P47" s="457" t="s">
        <v>818</v>
      </c>
      <c r="S47" s="453"/>
      <c r="V47" s="453">
        <v>5.6800000000000002E-9</v>
      </c>
      <c r="W47" s="194" t="s">
        <v>793</v>
      </c>
      <c r="X47" s="183" t="s">
        <v>794</v>
      </c>
      <c r="Y47" s="462"/>
      <c r="AB47" s="453">
        <v>1.8799999999999999E-7</v>
      </c>
      <c r="AC47" s="260" t="s">
        <v>793</v>
      </c>
      <c r="AD47" s="260" t="s">
        <v>801</v>
      </c>
      <c r="AE47" s="453">
        <v>2.5699999999999999E-7</v>
      </c>
      <c r="AF47" s="260" t="s">
        <v>793</v>
      </c>
      <c r="AG47" s="190" t="s">
        <v>806</v>
      </c>
      <c r="AH47" s="453"/>
      <c r="AK47" s="453"/>
      <c r="AN47" s="453"/>
    </row>
    <row r="48" spans="1:42">
      <c r="A48" s="459" t="s">
        <v>856</v>
      </c>
      <c r="B48" s="474"/>
      <c r="C48" s="454"/>
      <c r="E48" s="456"/>
      <c r="H48" s="456"/>
      <c r="I48" s="454"/>
      <c r="J48" s="454"/>
      <c r="K48" s="453"/>
      <c r="N48" s="453">
        <v>1.8E-9</v>
      </c>
      <c r="O48" s="190" t="s">
        <v>793</v>
      </c>
      <c r="P48" s="457" t="s">
        <v>818</v>
      </c>
      <c r="S48" s="453"/>
      <c r="V48" s="462">
        <f>0.00000000851</f>
        <v>8.5099999999999998E-9</v>
      </c>
      <c r="W48" s="194" t="s">
        <v>793</v>
      </c>
      <c r="X48" s="183" t="s">
        <v>794</v>
      </c>
      <c r="Y48" s="462"/>
      <c r="AB48" s="453">
        <v>9.9099999999999994E-8</v>
      </c>
      <c r="AC48" s="260" t="s">
        <v>793</v>
      </c>
      <c r="AD48" s="260" t="s">
        <v>801</v>
      </c>
      <c r="AE48" s="453">
        <v>1.11E-6</v>
      </c>
      <c r="AF48" s="260" t="s">
        <v>793</v>
      </c>
      <c r="AG48" s="190" t="s">
        <v>806</v>
      </c>
      <c r="AH48" s="453"/>
      <c r="AK48" s="453"/>
      <c r="AN48" s="453"/>
    </row>
    <row r="49" spans="1:42">
      <c r="A49" s="459" t="s">
        <v>857</v>
      </c>
      <c r="B49" s="474"/>
      <c r="C49" s="454"/>
      <c r="E49" s="456"/>
      <c r="H49" s="456"/>
      <c r="I49" s="454"/>
      <c r="J49" s="454"/>
      <c r="K49" s="453"/>
      <c r="N49" s="453">
        <v>1.2E-9</v>
      </c>
      <c r="O49" s="190" t="s">
        <v>793</v>
      </c>
      <c r="P49" s="457" t="s">
        <v>818</v>
      </c>
      <c r="S49" s="453"/>
      <c r="V49" s="462">
        <f>0.0000000248</f>
        <v>2.48E-8</v>
      </c>
      <c r="W49" s="194" t="s">
        <v>793</v>
      </c>
      <c r="X49" s="183" t="s">
        <v>794</v>
      </c>
      <c r="Y49" s="462"/>
      <c r="AB49" s="453">
        <v>4.89E-7</v>
      </c>
      <c r="AC49" s="260" t="s">
        <v>793</v>
      </c>
      <c r="AD49" s="260" t="s">
        <v>801</v>
      </c>
      <c r="AE49" s="453">
        <v>5.5599999999999995E-7</v>
      </c>
      <c r="AF49" s="260" t="s">
        <v>793</v>
      </c>
      <c r="AG49" s="190" t="s">
        <v>806</v>
      </c>
      <c r="AH49" s="453"/>
      <c r="AK49" s="453"/>
      <c r="AN49" s="453"/>
    </row>
    <row r="50" spans="1:42">
      <c r="A50" s="459" t="s">
        <v>858</v>
      </c>
      <c r="B50" s="474"/>
      <c r="C50" s="454"/>
      <c r="E50" s="456"/>
      <c r="H50" s="456"/>
      <c r="I50" s="454"/>
      <c r="J50" s="454"/>
      <c r="K50" s="453"/>
      <c r="N50" s="453">
        <v>1.8E-9</v>
      </c>
      <c r="O50" s="190" t="s">
        <v>793</v>
      </c>
      <c r="P50" s="457" t="s">
        <v>818</v>
      </c>
      <c r="S50" s="453"/>
      <c r="V50" s="462">
        <v>4.2599999999999998E-9</v>
      </c>
      <c r="W50" s="194" t="s">
        <v>793</v>
      </c>
      <c r="X50" s="183" t="s">
        <v>794</v>
      </c>
      <c r="Y50" s="462"/>
      <c r="AB50" s="453">
        <v>1.55E-7</v>
      </c>
      <c r="AC50" s="260" t="s">
        <v>793</v>
      </c>
      <c r="AD50" s="260" t="s">
        <v>801</v>
      </c>
      <c r="AE50" s="453">
        <v>2.1799999999999999E-7</v>
      </c>
      <c r="AF50" s="260" t="s">
        <v>793</v>
      </c>
      <c r="AG50" s="190" t="s">
        <v>806</v>
      </c>
      <c r="AH50" s="453"/>
      <c r="AK50" s="453"/>
      <c r="AN50" s="453"/>
    </row>
    <row r="51" spans="1:42">
      <c r="A51" s="459" t="s">
        <v>859</v>
      </c>
      <c r="B51" s="453"/>
      <c r="C51" s="190"/>
      <c r="E51" s="456"/>
      <c r="H51" s="456"/>
      <c r="I51" s="454"/>
      <c r="J51" s="454"/>
      <c r="K51" s="453"/>
      <c r="N51" s="453">
        <v>1.8E-9</v>
      </c>
      <c r="O51" s="190" t="s">
        <v>793</v>
      </c>
      <c r="P51" s="457" t="s">
        <v>818</v>
      </c>
      <c r="S51" s="453"/>
      <c r="V51" s="453">
        <v>6.7199999999999998E-7</v>
      </c>
      <c r="W51" s="194" t="s">
        <v>793</v>
      </c>
      <c r="X51" s="183" t="s">
        <v>794</v>
      </c>
      <c r="Y51" s="462"/>
      <c r="AB51" s="453">
        <v>3.53E-7</v>
      </c>
      <c r="AC51" s="260" t="s">
        <v>793</v>
      </c>
      <c r="AD51" s="260" t="s">
        <v>801</v>
      </c>
      <c r="AE51" s="453">
        <v>1.53E-6</v>
      </c>
      <c r="AF51" s="260" t="s">
        <v>793</v>
      </c>
      <c r="AG51" s="190" t="s">
        <v>806</v>
      </c>
      <c r="AH51" s="453"/>
      <c r="AK51" s="453"/>
      <c r="AN51" s="453"/>
    </row>
    <row r="52" spans="1:42">
      <c r="A52" s="459" t="s">
        <v>860</v>
      </c>
      <c r="B52" s="474"/>
      <c r="C52" s="454"/>
      <c r="E52" s="456"/>
      <c r="H52" s="456"/>
      <c r="I52" s="454"/>
      <c r="J52" s="454"/>
      <c r="K52" s="453"/>
      <c r="N52" s="453">
        <v>1.2E-9</v>
      </c>
      <c r="O52" s="190" t="s">
        <v>793</v>
      </c>
      <c r="P52" s="457" t="s">
        <v>818</v>
      </c>
      <c r="S52" s="453"/>
      <c r="V52" s="462"/>
      <c r="Y52" s="462"/>
      <c r="AB52" s="453">
        <v>5.8299999999999997E-7</v>
      </c>
      <c r="AC52" s="260" t="s">
        <v>793</v>
      </c>
      <c r="AD52" s="260" t="s">
        <v>801</v>
      </c>
      <c r="AE52" s="453">
        <v>3.46E-7</v>
      </c>
      <c r="AF52" s="260" t="s">
        <v>793</v>
      </c>
      <c r="AG52" s="190" t="s">
        <v>806</v>
      </c>
      <c r="AH52" s="453"/>
      <c r="AK52" s="453"/>
      <c r="AN52" s="453"/>
    </row>
    <row r="53" spans="1:42">
      <c r="A53" s="459" t="s">
        <v>861</v>
      </c>
      <c r="B53" s="469"/>
      <c r="C53" s="468"/>
      <c r="D53" s="468"/>
      <c r="E53" s="456"/>
      <c r="H53" s="456"/>
      <c r="I53" s="454"/>
      <c r="J53" s="454"/>
      <c r="K53" s="453"/>
      <c r="N53" s="453">
        <v>2.8999999999999999E-9</v>
      </c>
      <c r="O53" s="190" t="s">
        <v>793</v>
      </c>
      <c r="P53" s="457" t="s">
        <v>818</v>
      </c>
      <c r="Q53" s="467"/>
      <c r="R53" s="468"/>
      <c r="S53" s="469"/>
      <c r="T53" s="468"/>
      <c r="U53" s="468"/>
      <c r="V53" s="453">
        <v>3.6100000000000002E-7</v>
      </c>
      <c r="W53" s="194" t="s">
        <v>793</v>
      </c>
      <c r="X53" s="183" t="s">
        <v>794</v>
      </c>
      <c r="Y53" s="462"/>
      <c r="AB53" s="453">
        <v>7.61E-6</v>
      </c>
      <c r="AC53" s="260" t="s">
        <v>793</v>
      </c>
      <c r="AD53" s="260" t="s">
        <v>801</v>
      </c>
      <c r="AE53" s="453">
        <v>4.0300000000000004E-6</v>
      </c>
      <c r="AF53" s="260" t="s">
        <v>793</v>
      </c>
      <c r="AG53" s="190" t="s">
        <v>806</v>
      </c>
      <c r="AH53" s="453"/>
      <c r="AK53" s="453"/>
      <c r="AN53" s="453"/>
    </row>
    <row r="54" spans="1:42">
      <c r="A54" s="459" t="s">
        <v>862</v>
      </c>
      <c r="B54" s="474"/>
      <c r="C54" s="454"/>
      <c r="E54" s="456"/>
      <c r="H54" s="456"/>
      <c r="I54" s="454"/>
      <c r="J54" s="454"/>
      <c r="K54" s="453"/>
      <c r="N54" s="453">
        <v>2.7000000000000002E-9</v>
      </c>
      <c r="O54" s="190" t="s">
        <v>793</v>
      </c>
      <c r="P54" s="457" t="s">
        <v>818</v>
      </c>
      <c r="S54" s="453"/>
      <c r="V54" s="453">
        <v>1.6899999999999999E-6</v>
      </c>
      <c r="W54" s="194" t="s">
        <v>793</v>
      </c>
      <c r="X54" s="183" t="s">
        <v>794</v>
      </c>
      <c r="Y54" s="462"/>
      <c r="AB54" s="453">
        <v>2.94E-5</v>
      </c>
      <c r="AC54" s="260" t="s">
        <v>793</v>
      </c>
      <c r="AD54" s="260" t="s">
        <v>801</v>
      </c>
      <c r="AE54" s="453">
        <v>1.2799999999999999E-5</v>
      </c>
      <c r="AF54" s="260" t="s">
        <v>793</v>
      </c>
      <c r="AG54" s="190" t="s">
        <v>806</v>
      </c>
      <c r="AH54" s="453"/>
      <c r="AK54" s="453"/>
      <c r="AN54" s="453"/>
    </row>
    <row r="55" spans="1:42">
      <c r="A55" s="459" t="s">
        <v>863</v>
      </c>
      <c r="B55" s="474"/>
      <c r="C55" s="454"/>
      <c r="E55" s="456"/>
      <c r="H55" s="456"/>
      <c r="I55" s="454"/>
      <c r="J55" s="454"/>
      <c r="K55" s="453"/>
      <c r="N55" s="453">
        <v>1.8E-9</v>
      </c>
      <c r="O55" s="190" t="s">
        <v>793</v>
      </c>
      <c r="P55" s="457" t="s">
        <v>818</v>
      </c>
      <c r="S55" s="453"/>
      <c r="V55" s="462">
        <v>9.9300000000000002E-9</v>
      </c>
      <c r="W55" s="194" t="s">
        <v>793</v>
      </c>
      <c r="X55" s="183" t="s">
        <v>794</v>
      </c>
      <c r="Y55" s="462"/>
      <c r="AB55" s="453">
        <v>3.7500000000000001E-7</v>
      </c>
      <c r="AC55" s="260" t="s">
        <v>793</v>
      </c>
      <c r="AD55" s="260" t="s">
        <v>801</v>
      </c>
      <c r="AE55" s="453">
        <v>4.1399999999999997E-7</v>
      </c>
      <c r="AF55" s="260" t="s">
        <v>793</v>
      </c>
      <c r="AG55" s="190" t="s">
        <v>806</v>
      </c>
      <c r="AH55" s="453"/>
      <c r="AK55" s="453"/>
      <c r="AN55" s="453"/>
    </row>
    <row r="56" spans="1:42">
      <c r="A56" s="459" t="s">
        <v>864</v>
      </c>
      <c r="B56" s="453">
        <v>1.3E-6</v>
      </c>
      <c r="C56" s="190" t="s">
        <v>793</v>
      </c>
      <c r="D56" s="190" t="s">
        <v>798</v>
      </c>
      <c r="E56" s="453">
        <v>1.37E-6</v>
      </c>
      <c r="F56" s="190" t="s">
        <v>793</v>
      </c>
      <c r="G56" s="455" t="s">
        <v>799</v>
      </c>
      <c r="H56" s="456">
        <v>3.5200000000000002E-5</v>
      </c>
      <c r="I56" s="190" t="s">
        <v>793</v>
      </c>
      <c r="J56" s="455" t="s">
        <v>799</v>
      </c>
      <c r="K56" s="453">
        <v>3.4999999999999997E-5</v>
      </c>
      <c r="L56" s="190" t="s">
        <v>793</v>
      </c>
      <c r="M56" s="190" t="s">
        <v>800</v>
      </c>
      <c r="N56" s="453">
        <v>5.9800000000000003E-7</v>
      </c>
      <c r="O56" s="190" t="s">
        <v>793</v>
      </c>
      <c r="P56" s="457" t="s">
        <v>818</v>
      </c>
      <c r="S56" s="453"/>
      <c r="V56" s="453">
        <v>9.6299999999999996E-5</v>
      </c>
      <c r="W56" s="194" t="s">
        <v>793</v>
      </c>
      <c r="X56" s="183" t="s">
        <v>794</v>
      </c>
      <c r="Y56" s="462">
        <v>9.7100000000000002E-5</v>
      </c>
      <c r="Z56" s="194" t="s">
        <v>793</v>
      </c>
      <c r="AA56" s="183" t="s">
        <v>795</v>
      </c>
      <c r="AB56" s="453">
        <v>8.4800000000000001E-5</v>
      </c>
      <c r="AC56" s="260" t="s">
        <v>793</v>
      </c>
      <c r="AD56" s="260" t="s">
        <v>801</v>
      </c>
      <c r="AE56" s="453">
        <v>1.2999999999999999E-4</v>
      </c>
      <c r="AF56" s="260" t="s">
        <v>793</v>
      </c>
      <c r="AG56" s="190" t="s">
        <v>806</v>
      </c>
      <c r="AH56" s="453">
        <f>0.011/$AI$72</f>
        <v>1.0784313725490196E-5</v>
      </c>
      <c r="AI56" s="190" t="s">
        <v>793</v>
      </c>
      <c r="AJ56" s="190" t="s">
        <v>955</v>
      </c>
      <c r="AK56" s="453"/>
      <c r="AN56" s="453">
        <v>9.2E-5</v>
      </c>
      <c r="AO56" s="457" t="s">
        <v>809</v>
      </c>
      <c r="AP56" s="457" t="s">
        <v>828</v>
      </c>
    </row>
    <row r="57" spans="1:42">
      <c r="A57" s="459" t="s">
        <v>865</v>
      </c>
      <c r="B57" s="453"/>
      <c r="C57" s="190"/>
      <c r="E57" s="456"/>
      <c r="H57" s="456"/>
      <c r="I57" s="454"/>
      <c r="J57" s="454"/>
      <c r="K57" s="453"/>
      <c r="N57" s="453">
        <v>1.6700000000000001E-8</v>
      </c>
      <c r="O57" s="190" t="s">
        <v>793</v>
      </c>
      <c r="P57" s="457" t="s">
        <v>818</v>
      </c>
      <c r="S57" s="453"/>
      <c r="V57" s="453">
        <v>3.5300000000000001E-6</v>
      </c>
      <c r="W57" s="194" t="s">
        <v>793</v>
      </c>
      <c r="X57" s="183" t="s">
        <v>794</v>
      </c>
      <c r="Y57" s="462"/>
      <c r="AB57" s="453">
        <v>2.94E-5</v>
      </c>
      <c r="AC57" s="260" t="s">
        <v>793</v>
      </c>
      <c r="AD57" s="260" t="s">
        <v>801</v>
      </c>
      <c r="AE57" s="453">
        <v>4.0800000000000002E-5</v>
      </c>
      <c r="AF57" s="260" t="s">
        <v>793</v>
      </c>
      <c r="AG57" s="190" t="s">
        <v>806</v>
      </c>
      <c r="AH57" s="453"/>
      <c r="AK57" s="453"/>
      <c r="AN57" s="453">
        <v>1E-4</v>
      </c>
      <c r="AO57" s="457" t="s">
        <v>809</v>
      </c>
      <c r="AP57" s="457" t="s">
        <v>828</v>
      </c>
    </row>
    <row r="58" spans="1:42">
      <c r="A58" s="459" t="s">
        <v>866</v>
      </c>
      <c r="B58" s="474"/>
      <c r="C58" s="454"/>
      <c r="E58" s="456"/>
      <c r="H58" s="456"/>
      <c r="I58" s="454"/>
      <c r="J58" s="454"/>
      <c r="K58" s="453"/>
      <c r="N58" s="453">
        <v>4.9E-9</v>
      </c>
      <c r="O58" s="190" t="s">
        <v>793</v>
      </c>
      <c r="P58" s="457" t="s">
        <v>818</v>
      </c>
      <c r="S58" s="453"/>
      <c r="V58" s="453">
        <v>5.8400000000000004E-7</v>
      </c>
      <c r="W58" s="194" t="s">
        <v>793</v>
      </c>
      <c r="X58" s="183" t="s">
        <v>794</v>
      </c>
      <c r="Y58" s="462"/>
      <c r="AB58" s="453">
        <v>4.78E-6</v>
      </c>
      <c r="AC58" s="260" t="s">
        <v>793</v>
      </c>
      <c r="AD58" s="260" t="s">
        <v>801</v>
      </c>
      <c r="AE58" s="453">
        <v>3.7100000000000001E-6</v>
      </c>
      <c r="AF58" s="260" t="s">
        <v>793</v>
      </c>
      <c r="AG58" s="190" t="s">
        <v>806</v>
      </c>
      <c r="AH58" s="453"/>
      <c r="AK58" s="453"/>
      <c r="AN58" s="453">
        <v>8.3000000000000002E-6</v>
      </c>
      <c r="AO58" s="457" t="s">
        <v>809</v>
      </c>
      <c r="AP58" s="457" t="s">
        <v>828</v>
      </c>
    </row>
    <row r="59" spans="1:42">
      <c r="A59" s="454" t="s">
        <v>867</v>
      </c>
      <c r="B59" s="453"/>
      <c r="C59" s="190"/>
      <c r="E59" s="456"/>
      <c r="H59" s="456"/>
      <c r="I59" s="454"/>
      <c r="J59" s="454"/>
      <c r="K59" s="453"/>
      <c r="N59" s="453"/>
      <c r="S59" s="453"/>
      <c r="V59" s="453"/>
      <c r="W59" s="194"/>
      <c r="X59" s="183"/>
      <c r="Y59" s="462"/>
      <c r="AB59" s="453"/>
      <c r="AE59" s="453"/>
      <c r="AH59" s="453"/>
      <c r="AK59" s="453"/>
      <c r="AN59" s="453"/>
    </row>
    <row r="60" spans="1:42">
      <c r="A60" s="454" t="s">
        <v>868</v>
      </c>
      <c r="B60" s="453">
        <v>2.9E-5</v>
      </c>
      <c r="C60" s="190" t="s">
        <v>793</v>
      </c>
      <c r="D60" s="190" t="s">
        <v>798</v>
      </c>
      <c r="E60" s="453">
        <v>2.8600000000000001E-5</v>
      </c>
      <c r="F60" s="190" t="s">
        <v>793</v>
      </c>
      <c r="G60" s="455" t="s">
        <v>799</v>
      </c>
      <c r="H60" s="456"/>
      <c r="I60" s="454"/>
      <c r="J60" s="454"/>
      <c r="K60" s="453"/>
      <c r="N60" s="453"/>
      <c r="S60" s="453"/>
      <c r="V60" s="462"/>
      <c r="Y60" s="462"/>
      <c r="AB60" s="453"/>
      <c r="AE60" s="453"/>
      <c r="AH60" s="453"/>
      <c r="AK60" s="453"/>
      <c r="AN60" s="453"/>
    </row>
    <row r="61" spans="1:42">
      <c r="A61" s="454" t="s">
        <v>869</v>
      </c>
      <c r="B61" s="453"/>
      <c r="C61" s="190"/>
      <c r="E61" s="456"/>
      <c r="H61" s="456">
        <v>2.8799999999999999E-5</v>
      </c>
      <c r="I61" s="190" t="s">
        <v>793</v>
      </c>
      <c r="J61" s="455" t="s">
        <v>799</v>
      </c>
      <c r="K61" s="453">
        <v>2.5000000000000001E-5</v>
      </c>
      <c r="L61" s="190" t="s">
        <v>793</v>
      </c>
      <c r="M61" s="190" t="s">
        <v>812</v>
      </c>
      <c r="N61" s="453"/>
      <c r="Q61" s="466">
        <v>15</v>
      </c>
      <c r="R61" s="190" t="s">
        <v>813</v>
      </c>
      <c r="S61" s="453">
        <f>Q61*1000000</f>
        <v>15000000</v>
      </c>
      <c r="T61" s="190" t="s">
        <v>793</v>
      </c>
      <c r="U61" s="190" t="s">
        <v>814</v>
      </c>
      <c r="V61" s="462"/>
      <c r="Y61" s="462"/>
      <c r="AB61" s="453"/>
      <c r="AE61" s="453"/>
      <c r="AH61" s="453"/>
      <c r="AK61" s="453"/>
      <c r="AN61" s="453"/>
      <c r="AO61" s="457"/>
      <c r="AP61" s="457"/>
    </row>
    <row r="62" spans="1:42">
      <c r="A62" s="454" t="s">
        <v>870</v>
      </c>
      <c r="B62" s="474"/>
      <c r="C62" s="454"/>
      <c r="E62" s="456"/>
      <c r="H62" s="456"/>
      <c r="I62" s="454"/>
      <c r="J62" s="454"/>
      <c r="K62" s="453"/>
      <c r="N62" s="464"/>
      <c r="P62" s="457"/>
      <c r="S62" s="453"/>
      <c r="V62" s="453">
        <v>5.4799999999999997E-5</v>
      </c>
      <c r="W62" s="194" t="s">
        <v>793</v>
      </c>
      <c r="X62" s="183" t="s">
        <v>794</v>
      </c>
      <c r="Y62" s="462">
        <v>1.19E-5</v>
      </c>
      <c r="Z62" s="194" t="s">
        <v>793</v>
      </c>
      <c r="AA62" s="183" t="s">
        <v>795</v>
      </c>
      <c r="AB62" s="453"/>
      <c r="AE62" s="453"/>
      <c r="AH62" s="453"/>
      <c r="AK62" s="453"/>
      <c r="AN62" s="453"/>
    </row>
    <row r="63" spans="1:42">
      <c r="A63" s="454" t="s">
        <v>871</v>
      </c>
      <c r="B63" s="458"/>
      <c r="C63" s="459"/>
      <c r="D63" s="460"/>
      <c r="E63" s="461"/>
      <c r="F63" s="460"/>
      <c r="G63" s="460"/>
      <c r="H63" s="456">
        <v>3.2400000000000001E-5</v>
      </c>
      <c r="I63" s="190" t="s">
        <v>793</v>
      </c>
      <c r="J63" s="455" t="s">
        <v>799</v>
      </c>
      <c r="K63" s="453"/>
      <c r="N63" s="453"/>
      <c r="S63" s="453"/>
      <c r="V63" s="462"/>
      <c r="Y63" s="462"/>
      <c r="AB63" s="453"/>
      <c r="AE63" s="453"/>
      <c r="AH63" s="453"/>
      <c r="AK63" s="453"/>
      <c r="AN63" s="453"/>
    </row>
    <row r="64" spans="1:42">
      <c r="A64" s="454" t="s">
        <v>872</v>
      </c>
      <c r="B64" s="453">
        <v>1.2999999999999999E-4</v>
      </c>
      <c r="C64" s="190" t="s">
        <v>793</v>
      </c>
      <c r="D64" s="190" t="s">
        <v>798</v>
      </c>
      <c r="E64" s="453">
        <v>9.3700000000000001E-5</v>
      </c>
      <c r="F64" s="190" t="s">
        <v>793</v>
      </c>
      <c r="G64" s="455" t="s">
        <v>799</v>
      </c>
      <c r="H64" s="456"/>
      <c r="I64" s="454"/>
      <c r="J64" s="454"/>
      <c r="K64" s="453"/>
      <c r="N64" s="453">
        <v>3.3332999999999999E-6</v>
      </c>
      <c r="O64" s="190" t="s">
        <v>793</v>
      </c>
      <c r="P64" s="457" t="s">
        <v>818</v>
      </c>
      <c r="S64" s="453"/>
      <c r="V64" s="453">
        <v>9.6299999999999999E-4</v>
      </c>
      <c r="W64" s="194" t="s">
        <v>793</v>
      </c>
      <c r="X64" s="183" t="s">
        <v>794</v>
      </c>
      <c r="Y64" s="462">
        <v>5.5800000000000001E-4</v>
      </c>
      <c r="Z64" s="194" t="s">
        <v>793</v>
      </c>
      <c r="AA64" s="183" t="s">
        <v>795</v>
      </c>
      <c r="AB64" s="453">
        <v>4.0900000000000002E-4</v>
      </c>
      <c r="AC64" s="260" t="s">
        <v>793</v>
      </c>
      <c r="AD64" s="260" t="s">
        <v>801</v>
      </c>
      <c r="AE64" s="453">
        <v>2.81E-4</v>
      </c>
      <c r="AF64" s="260" t="s">
        <v>793</v>
      </c>
      <c r="AG64" s="190" t="s">
        <v>806</v>
      </c>
      <c r="AH64" s="453">
        <f>0.058/$AI$72</f>
        <v>5.6862745098039215E-5</v>
      </c>
      <c r="AI64" s="190" t="s">
        <v>793</v>
      </c>
      <c r="AJ64" s="190" t="s">
        <v>955</v>
      </c>
      <c r="AK64" s="453"/>
      <c r="AN64" s="453"/>
    </row>
    <row r="65" spans="1:40">
      <c r="A65" s="454" t="s">
        <v>873</v>
      </c>
      <c r="B65" s="458"/>
      <c r="C65" s="459"/>
      <c r="D65" s="460"/>
      <c r="E65" s="461"/>
      <c r="F65" s="460"/>
      <c r="G65" s="460"/>
      <c r="H65" s="456">
        <v>2.7500000000000001E-5</v>
      </c>
      <c r="I65" s="190" t="s">
        <v>793</v>
      </c>
      <c r="J65" s="455" t="s">
        <v>799</v>
      </c>
      <c r="K65" s="453"/>
      <c r="N65" s="453"/>
      <c r="S65" s="453"/>
      <c r="V65" s="462"/>
      <c r="Y65" s="462"/>
      <c r="AB65" s="453"/>
      <c r="AE65" s="453"/>
      <c r="AH65" s="453"/>
      <c r="AK65" s="453"/>
      <c r="AN65" s="453"/>
    </row>
    <row r="66" spans="1:40">
      <c r="A66" s="454" t="s">
        <v>874</v>
      </c>
      <c r="B66" s="458"/>
      <c r="C66" s="459"/>
      <c r="D66" s="460"/>
      <c r="E66" s="461"/>
      <c r="F66" s="460"/>
      <c r="G66" s="460"/>
      <c r="H66" s="456">
        <v>5.27E-5</v>
      </c>
      <c r="I66" s="190" t="s">
        <v>793</v>
      </c>
      <c r="J66" s="455" t="s">
        <v>799</v>
      </c>
      <c r="K66" s="453"/>
      <c r="N66" s="453"/>
      <c r="S66" s="453"/>
      <c r="V66" s="453">
        <v>2.4700000000000001E-5</v>
      </c>
      <c r="W66" s="194" t="s">
        <v>793</v>
      </c>
      <c r="X66" s="183" t="s">
        <v>794</v>
      </c>
      <c r="Y66" s="462">
        <v>7.1799999999999999E-6</v>
      </c>
      <c r="Z66" s="194" t="s">
        <v>793</v>
      </c>
      <c r="AA66" s="183" t="s">
        <v>795</v>
      </c>
      <c r="AB66" s="453"/>
      <c r="AE66" s="453"/>
      <c r="AH66" s="453"/>
      <c r="AK66" s="453"/>
      <c r="AN66" s="453"/>
    </row>
    <row r="67" spans="1:40">
      <c r="A67" s="454" t="s">
        <v>875</v>
      </c>
      <c r="B67" s="458"/>
      <c r="C67" s="459"/>
      <c r="D67" s="460"/>
      <c r="E67" s="461"/>
      <c r="F67" s="460"/>
      <c r="G67" s="460"/>
      <c r="H67" s="456">
        <v>2.02E-5</v>
      </c>
      <c r="I67" s="190" t="s">
        <v>793</v>
      </c>
      <c r="J67" s="455" t="s">
        <v>799</v>
      </c>
      <c r="K67" s="453"/>
      <c r="N67" s="453"/>
      <c r="S67" s="453"/>
      <c r="V67" s="453"/>
      <c r="Y67" s="462"/>
      <c r="AB67" s="453"/>
      <c r="AE67" s="453"/>
      <c r="AH67" s="453"/>
      <c r="AK67" s="453"/>
      <c r="AN67" s="453"/>
    </row>
    <row r="68" spans="1:40">
      <c r="A68" s="454" t="s">
        <v>876</v>
      </c>
      <c r="B68" s="453">
        <v>6.3999999999999997E-5</v>
      </c>
      <c r="C68" s="190" t="s">
        <v>793</v>
      </c>
      <c r="D68" s="190" t="s">
        <v>798</v>
      </c>
      <c r="E68" s="453">
        <v>5.4799999999999997E-5</v>
      </c>
      <c r="F68" s="190" t="s">
        <v>793</v>
      </c>
      <c r="G68" s="455" t="s">
        <v>799</v>
      </c>
      <c r="H68" s="456"/>
      <c r="I68" s="454"/>
      <c r="J68" s="454"/>
      <c r="K68" s="453"/>
      <c r="N68" s="464"/>
      <c r="P68" s="457"/>
      <c r="R68" s="472"/>
      <c r="S68" s="479"/>
      <c r="T68" s="472"/>
      <c r="V68" s="453">
        <v>2.6800000000000001E-4</v>
      </c>
      <c r="W68" s="194" t="s">
        <v>793</v>
      </c>
      <c r="X68" s="183" t="s">
        <v>794</v>
      </c>
      <c r="Y68" s="462">
        <v>1.95E-4</v>
      </c>
      <c r="Z68" s="194" t="s">
        <v>793</v>
      </c>
      <c r="AA68" s="183" t="s">
        <v>795</v>
      </c>
      <c r="AB68" s="453">
        <v>2.8499999999999999E-4</v>
      </c>
      <c r="AC68" s="260" t="s">
        <v>793</v>
      </c>
      <c r="AD68" s="260" t="s">
        <v>801</v>
      </c>
      <c r="AE68" s="453">
        <v>1.93E-4</v>
      </c>
      <c r="AF68" s="260" t="s">
        <v>793</v>
      </c>
      <c r="AG68" s="190" t="s">
        <v>806</v>
      </c>
      <c r="AH68" s="453">
        <f>0.029/$AI$72</f>
        <v>2.8431372549019608E-5</v>
      </c>
      <c r="AI68" s="190" t="s">
        <v>793</v>
      </c>
      <c r="AJ68" s="190" t="s">
        <v>955</v>
      </c>
      <c r="AK68" s="453"/>
      <c r="AN68" s="453"/>
    </row>
    <row r="69" spans="1:40">
      <c r="A69" s="454" t="s">
        <v>877</v>
      </c>
      <c r="Y69" s="181"/>
      <c r="AK69" s="465">
        <v>2.9399999999999998E-6</v>
      </c>
      <c r="AL69" s="190" t="s">
        <v>815</v>
      </c>
      <c r="AM69" s="457" t="s">
        <v>816</v>
      </c>
    </row>
    <row r="70" spans="1:40">
      <c r="Y70" s="181"/>
    </row>
    <row r="71" spans="1:40">
      <c r="Y71" s="181"/>
    </row>
    <row r="72" spans="1:40">
      <c r="R72" s="480" t="s">
        <v>878</v>
      </c>
      <c r="S72" s="481">
        <v>134550</v>
      </c>
      <c r="T72" s="428" t="s">
        <v>879</v>
      </c>
      <c r="Y72" s="181"/>
      <c r="AH72" s="190" t="s">
        <v>880</v>
      </c>
      <c r="AI72" s="190">
        <v>1020</v>
      </c>
      <c r="AJ72" s="190" t="s">
        <v>881</v>
      </c>
    </row>
    <row r="73" spans="1:40">
      <c r="Y73" s="181"/>
    </row>
    <row r="74" spans="1:40">
      <c r="Y74" s="181"/>
    </row>
    <row r="75" spans="1:40" s="180" customFormat="1">
      <c r="A75" s="444" t="s">
        <v>882</v>
      </c>
      <c r="B75" s="482">
        <f>SUM(B4:B39,B59:B69)</f>
        <v>1.0273299999999999E-3</v>
      </c>
      <c r="C75" s="454"/>
      <c r="D75" s="454"/>
      <c r="E75" s="482">
        <f>SUM(E4:E39,E59:E69)</f>
        <v>3.4827590000000002E-3</v>
      </c>
      <c r="F75" s="454"/>
      <c r="G75" s="454"/>
      <c r="H75" s="482">
        <f>SUM(H4:H39,H59:H69)</f>
        <v>1.5791869999999999E-3</v>
      </c>
      <c r="I75" s="454"/>
      <c r="J75" s="454"/>
      <c r="K75" s="482">
        <f>SUM(K4:K39,K59:K69)</f>
        <v>1.2879100000000004E-3</v>
      </c>
      <c r="N75" s="483">
        <f>SUM(N4:N39,N59:N69)</f>
        <v>1.8448023999999999E-3</v>
      </c>
      <c r="O75" s="190" t="s">
        <v>793</v>
      </c>
      <c r="P75" s="180" t="s">
        <v>883</v>
      </c>
      <c r="S75" s="483">
        <f>SUM(S4:S39,S59:S69)</f>
        <v>49000477.889260501</v>
      </c>
      <c r="V75" s="483">
        <f>SUM(V4:V39,V59:V69)</f>
        <v>7.9535094180000002E-2</v>
      </c>
      <c r="Y75" s="483">
        <f>SUM(Y4:Y39,Y59:Y69)</f>
        <v>3.2418080000000009E-2</v>
      </c>
      <c r="AB75" s="483">
        <f>SUM(AB4:AB39,AB59:AB69)</f>
        <v>4.0418621000000007E-3</v>
      </c>
      <c r="AC75" s="302"/>
      <c r="AD75" s="302"/>
      <c r="AE75" s="483">
        <f>SUM(AE4:AE39,AE59:AE69)</f>
        <v>1.7855130000000001E-3</v>
      </c>
      <c r="AF75" s="302"/>
      <c r="AG75" s="302"/>
      <c r="AH75" s="483">
        <f>SUM(AH4:AH39,AH59:AH69)</f>
        <v>2.8970693963860056E-3</v>
      </c>
      <c r="AK75" s="483">
        <f>SUM(AK4:AK39,AK59:AK69)</f>
        <v>2.1675119399999998</v>
      </c>
      <c r="AN75" s="483">
        <f>SUM(AN4:AN39,AN59:AN69)</f>
        <v>0.47376229999999986</v>
      </c>
    </row>
    <row r="76" spans="1:40">
      <c r="N76" s="484">
        <f>SUM(N14,N27,N29,N34,N39,N64)</f>
        <v>1.8448023999999999E-3</v>
      </c>
      <c r="O76" s="485" t="s">
        <v>793</v>
      </c>
      <c r="P76" s="486" t="s">
        <v>818</v>
      </c>
      <c r="Y76" s="181"/>
    </row>
    <row r="77" spans="1:40">
      <c r="Y77" s="181"/>
    </row>
    <row r="78" spans="1:40">
      <c r="Y78" s="181"/>
    </row>
    <row r="79" spans="1:40">
      <c r="Y79" s="181"/>
    </row>
    <row r="80" spans="1:40">
      <c r="Y80" s="181"/>
    </row>
    <row r="81" spans="25:25">
      <c r="Y81" s="181"/>
    </row>
    <row r="82" spans="25:25">
      <c r="Y82" s="181"/>
    </row>
    <row r="83" spans="25:25">
      <c r="Y83" s="181"/>
    </row>
    <row r="84" spans="25:25">
      <c r="Y84" s="181"/>
    </row>
    <row r="85" spans="25:25">
      <c r="Y85" s="181"/>
    </row>
    <row r="86" spans="25:25">
      <c r="Y86" s="181"/>
    </row>
    <row r="87" spans="25:25">
      <c r="Y87" s="181"/>
    </row>
    <row r="88" spans="25:25">
      <c r="Y88" s="181"/>
    </row>
    <row r="89" spans="25:25">
      <c r="Y89" s="181"/>
    </row>
    <row r="90" spans="25:25">
      <c r="Y90" s="181"/>
    </row>
    <row r="91" spans="25:25">
      <c r="Y91" s="181"/>
    </row>
    <row r="92" spans="25:25">
      <c r="Y92" s="181"/>
    </row>
    <row r="93" spans="25:25">
      <c r="Y93" s="181"/>
    </row>
    <row r="94" spans="25:25">
      <c r="Y94" s="181"/>
    </row>
    <row r="95" spans="25:25">
      <c r="Y95" s="181"/>
    </row>
    <row r="96" spans="25:25">
      <c r="Y96" s="181"/>
    </row>
    <row r="97" spans="25:25">
      <c r="Y97" s="181"/>
    </row>
    <row r="98" spans="25:25">
      <c r="Y98" s="181"/>
    </row>
    <row r="99" spans="25:25">
      <c r="Y99" s="181"/>
    </row>
    <row r="100" spans="25:25">
      <c r="Y100" s="181"/>
    </row>
    <row r="101" spans="25:25">
      <c r="Y101" s="181"/>
    </row>
    <row r="102" spans="25:25">
      <c r="Y102" s="181"/>
    </row>
    <row r="103" spans="25:25">
      <c r="Y103" s="181"/>
    </row>
    <row r="104" spans="25:25">
      <c r="Y104" s="181"/>
    </row>
    <row r="105" spans="25:25">
      <c r="Y105" s="181"/>
    </row>
    <row r="106" spans="25:25">
      <c r="Y106" s="181"/>
    </row>
    <row r="107" spans="25:25">
      <c r="Y107" s="181"/>
    </row>
    <row r="108" spans="25:25">
      <c r="Y108" s="181"/>
    </row>
    <row r="109" spans="25:25">
      <c r="Y109" s="181"/>
    </row>
    <row r="110" spans="25:25">
      <c r="Y110" s="181"/>
    </row>
    <row r="111" spans="25:25">
      <c r="Y111" s="181"/>
    </row>
    <row r="112" spans="25:25">
      <c r="Y112" s="181"/>
    </row>
    <row r="113" spans="25:25">
      <c r="Y113" s="181"/>
    </row>
    <row r="114" spans="25:25">
      <c r="Y114" s="181"/>
    </row>
    <row r="115" spans="25:25">
      <c r="Y115" s="181"/>
    </row>
    <row r="116" spans="25:25">
      <c r="Y116" s="181"/>
    </row>
    <row r="117" spans="25:25">
      <c r="Y117" s="181"/>
    </row>
    <row r="118" spans="25:25">
      <c r="Y118" s="181"/>
    </row>
    <row r="119" spans="25:25">
      <c r="Y119" s="181"/>
    </row>
    <row r="120" spans="25:25">
      <c r="Y120" s="181"/>
    </row>
    <row r="121" spans="25:25">
      <c r="Y121" s="181"/>
    </row>
    <row r="122" spans="25:25">
      <c r="Y122" s="181"/>
    </row>
    <row r="123" spans="25:25">
      <c r="Y123" s="181"/>
    </row>
    <row r="124" spans="25:25">
      <c r="Y124" s="181"/>
    </row>
    <row r="125" spans="25:25">
      <c r="Y125" s="181"/>
    </row>
    <row r="126" spans="25:25">
      <c r="Y126" s="181"/>
    </row>
    <row r="127" spans="25:25">
      <c r="Y127" s="181"/>
    </row>
    <row r="128" spans="25:25">
      <c r="Y128" s="181"/>
    </row>
    <row r="129" spans="25:25">
      <c r="Y129" s="181"/>
    </row>
    <row r="130" spans="25:25">
      <c r="Y130" s="181"/>
    </row>
    <row r="131" spans="25:25">
      <c r="Y131" s="181"/>
    </row>
    <row r="132" spans="25:25">
      <c r="Y132" s="181"/>
    </row>
    <row r="133" spans="25:25">
      <c r="Y133" s="181"/>
    </row>
    <row r="134" spans="25:25">
      <c r="Y134" s="181"/>
    </row>
    <row r="135" spans="25:25">
      <c r="Y135" s="181"/>
    </row>
    <row r="136" spans="25:25">
      <c r="Y136" s="181"/>
    </row>
    <row r="137" spans="25:25">
      <c r="Y137" s="181"/>
    </row>
    <row r="138" spans="25:25">
      <c r="Y138" s="181"/>
    </row>
    <row r="139" spans="25:25">
      <c r="Y139" s="181"/>
    </row>
    <row r="140" spans="25:25">
      <c r="Y140" s="181"/>
    </row>
    <row r="141" spans="25:25">
      <c r="Y141" s="181"/>
    </row>
    <row r="142" spans="25:25">
      <c r="Y142" s="181"/>
    </row>
    <row r="143" spans="25:25">
      <c r="Y143" s="181"/>
    </row>
    <row r="144" spans="25:25">
      <c r="Y144" s="181"/>
    </row>
    <row r="145" spans="25:25">
      <c r="Y145" s="181"/>
    </row>
    <row r="146" spans="25:25">
      <c r="Y146" s="181"/>
    </row>
    <row r="147" spans="25:25">
      <c r="Y147" s="181"/>
    </row>
    <row r="148" spans="25:25">
      <c r="Y148" s="181"/>
    </row>
    <row r="149" spans="25:25">
      <c r="Y149" s="181"/>
    </row>
    <row r="150" spans="25:25">
      <c r="Y150" s="181"/>
    </row>
    <row r="151" spans="25:25">
      <c r="Y151" s="181"/>
    </row>
    <row r="152" spans="25:25">
      <c r="Y152" s="181"/>
    </row>
    <row r="153" spans="25:25">
      <c r="Y153" s="181"/>
    </row>
    <row r="154" spans="25:25">
      <c r="Y154" s="181"/>
    </row>
    <row r="155" spans="25:25">
      <c r="Y155" s="181"/>
    </row>
    <row r="156" spans="25:25">
      <c r="Y156" s="181"/>
    </row>
    <row r="157" spans="25:25">
      <c r="Y157" s="181"/>
    </row>
    <row r="158" spans="25:25">
      <c r="Y158" s="181"/>
    </row>
    <row r="159" spans="25:25">
      <c r="Y159" s="181"/>
    </row>
    <row r="160" spans="25:25">
      <c r="Y160" s="181"/>
    </row>
    <row r="161" spans="25:25">
      <c r="Y161" s="181"/>
    </row>
    <row r="162" spans="25:25">
      <c r="Y162" s="181"/>
    </row>
    <row r="163" spans="25:25">
      <c r="Y163" s="181"/>
    </row>
    <row r="164" spans="25:25">
      <c r="Y164" s="181"/>
    </row>
    <row r="165" spans="25:25">
      <c r="Y165" s="181"/>
    </row>
    <row r="166" spans="25:25">
      <c r="Y166" s="181"/>
    </row>
    <row r="167" spans="25:25">
      <c r="Y167" s="181"/>
    </row>
    <row r="168" spans="25:25">
      <c r="Y168" s="181"/>
    </row>
    <row r="169" spans="25:25">
      <c r="Y169" s="181"/>
    </row>
    <row r="170" spans="25:25">
      <c r="Y170" s="181"/>
    </row>
    <row r="171" spans="25:25">
      <c r="Y171" s="181"/>
    </row>
    <row r="172" spans="25:25">
      <c r="Y172" s="181"/>
    </row>
    <row r="173" spans="25:25">
      <c r="Y173" s="181"/>
    </row>
    <row r="174" spans="25:25">
      <c r="Y174" s="181"/>
    </row>
    <row r="175" spans="25:25">
      <c r="Y175" s="181"/>
    </row>
    <row r="176" spans="25:25">
      <c r="Y176" s="181"/>
    </row>
    <row r="177" spans="25:25">
      <c r="Y177" s="181"/>
    </row>
    <row r="178" spans="25:25">
      <c r="Y178" s="181"/>
    </row>
    <row r="179" spans="25:25">
      <c r="Y179" s="181"/>
    </row>
    <row r="180" spans="25:25">
      <c r="Y180" s="181"/>
    </row>
    <row r="181" spans="25:25">
      <c r="Y181" s="181"/>
    </row>
    <row r="182" spans="25:25">
      <c r="Y182" s="181"/>
    </row>
    <row r="183" spans="25:25">
      <c r="Y183" s="181"/>
    </row>
    <row r="184" spans="25:25">
      <c r="Y184" s="181"/>
    </row>
    <row r="185" spans="25:25">
      <c r="Y185" s="181"/>
    </row>
    <row r="186" spans="25:25">
      <c r="Y186" s="181"/>
    </row>
    <row r="187" spans="25:25">
      <c r="Y187" s="181"/>
    </row>
    <row r="188" spans="25:25">
      <c r="Y188" s="181"/>
    </row>
    <row r="189" spans="25:25">
      <c r="Y189" s="181"/>
    </row>
    <row r="190" spans="25:25">
      <c r="Y190" s="181"/>
    </row>
    <row r="191" spans="25:25">
      <c r="Y191" s="181"/>
    </row>
    <row r="192" spans="25:25">
      <c r="Y192" s="181"/>
    </row>
    <row r="193" spans="25:25">
      <c r="Y193" s="181"/>
    </row>
    <row r="194" spans="25:25">
      <c r="Y194" s="181"/>
    </row>
    <row r="195" spans="25:25">
      <c r="Y195" s="181"/>
    </row>
    <row r="196" spans="25:25">
      <c r="Y196" s="181"/>
    </row>
    <row r="197" spans="25:25">
      <c r="Y197" s="181"/>
    </row>
    <row r="198" spans="25:25">
      <c r="Y198" s="181"/>
    </row>
    <row r="199" spans="25:25">
      <c r="Y199" s="181"/>
    </row>
    <row r="200" spans="25:25">
      <c r="Y200" s="181"/>
    </row>
    <row r="201" spans="25:25">
      <c r="Y201" s="181"/>
    </row>
    <row r="202" spans="25:25">
      <c r="Y202" s="181"/>
    </row>
    <row r="203" spans="25:25">
      <c r="Y203" s="181"/>
    </row>
    <row r="204" spans="25:25">
      <c r="Y204" s="181"/>
    </row>
    <row r="205" spans="25:25">
      <c r="Y205" s="181"/>
    </row>
    <row r="206" spans="25:25">
      <c r="Y206" s="181"/>
    </row>
    <row r="207" spans="25:25">
      <c r="Y207" s="181"/>
    </row>
    <row r="208" spans="25:25">
      <c r="Y208" s="181"/>
    </row>
    <row r="209" spans="25:25">
      <c r="Y209" s="181"/>
    </row>
    <row r="210" spans="25:25">
      <c r="Y210" s="181"/>
    </row>
    <row r="211" spans="25:25">
      <c r="Y211" s="181"/>
    </row>
    <row r="212" spans="25:25">
      <c r="Y212" s="181"/>
    </row>
    <row r="213" spans="25:25">
      <c r="Y213" s="181"/>
    </row>
    <row r="214" spans="25:25">
      <c r="Y214" s="181"/>
    </row>
    <row r="215" spans="25:25">
      <c r="Y215" s="181"/>
    </row>
    <row r="216" spans="25:25">
      <c r="Y216" s="181"/>
    </row>
    <row r="217" spans="25:25">
      <c r="Y217" s="181"/>
    </row>
    <row r="218" spans="25:25">
      <c r="Y218" s="181"/>
    </row>
    <row r="219" spans="25:25">
      <c r="Y219" s="181"/>
    </row>
    <row r="220" spans="25:25">
      <c r="Y220" s="181"/>
    </row>
    <row r="221" spans="25:25">
      <c r="Y221" s="181"/>
    </row>
    <row r="222" spans="25:25">
      <c r="Y222" s="181"/>
    </row>
    <row r="223" spans="25:25">
      <c r="Y223" s="181"/>
    </row>
    <row r="224" spans="25:25">
      <c r="Y224" s="181"/>
    </row>
    <row r="225" spans="25:25">
      <c r="Y225" s="181"/>
    </row>
    <row r="226" spans="25:25">
      <c r="Y226" s="181"/>
    </row>
    <row r="227" spans="25:25">
      <c r="Y227" s="181"/>
    </row>
    <row r="228" spans="25:25">
      <c r="Y228" s="181"/>
    </row>
    <row r="229" spans="25:25">
      <c r="Y229" s="181"/>
    </row>
    <row r="230" spans="25:25">
      <c r="Y230" s="181"/>
    </row>
    <row r="231" spans="25:25">
      <c r="Y231" s="181"/>
    </row>
    <row r="232" spans="25:25">
      <c r="Y232" s="181"/>
    </row>
    <row r="233" spans="25:25">
      <c r="Y233" s="181"/>
    </row>
    <row r="234" spans="25:25">
      <c r="Y234" s="181"/>
    </row>
    <row r="235" spans="25:25">
      <c r="Y235" s="181"/>
    </row>
    <row r="236" spans="25:25">
      <c r="Y236" s="181"/>
    </row>
    <row r="237" spans="25:25">
      <c r="Y237" s="181"/>
    </row>
    <row r="238" spans="25:25">
      <c r="Y238" s="181"/>
    </row>
    <row r="239" spans="25:25">
      <c r="Y239" s="181"/>
    </row>
    <row r="240" spans="25:25">
      <c r="Y240" s="181"/>
    </row>
    <row r="241" spans="25:25">
      <c r="Y241" s="181"/>
    </row>
    <row r="242" spans="25:25">
      <c r="Y242" s="181"/>
    </row>
    <row r="243" spans="25:25">
      <c r="Y243" s="181"/>
    </row>
    <row r="244" spans="25:25">
      <c r="Y244" s="181"/>
    </row>
    <row r="245" spans="25:25">
      <c r="Y245" s="181"/>
    </row>
    <row r="246" spans="25:25">
      <c r="Y246" s="181"/>
    </row>
    <row r="247" spans="25:25">
      <c r="Y247" s="181"/>
    </row>
    <row r="248" spans="25:25">
      <c r="Y248" s="181"/>
    </row>
    <row r="249" spans="25:25">
      <c r="Y249" s="181"/>
    </row>
    <row r="250" spans="25:25">
      <c r="Y250" s="181"/>
    </row>
    <row r="251" spans="25:25">
      <c r="Y251" s="181"/>
    </row>
    <row r="252" spans="25:25">
      <c r="Y252" s="181"/>
    </row>
    <row r="253" spans="25:25">
      <c r="Y253" s="181"/>
    </row>
    <row r="254" spans="25:25">
      <c r="Y254" s="181"/>
    </row>
    <row r="255" spans="25:25">
      <c r="Y255" s="181"/>
    </row>
    <row r="256" spans="25:25">
      <c r="Y256" s="181"/>
    </row>
    <row r="257" spans="25:25">
      <c r="Y257" s="181"/>
    </row>
    <row r="258" spans="25:25">
      <c r="Y258" s="181"/>
    </row>
    <row r="259" spans="25:25">
      <c r="Y259" s="181"/>
    </row>
    <row r="260" spans="25:25">
      <c r="Y260" s="181"/>
    </row>
    <row r="261" spans="25:25">
      <c r="Y261" s="181"/>
    </row>
    <row r="262" spans="25:25">
      <c r="Y262" s="181"/>
    </row>
    <row r="263" spans="25:25">
      <c r="Y263" s="181"/>
    </row>
    <row r="264" spans="25:25">
      <c r="Y264" s="181"/>
    </row>
    <row r="265" spans="25:25">
      <c r="Y265" s="181"/>
    </row>
    <row r="266" spans="25:25">
      <c r="Y266" s="181"/>
    </row>
    <row r="267" spans="25:25">
      <c r="Y267" s="181"/>
    </row>
    <row r="268" spans="25:25">
      <c r="Y268" s="181"/>
    </row>
    <row r="269" spans="25:25">
      <c r="Y269" s="181"/>
    </row>
    <row r="270" spans="25:25">
      <c r="Y270" s="181"/>
    </row>
    <row r="271" spans="25:25">
      <c r="Y271" s="181"/>
    </row>
    <row r="272" spans="25:25">
      <c r="Y272" s="181"/>
    </row>
    <row r="273" spans="25:25">
      <c r="Y273" s="181"/>
    </row>
    <row r="274" spans="25:25">
      <c r="Y274" s="181"/>
    </row>
    <row r="275" spans="25:25">
      <c r="Y275" s="181"/>
    </row>
    <row r="276" spans="25:25">
      <c r="Y276" s="181"/>
    </row>
    <row r="277" spans="25:25">
      <c r="Y277" s="181"/>
    </row>
    <row r="278" spans="25:25">
      <c r="Y278" s="181"/>
    </row>
    <row r="279" spans="25:25">
      <c r="Y279" s="181"/>
    </row>
    <row r="280" spans="25:25">
      <c r="Y280" s="181"/>
    </row>
    <row r="281" spans="25:25">
      <c r="Y281" s="181"/>
    </row>
    <row r="282" spans="25:25">
      <c r="Y282" s="181"/>
    </row>
    <row r="283" spans="25:25">
      <c r="Y283" s="181"/>
    </row>
    <row r="284" spans="25:25">
      <c r="Y284" s="181"/>
    </row>
    <row r="285" spans="25:25">
      <c r="Y285" s="181"/>
    </row>
    <row r="286" spans="25:25">
      <c r="Y286" s="181"/>
    </row>
    <row r="287" spans="25:25">
      <c r="Y287" s="181"/>
    </row>
    <row r="288" spans="25:25">
      <c r="Y288" s="181"/>
    </row>
    <row r="289" spans="25:25">
      <c r="Y289" s="181"/>
    </row>
    <row r="290" spans="25:25">
      <c r="Y290" s="181"/>
    </row>
    <row r="291" spans="25:25">
      <c r="Y291" s="181"/>
    </row>
    <row r="292" spans="25:25">
      <c r="Y292" s="181"/>
    </row>
    <row r="293" spans="25:25">
      <c r="Y293" s="181"/>
    </row>
    <row r="294" spans="25:25">
      <c r="Y294" s="181"/>
    </row>
    <row r="295" spans="25:25">
      <c r="Y295" s="181"/>
    </row>
    <row r="296" spans="25:25">
      <c r="Y296" s="181"/>
    </row>
    <row r="297" spans="25:25">
      <c r="Y297" s="181"/>
    </row>
    <row r="298" spans="25:25">
      <c r="Y298" s="181"/>
    </row>
    <row r="299" spans="25:25">
      <c r="Y299" s="181"/>
    </row>
    <row r="300" spans="25:25">
      <c r="Y300" s="181"/>
    </row>
    <row r="301" spans="25:25">
      <c r="Y301" s="181"/>
    </row>
    <row r="302" spans="25:25">
      <c r="Y302" s="181"/>
    </row>
    <row r="303" spans="25:25">
      <c r="Y303" s="181"/>
    </row>
    <row r="304" spans="25:25">
      <c r="Y304" s="181"/>
    </row>
    <row r="305" spans="25:25">
      <c r="Y305" s="181"/>
    </row>
    <row r="306" spans="25:25">
      <c r="Y306" s="181"/>
    </row>
    <row r="307" spans="25:25">
      <c r="Y307" s="181"/>
    </row>
    <row r="308" spans="25:25">
      <c r="Y308" s="181"/>
    </row>
    <row r="309" spans="25:25">
      <c r="Y309" s="181"/>
    </row>
    <row r="310" spans="25:25">
      <c r="Y310" s="181"/>
    </row>
    <row r="311" spans="25:25">
      <c r="Y311" s="181"/>
    </row>
    <row r="312" spans="25:25">
      <c r="Y312" s="181"/>
    </row>
    <row r="313" spans="25:25">
      <c r="Y313" s="181"/>
    </row>
    <row r="314" spans="25:25">
      <c r="Y314" s="181"/>
    </row>
    <row r="315" spans="25:25">
      <c r="Y315" s="181"/>
    </row>
    <row r="316" spans="25:25">
      <c r="Y316" s="181"/>
    </row>
    <row r="317" spans="25:25">
      <c r="Y317" s="181"/>
    </row>
    <row r="318" spans="25:25">
      <c r="Y318" s="181"/>
    </row>
    <row r="319" spans="25:25">
      <c r="Y319" s="181"/>
    </row>
    <row r="320" spans="25:25">
      <c r="Y320" s="181"/>
    </row>
    <row r="321" spans="25:25">
      <c r="Y321" s="181"/>
    </row>
    <row r="322" spans="25:25">
      <c r="Y322" s="181"/>
    </row>
    <row r="323" spans="25:25">
      <c r="Y323" s="181"/>
    </row>
    <row r="324" spans="25:25">
      <c r="Y324" s="181"/>
    </row>
    <row r="325" spans="25:25">
      <c r="Y325" s="181"/>
    </row>
    <row r="326" spans="25:25">
      <c r="Y326" s="181"/>
    </row>
    <row r="327" spans="25:25">
      <c r="Y327" s="181"/>
    </row>
    <row r="328" spans="25:25">
      <c r="Y328" s="181"/>
    </row>
    <row r="329" spans="25:25">
      <c r="Y329" s="181"/>
    </row>
    <row r="330" spans="25:25">
      <c r="Y330" s="181"/>
    </row>
    <row r="331" spans="25:25">
      <c r="Y331" s="181"/>
    </row>
    <row r="332" spans="25:25">
      <c r="Y332" s="181"/>
    </row>
    <row r="333" spans="25:25">
      <c r="Y333" s="181"/>
    </row>
    <row r="334" spans="25:25">
      <c r="Y334" s="181"/>
    </row>
    <row r="335" spans="25:25">
      <c r="Y335" s="181"/>
    </row>
    <row r="336" spans="25:25">
      <c r="Y336" s="181"/>
    </row>
    <row r="337" spans="25:25">
      <c r="Y337" s="181"/>
    </row>
    <row r="338" spans="25:25">
      <c r="Y338" s="181"/>
    </row>
    <row r="339" spans="25:25">
      <c r="Y339" s="181"/>
    </row>
    <row r="340" spans="25:25">
      <c r="Y340" s="181"/>
    </row>
    <row r="341" spans="25:25">
      <c r="Y341" s="181"/>
    </row>
    <row r="342" spans="25:25">
      <c r="Y342" s="181"/>
    </row>
    <row r="343" spans="25:25">
      <c r="Y343" s="181"/>
    </row>
    <row r="344" spans="25:25">
      <c r="Y344" s="181"/>
    </row>
    <row r="345" spans="25:25">
      <c r="Y345" s="181"/>
    </row>
    <row r="346" spans="25:25">
      <c r="Y346" s="181"/>
    </row>
    <row r="347" spans="25:25">
      <c r="Y347" s="181"/>
    </row>
    <row r="348" spans="25:25">
      <c r="Y348" s="181"/>
    </row>
    <row r="349" spans="25:25">
      <c r="Y349" s="181"/>
    </row>
    <row r="350" spans="25:25">
      <c r="Y350" s="181"/>
    </row>
    <row r="351" spans="25:25">
      <c r="Y351" s="181"/>
    </row>
    <row r="352" spans="25:25">
      <c r="Y352" s="181"/>
    </row>
    <row r="353" spans="25:25">
      <c r="Y353" s="181"/>
    </row>
    <row r="354" spans="25:25">
      <c r="Y354" s="181"/>
    </row>
    <row r="355" spans="25:25">
      <c r="Y355" s="181"/>
    </row>
    <row r="356" spans="25:25">
      <c r="Y356" s="181"/>
    </row>
    <row r="357" spans="25:25">
      <c r="Y357" s="181"/>
    </row>
    <row r="358" spans="25:25">
      <c r="Y358" s="181"/>
    </row>
    <row r="359" spans="25:25">
      <c r="Y359" s="181"/>
    </row>
    <row r="360" spans="25:25">
      <c r="Y360" s="181"/>
    </row>
    <row r="361" spans="25:25">
      <c r="Y361" s="181"/>
    </row>
    <row r="362" spans="25:25">
      <c r="Y362" s="181"/>
    </row>
    <row r="363" spans="25:25">
      <c r="Y363" s="181"/>
    </row>
    <row r="364" spans="25:25">
      <c r="Y364" s="181"/>
    </row>
    <row r="365" spans="25:25">
      <c r="Y365" s="181"/>
    </row>
    <row r="366" spans="25:25">
      <c r="Y366" s="181"/>
    </row>
    <row r="367" spans="25:25">
      <c r="Y367" s="181"/>
    </row>
    <row r="368" spans="25:25">
      <c r="Y368" s="181"/>
    </row>
    <row r="369" spans="25:25">
      <c r="Y369" s="181"/>
    </row>
    <row r="370" spans="25:25">
      <c r="Y370" s="181"/>
    </row>
    <row r="371" spans="25:25">
      <c r="Y371" s="181"/>
    </row>
    <row r="372" spans="25:25">
      <c r="Y372" s="181"/>
    </row>
    <row r="373" spans="25:25">
      <c r="Y373" s="181"/>
    </row>
    <row r="374" spans="25:25">
      <c r="Y374" s="181"/>
    </row>
    <row r="375" spans="25:25">
      <c r="Y375" s="181"/>
    </row>
    <row r="376" spans="25:25">
      <c r="Y376" s="181"/>
    </row>
    <row r="377" spans="25:25">
      <c r="Y377" s="181"/>
    </row>
    <row r="378" spans="25:25">
      <c r="Y378" s="181"/>
    </row>
    <row r="379" spans="25:25">
      <c r="Y379" s="181"/>
    </row>
    <row r="380" spans="25:25">
      <c r="Y380" s="181"/>
    </row>
    <row r="381" spans="25:25">
      <c r="Y381" s="181"/>
    </row>
    <row r="382" spans="25:25">
      <c r="Y382" s="181"/>
    </row>
    <row r="383" spans="25:25">
      <c r="Y383" s="181"/>
    </row>
    <row r="384" spans="25:25">
      <c r="Y384" s="181"/>
    </row>
    <row r="385" spans="25:25">
      <c r="Y385" s="181"/>
    </row>
    <row r="386" spans="25:25">
      <c r="Y386" s="181"/>
    </row>
    <row r="387" spans="25:25">
      <c r="Y387" s="181"/>
    </row>
    <row r="388" spans="25:25">
      <c r="Y388" s="181"/>
    </row>
    <row r="389" spans="25:25">
      <c r="Y389" s="181"/>
    </row>
    <row r="390" spans="25:25">
      <c r="Y390" s="181"/>
    </row>
    <row r="391" spans="25:25">
      <c r="Y391" s="181"/>
    </row>
    <row r="392" spans="25:25">
      <c r="Y392" s="181"/>
    </row>
    <row r="393" spans="25:25">
      <c r="Y393" s="181"/>
    </row>
    <row r="394" spans="25:25">
      <c r="Y394" s="181"/>
    </row>
    <row r="395" spans="25:25">
      <c r="Y395" s="181"/>
    </row>
    <row r="396" spans="25:25">
      <c r="Y396" s="181"/>
    </row>
    <row r="397" spans="25:25">
      <c r="Y397" s="181"/>
    </row>
    <row r="398" spans="25:25">
      <c r="Y398" s="181"/>
    </row>
    <row r="399" spans="25:25">
      <c r="Y399" s="181"/>
    </row>
    <row r="400" spans="25:25">
      <c r="Y400" s="181"/>
    </row>
    <row r="401" spans="25:25">
      <c r="Y401" s="181"/>
    </row>
    <row r="402" spans="25:25">
      <c r="Y402" s="181"/>
    </row>
    <row r="403" spans="25:25">
      <c r="Y403" s="181"/>
    </row>
    <row r="404" spans="25:25">
      <c r="Y404" s="181"/>
    </row>
    <row r="405" spans="25:25">
      <c r="Y405" s="181"/>
    </row>
    <row r="406" spans="25:25">
      <c r="Y406" s="181"/>
    </row>
    <row r="407" spans="25:25">
      <c r="Y407" s="181"/>
    </row>
    <row r="408" spans="25:25">
      <c r="Y408" s="181"/>
    </row>
    <row r="409" spans="25:25">
      <c r="Y409" s="181"/>
    </row>
    <row r="410" spans="25:25">
      <c r="Y410" s="181"/>
    </row>
    <row r="411" spans="25:25">
      <c r="Y411" s="181"/>
    </row>
    <row r="412" spans="25:25">
      <c r="Y412" s="181"/>
    </row>
    <row r="413" spans="25:25">
      <c r="Y413" s="181"/>
    </row>
    <row r="414" spans="25:25">
      <c r="Y414" s="181"/>
    </row>
    <row r="415" spans="25:25">
      <c r="Y415" s="181"/>
    </row>
    <row r="416" spans="25:25">
      <c r="Y416" s="181"/>
    </row>
    <row r="417" spans="25:25">
      <c r="Y417" s="181"/>
    </row>
    <row r="418" spans="25:25">
      <c r="Y418" s="181"/>
    </row>
    <row r="419" spans="25:25">
      <c r="Y419" s="181"/>
    </row>
    <row r="420" spans="25:25">
      <c r="Y420" s="181"/>
    </row>
    <row r="421" spans="25:25">
      <c r="Y421" s="181"/>
    </row>
    <row r="422" spans="25:25">
      <c r="Y422" s="181"/>
    </row>
    <row r="423" spans="25:25">
      <c r="Y423" s="181"/>
    </row>
    <row r="424" spans="25:25">
      <c r="Y424" s="181"/>
    </row>
    <row r="425" spans="25:25">
      <c r="Y425" s="181"/>
    </row>
    <row r="426" spans="25:25">
      <c r="Y426" s="181"/>
    </row>
    <row r="427" spans="25:25">
      <c r="Y427" s="181"/>
    </row>
    <row r="428" spans="25:25">
      <c r="Y428" s="181"/>
    </row>
    <row r="429" spans="25:25">
      <c r="Y429" s="181"/>
    </row>
    <row r="430" spans="25:25">
      <c r="Y430" s="181"/>
    </row>
    <row r="431" spans="25:25">
      <c r="Y431" s="181"/>
    </row>
    <row r="432" spans="25:25">
      <c r="Y432" s="181"/>
    </row>
    <row r="433" spans="25:25">
      <c r="Y433" s="181"/>
    </row>
    <row r="434" spans="25:25">
      <c r="Y434" s="181"/>
    </row>
    <row r="435" spans="25:25">
      <c r="Y435" s="181"/>
    </row>
    <row r="436" spans="25:25">
      <c r="Y436" s="181"/>
    </row>
    <row r="437" spans="25:25">
      <c r="Y437" s="181"/>
    </row>
    <row r="438" spans="25:25">
      <c r="Y438" s="181"/>
    </row>
    <row r="439" spans="25:25">
      <c r="Y439" s="181"/>
    </row>
    <row r="440" spans="25:25">
      <c r="Y440" s="181"/>
    </row>
    <row r="441" spans="25:25">
      <c r="Y441" s="181"/>
    </row>
    <row r="442" spans="25:25">
      <c r="Y442" s="181"/>
    </row>
    <row r="443" spans="25:25">
      <c r="Y443" s="181"/>
    </row>
    <row r="444" spans="25:25">
      <c r="Y444" s="181"/>
    </row>
    <row r="445" spans="25:25">
      <c r="Y445" s="181"/>
    </row>
    <row r="446" spans="25:25">
      <c r="Y446" s="181"/>
    </row>
    <row r="447" spans="25:25">
      <c r="Y447" s="181"/>
    </row>
    <row r="448" spans="25:25">
      <c r="Y448" s="181"/>
    </row>
    <row r="449" spans="25:25">
      <c r="Y449" s="181"/>
    </row>
    <row r="450" spans="25:25">
      <c r="Y450" s="181"/>
    </row>
    <row r="451" spans="25:25">
      <c r="Y451" s="181"/>
    </row>
    <row r="452" spans="25:25">
      <c r="Y452" s="181"/>
    </row>
    <row r="453" spans="25:25">
      <c r="Y453" s="181"/>
    </row>
    <row r="454" spans="25:25">
      <c r="Y454" s="181"/>
    </row>
    <row r="455" spans="25:25">
      <c r="Y455" s="181"/>
    </row>
    <row r="456" spans="25:25">
      <c r="Y456" s="181"/>
    </row>
    <row r="457" spans="25:25">
      <c r="Y457" s="181"/>
    </row>
    <row r="458" spans="25:25">
      <c r="Y458" s="181"/>
    </row>
    <row r="459" spans="25:25">
      <c r="Y459" s="181"/>
    </row>
    <row r="460" spans="25:25">
      <c r="Y460" s="181"/>
    </row>
    <row r="461" spans="25:25">
      <c r="Y461" s="181"/>
    </row>
    <row r="462" spans="25:25">
      <c r="Y462" s="181"/>
    </row>
    <row r="463" spans="25:25">
      <c r="Y463" s="181"/>
    </row>
    <row r="464" spans="25:25">
      <c r="Y464" s="181"/>
    </row>
    <row r="465" spans="25:25">
      <c r="Y465" s="181"/>
    </row>
    <row r="466" spans="25:25">
      <c r="Y466" s="181"/>
    </row>
    <row r="467" spans="25:25">
      <c r="Y467" s="181"/>
    </row>
    <row r="468" spans="25:25">
      <c r="Y468" s="181"/>
    </row>
    <row r="469" spans="25:25">
      <c r="Y469" s="181"/>
    </row>
    <row r="470" spans="25:25">
      <c r="Y470" s="181"/>
    </row>
    <row r="471" spans="25:25">
      <c r="Y471" s="181"/>
    </row>
    <row r="472" spans="25:25">
      <c r="Y472" s="181"/>
    </row>
    <row r="473" spans="25:25">
      <c r="Y473" s="181"/>
    </row>
    <row r="474" spans="25:25">
      <c r="Y474" s="181"/>
    </row>
    <row r="475" spans="25:25">
      <c r="Y475" s="181"/>
    </row>
    <row r="476" spans="25:25">
      <c r="Y476" s="181"/>
    </row>
    <row r="477" spans="25:25">
      <c r="Y477" s="181"/>
    </row>
    <row r="478" spans="25:25">
      <c r="Y478" s="181"/>
    </row>
    <row r="479" spans="25:25">
      <c r="Y479" s="181"/>
    </row>
    <row r="480" spans="25:25">
      <c r="Y480" s="181"/>
    </row>
    <row r="481" spans="25:25">
      <c r="Y481" s="181"/>
    </row>
    <row r="482" spans="25:25">
      <c r="Y482" s="181"/>
    </row>
    <row r="483" spans="25:25">
      <c r="Y483" s="181"/>
    </row>
    <row r="484" spans="25:25">
      <c r="Y484" s="181"/>
    </row>
    <row r="485" spans="25:25">
      <c r="Y485" s="181"/>
    </row>
    <row r="486" spans="25:25">
      <c r="Y486" s="181"/>
    </row>
    <row r="487" spans="25:25">
      <c r="Y487" s="181"/>
    </row>
    <row r="488" spans="25:25">
      <c r="Y488" s="181"/>
    </row>
    <row r="489" spans="25:25">
      <c r="Y489" s="181"/>
    </row>
    <row r="490" spans="25:25">
      <c r="Y490" s="181"/>
    </row>
    <row r="491" spans="25:25">
      <c r="Y491" s="181"/>
    </row>
    <row r="492" spans="25:25">
      <c r="Y492" s="181"/>
    </row>
    <row r="493" spans="25:25">
      <c r="Y493" s="181"/>
    </row>
    <row r="494" spans="25:25">
      <c r="Y494" s="181"/>
    </row>
    <row r="495" spans="25:25">
      <c r="Y495" s="181"/>
    </row>
    <row r="496" spans="25:25">
      <c r="Y496" s="181"/>
    </row>
    <row r="497" spans="25:25">
      <c r="Y497" s="181"/>
    </row>
    <row r="498" spans="25:25">
      <c r="Y498" s="181"/>
    </row>
    <row r="499" spans="25:25">
      <c r="Y499" s="181"/>
    </row>
    <row r="500" spans="25:25">
      <c r="Y500" s="181"/>
    </row>
    <row r="501" spans="25:25">
      <c r="Y501" s="181"/>
    </row>
    <row r="502" spans="25:25">
      <c r="Y502" s="181"/>
    </row>
    <row r="503" spans="25:25">
      <c r="Y503" s="181"/>
    </row>
    <row r="504" spans="25:25">
      <c r="Y504" s="181"/>
    </row>
    <row r="505" spans="25:25">
      <c r="Y505" s="181"/>
    </row>
    <row r="506" spans="25:25">
      <c r="Y506" s="181"/>
    </row>
    <row r="507" spans="25:25">
      <c r="Y507" s="181"/>
    </row>
    <row r="508" spans="25:25">
      <c r="Y508" s="181"/>
    </row>
    <row r="509" spans="25:25">
      <c r="Y509" s="181"/>
    </row>
    <row r="510" spans="25:25">
      <c r="Y510" s="181"/>
    </row>
    <row r="511" spans="25:25">
      <c r="Y511" s="181"/>
    </row>
    <row r="512" spans="25:25">
      <c r="Y512" s="181"/>
    </row>
    <row r="513" spans="25:25">
      <c r="Y513" s="181"/>
    </row>
    <row r="514" spans="25:25">
      <c r="Y514" s="181"/>
    </row>
    <row r="515" spans="25:25">
      <c r="Y515" s="181"/>
    </row>
    <row r="516" spans="25:25">
      <c r="Y516" s="181"/>
    </row>
    <row r="517" spans="25:25">
      <c r="Y517" s="181"/>
    </row>
    <row r="518" spans="25:25">
      <c r="Y518" s="181"/>
    </row>
    <row r="519" spans="25:25">
      <c r="Y519" s="181"/>
    </row>
    <row r="520" spans="25:25">
      <c r="Y520" s="181"/>
    </row>
    <row r="521" spans="25:25">
      <c r="Y521" s="181"/>
    </row>
    <row r="522" spans="25:25">
      <c r="Y522" s="181"/>
    </row>
    <row r="523" spans="25:25">
      <c r="Y523" s="181"/>
    </row>
    <row r="524" spans="25:25">
      <c r="Y524" s="181"/>
    </row>
    <row r="525" spans="25:25">
      <c r="Y525" s="181"/>
    </row>
    <row r="526" spans="25:25">
      <c r="Y526" s="181"/>
    </row>
    <row r="527" spans="25:25">
      <c r="Y527" s="181"/>
    </row>
    <row r="528" spans="25:25">
      <c r="Y528" s="181"/>
    </row>
    <row r="529" spans="25:25">
      <c r="Y529" s="181"/>
    </row>
    <row r="530" spans="25:25">
      <c r="Y530" s="181"/>
    </row>
    <row r="531" spans="25:25">
      <c r="Y531" s="181"/>
    </row>
    <row r="532" spans="25:25">
      <c r="Y532" s="181"/>
    </row>
    <row r="533" spans="25:25">
      <c r="Y533" s="181"/>
    </row>
    <row r="534" spans="25:25">
      <c r="Y534" s="181"/>
    </row>
    <row r="535" spans="25:25">
      <c r="Y535" s="181"/>
    </row>
    <row r="536" spans="25:25">
      <c r="Y536" s="181"/>
    </row>
    <row r="537" spans="25:25">
      <c r="Y537" s="181"/>
    </row>
    <row r="538" spans="25:25">
      <c r="Y538" s="181"/>
    </row>
    <row r="539" spans="25:25">
      <c r="Y539" s="181"/>
    </row>
    <row r="540" spans="25:25">
      <c r="Y540" s="181"/>
    </row>
    <row r="541" spans="25:25">
      <c r="Y541" s="181"/>
    </row>
    <row r="542" spans="25:25">
      <c r="Y542" s="181"/>
    </row>
    <row r="543" spans="25:25">
      <c r="Y543" s="181"/>
    </row>
    <row r="544" spans="25:25">
      <c r="Y544" s="181"/>
    </row>
    <row r="545" spans="25:25">
      <c r="Y545" s="181"/>
    </row>
    <row r="546" spans="25:25">
      <c r="Y546" s="181"/>
    </row>
    <row r="547" spans="25:25">
      <c r="Y547" s="181"/>
    </row>
    <row r="548" spans="25:25">
      <c r="Y548" s="181"/>
    </row>
    <row r="549" spans="25:25">
      <c r="Y549" s="181"/>
    </row>
    <row r="550" spans="25:25">
      <c r="Y550" s="181"/>
    </row>
    <row r="551" spans="25:25">
      <c r="Y551" s="181"/>
    </row>
    <row r="552" spans="25:25">
      <c r="Y552" s="181"/>
    </row>
    <row r="553" spans="25:25">
      <c r="Y553" s="181"/>
    </row>
    <row r="554" spans="25:25">
      <c r="Y554" s="181"/>
    </row>
    <row r="555" spans="25:25">
      <c r="Y555" s="181"/>
    </row>
    <row r="556" spans="25:25">
      <c r="Y556" s="181"/>
    </row>
    <row r="557" spans="25:25">
      <c r="Y557" s="181"/>
    </row>
    <row r="558" spans="25:25">
      <c r="Y558" s="181"/>
    </row>
    <row r="559" spans="25:25">
      <c r="Y559" s="181"/>
    </row>
    <row r="560" spans="25:25">
      <c r="Y560" s="181"/>
    </row>
    <row r="561" spans="25:25">
      <c r="Y561" s="181"/>
    </row>
    <row r="562" spans="25:25">
      <c r="Y562" s="181"/>
    </row>
    <row r="563" spans="25:25">
      <c r="Y563" s="181"/>
    </row>
    <row r="564" spans="25:25">
      <c r="Y564" s="181"/>
    </row>
    <row r="565" spans="25:25">
      <c r="Y565" s="181"/>
    </row>
    <row r="566" spans="25:25">
      <c r="Y566" s="181"/>
    </row>
    <row r="567" spans="25:25">
      <c r="Y567" s="181"/>
    </row>
    <row r="568" spans="25:25">
      <c r="Y568" s="181"/>
    </row>
    <row r="569" spans="25:25">
      <c r="Y569" s="181"/>
    </row>
    <row r="570" spans="25:25">
      <c r="Y570" s="181"/>
    </row>
    <row r="571" spans="25:25">
      <c r="Y571" s="181"/>
    </row>
    <row r="572" spans="25:25">
      <c r="Y572" s="181"/>
    </row>
    <row r="573" spans="25:25">
      <c r="Y573" s="181"/>
    </row>
    <row r="574" spans="25:25">
      <c r="Y574" s="181"/>
    </row>
    <row r="575" spans="25:25">
      <c r="Y575" s="181"/>
    </row>
    <row r="576" spans="25:25">
      <c r="Y576" s="181"/>
    </row>
    <row r="577" spans="25:25">
      <c r="Y577" s="181"/>
    </row>
    <row r="578" spans="25:25">
      <c r="Y578" s="181"/>
    </row>
    <row r="579" spans="25:25">
      <c r="Y579" s="181"/>
    </row>
    <row r="580" spans="25:25">
      <c r="Y580" s="181"/>
    </row>
    <row r="581" spans="25:25">
      <c r="Y581" s="181"/>
    </row>
    <row r="582" spans="25:25">
      <c r="Y582" s="181"/>
    </row>
    <row r="583" spans="25:25">
      <c r="Y583" s="181"/>
    </row>
    <row r="584" spans="25:25">
      <c r="Y584" s="181"/>
    </row>
    <row r="585" spans="25:25">
      <c r="Y585" s="181"/>
    </row>
    <row r="586" spans="25:25">
      <c r="Y586" s="181"/>
    </row>
    <row r="587" spans="25:25">
      <c r="Y587" s="181"/>
    </row>
    <row r="588" spans="25:25">
      <c r="Y588" s="181"/>
    </row>
    <row r="589" spans="25:25">
      <c r="Y589" s="181"/>
    </row>
    <row r="590" spans="25:25">
      <c r="Y590" s="181"/>
    </row>
    <row r="591" spans="25:25">
      <c r="Y591" s="181"/>
    </row>
    <row r="592" spans="25:25">
      <c r="Y592" s="181"/>
    </row>
    <row r="593" spans="25:25">
      <c r="Y593" s="181"/>
    </row>
    <row r="594" spans="25:25">
      <c r="Y594" s="181"/>
    </row>
    <row r="595" spans="25:25">
      <c r="Y595" s="181"/>
    </row>
    <row r="596" spans="25:25">
      <c r="Y596" s="181"/>
    </row>
    <row r="597" spans="25:25">
      <c r="Y597" s="181"/>
    </row>
    <row r="598" spans="25:25">
      <c r="Y598" s="181"/>
    </row>
    <row r="599" spans="25:25">
      <c r="Y599" s="181"/>
    </row>
    <row r="600" spans="25:25">
      <c r="Y600" s="181"/>
    </row>
    <row r="601" spans="25:25">
      <c r="Y601" s="181"/>
    </row>
    <row r="602" spans="25:25">
      <c r="Y602" s="181"/>
    </row>
    <row r="603" spans="25:25">
      <c r="Y603" s="181"/>
    </row>
    <row r="604" spans="25:25">
      <c r="Y604" s="181"/>
    </row>
    <row r="605" spans="25:25">
      <c r="Y605" s="181"/>
    </row>
    <row r="606" spans="25:25">
      <c r="Y606" s="181"/>
    </row>
    <row r="607" spans="25:25">
      <c r="Y607" s="181"/>
    </row>
    <row r="608" spans="25:25">
      <c r="Y608" s="181"/>
    </row>
    <row r="609" spans="25:25">
      <c r="Y609" s="181"/>
    </row>
    <row r="610" spans="25:25">
      <c r="Y610" s="181"/>
    </row>
    <row r="611" spans="25:25">
      <c r="Y611" s="181"/>
    </row>
    <row r="612" spans="25:25">
      <c r="Y612" s="181"/>
    </row>
    <row r="613" spans="25:25">
      <c r="Y613" s="181"/>
    </row>
    <row r="614" spans="25:25">
      <c r="Y614" s="181"/>
    </row>
    <row r="615" spans="25:25">
      <c r="Y615" s="181"/>
    </row>
    <row r="616" spans="25:25">
      <c r="Y616" s="181"/>
    </row>
    <row r="617" spans="25:25">
      <c r="Y617" s="181"/>
    </row>
    <row r="618" spans="25:25">
      <c r="Y618" s="181"/>
    </row>
    <row r="619" spans="25:25">
      <c r="Y619" s="181"/>
    </row>
    <row r="620" spans="25:25">
      <c r="Y620" s="181"/>
    </row>
    <row r="621" spans="25:25">
      <c r="Y621" s="181"/>
    </row>
    <row r="622" spans="25:25">
      <c r="Y622" s="181"/>
    </row>
    <row r="623" spans="25:25">
      <c r="Y623" s="181"/>
    </row>
    <row r="624" spans="25:25">
      <c r="Y624" s="181"/>
    </row>
    <row r="625" spans="25:25">
      <c r="Y625" s="181"/>
    </row>
    <row r="626" spans="25:25">
      <c r="Y626" s="181"/>
    </row>
    <row r="627" spans="25:25">
      <c r="Y627" s="181"/>
    </row>
    <row r="628" spans="25:25">
      <c r="Y628" s="181"/>
    </row>
    <row r="629" spans="25:25">
      <c r="Y629" s="181"/>
    </row>
    <row r="630" spans="25:25">
      <c r="Y630" s="181"/>
    </row>
    <row r="631" spans="25:25">
      <c r="Y631" s="181"/>
    </row>
    <row r="632" spans="25:25">
      <c r="Y632" s="181"/>
    </row>
    <row r="633" spans="25:25">
      <c r="Y633" s="181"/>
    </row>
    <row r="634" spans="25:25">
      <c r="Y634" s="181"/>
    </row>
    <row r="635" spans="25:25">
      <c r="Y635" s="181"/>
    </row>
    <row r="636" spans="25:25">
      <c r="Y636" s="181"/>
    </row>
    <row r="637" spans="25:25">
      <c r="Y637" s="181"/>
    </row>
    <row r="638" spans="25:25">
      <c r="Y638" s="181"/>
    </row>
    <row r="639" spans="25:25">
      <c r="Y639" s="181"/>
    </row>
    <row r="640" spans="25:25">
      <c r="Y640" s="181"/>
    </row>
    <row r="641" spans="25:25">
      <c r="Y641" s="181"/>
    </row>
    <row r="642" spans="25:25">
      <c r="Y642" s="181"/>
    </row>
    <row r="643" spans="25:25">
      <c r="Y643" s="181"/>
    </row>
    <row r="644" spans="25:25">
      <c r="Y644" s="181"/>
    </row>
    <row r="645" spans="25:25">
      <c r="Y645" s="181"/>
    </row>
    <row r="646" spans="25:25">
      <c r="Y646" s="181"/>
    </row>
    <row r="647" spans="25:25">
      <c r="Y647" s="181"/>
    </row>
    <row r="648" spans="25:25">
      <c r="Y648" s="181"/>
    </row>
    <row r="649" spans="25:25">
      <c r="Y649" s="181"/>
    </row>
    <row r="650" spans="25:25">
      <c r="Y650" s="181"/>
    </row>
    <row r="651" spans="25:25">
      <c r="Y651" s="181"/>
    </row>
    <row r="652" spans="25:25">
      <c r="Y652" s="181"/>
    </row>
    <row r="653" spans="25:25">
      <c r="Y653" s="181"/>
    </row>
    <row r="654" spans="25:25">
      <c r="Y654" s="181"/>
    </row>
    <row r="655" spans="25:25">
      <c r="Y655" s="181"/>
    </row>
    <row r="656" spans="25:25">
      <c r="Y656" s="181"/>
    </row>
    <row r="657" spans="25:25">
      <c r="Y657" s="181"/>
    </row>
    <row r="658" spans="25:25">
      <c r="Y658" s="181"/>
    </row>
    <row r="659" spans="25:25">
      <c r="Y659" s="181"/>
    </row>
    <row r="660" spans="25:25">
      <c r="Y660" s="181"/>
    </row>
    <row r="661" spans="25:25">
      <c r="Y661" s="181"/>
    </row>
    <row r="662" spans="25:25">
      <c r="Y662" s="181"/>
    </row>
    <row r="663" spans="25:25">
      <c r="Y663" s="181"/>
    </row>
    <row r="664" spans="25:25">
      <c r="Y664" s="181"/>
    </row>
    <row r="665" spans="25:25">
      <c r="Y665" s="181"/>
    </row>
    <row r="666" spans="25:25">
      <c r="Y666" s="181"/>
    </row>
    <row r="667" spans="25:25">
      <c r="Y667" s="181"/>
    </row>
    <row r="668" spans="25:25">
      <c r="Y668" s="181"/>
    </row>
    <row r="669" spans="25:25">
      <c r="Y669" s="181"/>
    </row>
    <row r="670" spans="25:25">
      <c r="Y670" s="181"/>
    </row>
    <row r="671" spans="25:25">
      <c r="Y671" s="181"/>
    </row>
    <row r="672" spans="25:25">
      <c r="Y672" s="181"/>
    </row>
    <row r="673" spans="25:25">
      <c r="Y673" s="181"/>
    </row>
    <row r="674" spans="25:25">
      <c r="Y674" s="181"/>
    </row>
    <row r="675" spans="25:25">
      <c r="Y675" s="181"/>
    </row>
    <row r="676" spans="25:25">
      <c r="Y676" s="181"/>
    </row>
    <row r="677" spans="25:25">
      <c r="Y677" s="181"/>
    </row>
    <row r="678" spans="25:25">
      <c r="Y678" s="181"/>
    </row>
    <row r="679" spans="25:25">
      <c r="Y679" s="181"/>
    </row>
    <row r="680" spans="25:25">
      <c r="Y680" s="181"/>
    </row>
    <row r="681" spans="25:25">
      <c r="Y681" s="181"/>
    </row>
    <row r="682" spans="25:25">
      <c r="Y682" s="181"/>
    </row>
    <row r="683" spans="25:25">
      <c r="Y683" s="181"/>
    </row>
    <row r="684" spans="25:25">
      <c r="Y684" s="181"/>
    </row>
    <row r="685" spans="25:25">
      <c r="Y685" s="181"/>
    </row>
    <row r="686" spans="25:25">
      <c r="Y686" s="181"/>
    </row>
    <row r="687" spans="25:25">
      <c r="Y687" s="181"/>
    </row>
    <row r="688" spans="25:25">
      <c r="Y688" s="181"/>
    </row>
    <row r="689" spans="25:25">
      <c r="Y689" s="181"/>
    </row>
    <row r="690" spans="25:25">
      <c r="Y690" s="181"/>
    </row>
    <row r="691" spans="25:25">
      <c r="Y691" s="181"/>
    </row>
    <row r="692" spans="25:25">
      <c r="Y692" s="181"/>
    </row>
    <row r="693" spans="25:25">
      <c r="Y693" s="181"/>
    </row>
    <row r="694" spans="25:25">
      <c r="Y694" s="181"/>
    </row>
    <row r="695" spans="25:25">
      <c r="Y695" s="181"/>
    </row>
    <row r="696" spans="25:25">
      <c r="Y696" s="181"/>
    </row>
    <row r="697" spans="25:25">
      <c r="Y697" s="181"/>
    </row>
    <row r="698" spans="25:25">
      <c r="Y698" s="181"/>
    </row>
    <row r="699" spans="25:25">
      <c r="Y699" s="181"/>
    </row>
    <row r="700" spans="25:25">
      <c r="Y700" s="181"/>
    </row>
    <row r="701" spans="25:25">
      <c r="Y701" s="181"/>
    </row>
    <row r="702" spans="25:25">
      <c r="Y702" s="181"/>
    </row>
    <row r="703" spans="25:25">
      <c r="Y703" s="181"/>
    </row>
    <row r="704" spans="25:25">
      <c r="Y704" s="181"/>
    </row>
    <row r="705" spans="25:25">
      <c r="Y705" s="181"/>
    </row>
    <row r="706" spans="25:25">
      <c r="Y706" s="181"/>
    </row>
    <row r="707" spans="25:25">
      <c r="Y707" s="181"/>
    </row>
    <row r="708" spans="25:25">
      <c r="Y708" s="181"/>
    </row>
    <row r="709" spans="25:25">
      <c r="Y709" s="181"/>
    </row>
    <row r="710" spans="25:25">
      <c r="Y710" s="181"/>
    </row>
    <row r="711" spans="25:25">
      <c r="Y711" s="181"/>
    </row>
    <row r="712" spans="25:25">
      <c r="Y712" s="181"/>
    </row>
    <row r="713" spans="25:25">
      <c r="Y713" s="181"/>
    </row>
    <row r="714" spans="25:25">
      <c r="Y714" s="181"/>
    </row>
    <row r="715" spans="25:25">
      <c r="Y715" s="181"/>
    </row>
    <row r="716" spans="25:25">
      <c r="Y716" s="181"/>
    </row>
    <row r="717" spans="25:25">
      <c r="Y717" s="181"/>
    </row>
    <row r="718" spans="25:25">
      <c r="Y718" s="181"/>
    </row>
    <row r="719" spans="25:25">
      <c r="Y719" s="181"/>
    </row>
    <row r="720" spans="25:25">
      <c r="Y720" s="181"/>
    </row>
    <row r="721" spans="25:25">
      <c r="Y721" s="181"/>
    </row>
    <row r="722" spans="25:25">
      <c r="Y722" s="181"/>
    </row>
    <row r="723" spans="25:25">
      <c r="Y723" s="181"/>
    </row>
    <row r="724" spans="25:25">
      <c r="Y724" s="181"/>
    </row>
    <row r="725" spans="25:25">
      <c r="Y725" s="181"/>
    </row>
    <row r="726" spans="25:25">
      <c r="Y726" s="181"/>
    </row>
    <row r="727" spans="25:25">
      <c r="Y727" s="181"/>
    </row>
    <row r="728" spans="25:25">
      <c r="Y728" s="181"/>
    </row>
    <row r="729" spans="25:25">
      <c r="Y729" s="181"/>
    </row>
    <row r="730" spans="25:25">
      <c r="Y730" s="181"/>
    </row>
    <row r="731" spans="25:25">
      <c r="Y731" s="181"/>
    </row>
    <row r="732" spans="25:25">
      <c r="Y732" s="181"/>
    </row>
    <row r="733" spans="25:25">
      <c r="Y733" s="181"/>
    </row>
    <row r="734" spans="25:25">
      <c r="Y734" s="181"/>
    </row>
    <row r="735" spans="25:25">
      <c r="Y735" s="181"/>
    </row>
    <row r="736" spans="25:25">
      <c r="Y736" s="181"/>
    </row>
    <row r="737" spans="25:25">
      <c r="Y737" s="181"/>
    </row>
    <row r="738" spans="25:25">
      <c r="Y738" s="181"/>
    </row>
    <row r="739" spans="25:25">
      <c r="Y739" s="181"/>
    </row>
    <row r="740" spans="25:25">
      <c r="Y740" s="181"/>
    </row>
    <row r="741" spans="25:25">
      <c r="Y741" s="181"/>
    </row>
    <row r="742" spans="25:25">
      <c r="Y742" s="181"/>
    </row>
    <row r="743" spans="25:25">
      <c r="Y743" s="181"/>
    </row>
    <row r="744" spans="25:25">
      <c r="Y744" s="181"/>
    </row>
    <row r="745" spans="25:25">
      <c r="Y745" s="181"/>
    </row>
    <row r="746" spans="25:25">
      <c r="Y746" s="181"/>
    </row>
    <row r="747" spans="25:25">
      <c r="Y747" s="181"/>
    </row>
    <row r="748" spans="25:25">
      <c r="Y748" s="181"/>
    </row>
    <row r="749" spans="25:25">
      <c r="Y749" s="181"/>
    </row>
    <row r="750" spans="25:25">
      <c r="Y750" s="181"/>
    </row>
    <row r="751" spans="25:25">
      <c r="Y751" s="181"/>
    </row>
    <row r="752" spans="25:25">
      <c r="Y752" s="181"/>
    </row>
    <row r="753" spans="25:25">
      <c r="Y753" s="181"/>
    </row>
    <row r="754" spans="25:25">
      <c r="Y754" s="181"/>
    </row>
    <row r="755" spans="25:25">
      <c r="Y755" s="181"/>
    </row>
    <row r="756" spans="25:25">
      <c r="Y756" s="181"/>
    </row>
    <row r="757" spans="25:25">
      <c r="Y757" s="181"/>
    </row>
    <row r="758" spans="25:25">
      <c r="Y758" s="181"/>
    </row>
    <row r="759" spans="25:25">
      <c r="Y759" s="181"/>
    </row>
    <row r="760" spans="25:25">
      <c r="Y760" s="181"/>
    </row>
    <row r="761" spans="25:25">
      <c r="Y761" s="181"/>
    </row>
    <row r="762" spans="25:25">
      <c r="Y762" s="181"/>
    </row>
    <row r="763" spans="25:25">
      <c r="Y763" s="181"/>
    </row>
    <row r="764" spans="25:25">
      <c r="Y764" s="181"/>
    </row>
    <row r="765" spans="25:25">
      <c r="Y765" s="181"/>
    </row>
    <row r="766" spans="25:25">
      <c r="Y766" s="181"/>
    </row>
    <row r="767" spans="25:25">
      <c r="Y767" s="181"/>
    </row>
    <row r="768" spans="25:25">
      <c r="Y768" s="181"/>
    </row>
    <row r="769" spans="25:25">
      <c r="Y769" s="181"/>
    </row>
    <row r="770" spans="25:25">
      <c r="Y770" s="181"/>
    </row>
    <row r="771" spans="25:25">
      <c r="Y771" s="181"/>
    </row>
    <row r="772" spans="25:25">
      <c r="Y772" s="181"/>
    </row>
    <row r="773" spans="25:25">
      <c r="Y773" s="181"/>
    </row>
    <row r="774" spans="25:25">
      <c r="Y774" s="181"/>
    </row>
    <row r="775" spans="25:25">
      <c r="Y775" s="181"/>
    </row>
    <row r="776" spans="25:25">
      <c r="Y776" s="181"/>
    </row>
    <row r="777" spans="25:25">
      <c r="Y777" s="181"/>
    </row>
    <row r="778" spans="25:25">
      <c r="Y778" s="181"/>
    </row>
    <row r="779" spans="25:25">
      <c r="Y779" s="181"/>
    </row>
    <row r="780" spans="25:25">
      <c r="Y780" s="181"/>
    </row>
    <row r="781" spans="25:25">
      <c r="Y781" s="181"/>
    </row>
    <row r="782" spans="25:25">
      <c r="Y782" s="181"/>
    </row>
    <row r="783" spans="25:25">
      <c r="Y783" s="181"/>
    </row>
    <row r="784" spans="25:25">
      <c r="Y784" s="181"/>
    </row>
    <row r="785" spans="25:25">
      <c r="Y785" s="181"/>
    </row>
    <row r="786" spans="25:25">
      <c r="Y786" s="181"/>
    </row>
    <row r="787" spans="25:25">
      <c r="Y787" s="181"/>
    </row>
    <row r="788" spans="25:25">
      <c r="Y788" s="181"/>
    </row>
    <row r="789" spans="25:25">
      <c r="Y789" s="181"/>
    </row>
    <row r="790" spans="25:25">
      <c r="Y790" s="181"/>
    </row>
    <row r="791" spans="25:25">
      <c r="Y791" s="181"/>
    </row>
    <row r="792" spans="25:25">
      <c r="Y792" s="181"/>
    </row>
    <row r="793" spans="25:25">
      <c r="Y793" s="181"/>
    </row>
    <row r="794" spans="25:25">
      <c r="Y794" s="181"/>
    </row>
    <row r="795" spans="25:25">
      <c r="Y795" s="181"/>
    </row>
    <row r="796" spans="25:25">
      <c r="Y796" s="181"/>
    </row>
    <row r="797" spans="25:25">
      <c r="Y797" s="181"/>
    </row>
    <row r="798" spans="25:25">
      <c r="Y798" s="181"/>
    </row>
    <row r="799" spans="25:25">
      <c r="Y799" s="181"/>
    </row>
    <row r="800" spans="25:25">
      <c r="Y800" s="181"/>
    </row>
    <row r="801" spans="25:25">
      <c r="Y801" s="181"/>
    </row>
    <row r="802" spans="25:25">
      <c r="Y802" s="181"/>
    </row>
    <row r="803" spans="25:25">
      <c r="Y803" s="181"/>
    </row>
    <row r="804" spans="25:25">
      <c r="Y804" s="181"/>
    </row>
    <row r="805" spans="25:25">
      <c r="Y805" s="181"/>
    </row>
    <row r="806" spans="25:25">
      <c r="Y806" s="181"/>
    </row>
    <row r="807" spans="25:25">
      <c r="Y807" s="181"/>
    </row>
    <row r="808" spans="25:25">
      <c r="Y808" s="181"/>
    </row>
    <row r="809" spans="25:25">
      <c r="Y809" s="181"/>
    </row>
    <row r="810" spans="25:25">
      <c r="Y810" s="181"/>
    </row>
    <row r="811" spans="25:25">
      <c r="Y811" s="181"/>
    </row>
    <row r="812" spans="25:25">
      <c r="Y812" s="181"/>
    </row>
    <row r="813" spans="25:25">
      <c r="Y813" s="181"/>
    </row>
    <row r="814" spans="25:25">
      <c r="Y814" s="181"/>
    </row>
    <row r="815" spans="25:25">
      <c r="Y815" s="181"/>
    </row>
    <row r="816" spans="25:25">
      <c r="Y816" s="181"/>
    </row>
    <row r="817" spans="25:25">
      <c r="Y817" s="181"/>
    </row>
    <row r="818" spans="25:25">
      <c r="Y818" s="181"/>
    </row>
    <row r="819" spans="25:25">
      <c r="Y819" s="181"/>
    </row>
    <row r="820" spans="25:25">
      <c r="Y820" s="181"/>
    </row>
    <row r="821" spans="25:25">
      <c r="Y821" s="181"/>
    </row>
    <row r="822" spans="25:25">
      <c r="Y822" s="181"/>
    </row>
    <row r="823" spans="25:25">
      <c r="Y823" s="181"/>
    </row>
    <row r="824" spans="25:25">
      <c r="Y824" s="181"/>
    </row>
    <row r="825" spans="25:25">
      <c r="Y825" s="181"/>
    </row>
    <row r="826" spans="25:25">
      <c r="Y826" s="181"/>
    </row>
    <row r="827" spans="25:25">
      <c r="Y827" s="181"/>
    </row>
    <row r="828" spans="25:25">
      <c r="Y828" s="181"/>
    </row>
    <row r="829" spans="25:25">
      <c r="Y829" s="181"/>
    </row>
    <row r="830" spans="25:25">
      <c r="Y830" s="181"/>
    </row>
    <row r="831" spans="25:25">
      <c r="Y831" s="181"/>
    </row>
    <row r="832" spans="25:25">
      <c r="Y832" s="181"/>
    </row>
    <row r="833" spans="25:25">
      <c r="Y833" s="181"/>
    </row>
    <row r="834" spans="25:25">
      <c r="Y834" s="181"/>
    </row>
    <row r="835" spans="25:25">
      <c r="Y835" s="181"/>
    </row>
    <row r="836" spans="25:25">
      <c r="Y836" s="181"/>
    </row>
    <row r="837" spans="25:25">
      <c r="Y837" s="181"/>
    </row>
    <row r="838" spans="25:25">
      <c r="Y838" s="181"/>
    </row>
    <row r="839" spans="25:25">
      <c r="Y839" s="181"/>
    </row>
    <row r="840" spans="25:25">
      <c r="Y840" s="181"/>
    </row>
    <row r="841" spans="25:25">
      <c r="Y841" s="181"/>
    </row>
    <row r="842" spans="25:25">
      <c r="Y842" s="181"/>
    </row>
    <row r="843" spans="25:25">
      <c r="Y843" s="181"/>
    </row>
    <row r="844" spans="25:25">
      <c r="Y844" s="181"/>
    </row>
    <row r="845" spans="25:25">
      <c r="Y845" s="181"/>
    </row>
    <row r="846" spans="25:25">
      <c r="Y846" s="181"/>
    </row>
    <row r="847" spans="25:25">
      <c r="Y847" s="181"/>
    </row>
    <row r="848" spans="25:25">
      <c r="Y848" s="181"/>
    </row>
    <row r="849" spans="25:25">
      <c r="Y849" s="181"/>
    </row>
    <row r="850" spans="25:25">
      <c r="Y850" s="181"/>
    </row>
    <row r="851" spans="25:25">
      <c r="Y851" s="181"/>
    </row>
    <row r="852" spans="25:25">
      <c r="Y852" s="181"/>
    </row>
    <row r="853" spans="25:25">
      <c r="Y853" s="181"/>
    </row>
    <row r="854" spans="25:25">
      <c r="Y854" s="181"/>
    </row>
    <row r="855" spans="25:25">
      <c r="Y855" s="181"/>
    </row>
    <row r="856" spans="25:25">
      <c r="Y856" s="181"/>
    </row>
    <row r="857" spans="25:25">
      <c r="Y857" s="181"/>
    </row>
    <row r="858" spans="25:25">
      <c r="Y858" s="181"/>
    </row>
    <row r="859" spans="25:25">
      <c r="Y859" s="181"/>
    </row>
    <row r="860" spans="25:25">
      <c r="Y860" s="181"/>
    </row>
    <row r="861" spans="25:25">
      <c r="Y861" s="181"/>
    </row>
    <row r="862" spans="25:25">
      <c r="Y862" s="181"/>
    </row>
    <row r="863" spans="25:25">
      <c r="Y863" s="181"/>
    </row>
    <row r="864" spans="25:25">
      <c r="Y864" s="181"/>
    </row>
    <row r="865" spans="25:25">
      <c r="Y865" s="181"/>
    </row>
    <row r="866" spans="25:25">
      <c r="Y866" s="181"/>
    </row>
    <row r="867" spans="25:25">
      <c r="Y867" s="181"/>
    </row>
    <row r="868" spans="25:25">
      <c r="Y868" s="181"/>
    </row>
    <row r="869" spans="25:25">
      <c r="Y869" s="181"/>
    </row>
    <row r="870" spans="25:25">
      <c r="Y870" s="181"/>
    </row>
    <row r="871" spans="25:25">
      <c r="Y871" s="181"/>
    </row>
    <row r="872" spans="25:25">
      <c r="Y872" s="181"/>
    </row>
    <row r="873" spans="25:25">
      <c r="Y873" s="181"/>
    </row>
    <row r="874" spans="25:25">
      <c r="Y874" s="181"/>
    </row>
    <row r="875" spans="25:25">
      <c r="Y875" s="181"/>
    </row>
    <row r="876" spans="25:25">
      <c r="Y876" s="181"/>
    </row>
    <row r="877" spans="25:25">
      <c r="Y877" s="181"/>
    </row>
    <row r="878" spans="25:25">
      <c r="Y878" s="181"/>
    </row>
    <row r="879" spans="25:25">
      <c r="Y879" s="181"/>
    </row>
    <row r="880" spans="25:25">
      <c r="Y880" s="181"/>
    </row>
    <row r="881" spans="25:25">
      <c r="Y881" s="181"/>
    </row>
    <row r="882" spans="25:25">
      <c r="Y882" s="181"/>
    </row>
    <row r="883" spans="25:25">
      <c r="Y883" s="181"/>
    </row>
    <row r="884" spans="25:25">
      <c r="Y884" s="181"/>
    </row>
    <row r="885" spans="25:25">
      <c r="Y885" s="181"/>
    </row>
    <row r="886" spans="25:25">
      <c r="Y886" s="181"/>
    </row>
    <row r="887" spans="25:25">
      <c r="Y887" s="181"/>
    </row>
    <row r="888" spans="25:25">
      <c r="Y888" s="181"/>
    </row>
    <row r="889" spans="25:25">
      <c r="Y889" s="181"/>
    </row>
    <row r="890" spans="25:25">
      <c r="Y890" s="181"/>
    </row>
    <row r="891" spans="25:25">
      <c r="Y891" s="181"/>
    </row>
    <row r="892" spans="25:25">
      <c r="Y892" s="181"/>
    </row>
    <row r="893" spans="25:25">
      <c r="Y893" s="181"/>
    </row>
    <row r="894" spans="25:25">
      <c r="Y894" s="181"/>
    </row>
    <row r="895" spans="25:25">
      <c r="Y895" s="181"/>
    </row>
    <row r="896" spans="25:25">
      <c r="Y896" s="181"/>
    </row>
    <row r="897" spans="25:25">
      <c r="Y897" s="181"/>
    </row>
    <row r="898" spans="25:25">
      <c r="Y898" s="181"/>
    </row>
    <row r="899" spans="25:25">
      <c r="Y899" s="181"/>
    </row>
    <row r="900" spans="25:25">
      <c r="Y900" s="181"/>
    </row>
    <row r="901" spans="25:25">
      <c r="Y901" s="181"/>
    </row>
    <row r="902" spans="25:25">
      <c r="Y902" s="181"/>
    </row>
    <row r="903" spans="25:25">
      <c r="Y903" s="181"/>
    </row>
    <row r="904" spans="25:25">
      <c r="Y904" s="181"/>
    </row>
    <row r="905" spans="25:25">
      <c r="Y905" s="181"/>
    </row>
    <row r="906" spans="25:25">
      <c r="Y906" s="181"/>
    </row>
    <row r="907" spans="25:25">
      <c r="Y907" s="181"/>
    </row>
    <row r="908" spans="25:25">
      <c r="Y908" s="181"/>
    </row>
    <row r="909" spans="25:25">
      <c r="Y909" s="181"/>
    </row>
    <row r="910" spans="25:25">
      <c r="Y910" s="181"/>
    </row>
    <row r="911" spans="25:25">
      <c r="Y911" s="181"/>
    </row>
    <row r="912" spans="25:25">
      <c r="Y912" s="181"/>
    </row>
    <row r="913" spans="25:25">
      <c r="Y913" s="181"/>
    </row>
    <row r="914" spans="25:25">
      <c r="Y914" s="181"/>
    </row>
    <row r="915" spans="25:25">
      <c r="Y915" s="181"/>
    </row>
    <row r="916" spans="25:25">
      <c r="Y916" s="181"/>
    </row>
    <row r="917" spans="25:25">
      <c r="Y917" s="181"/>
    </row>
    <row r="918" spans="25:25">
      <c r="Y918" s="181"/>
    </row>
    <row r="919" spans="25:25">
      <c r="Y919" s="181"/>
    </row>
    <row r="920" spans="25:25">
      <c r="Y920" s="181"/>
    </row>
    <row r="921" spans="25:25">
      <c r="Y921" s="181"/>
    </row>
    <row r="922" spans="25:25">
      <c r="Y922" s="181"/>
    </row>
    <row r="923" spans="25:25">
      <c r="Y923" s="181"/>
    </row>
    <row r="924" spans="25:25">
      <c r="Y924" s="181"/>
    </row>
    <row r="925" spans="25:25">
      <c r="Y925" s="181"/>
    </row>
    <row r="926" spans="25:25">
      <c r="Y926" s="181"/>
    </row>
    <row r="927" spans="25:25">
      <c r="Y927" s="181"/>
    </row>
    <row r="928" spans="25:25">
      <c r="Y928" s="181"/>
    </row>
    <row r="929" spans="25:25">
      <c r="Y929" s="181"/>
    </row>
    <row r="930" spans="25:25">
      <c r="Y930" s="181"/>
    </row>
    <row r="931" spans="25:25">
      <c r="Y931" s="181"/>
    </row>
    <row r="932" spans="25:25">
      <c r="Y932" s="181"/>
    </row>
    <row r="933" spans="25:25">
      <c r="Y933" s="181"/>
    </row>
    <row r="934" spans="25:25">
      <c r="Y934" s="181"/>
    </row>
    <row r="935" spans="25:25">
      <c r="Y935" s="181"/>
    </row>
    <row r="936" spans="25:25">
      <c r="Y936" s="181"/>
    </row>
    <row r="937" spans="25:25">
      <c r="Y937" s="181"/>
    </row>
    <row r="938" spans="25:25">
      <c r="Y938" s="181"/>
    </row>
    <row r="939" spans="25:25">
      <c r="Y939" s="181"/>
    </row>
    <row r="940" spans="25:25">
      <c r="Y940" s="181"/>
    </row>
    <row r="941" spans="25:25">
      <c r="Y941" s="181"/>
    </row>
    <row r="942" spans="25:25">
      <c r="Y942" s="181"/>
    </row>
    <row r="943" spans="25:25">
      <c r="Y943" s="181"/>
    </row>
    <row r="944" spans="25:25">
      <c r="Y944" s="181"/>
    </row>
    <row r="945" spans="25:25">
      <c r="Y945" s="181"/>
    </row>
    <row r="946" spans="25:25">
      <c r="Y946" s="181"/>
    </row>
    <row r="947" spans="25:25">
      <c r="Y947" s="181"/>
    </row>
    <row r="948" spans="25:25">
      <c r="Y948" s="181"/>
    </row>
    <row r="949" spans="25:25">
      <c r="Y949" s="181"/>
    </row>
    <row r="950" spans="25:25">
      <c r="Y950" s="181"/>
    </row>
    <row r="951" spans="25:25">
      <c r="Y951" s="181"/>
    </row>
    <row r="952" spans="25:25">
      <c r="Y952" s="181"/>
    </row>
    <row r="953" spans="25:25">
      <c r="Y953" s="181"/>
    </row>
    <row r="954" spans="25:25">
      <c r="Y954" s="181"/>
    </row>
    <row r="955" spans="25:25">
      <c r="Y955" s="181"/>
    </row>
    <row r="956" spans="25:25">
      <c r="Y956" s="181"/>
    </row>
    <row r="957" spans="25:25">
      <c r="Y957" s="181"/>
    </row>
    <row r="958" spans="25:25">
      <c r="Y958" s="181"/>
    </row>
    <row r="959" spans="25:25">
      <c r="Y959" s="181"/>
    </row>
    <row r="960" spans="25:25">
      <c r="Y960" s="181"/>
    </row>
    <row r="961" spans="25:25">
      <c r="Y961" s="181"/>
    </row>
    <row r="962" spans="25:25">
      <c r="Y962" s="181"/>
    </row>
    <row r="963" spans="25:25">
      <c r="Y963" s="181"/>
    </row>
    <row r="964" spans="25:25">
      <c r="Y964" s="181"/>
    </row>
    <row r="965" spans="25:25">
      <c r="Y965" s="181"/>
    </row>
    <row r="966" spans="25:25">
      <c r="Y966" s="181"/>
    </row>
    <row r="967" spans="25:25">
      <c r="Y967" s="181"/>
    </row>
    <row r="968" spans="25:25">
      <c r="Y968" s="181"/>
    </row>
    <row r="969" spans="25:25">
      <c r="Y969" s="181"/>
    </row>
    <row r="970" spans="25:25">
      <c r="Y970" s="181"/>
    </row>
    <row r="971" spans="25:25">
      <c r="Y971" s="181"/>
    </row>
    <row r="972" spans="25:25">
      <c r="Y972" s="181"/>
    </row>
    <row r="973" spans="25:25">
      <c r="Y973" s="181"/>
    </row>
    <row r="974" spans="25:25">
      <c r="Y974" s="181"/>
    </row>
    <row r="975" spans="25:25">
      <c r="Y975" s="181"/>
    </row>
    <row r="976" spans="25:25">
      <c r="Y976" s="181"/>
    </row>
    <row r="977" spans="25:25">
      <c r="Y977" s="181"/>
    </row>
    <row r="978" spans="25:25">
      <c r="Y978" s="181"/>
    </row>
    <row r="979" spans="25:25">
      <c r="Y979" s="181"/>
    </row>
    <row r="980" spans="25:25">
      <c r="Y980" s="181"/>
    </row>
    <row r="981" spans="25:25">
      <c r="Y981" s="181"/>
    </row>
    <row r="982" spans="25:25">
      <c r="Y982" s="181"/>
    </row>
    <row r="983" spans="25:25">
      <c r="Y983" s="181"/>
    </row>
    <row r="984" spans="25:25">
      <c r="Y984" s="181"/>
    </row>
    <row r="985" spans="25:25">
      <c r="Y985" s="181"/>
    </row>
    <row r="986" spans="25:25">
      <c r="Y986" s="181"/>
    </row>
    <row r="987" spans="25:25">
      <c r="Y987" s="181"/>
    </row>
    <row r="988" spans="25:25">
      <c r="Y988" s="181"/>
    </row>
    <row r="989" spans="25:25">
      <c r="Y989" s="181"/>
    </row>
    <row r="990" spans="25:25">
      <c r="Y990" s="181"/>
    </row>
    <row r="991" spans="25:25">
      <c r="Y991" s="181"/>
    </row>
    <row r="992" spans="25:25">
      <c r="Y992" s="181"/>
    </row>
    <row r="993" spans="25:25">
      <c r="Y993" s="181"/>
    </row>
    <row r="994" spans="25:25">
      <c r="Y994" s="181"/>
    </row>
    <row r="995" spans="25:25">
      <c r="Y995" s="181"/>
    </row>
    <row r="996" spans="25:25">
      <c r="Y996" s="181"/>
    </row>
    <row r="997" spans="25:25">
      <c r="Y997" s="181"/>
    </row>
    <row r="998" spans="25:25">
      <c r="Y998" s="181"/>
    </row>
    <row r="999" spans="25:25">
      <c r="Y999" s="181"/>
    </row>
    <row r="1000" spans="25:25">
      <c r="Y1000" s="181"/>
    </row>
    <row r="1001" spans="25:25">
      <c r="Y1001" s="181"/>
    </row>
    <row r="1002" spans="25:25">
      <c r="Y1002" s="181"/>
    </row>
    <row r="1003" spans="25:25">
      <c r="Y1003" s="181"/>
    </row>
    <row r="1004" spans="25:25">
      <c r="Y1004" s="181"/>
    </row>
    <row r="1005" spans="25:25">
      <c r="Y1005" s="181"/>
    </row>
    <row r="1006" spans="25:25">
      <c r="Y1006" s="181"/>
    </row>
    <row r="1007" spans="25:25">
      <c r="Y1007" s="181"/>
    </row>
    <row r="1008" spans="25:25">
      <c r="Y1008" s="181"/>
    </row>
    <row r="1009" spans="25:25">
      <c r="Y1009" s="181"/>
    </row>
    <row r="1010" spans="25:25">
      <c r="Y1010" s="181"/>
    </row>
    <row r="1011" spans="25:25">
      <c r="Y1011" s="181"/>
    </row>
    <row r="1012" spans="25:25">
      <c r="Y1012" s="181"/>
    </row>
    <row r="1013" spans="25:25">
      <c r="Y1013" s="181"/>
    </row>
    <row r="1014" spans="25:25">
      <c r="Y1014" s="181"/>
    </row>
    <row r="1015" spans="25:25">
      <c r="Y1015" s="181"/>
    </row>
    <row r="1016" spans="25:25">
      <c r="Y1016" s="181"/>
    </row>
    <row r="1017" spans="25:25">
      <c r="Y1017" s="181"/>
    </row>
    <row r="1018" spans="25:25">
      <c r="Y1018" s="181"/>
    </row>
    <row r="1019" spans="25:25">
      <c r="Y1019" s="181"/>
    </row>
    <row r="1020" spans="25:25">
      <c r="Y1020" s="181"/>
    </row>
    <row r="1021" spans="25:25">
      <c r="Y1021" s="181"/>
    </row>
    <row r="1022" spans="25:25">
      <c r="Y1022" s="181"/>
    </row>
    <row r="1023" spans="25:25">
      <c r="Y1023" s="181"/>
    </row>
    <row r="1024" spans="25:25">
      <c r="Y1024" s="181"/>
    </row>
    <row r="1025" spans="25:25">
      <c r="Y1025" s="181"/>
    </row>
    <row r="1026" spans="25:25">
      <c r="Y1026" s="181"/>
    </row>
    <row r="1027" spans="25:25">
      <c r="Y1027" s="181"/>
    </row>
    <row r="1028" spans="25:25">
      <c r="Y1028" s="181"/>
    </row>
    <row r="1029" spans="25:25">
      <c r="Y1029" s="181"/>
    </row>
    <row r="1030" spans="25:25">
      <c r="Y1030" s="181"/>
    </row>
    <row r="1031" spans="25:25">
      <c r="Y1031" s="181"/>
    </row>
    <row r="1032" spans="25:25">
      <c r="Y1032" s="181"/>
    </row>
    <row r="1033" spans="25:25">
      <c r="Y1033" s="181"/>
    </row>
    <row r="1034" spans="25:25">
      <c r="Y1034" s="181"/>
    </row>
    <row r="1035" spans="25:25">
      <c r="Y1035" s="181"/>
    </row>
    <row r="1036" spans="25:25">
      <c r="Y1036" s="181"/>
    </row>
    <row r="1037" spans="25:25">
      <c r="Y1037" s="181"/>
    </row>
    <row r="1038" spans="25:25">
      <c r="Y1038" s="181"/>
    </row>
    <row r="1039" spans="25:25">
      <c r="Y1039" s="181"/>
    </row>
    <row r="1040" spans="25:25">
      <c r="Y1040" s="181"/>
    </row>
    <row r="1041" spans="25:25">
      <c r="Y1041" s="181"/>
    </row>
    <row r="1042" spans="25:25">
      <c r="Y1042" s="181"/>
    </row>
    <row r="1043" spans="25:25">
      <c r="Y1043" s="181"/>
    </row>
    <row r="1044" spans="25:25">
      <c r="Y1044" s="181"/>
    </row>
    <row r="1045" spans="25:25">
      <c r="Y1045" s="181"/>
    </row>
    <row r="1046" spans="25:25">
      <c r="Y1046" s="181"/>
    </row>
    <row r="1047" spans="25:25">
      <c r="Y1047" s="181"/>
    </row>
    <row r="1048" spans="25:25">
      <c r="Y1048" s="181"/>
    </row>
    <row r="1049" spans="25:25">
      <c r="Y1049" s="181"/>
    </row>
    <row r="1050" spans="25:25">
      <c r="Y1050" s="181"/>
    </row>
    <row r="1051" spans="25:25">
      <c r="Y1051" s="181"/>
    </row>
    <row r="1052" spans="25:25">
      <c r="Y1052" s="181"/>
    </row>
    <row r="1053" spans="25:25">
      <c r="Y1053" s="181"/>
    </row>
    <row r="1054" spans="25:25">
      <c r="Y1054" s="181"/>
    </row>
    <row r="1055" spans="25:25">
      <c r="Y1055" s="181"/>
    </row>
    <row r="1056" spans="25:25">
      <c r="Y1056" s="181"/>
    </row>
    <row r="1057" spans="25:25">
      <c r="Y1057" s="181"/>
    </row>
    <row r="1058" spans="25:25">
      <c r="Y1058" s="181"/>
    </row>
    <row r="1059" spans="25:25">
      <c r="Y1059" s="181"/>
    </row>
    <row r="1060" spans="25:25">
      <c r="Y1060" s="181"/>
    </row>
    <row r="1061" spans="25:25">
      <c r="Y1061" s="181"/>
    </row>
    <row r="1062" spans="25:25">
      <c r="Y1062" s="181"/>
    </row>
    <row r="1063" spans="25:25">
      <c r="Y1063" s="181"/>
    </row>
    <row r="1064" spans="25:25">
      <c r="Y1064" s="181"/>
    </row>
    <row r="1065" spans="25:25">
      <c r="Y1065" s="181"/>
    </row>
    <row r="1066" spans="25:25">
      <c r="Y1066" s="181"/>
    </row>
    <row r="1067" spans="25:25">
      <c r="Y1067" s="181"/>
    </row>
    <row r="1068" spans="25:25">
      <c r="Y1068" s="181"/>
    </row>
    <row r="1069" spans="25:25">
      <c r="Y1069" s="181"/>
    </row>
    <row r="1070" spans="25:25">
      <c r="Y1070" s="181"/>
    </row>
    <row r="1071" spans="25:25">
      <c r="Y1071" s="181"/>
    </row>
    <row r="1072" spans="25:25">
      <c r="Y1072" s="181"/>
    </row>
    <row r="1073" spans="25:25">
      <c r="Y1073" s="181"/>
    </row>
    <row r="1074" spans="25:25">
      <c r="Y1074" s="181"/>
    </row>
    <row r="1075" spans="25:25">
      <c r="Y1075" s="181"/>
    </row>
    <row r="1076" spans="25:25">
      <c r="Y1076" s="181"/>
    </row>
    <row r="1077" spans="25:25">
      <c r="Y1077" s="181"/>
    </row>
    <row r="1078" spans="25:25">
      <c r="Y1078" s="181"/>
    </row>
    <row r="1079" spans="25:25">
      <c r="Y1079" s="181"/>
    </row>
    <row r="1080" spans="25:25">
      <c r="Y1080" s="181"/>
    </row>
    <row r="1081" spans="25:25">
      <c r="Y1081" s="181"/>
    </row>
    <row r="1082" spans="25:25">
      <c r="Y1082" s="181"/>
    </row>
    <row r="1083" spans="25:25">
      <c r="Y1083" s="181"/>
    </row>
    <row r="1084" spans="25:25">
      <c r="Y1084" s="181"/>
    </row>
    <row r="1085" spans="25:25">
      <c r="Y1085" s="181"/>
    </row>
    <row r="1086" spans="25:25">
      <c r="Y1086" s="181"/>
    </row>
    <row r="1087" spans="25:25">
      <c r="Y1087" s="181"/>
    </row>
    <row r="1088" spans="25:25">
      <c r="Y1088" s="181"/>
    </row>
    <row r="1089" spans="25:25">
      <c r="Y1089" s="181"/>
    </row>
    <row r="1090" spans="25:25">
      <c r="Y1090" s="181"/>
    </row>
    <row r="1091" spans="25:25">
      <c r="Y1091" s="181"/>
    </row>
    <row r="1092" spans="25:25">
      <c r="Y1092" s="181"/>
    </row>
    <row r="1093" spans="25:25">
      <c r="Y1093" s="181"/>
    </row>
    <row r="1094" spans="25:25">
      <c r="Y1094" s="181"/>
    </row>
    <row r="1095" spans="25:25">
      <c r="Y1095" s="181"/>
    </row>
    <row r="1096" spans="25:25">
      <c r="Y1096" s="181"/>
    </row>
    <row r="1097" spans="25:25">
      <c r="Y1097" s="181"/>
    </row>
    <row r="1098" spans="25:25">
      <c r="Y1098" s="181"/>
    </row>
    <row r="1099" spans="25:25">
      <c r="Y1099" s="181"/>
    </row>
    <row r="1100" spans="25:25">
      <c r="Y1100" s="181"/>
    </row>
    <row r="1101" spans="25:25">
      <c r="Y1101" s="181"/>
    </row>
    <row r="1102" spans="25:25">
      <c r="Y1102" s="181"/>
    </row>
    <row r="1103" spans="25:25">
      <c r="Y1103" s="181"/>
    </row>
    <row r="1104" spans="25:25">
      <c r="Y1104" s="181"/>
    </row>
    <row r="1105" spans="25:25">
      <c r="Y1105" s="181"/>
    </row>
    <row r="1106" spans="25:25">
      <c r="Y1106" s="181"/>
    </row>
    <row r="1107" spans="25:25">
      <c r="Y1107" s="181"/>
    </row>
    <row r="1108" spans="25:25">
      <c r="Y1108" s="181"/>
    </row>
    <row r="1109" spans="25:25">
      <c r="Y1109" s="181"/>
    </row>
    <row r="1110" spans="25:25">
      <c r="Y1110" s="181"/>
    </row>
    <row r="1111" spans="25:25">
      <c r="Y1111" s="181"/>
    </row>
    <row r="1112" spans="25:25">
      <c r="Y1112" s="181"/>
    </row>
    <row r="1113" spans="25:25">
      <c r="Y1113" s="181"/>
    </row>
    <row r="1114" spans="25:25">
      <c r="Y1114" s="181"/>
    </row>
    <row r="1115" spans="25:25">
      <c r="Y1115" s="181"/>
    </row>
    <row r="1116" spans="25:25">
      <c r="Y1116" s="181"/>
    </row>
    <row r="1117" spans="25:25">
      <c r="Y1117" s="181"/>
    </row>
    <row r="1118" spans="25:25">
      <c r="Y1118" s="181"/>
    </row>
    <row r="1119" spans="25:25">
      <c r="Y1119" s="181"/>
    </row>
    <row r="1120" spans="25:25">
      <c r="Y1120" s="181"/>
    </row>
    <row r="1121" spans="25:25">
      <c r="Y1121" s="181"/>
    </row>
    <row r="1122" spans="25:25">
      <c r="Y1122" s="181"/>
    </row>
    <row r="1123" spans="25:25">
      <c r="Y1123" s="181"/>
    </row>
    <row r="1124" spans="25:25">
      <c r="Y1124" s="181"/>
    </row>
    <row r="1125" spans="25:25">
      <c r="Y1125" s="181"/>
    </row>
    <row r="1126" spans="25:25">
      <c r="Y1126" s="181"/>
    </row>
    <row r="1127" spans="25:25">
      <c r="Y1127" s="181"/>
    </row>
    <row r="1128" spans="25:25">
      <c r="Y1128" s="181"/>
    </row>
    <row r="1129" spans="25:25">
      <c r="Y1129" s="181"/>
    </row>
    <row r="1130" spans="25:25">
      <c r="Y1130" s="181"/>
    </row>
    <row r="1131" spans="25:25">
      <c r="Y1131" s="181"/>
    </row>
    <row r="1132" spans="25:25">
      <c r="Y1132" s="181"/>
    </row>
    <row r="1133" spans="25:25">
      <c r="Y1133" s="181"/>
    </row>
    <row r="1134" spans="25:25">
      <c r="Y1134" s="181"/>
    </row>
    <row r="1135" spans="25:25">
      <c r="Y1135" s="181"/>
    </row>
    <row r="1136" spans="25:25">
      <c r="Y1136" s="181"/>
    </row>
    <row r="1137" spans="25:25">
      <c r="Y1137" s="181"/>
    </row>
    <row r="1138" spans="25:25">
      <c r="Y1138" s="181"/>
    </row>
    <row r="1139" spans="25:25">
      <c r="Y1139" s="181"/>
    </row>
    <row r="1140" spans="25:25">
      <c r="Y1140" s="181"/>
    </row>
    <row r="1141" spans="25:25">
      <c r="Y1141" s="181"/>
    </row>
    <row r="1142" spans="25:25">
      <c r="Y1142" s="181"/>
    </row>
    <row r="1143" spans="25:25">
      <c r="Y1143" s="181"/>
    </row>
    <row r="1144" spans="25:25">
      <c r="Y1144" s="181"/>
    </row>
    <row r="1145" spans="25:25">
      <c r="Y1145" s="181"/>
    </row>
    <row r="1146" spans="25:25">
      <c r="Y1146" s="181"/>
    </row>
    <row r="1147" spans="25:25">
      <c r="Y1147" s="181"/>
    </row>
    <row r="1148" spans="25:25">
      <c r="Y1148" s="181"/>
    </row>
    <row r="1149" spans="25:25">
      <c r="Y1149" s="181"/>
    </row>
    <row r="1150" spans="25:25">
      <c r="Y1150" s="181"/>
    </row>
    <row r="1151" spans="25:25">
      <c r="Y1151" s="181"/>
    </row>
    <row r="1152" spans="25:25">
      <c r="Y1152" s="181"/>
    </row>
    <row r="1153" spans="25:25">
      <c r="Y1153" s="181"/>
    </row>
    <row r="1154" spans="25:25">
      <c r="Y1154" s="181"/>
    </row>
    <row r="1155" spans="25:25">
      <c r="Y1155" s="181"/>
    </row>
    <row r="1156" spans="25:25">
      <c r="Y1156" s="181"/>
    </row>
    <row r="1157" spans="25:25">
      <c r="Y1157" s="181"/>
    </row>
    <row r="1158" spans="25:25">
      <c r="Y1158" s="181"/>
    </row>
    <row r="1159" spans="25:25">
      <c r="Y1159" s="181"/>
    </row>
    <row r="1160" spans="25:25">
      <c r="Y1160" s="181"/>
    </row>
    <row r="1161" spans="25:25">
      <c r="Y1161" s="181"/>
    </row>
    <row r="1162" spans="25:25">
      <c r="Y1162" s="181"/>
    </row>
    <row r="1163" spans="25:25">
      <c r="Y1163" s="181"/>
    </row>
    <row r="1164" spans="25:25">
      <c r="Y1164" s="181"/>
    </row>
    <row r="1165" spans="25:25">
      <c r="Y1165" s="181"/>
    </row>
    <row r="1166" spans="25:25">
      <c r="Y1166" s="181"/>
    </row>
    <row r="1167" spans="25:25">
      <c r="Y1167" s="181"/>
    </row>
    <row r="1168" spans="25:25">
      <c r="Y1168" s="181"/>
    </row>
    <row r="1169" spans="25:25">
      <c r="Y1169" s="181"/>
    </row>
    <row r="1170" spans="25:25">
      <c r="Y1170" s="181"/>
    </row>
    <row r="1171" spans="25:25">
      <c r="Y1171" s="181"/>
    </row>
    <row r="1172" spans="25:25">
      <c r="Y1172" s="181"/>
    </row>
    <row r="1173" spans="25:25">
      <c r="Y1173" s="181"/>
    </row>
    <row r="1174" spans="25:25">
      <c r="Y1174" s="181"/>
    </row>
    <row r="1175" spans="25:25">
      <c r="Y1175" s="181"/>
    </row>
    <row r="1176" spans="25:25">
      <c r="Y1176" s="181"/>
    </row>
    <row r="1177" spans="25:25">
      <c r="Y1177" s="181"/>
    </row>
    <row r="1178" spans="25:25">
      <c r="Y1178" s="181"/>
    </row>
    <row r="1179" spans="25:25">
      <c r="Y1179" s="181"/>
    </row>
    <row r="1180" spans="25:25">
      <c r="Y1180" s="181"/>
    </row>
    <row r="1181" spans="25:25">
      <c r="Y1181" s="181"/>
    </row>
    <row r="1182" spans="25:25">
      <c r="Y1182" s="181"/>
    </row>
    <row r="1183" spans="25:25">
      <c r="Y1183" s="181"/>
    </row>
    <row r="1184" spans="25:25">
      <c r="Y1184" s="181"/>
    </row>
    <row r="1185" spans="25:25">
      <c r="Y1185" s="181"/>
    </row>
    <row r="1186" spans="25:25">
      <c r="Y1186" s="181"/>
    </row>
    <row r="1187" spans="25:25">
      <c r="Y1187" s="181"/>
    </row>
    <row r="1188" spans="25:25">
      <c r="Y1188" s="181"/>
    </row>
    <row r="1189" spans="25:25">
      <c r="Y1189" s="181"/>
    </row>
    <row r="1190" spans="25:25">
      <c r="Y1190" s="181"/>
    </row>
    <row r="1191" spans="25:25">
      <c r="Y1191" s="181"/>
    </row>
    <row r="1192" spans="25:25">
      <c r="Y1192" s="181"/>
    </row>
    <row r="1193" spans="25:25">
      <c r="Y1193" s="181"/>
    </row>
    <row r="1194" spans="25:25">
      <c r="Y1194" s="181"/>
    </row>
    <row r="1195" spans="25:25">
      <c r="Y1195" s="181"/>
    </row>
    <row r="1196" spans="25:25">
      <c r="Y1196" s="181"/>
    </row>
    <row r="1197" spans="25:25">
      <c r="Y1197" s="181"/>
    </row>
    <row r="1198" spans="25:25">
      <c r="Y1198" s="181"/>
    </row>
    <row r="1199" spans="25:25">
      <c r="Y1199" s="181"/>
    </row>
    <row r="1200" spans="25:25">
      <c r="Y1200" s="181"/>
    </row>
    <row r="1201" spans="25:25">
      <c r="Y1201" s="181"/>
    </row>
    <row r="1202" spans="25:25">
      <c r="Y1202" s="181"/>
    </row>
    <row r="1203" spans="25:25">
      <c r="Y1203" s="181"/>
    </row>
    <row r="1204" spans="25:25">
      <c r="Y1204" s="181"/>
    </row>
    <row r="1205" spans="25:25">
      <c r="Y1205" s="181"/>
    </row>
    <row r="1206" spans="25:25">
      <c r="Y1206" s="181"/>
    </row>
    <row r="1207" spans="25:25">
      <c r="Y1207" s="181"/>
    </row>
    <row r="1208" spans="25:25">
      <c r="Y1208" s="181"/>
    </row>
    <row r="1209" spans="25:25">
      <c r="Y1209" s="181"/>
    </row>
    <row r="1210" spans="25:25">
      <c r="Y1210" s="181"/>
    </row>
    <row r="1211" spans="25:25">
      <c r="Y1211" s="181"/>
    </row>
    <row r="1212" spans="25:25">
      <c r="Y1212" s="181"/>
    </row>
    <row r="1213" spans="25:25">
      <c r="Y1213" s="181"/>
    </row>
    <row r="1214" spans="25:25">
      <c r="Y1214" s="181"/>
    </row>
    <row r="1215" spans="25:25">
      <c r="Y1215" s="181"/>
    </row>
    <row r="1216" spans="25:25">
      <c r="Y1216" s="181"/>
    </row>
    <row r="1217" spans="25:25">
      <c r="Y1217" s="181"/>
    </row>
    <row r="1218" spans="25:25">
      <c r="Y1218" s="181"/>
    </row>
    <row r="1219" spans="25:25">
      <c r="Y1219" s="181"/>
    </row>
    <row r="1220" spans="25:25">
      <c r="Y1220" s="181"/>
    </row>
    <row r="1221" spans="25:25">
      <c r="Y1221" s="181"/>
    </row>
    <row r="1222" spans="25:25">
      <c r="Y1222" s="181"/>
    </row>
    <row r="1223" spans="25:25">
      <c r="Y1223" s="181"/>
    </row>
    <row r="1224" spans="25:25">
      <c r="Y1224" s="181"/>
    </row>
    <row r="1225" spans="25:25">
      <c r="Y1225" s="181"/>
    </row>
    <row r="1226" spans="25:25">
      <c r="Y1226" s="181"/>
    </row>
    <row r="1227" spans="25:25">
      <c r="Y1227" s="181"/>
    </row>
    <row r="1228" spans="25:25">
      <c r="Y1228" s="181"/>
    </row>
    <row r="1229" spans="25:25">
      <c r="Y1229" s="181"/>
    </row>
    <row r="1230" spans="25:25">
      <c r="Y1230" s="181"/>
    </row>
    <row r="1231" spans="25:25">
      <c r="Y1231" s="181"/>
    </row>
    <row r="1232" spans="25:25">
      <c r="Y1232" s="181"/>
    </row>
    <row r="1233" spans="25:25">
      <c r="Y1233" s="181"/>
    </row>
    <row r="1234" spans="25:25">
      <c r="Y1234" s="181"/>
    </row>
    <row r="1235" spans="25:25">
      <c r="Y1235" s="181"/>
    </row>
    <row r="1236" spans="25:25">
      <c r="Y1236" s="181"/>
    </row>
    <row r="1237" spans="25:25">
      <c r="Y1237" s="181"/>
    </row>
    <row r="1238" spans="25:25">
      <c r="Y1238" s="181"/>
    </row>
    <row r="1239" spans="25:25">
      <c r="Y1239" s="181"/>
    </row>
    <row r="1240" spans="25:25">
      <c r="Y1240" s="181"/>
    </row>
    <row r="1241" spans="25:25">
      <c r="Y1241" s="181"/>
    </row>
    <row r="1242" spans="25:25">
      <c r="Y1242" s="181"/>
    </row>
    <row r="1243" spans="25:25">
      <c r="Y1243" s="181"/>
    </row>
    <row r="1244" spans="25:25">
      <c r="Y1244" s="181"/>
    </row>
    <row r="1245" spans="25:25">
      <c r="Y1245" s="181"/>
    </row>
    <row r="1246" spans="25:25">
      <c r="Y1246" s="181"/>
    </row>
    <row r="1247" spans="25:25">
      <c r="Y1247" s="181"/>
    </row>
    <row r="1248" spans="25:25">
      <c r="Y1248" s="181"/>
    </row>
    <row r="1249" spans="25:25">
      <c r="Y1249" s="181"/>
    </row>
    <row r="1250" spans="25:25">
      <c r="Y1250" s="181"/>
    </row>
    <row r="1251" spans="25:25">
      <c r="Y1251" s="181"/>
    </row>
    <row r="1252" spans="25:25">
      <c r="Y1252" s="181"/>
    </row>
    <row r="1253" spans="25:25">
      <c r="Y1253" s="181"/>
    </row>
    <row r="1254" spans="25:25">
      <c r="Y1254" s="181"/>
    </row>
    <row r="1255" spans="25:25">
      <c r="Y1255" s="181"/>
    </row>
    <row r="1256" spans="25:25">
      <c r="Y1256" s="181"/>
    </row>
    <row r="1257" spans="25:25">
      <c r="Y1257" s="181"/>
    </row>
    <row r="1258" spans="25:25">
      <c r="Y1258" s="181"/>
    </row>
    <row r="1259" spans="25:25">
      <c r="Y1259" s="181"/>
    </row>
    <row r="1260" spans="25:25">
      <c r="Y1260" s="181"/>
    </row>
    <row r="1261" spans="25:25">
      <c r="Y1261" s="181"/>
    </row>
    <row r="1262" spans="25:25">
      <c r="Y1262" s="181"/>
    </row>
    <row r="1263" spans="25:25">
      <c r="Y1263" s="181"/>
    </row>
    <row r="1264" spans="25:25">
      <c r="Y1264" s="181"/>
    </row>
    <row r="1265" spans="25:25">
      <c r="Y1265" s="181"/>
    </row>
    <row r="1266" spans="25:25">
      <c r="Y1266" s="181"/>
    </row>
    <row r="1267" spans="25:25">
      <c r="Y1267" s="181"/>
    </row>
    <row r="1268" spans="25:25">
      <c r="Y1268" s="181"/>
    </row>
    <row r="1269" spans="25:25">
      <c r="Y1269" s="181"/>
    </row>
    <row r="1270" spans="25:25">
      <c r="Y1270" s="181"/>
    </row>
    <row r="1271" spans="25:25">
      <c r="Y1271" s="181"/>
    </row>
    <row r="1272" spans="25:25">
      <c r="Y1272" s="181"/>
    </row>
    <row r="1273" spans="25:25">
      <c r="Y1273" s="181"/>
    </row>
    <row r="1274" spans="25:25">
      <c r="Y1274" s="181"/>
    </row>
    <row r="1275" spans="25:25">
      <c r="Y1275" s="181"/>
    </row>
    <row r="1276" spans="25:25">
      <c r="Y1276" s="181"/>
    </row>
    <row r="1277" spans="25:25">
      <c r="Y1277" s="181"/>
    </row>
    <row r="1278" spans="25:25">
      <c r="Y1278" s="181"/>
    </row>
    <row r="1279" spans="25:25">
      <c r="Y1279" s="181"/>
    </row>
    <row r="1280" spans="25:25">
      <c r="Y1280" s="181"/>
    </row>
    <row r="1281" spans="25:25">
      <c r="Y1281" s="181"/>
    </row>
    <row r="1282" spans="25:25">
      <c r="Y1282" s="181"/>
    </row>
    <row r="1283" spans="25:25">
      <c r="Y1283" s="181"/>
    </row>
    <row r="1284" spans="25:25">
      <c r="Y1284" s="181"/>
    </row>
    <row r="1285" spans="25:25">
      <c r="Y1285" s="181"/>
    </row>
    <row r="1286" spans="25:25">
      <c r="Y1286" s="181"/>
    </row>
    <row r="1287" spans="25:25">
      <c r="Y1287" s="181"/>
    </row>
    <row r="1288" spans="25:25">
      <c r="Y1288" s="181"/>
    </row>
    <row r="1289" spans="25:25">
      <c r="Y1289" s="181"/>
    </row>
    <row r="1290" spans="25:25">
      <c r="Y1290" s="181"/>
    </row>
    <row r="1291" spans="25:25">
      <c r="Y1291" s="181"/>
    </row>
    <row r="1292" spans="25:25">
      <c r="Y1292" s="181"/>
    </row>
    <row r="1293" spans="25:25">
      <c r="Y1293" s="181"/>
    </row>
    <row r="1294" spans="25:25">
      <c r="Y1294" s="181"/>
    </row>
    <row r="1295" spans="25:25">
      <c r="Y1295" s="181"/>
    </row>
    <row r="1296" spans="25:25">
      <c r="Y1296" s="181"/>
    </row>
    <row r="1297" spans="25:25">
      <c r="Y1297" s="181"/>
    </row>
    <row r="1298" spans="25:25">
      <c r="Y1298" s="181"/>
    </row>
    <row r="1299" spans="25:25">
      <c r="Y1299" s="181"/>
    </row>
    <row r="1300" spans="25:25">
      <c r="Y1300" s="181"/>
    </row>
    <row r="1301" spans="25:25">
      <c r="Y1301" s="181"/>
    </row>
    <row r="1302" spans="25:25">
      <c r="Y1302" s="181"/>
    </row>
    <row r="1303" spans="25:25">
      <c r="Y1303" s="181"/>
    </row>
    <row r="1304" spans="25:25">
      <c r="Y1304" s="181"/>
    </row>
    <row r="1305" spans="25:25">
      <c r="Y1305" s="181"/>
    </row>
    <row r="1306" spans="25:25">
      <c r="Y1306" s="181"/>
    </row>
    <row r="1307" spans="25:25">
      <c r="Y1307" s="181"/>
    </row>
    <row r="1308" spans="25:25">
      <c r="Y1308" s="181"/>
    </row>
    <row r="1309" spans="25:25">
      <c r="Y1309" s="181"/>
    </row>
    <row r="1310" spans="25:25">
      <c r="Y1310" s="181"/>
    </row>
    <row r="1311" spans="25:25">
      <c r="Y1311" s="181"/>
    </row>
    <row r="1312" spans="25:25">
      <c r="Y1312" s="181"/>
    </row>
    <row r="1313" spans="25:25">
      <c r="Y1313" s="181"/>
    </row>
    <row r="1314" spans="25:25">
      <c r="Y1314" s="181"/>
    </row>
    <row r="1315" spans="25:25">
      <c r="Y1315" s="181"/>
    </row>
    <row r="1316" spans="25:25">
      <c r="Y1316" s="181"/>
    </row>
    <row r="1317" spans="25:25">
      <c r="Y1317" s="181"/>
    </row>
    <row r="1318" spans="25:25">
      <c r="Y1318" s="181"/>
    </row>
    <row r="1319" spans="25:25">
      <c r="Y1319" s="181"/>
    </row>
    <row r="1320" spans="25:25">
      <c r="Y1320" s="181"/>
    </row>
    <row r="1321" spans="25:25">
      <c r="Y1321" s="181"/>
    </row>
    <row r="1322" spans="25:25">
      <c r="Y1322" s="181"/>
    </row>
    <row r="1323" spans="25:25">
      <c r="Y1323" s="181"/>
    </row>
    <row r="1324" spans="25:25">
      <c r="Y1324" s="181"/>
    </row>
    <row r="1325" spans="25:25">
      <c r="Y1325" s="181"/>
    </row>
    <row r="1326" spans="25:25">
      <c r="Y1326" s="181"/>
    </row>
    <row r="1327" spans="25:25">
      <c r="Y1327" s="181"/>
    </row>
    <row r="1328" spans="25:25">
      <c r="Y1328" s="181"/>
    </row>
    <row r="1329" spans="25:25">
      <c r="Y1329" s="181"/>
    </row>
    <row r="1330" spans="25:25">
      <c r="Y1330" s="181"/>
    </row>
    <row r="1331" spans="25:25">
      <c r="Y1331" s="181"/>
    </row>
    <row r="1332" spans="25:25">
      <c r="Y1332" s="181"/>
    </row>
    <row r="1333" spans="25:25">
      <c r="Y1333" s="181"/>
    </row>
    <row r="1334" spans="25:25">
      <c r="Y1334" s="181"/>
    </row>
    <row r="1335" spans="25:25">
      <c r="Y1335" s="181"/>
    </row>
    <row r="1336" spans="25:25">
      <c r="Y1336" s="181"/>
    </row>
    <row r="1337" spans="25:25">
      <c r="Y1337" s="181"/>
    </row>
    <row r="1338" spans="25:25">
      <c r="Y1338" s="181"/>
    </row>
    <row r="1339" spans="25:25">
      <c r="Y1339" s="181"/>
    </row>
    <row r="1340" spans="25:25">
      <c r="Y1340" s="181"/>
    </row>
    <row r="1341" spans="25:25">
      <c r="Y1341" s="181"/>
    </row>
    <row r="1342" spans="25:25">
      <c r="Y1342" s="181"/>
    </row>
    <row r="1343" spans="25:25">
      <c r="Y1343" s="181"/>
    </row>
    <row r="1344" spans="25:25">
      <c r="Y1344" s="181"/>
    </row>
    <row r="1345" spans="25:25">
      <c r="Y1345" s="181"/>
    </row>
    <row r="1346" spans="25:25">
      <c r="Y1346" s="181"/>
    </row>
    <row r="1347" spans="25:25">
      <c r="Y1347" s="181"/>
    </row>
    <row r="1348" spans="25:25">
      <c r="Y1348" s="181"/>
    </row>
    <row r="1349" spans="25:25">
      <c r="Y1349" s="181"/>
    </row>
    <row r="1350" spans="25:25">
      <c r="Y1350" s="181"/>
    </row>
    <row r="1351" spans="25:25">
      <c r="Y1351" s="181"/>
    </row>
    <row r="1352" spans="25:25">
      <c r="Y1352" s="181"/>
    </row>
    <row r="1353" spans="25:25">
      <c r="Y1353" s="181"/>
    </row>
    <row r="1354" spans="25:25">
      <c r="Y1354" s="181"/>
    </row>
    <row r="1355" spans="25:25">
      <c r="Y1355" s="181"/>
    </row>
    <row r="1356" spans="25:25">
      <c r="Y1356" s="181"/>
    </row>
    <row r="1357" spans="25:25">
      <c r="Y1357" s="181"/>
    </row>
    <row r="1358" spans="25:25">
      <c r="Y1358" s="181"/>
    </row>
    <row r="1359" spans="25:25">
      <c r="Y1359" s="181"/>
    </row>
    <row r="1360" spans="25:25">
      <c r="Y1360" s="181"/>
    </row>
    <row r="1361" spans="25:25">
      <c r="Y1361" s="181"/>
    </row>
    <row r="1362" spans="25:25">
      <c r="Y1362" s="181"/>
    </row>
    <row r="1363" spans="25:25">
      <c r="Y1363" s="181"/>
    </row>
    <row r="1364" spans="25:25">
      <c r="Y1364" s="181"/>
    </row>
    <row r="1365" spans="25:25">
      <c r="Y1365" s="181"/>
    </row>
    <row r="1366" spans="25:25">
      <c r="Y1366" s="181"/>
    </row>
    <row r="1367" spans="25:25">
      <c r="Y1367" s="181"/>
    </row>
    <row r="1368" spans="25:25">
      <c r="Y1368" s="181"/>
    </row>
    <row r="1369" spans="25:25">
      <c r="Y1369" s="181"/>
    </row>
    <row r="1370" spans="25:25">
      <c r="Y1370" s="181"/>
    </row>
    <row r="1371" spans="25:25">
      <c r="Y1371" s="181"/>
    </row>
    <row r="1372" spans="25:25">
      <c r="Y1372" s="181"/>
    </row>
    <row r="1373" spans="25:25">
      <c r="Y1373" s="181"/>
    </row>
    <row r="1374" spans="25:25">
      <c r="Y1374" s="181"/>
    </row>
    <row r="1375" spans="25:25">
      <c r="Y1375" s="181"/>
    </row>
    <row r="1376" spans="25:25">
      <c r="Y1376" s="181"/>
    </row>
    <row r="1377" spans="25:25">
      <c r="Y1377" s="181"/>
    </row>
    <row r="1378" spans="25:25">
      <c r="Y1378" s="181"/>
    </row>
    <row r="1379" spans="25:25">
      <c r="Y1379" s="181"/>
    </row>
    <row r="1380" spans="25:25">
      <c r="Y1380" s="181"/>
    </row>
    <row r="1381" spans="25:25">
      <c r="Y1381" s="181"/>
    </row>
    <row r="1382" spans="25:25">
      <c r="Y1382" s="181"/>
    </row>
    <row r="1383" spans="25:25">
      <c r="Y1383" s="181"/>
    </row>
    <row r="1384" spans="25:25">
      <c r="Y1384" s="181"/>
    </row>
    <row r="1385" spans="25:25">
      <c r="Y1385" s="181"/>
    </row>
    <row r="1386" spans="25:25">
      <c r="Y1386" s="181"/>
    </row>
    <row r="1387" spans="25:25">
      <c r="Y1387" s="181"/>
    </row>
    <row r="1388" spans="25:25">
      <c r="Y1388" s="181"/>
    </row>
    <row r="1389" spans="25:25">
      <c r="Y1389" s="181"/>
    </row>
    <row r="1390" spans="25:25">
      <c r="Y1390" s="181"/>
    </row>
    <row r="1391" spans="25:25">
      <c r="Y1391" s="181"/>
    </row>
    <row r="1392" spans="25:25">
      <c r="Y1392" s="181"/>
    </row>
    <row r="1393" spans="25:25">
      <c r="Y1393" s="181"/>
    </row>
    <row r="1394" spans="25:25">
      <c r="Y1394" s="181"/>
    </row>
    <row r="1395" spans="25:25">
      <c r="Y1395" s="181"/>
    </row>
    <row r="1396" spans="25:25">
      <c r="Y1396" s="181"/>
    </row>
    <row r="1397" spans="25:25">
      <c r="Y1397" s="181"/>
    </row>
    <row r="1398" spans="25:25">
      <c r="Y1398" s="181"/>
    </row>
    <row r="1399" spans="25:25">
      <c r="Y1399" s="181"/>
    </row>
    <row r="1400" spans="25:25">
      <c r="Y1400" s="181"/>
    </row>
    <row r="1401" spans="25:25">
      <c r="Y1401" s="181"/>
    </row>
    <row r="1402" spans="25:25">
      <c r="Y1402" s="181"/>
    </row>
    <row r="1403" spans="25:25">
      <c r="Y1403" s="181"/>
    </row>
    <row r="1404" spans="25:25">
      <c r="Y1404" s="181"/>
    </row>
    <row r="1405" spans="25:25">
      <c r="Y1405" s="181"/>
    </row>
    <row r="1406" spans="25:25">
      <c r="Y1406" s="181"/>
    </row>
    <row r="1407" spans="25:25">
      <c r="Y1407" s="181"/>
    </row>
    <row r="1408" spans="25:25">
      <c r="Y1408" s="181"/>
    </row>
    <row r="1409" spans="25:25">
      <c r="Y1409" s="181"/>
    </row>
    <row r="1410" spans="25:25">
      <c r="Y1410" s="181"/>
    </row>
    <row r="1411" spans="25:25">
      <c r="Y1411" s="181"/>
    </row>
    <row r="1412" spans="25:25">
      <c r="Y1412" s="181"/>
    </row>
    <row r="1413" spans="25:25">
      <c r="Y1413" s="181"/>
    </row>
    <row r="1414" spans="25:25">
      <c r="Y1414" s="181"/>
    </row>
    <row r="1415" spans="25:25">
      <c r="Y1415" s="181"/>
    </row>
    <row r="1416" spans="25:25">
      <c r="Y1416" s="181"/>
    </row>
    <row r="1417" spans="25:25">
      <c r="Y1417" s="181"/>
    </row>
    <row r="1418" spans="25:25">
      <c r="Y1418" s="181"/>
    </row>
    <row r="1419" spans="25:25">
      <c r="Y1419" s="181"/>
    </row>
    <row r="1420" spans="25:25">
      <c r="Y1420" s="181"/>
    </row>
    <row r="1421" spans="25:25">
      <c r="Y1421" s="181"/>
    </row>
    <row r="1422" spans="25:25">
      <c r="Y1422" s="181"/>
    </row>
    <row r="1423" spans="25:25">
      <c r="Y1423" s="181"/>
    </row>
    <row r="1424" spans="25:25">
      <c r="Y1424" s="181"/>
    </row>
    <row r="1425" spans="25:25">
      <c r="Y1425" s="181"/>
    </row>
    <row r="1426" spans="25:25">
      <c r="Y1426" s="181"/>
    </row>
    <row r="1427" spans="25:25">
      <c r="Y1427" s="181"/>
    </row>
    <row r="1428" spans="25:25">
      <c r="Y1428" s="181"/>
    </row>
    <row r="1429" spans="25:25">
      <c r="Y1429" s="181"/>
    </row>
    <row r="1430" spans="25:25">
      <c r="Y1430" s="181"/>
    </row>
    <row r="1431" spans="25:25">
      <c r="Y1431" s="181"/>
    </row>
    <row r="1432" spans="25:25">
      <c r="Y1432" s="181"/>
    </row>
    <row r="1433" spans="25:25">
      <c r="Y1433" s="181"/>
    </row>
    <row r="1434" spans="25:25">
      <c r="Y1434" s="181"/>
    </row>
    <row r="1435" spans="25:25">
      <c r="Y1435" s="181"/>
    </row>
    <row r="1436" spans="25:25">
      <c r="Y1436" s="181"/>
    </row>
    <row r="1437" spans="25:25">
      <c r="Y1437" s="181"/>
    </row>
    <row r="1438" spans="25:25">
      <c r="Y1438" s="181"/>
    </row>
    <row r="1439" spans="25:25">
      <c r="Y1439" s="181"/>
    </row>
    <row r="1440" spans="25:25">
      <c r="Y1440" s="181"/>
    </row>
    <row r="1441" spans="25:25">
      <c r="Y1441" s="181"/>
    </row>
    <row r="1442" spans="25:25">
      <c r="Y1442" s="181"/>
    </row>
    <row r="1443" spans="25:25">
      <c r="Y1443" s="181"/>
    </row>
    <row r="1444" spans="25:25">
      <c r="Y1444" s="181"/>
    </row>
    <row r="1445" spans="25:25">
      <c r="Y1445" s="181"/>
    </row>
    <row r="1446" spans="25:25">
      <c r="Y1446" s="181"/>
    </row>
    <row r="1447" spans="25:25">
      <c r="Y1447" s="181"/>
    </row>
    <row r="1448" spans="25:25">
      <c r="Y1448" s="181"/>
    </row>
    <row r="1449" spans="25:25">
      <c r="Y1449" s="181"/>
    </row>
    <row r="1450" spans="25:25">
      <c r="Y1450" s="181"/>
    </row>
    <row r="1451" spans="25:25">
      <c r="Y1451" s="181"/>
    </row>
    <row r="1452" spans="25:25">
      <c r="Y1452" s="181"/>
    </row>
    <row r="1453" spans="25:25">
      <c r="Y1453" s="181"/>
    </row>
    <row r="1454" spans="25:25">
      <c r="Y1454" s="181"/>
    </row>
    <row r="1455" spans="25:25">
      <c r="Y1455" s="181"/>
    </row>
    <row r="1456" spans="25:25">
      <c r="Y1456" s="181"/>
    </row>
    <row r="1457" spans="25:25">
      <c r="Y1457" s="181"/>
    </row>
    <row r="1458" spans="25:25">
      <c r="Y1458" s="181"/>
    </row>
    <row r="1459" spans="25:25">
      <c r="Y1459" s="181"/>
    </row>
    <row r="1460" spans="25:25">
      <c r="Y1460" s="181"/>
    </row>
    <row r="1461" spans="25:25">
      <c r="Y1461" s="181"/>
    </row>
    <row r="1462" spans="25:25">
      <c r="Y1462" s="181"/>
    </row>
    <row r="1463" spans="25:25">
      <c r="Y1463" s="181"/>
    </row>
    <row r="1464" spans="25:25">
      <c r="Y1464" s="181"/>
    </row>
    <row r="1465" spans="25:25">
      <c r="Y1465" s="181"/>
    </row>
    <row r="1466" spans="25:25">
      <c r="Y1466" s="181"/>
    </row>
    <row r="1467" spans="25:25">
      <c r="Y1467" s="181"/>
    </row>
    <row r="1468" spans="25:25">
      <c r="Y1468" s="181"/>
    </row>
    <row r="1469" spans="25:25">
      <c r="Y1469" s="181"/>
    </row>
    <row r="1470" spans="25:25">
      <c r="Y1470" s="181"/>
    </row>
    <row r="1471" spans="25:25">
      <c r="Y1471" s="181"/>
    </row>
    <row r="1472" spans="25:25">
      <c r="Y1472" s="181"/>
    </row>
    <row r="1473" spans="25:25">
      <c r="Y1473" s="181"/>
    </row>
    <row r="1474" spans="25:25">
      <c r="Y1474" s="181"/>
    </row>
    <row r="1475" spans="25:25">
      <c r="Y1475" s="181"/>
    </row>
    <row r="1476" spans="25:25">
      <c r="Y1476" s="181"/>
    </row>
    <row r="1477" spans="25:25">
      <c r="Y1477" s="181"/>
    </row>
    <row r="1478" spans="25:25">
      <c r="Y1478" s="181"/>
    </row>
    <row r="1479" spans="25:25">
      <c r="Y1479" s="181"/>
    </row>
    <row r="1480" spans="25:25">
      <c r="Y1480" s="181"/>
    </row>
    <row r="1481" spans="25:25">
      <c r="Y1481" s="181"/>
    </row>
    <row r="1482" spans="25:25">
      <c r="Y1482" s="181"/>
    </row>
    <row r="1483" spans="25:25">
      <c r="Y1483" s="181"/>
    </row>
    <row r="1484" spans="25:25">
      <c r="Y1484" s="181"/>
    </row>
    <row r="1485" spans="25:25">
      <c r="Y1485" s="181"/>
    </row>
    <row r="1486" spans="25:25">
      <c r="Y1486" s="181"/>
    </row>
    <row r="1487" spans="25:25">
      <c r="Y1487" s="181"/>
    </row>
    <row r="1488" spans="25:25">
      <c r="Y1488" s="181"/>
    </row>
    <row r="1489" spans="25:25">
      <c r="Y1489" s="181"/>
    </row>
    <row r="1490" spans="25:25">
      <c r="Y1490" s="181"/>
    </row>
    <row r="1491" spans="25:25">
      <c r="Y1491" s="181"/>
    </row>
    <row r="1492" spans="25:25">
      <c r="Y1492" s="181"/>
    </row>
    <row r="1493" spans="25:25">
      <c r="Y1493" s="181"/>
    </row>
    <row r="1494" spans="25:25">
      <c r="Y1494" s="181"/>
    </row>
    <row r="1495" spans="25:25">
      <c r="Y1495" s="181"/>
    </row>
    <row r="1496" spans="25:25">
      <c r="Y1496" s="181"/>
    </row>
    <row r="1497" spans="25:25">
      <c r="Y1497" s="181"/>
    </row>
    <row r="1498" spans="25:25">
      <c r="Y1498" s="181"/>
    </row>
    <row r="1499" spans="25:25">
      <c r="Y1499" s="181"/>
    </row>
    <row r="1500" spans="25:25">
      <c r="Y1500" s="181"/>
    </row>
    <row r="1501" spans="25:25">
      <c r="Y1501" s="181"/>
    </row>
    <row r="1502" spans="25:25">
      <c r="Y1502" s="181"/>
    </row>
    <row r="1503" spans="25:25">
      <c r="Y1503" s="181"/>
    </row>
    <row r="1504" spans="25:25">
      <c r="Y1504" s="181"/>
    </row>
    <row r="1505" spans="25:25">
      <c r="Y1505" s="181"/>
    </row>
    <row r="1506" spans="25:25">
      <c r="Y1506" s="181"/>
    </row>
    <row r="1507" spans="25:25">
      <c r="Y1507" s="181"/>
    </row>
    <row r="1508" spans="25:25">
      <c r="Y1508" s="181"/>
    </row>
    <row r="1509" spans="25:25">
      <c r="Y1509" s="181"/>
    </row>
    <row r="1510" spans="25:25">
      <c r="Y1510" s="181"/>
    </row>
    <row r="1511" spans="25:25">
      <c r="Y1511" s="181"/>
    </row>
    <row r="1512" spans="25:25">
      <c r="Y1512" s="181"/>
    </row>
    <row r="1513" spans="25:25">
      <c r="Y1513" s="181"/>
    </row>
    <row r="1514" spans="25:25">
      <c r="Y1514" s="181"/>
    </row>
    <row r="1515" spans="25:25">
      <c r="Y1515" s="181"/>
    </row>
    <row r="1516" spans="25:25">
      <c r="Y1516" s="181"/>
    </row>
    <row r="1517" spans="25:25">
      <c r="Y1517" s="181"/>
    </row>
    <row r="1518" spans="25:25">
      <c r="Y1518" s="181"/>
    </row>
    <row r="1519" spans="25:25">
      <c r="Y1519" s="181"/>
    </row>
    <row r="1520" spans="25:25">
      <c r="Y1520" s="181"/>
    </row>
    <row r="1521" spans="25:25">
      <c r="Y1521" s="181"/>
    </row>
    <row r="1522" spans="25:25">
      <c r="Y1522" s="181"/>
    </row>
    <row r="1523" spans="25:25">
      <c r="Y1523" s="181"/>
    </row>
    <row r="1524" spans="25:25">
      <c r="Y1524" s="181"/>
    </row>
    <row r="1525" spans="25:25">
      <c r="Y1525" s="181"/>
    </row>
    <row r="1526" spans="25:25">
      <c r="Y1526" s="181"/>
    </row>
    <row r="1527" spans="25:25">
      <c r="Y1527" s="181"/>
    </row>
    <row r="1528" spans="25:25">
      <c r="Y1528" s="181"/>
    </row>
    <row r="1529" spans="25:25">
      <c r="Y1529" s="181"/>
    </row>
    <row r="1530" spans="25:25">
      <c r="Y1530" s="181"/>
    </row>
    <row r="1531" spans="25:25">
      <c r="Y1531" s="181"/>
    </row>
    <row r="1532" spans="25:25">
      <c r="Y1532" s="181"/>
    </row>
    <row r="1533" spans="25:25">
      <c r="Y1533" s="181"/>
    </row>
    <row r="1534" spans="25:25">
      <c r="Y1534" s="181"/>
    </row>
    <row r="1535" spans="25:25">
      <c r="Y1535" s="181"/>
    </row>
    <row r="1536" spans="25:25">
      <c r="Y1536" s="181"/>
    </row>
    <row r="1537" spans="25:25">
      <c r="Y1537" s="181"/>
    </row>
    <row r="1538" spans="25:25">
      <c r="Y1538" s="181"/>
    </row>
    <row r="1539" spans="25:25">
      <c r="Y1539" s="181"/>
    </row>
    <row r="1540" spans="25:25">
      <c r="Y1540" s="181"/>
    </row>
    <row r="1541" spans="25:25">
      <c r="Y1541" s="181"/>
    </row>
    <row r="1542" spans="25:25">
      <c r="Y1542" s="181"/>
    </row>
    <row r="1543" spans="25:25">
      <c r="Y1543" s="181"/>
    </row>
    <row r="1544" spans="25:25">
      <c r="Y1544" s="181"/>
    </row>
    <row r="1545" spans="25:25">
      <c r="Y1545" s="181"/>
    </row>
    <row r="1546" spans="25:25">
      <c r="Y1546" s="181"/>
    </row>
    <row r="1547" spans="25:25">
      <c r="Y1547" s="181"/>
    </row>
    <row r="1548" spans="25:25">
      <c r="Y1548" s="181"/>
    </row>
    <row r="1549" spans="25:25">
      <c r="Y1549" s="181"/>
    </row>
    <row r="1550" spans="25:25">
      <c r="Y1550" s="181"/>
    </row>
    <row r="1551" spans="25:25">
      <c r="Y1551" s="181"/>
    </row>
    <row r="1552" spans="25:25">
      <c r="Y1552" s="181"/>
    </row>
    <row r="1553" spans="25:25">
      <c r="Y1553" s="181"/>
    </row>
    <row r="1554" spans="25:25">
      <c r="Y1554" s="181"/>
    </row>
    <row r="1555" spans="25:25">
      <c r="Y1555" s="181"/>
    </row>
    <row r="1556" spans="25:25">
      <c r="Y1556" s="181"/>
    </row>
    <row r="1557" spans="25:25">
      <c r="Y1557" s="181"/>
    </row>
    <row r="1558" spans="25:25">
      <c r="Y1558" s="181"/>
    </row>
    <row r="1559" spans="25:25">
      <c r="Y1559" s="181"/>
    </row>
    <row r="1560" spans="25:25">
      <c r="Y1560" s="181"/>
    </row>
    <row r="1561" spans="25:25">
      <c r="Y1561" s="181"/>
    </row>
    <row r="1562" spans="25:25">
      <c r="Y1562" s="181"/>
    </row>
    <row r="1563" spans="25:25">
      <c r="Y1563" s="181"/>
    </row>
    <row r="1564" spans="25:25">
      <c r="Y1564" s="181"/>
    </row>
    <row r="1565" spans="25:25">
      <c r="Y1565" s="181"/>
    </row>
    <row r="1566" spans="25:25">
      <c r="Y1566" s="181"/>
    </row>
    <row r="1567" spans="25:25">
      <c r="Y1567" s="181"/>
    </row>
    <row r="1568" spans="25:25">
      <c r="Y1568" s="181"/>
    </row>
    <row r="1569" spans="25:25">
      <c r="Y1569" s="181"/>
    </row>
    <row r="1570" spans="25:25">
      <c r="Y1570" s="181"/>
    </row>
    <row r="1571" spans="25:25">
      <c r="Y1571" s="181"/>
    </row>
    <row r="1572" spans="25:25">
      <c r="Y1572" s="181"/>
    </row>
    <row r="1573" spans="25:25">
      <c r="Y1573" s="181"/>
    </row>
    <row r="1574" spans="25:25">
      <c r="Y1574" s="181"/>
    </row>
    <row r="1575" spans="25:25">
      <c r="Y1575" s="181"/>
    </row>
    <row r="1576" spans="25:25">
      <c r="Y1576" s="181"/>
    </row>
    <row r="1577" spans="25:25">
      <c r="Y1577" s="181"/>
    </row>
    <row r="1578" spans="25:25">
      <c r="Y1578" s="181"/>
    </row>
    <row r="1579" spans="25:25">
      <c r="Y1579" s="181"/>
    </row>
    <row r="1580" spans="25:25">
      <c r="Y1580" s="181"/>
    </row>
    <row r="1581" spans="25:25">
      <c r="Y1581" s="181"/>
    </row>
    <row r="1582" spans="25:25">
      <c r="Y1582" s="181"/>
    </row>
    <row r="1583" spans="25:25">
      <c r="Y1583" s="181"/>
    </row>
    <row r="1584" spans="25:25">
      <c r="Y1584" s="181"/>
    </row>
    <row r="1585" spans="25:25">
      <c r="Y1585" s="181"/>
    </row>
    <row r="1586" spans="25:25">
      <c r="Y1586" s="181"/>
    </row>
    <row r="1587" spans="25:25">
      <c r="Y1587" s="181"/>
    </row>
    <row r="1588" spans="25:25">
      <c r="Y1588" s="181"/>
    </row>
    <row r="1589" spans="25:25">
      <c r="Y1589" s="181"/>
    </row>
    <row r="1590" spans="25:25">
      <c r="Y1590" s="181"/>
    </row>
    <row r="1591" spans="25:25">
      <c r="Y1591" s="181"/>
    </row>
    <row r="1592" spans="25:25">
      <c r="Y1592" s="181"/>
    </row>
    <row r="1593" spans="25:25">
      <c r="Y1593" s="181"/>
    </row>
    <row r="1594" spans="25:25">
      <c r="Y1594" s="181"/>
    </row>
    <row r="1595" spans="25:25">
      <c r="Y1595" s="181"/>
    </row>
    <row r="1596" spans="25:25">
      <c r="Y1596" s="181"/>
    </row>
    <row r="1597" spans="25:25">
      <c r="Y1597" s="181"/>
    </row>
    <row r="1598" spans="25:25">
      <c r="Y1598" s="181"/>
    </row>
    <row r="1599" spans="25:25">
      <c r="Y1599" s="181"/>
    </row>
    <row r="1600" spans="25:25">
      <c r="Y1600" s="181"/>
    </row>
    <row r="1601" spans="25:25">
      <c r="Y1601" s="181"/>
    </row>
    <row r="1602" spans="25:25">
      <c r="Y1602" s="181"/>
    </row>
    <row r="1603" spans="25:25">
      <c r="Y1603" s="181"/>
    </row>
    <row r="1604" spans="25:25">
      <c r="Y1604" s="181"/>
    </row>
    <row r="1605" spans="25:25">
      <c r="Y1605" s="181"/>
    </row>
    <row r="1606" spans="25:25">
      <c r="Y1606" s="181"/>
    </row>
    <row r="1607" spans="25:25">
      <c r="Y1607" s="181"/>
    </row>
    <row r="1608" spans="25:25">
      <c r="Y1608" s="181"/>
    </row>
    <row r="1609" spans="25:25">
      <c r="Y1609" s="181"/>
    </row>
    <row r="1610" spans="25:25">
      <c r="Y1610" s="181"/>
    </row>
    <row r="1611" spans="25:25">
      <c r="Y1611" s="181"/>
    </row>
    <row r="1612" spans="25:25">
      <c r="Y1612" s="181"/>
    </row>
    <row r="1613" spans="25:25">
      <c r="Y1613" s="181"/>
    </row>
    <row r="1614" spans="25:25">
      <c r="Y1614" s="181"/>
    </row>
    <row r="1615" spans="25:25">
      <c r="Y1615" s="181"/>
    </row>
    <row r="1616" spans="25:25">
      <c r="Y1616" s="181"/>
    </row>
    <row r="1617" spans="25:25">
      <c r="Y1617" s="181"/>
    </row>
    <row r="1618" spans="25:25">
      <c r="Y1618" s="181"/>
    </row>
    <row r="1619" spans="25:25">
      <c r="Y1619" s="181"/>
    </row>
    <row r="1620" spans="25:25">
      <c r="Y1620" s="181"/>
    </row>
    <row r="1621" spans="25:25">
      <c r="Y1621" s="181"/>
    </row>
    <row r="1622" spans="25:25">
      <c r="Y1622" s="181"/>
    </row>
    <row r="1623" spans="25:25">
      <c r="Y1623" s="181"/>
    </row>
    <row r="1624" spans="25:25">
      <c r="Y1624" s="181"/>
    </row>
    <row r="1625" spans="25:25">
      <c r="Y1625" s="181"/>
    </row>
    <row r="1626" spans="25:25">
      <c r="Y1626" s="181"/>
    </row>
    <row r="1627" spans="25:25">
      <c r="Y1627" s="181"/>
    </row>
    <row r="1628" spans="25:25">
      <c r="Y1628" s="181"/>
    </row>
    <row r="1629" spans="25:25">
      <c r="Y1629" s="181"/>
    </row>
    <row r="1630" spans="25:25">
      <c r="Y1630" s="181"/>
    </row>
    <row r="1631" spans="25:25">
      <c r="Y1631" s="181"/>
    </row>
    <row r="1632" spans="25:25">
      <c r="Y1632" s="181"/>
    </row>
    <row r="1633" spans="25:25">
      <c r="Y1633" s="181"/>
    </row>
    <row r="1634" spans="25:25">
      <c r="Y1634" s="181"/>
    </row>
    <row r="1635" spans="25:25">
      <c r="Y1635" s="181"/>
    </row>
    <row r="1636" spans="25:25">
      <c r="Y1636" s="181"/>
    </row>
    <row r="1637" spans="25:25">
      <c r="Y1637" s="181"/>
    </row>
    <row r="1638" spans="25:25">
      <c r="Y1638" s="181"/>
    </row>
    <row r="1639" spans="25:25">
      <c r="Y1639" s="181"/>
    </row>
    <row r="1640" spans="25:25">
      <c r="Y1640" s="181"/>
    </row>
    <row r="1641" spans="25:25">
      <c r="Y1641" s="181"/>
    </row>
    <row r="1642" spans="25:25">
      <c r="Y1642" s="181"/>
    </row>
    <row r="1643" spans="25:25">
      <c r="Y1643" s="181"/>
    </row>
    <row r="1644" spans="25:25">
      <c r="Y1644" s="181"/>
    </row>
    <row r="1645" spans="25:25">
      <c r="Y1645" s="181"/>
    </row>
    <row r="1646" spans="25:25">
      <c r="Y1646" s="181"/>
    </row>
    <row r="1647" spans="25:25">
      <c r="Y1647" s="181"/>
    </row>
    <row r="1648" spans="25:25">
      <c r="Y1648" s="181"/>
    </row>
    <row r="1649" spans="25:25">
      <c r="Y1649" s="181"/>
    </row>
    <row r="1650" spans="25:25">
      <c r="Y1650" s="181"/>
    </row>
    <row r="1651" spans="25:25">
      <c r="Y1651" s="181"/>
    </row>
    <row r="1652" spans="25:25">
      <c r="Y1652" s="181"/>
    </row>
    <row r="1653" spans="25:25">
      <c r="Y1653" s="181"/>
    </row>
    <row r="1654" spans="25:25">
      <c r="Y1654" s="181"/>
    </row>
    <row r="1655" spans="25:25">
      <c r="Y1655" s="181"/>
    </row>
    <row r="1656" spans="25:25">
      <c r="Y1656" s="181"/>
    </row>
    <row r="1657" spans="25:25">
      <c r="Y1657" s="181"/>
    </row>
    <row r="1658" spans="25:25">
      <c r="Y1658" s="181"/>
    </row>
    <row r="1659" spans="25:25">
      <c r="Y1659" s="181"/>
    </row>
    <row r="1660" spans="25:25">
      <c r="Y1660" s="181"/>
    </row>
    <row r="1661" spans="25:25">
      <c r="Y1661" s="181"/>
    </row>
    <row r="1662" spans="25:25">
      <c r="Y1662" s="181"/>
    </row>
    <row r="1663" spans="25:25">
      <c r="Y1663" s="181"/>
    </row>
    <row r="1664" spans="25:25">
      <c r="Y1664" s="181"/>
    </row>
    <row r="1665" spans="25:25">
      <c r="Y1665" s="181"/>
    </row>
    <row r="1666" spans="25:25">
      <c r="Y1666" s="181"/>
    </row>
    <row r="1667" spans="25:25">
      <c r="Y1667" s="181"/>
    </row>
    <row r="1668" spans="25:25">
      <c r="Y1668" s="181"/>
    </row>
    <row r="1669" spans="25:25">
      <c r="Y1669" s="181"/>
    </row>
    <row r="1670" spans="25:25">
      <c r="Y1670" s="181"/>
    </row>
    <row r="1671" spans="25:25">
      <c r="Y1671" s="181"/>
    </row>
    <row r="1672" spans="25:25">
      <c r="Y1672" s="181"/>
    </row>
    <row r="1673" spans="25:25">
      <c r="Y1673" s="181"/>
    </row>
    <row r="1674" spans="25:25">
      <c r="Y1674" s="181"/>
    </row>
    <row r="1675" spans="25:25">
      <c r="Y1675" s="181"/>
    </row>
    <row r="1676" spans="25:25">
      <c r="Y1676" s="181"/>
    </row>
    <row r="1677" spans="25:25">
      <c r="Y1677" s="181"/>
    </row>
    <row r="1678" spans="25:25">
      <c r="Y1678" s="181"/>
    </row>
    <row r="1679" spans="25:25">
      <c r="Y1679" s="181"/>
    </row>
    <row r="1680" spans="25:25">
      <c r="Y1680" s="181"/>
    </row>
    <row r="1681" spans="25:25">
      <c r="Y1681" s="181"/>
    </row>
    <row r="1682" spans="25:25">
      <c r="Y1682" s="181"/>
    </row>
    <row r="1683" spans="25:25">
      <c r="Y1683" s="181"/>
    </row>
    <row r="1684" spans="25:25">
      <c r="Y1684" s="181"/>
    </row>
    <row r="1685" spans="25:25">
      <c r="Y1685" s="181"/>
    </row>
    <row r="1686" spans="25:25">
      <c r="Y1686" s="181"/>
    </row>
    <row r="1687" spans="25:25">
      <c r="Y1687" s="181"/>
    </row>
    <row r="1688" spans="25:25">
      <c r="Y1688" s="181"/>
    </row>
    <row r="1689" spans="25:25">
      <c r="Y1689" s="181"/>
    </row>
    <row r="1690" spans="25:25">
      <c r="Y1690" s="181"/>
    </row>
    <row r="1691" spans="25:25">
      <c r="Y1691" s="181"/>
    </row>
    <row r="1692" spans="25:25">
      <c r="Y1692" s="181"/>
    </row>
    <row r="1693" spans="25:25">
      <c r="Y1693" s="181"/>
    </row>
    <row r="1694" spans="25:25">
      <c r="Y1694" s="181"/>
    </row>
    <row r="1695" spans="25:25">
      <c r="Y1695" s="181"/>
    </row>
    <row r="1696" spans="25:25">
      <c r="Y1696" s="181"/>
    </row>
    <row r="1697" spans="25:25">
      <c r="Y1697" s="181"/>
    </row>
    <row r="1698" spans="25:25">
      <c r="Y1698" s="181"/>
    </row>
    <row r="1699" spans="25:25">
      <c r="Y1699" s="181"/>
    </row>
    <row r="1700" spans="25:25">
      <c r="Y1700" s="181"/>
    </row>
    <row r="1701" spans="25:25">
      <c r="Y1701" s="181"/>
    </row>
    <row r="1702" spans="25:25">
      <c r="Y1702" s="181"/>
    </row>
    <row r="1703" spans="25:25">
      <c r="Y1703" s="181"/>
    </row>
    <row r="1704" spans="25:25">
      <c r="Y1704" s="181"/>
    </row>
    <row r="1705" spans="25:25">
      <c r="Y1705" s="181"/>
    </row>
    <row r="1706" spans="25:25">
      <c r="Y1706" s="181"/>
    </row>
    <row r="1707" spans="25:25">
      <c r="Y1707" s="181"/>
    </row>
    <row r="1708" spans="25:25">
      <c r="Y1708" s="181"/>
    </row>
    <row r="1709" spans="25:25">
      <c r="Y1709" s="181"/>
    </row>
    <row r="1710" spans="25:25">
      <c r="Y1710" s="181"/>
    </row>
    <row r="1711" spans="25:25">
      <c r="Y1711" s="181"/>
    </row>
    <row r="1712" spans="25:25">
      <c r="Y1712" s="181"/>
    </row>
    <row r="1713" spans="25:25">
      <c r="Y1713" s="181"/>
    </row>
    <row r="1714" spans="25:25">
      <c r="Y1714" s="181"/>
    </row>
    <row r="1715" spans="25:25">
      <c r="Y1715" s="181"/>
    </row>
    <row r="1716" spans="25:25">
      <c r="Y1716" s="181"/>
    </row>
    <row r="1717" spans="25:25">
      <c r="Y1717" s="181"/>
    </row>
    <row r="1718" spans="25:25">
      <c r="Y1718" s="181"/>
    </row>
    <row r="1719" spans="25:25">
      <c r="Y1719" s="181"/>
    </row>
    <row r="1720" spans="25:25">
      <c r="Y1720" s="181"/>
    </row>
    <row r="1721" spans="25:25">
      <c r="Y1721" s="181"/>
    </row>
    <row r="1722" spans="25:25">
      <c r="Y1722" s="181"/>
    </row>
    <row r="1723" spans="25:25">
      <c r="Y1723" s="181"/>
    </row>
    <row r="1724" spans="25:25">
      <c r="Y1724" s="181"/>
    </row>
    <row r="1725" spans="25:25">
      <c r="Y1725" s="181"/>
    </row>
    <row r="1726" spans="25:25">
      <c r="Y1726" s="181"/>
    </row>
    <row r="1727" spans="25:25">
      <c r="Y1727" s="181"/>
    </row>
    <row r="1728" spans="25:25">
      <c r="Y1728" s="181"/>
    </row>
    <row r="1729" spans="25:25">
      <c r="Y1729" s="181"/>
    </row>
    <row r="1730" spans="25:25">
      <c r="Y1730" s="181"/>
    </row>
    <row r="1731" spans="25:25">
      <c r="Y1731" s="181"/>
    </row>
    <row r="1732" spans="25:25">
      <c r="Y1732" s="181"/>
    </row>
    <row r="1733" spans="25:25">
      <c r="Y1733" s="181"/>
    </row>
    <row r="1734" spans="25:25">
      <c r="Y1734" s="181"/>
    </row>
    <row r="1735" spans="25:25">
      <c r="Y1735" s="181"/>
    </row>
    <row r="1736" spans="25:25">
      <c r="Y1736" s="181"/>
    </row>
    <row r="1737" spans="25:25">
      <c r="Y1737" s="181"/>
    </row>
    <row r="1738" spans="25:25">
      <c r="Y1738" s="181"/>
    </row>
    <row r="1739" spans="25:25">
      <c r="Y1739" s="181"/>
    </row>
    <row r="1740" spans="25:25">
      <c r="Y1740" s="181"/>
    </row>
    <row r="1741" spans="25:25">
      <c r="Y1741" s="181"/>
    </row>
    <row r="1742" spans="25:25">
      <c r="Y1742" s="181"/>
    </row>
    <row r="1743" spans="25:25">
      <c r="Y1743" s="181"/>
    </row>
    <row r="1744" spans="25:25">
      <c r="Y1744" s="181"/>
    </row>
    <row r="1745" spans="25:25">
      <c r="Y1745" s="181"/>
    </row>
    <row r="1746" spans="25:25">
      <c r="Y1746" s="181"/>
    </row>
    <row r="1747" spans="25:25">
      <c r="Y1747" s="181"/>
    </row>
    <row r="1748" spans="25:25">
      <c r="Y1748" s="181"/>
    </row>
    <row r="1749" spans="25:25">
      <c r="Y1749" s="181"/>
    </row>
    <row r="1750" spans="25:25">
      <c r="Y1750" s="181"/>
    </row>
    <row r="1751" spans="25:25">
      <c r="Y1751" s="181"/>
    </row>
    <row r="1752" spans="25:25">
      <c r="Y1752" s="181"/>
    </row>
    <row r="1753" spans="25:25">
      <c r="Y1753" s="181"/>
    </row>
    <row r="1754" spans="25:25">
      <c r="Y1754" s="181"/>
    </row>
    <row r="1755" spans="25:25">
      <c r="Y1755" s="181"/>
    </row>
    <row r="1756" spans="25:25">
      <c r="Y1756" s="181"/>
    </row>
    <row r="1757" spans="25:25">
      <c r="Y1757" s="181"/>
    </row>
    <row r="1758" spans="25:25">
      <c r="Y1758" s="181"/>
    </row>
    <row r="1759" spans="25:25">
      <c r="Y1759" s="181"/>
    </row>
    <row r="1760" spans="25:25">
      <c r="Y1760" s="181"/>
    </row>
    <row r="1761" spans="25:25">
      <c r="Y1761" s="181"/>
    </row>
    <row r="1762" spans="25:25">
      <c r="Y1762" s="181"/>
    </row>
    <row r="1763" spans="25:25">
      <c r="Y1763" s="181"/>
    </row>
    <row r="1764" spans="25:25">
      <c r="Y1764" s="181"/>
    </row>
    <row r="1765" spans="25:25">
      <c r="Y1765" s="181"/>
    </row>
    <row r="1766" spans="25:25">
      <c r="Y1766" s="181"/>
    </row>
    <row r="1767" spans="25:25">
      <c r="Y1767" s="181"/>
    </row>
    <row r="1768" spans="25:25">
      <c r="Y1768" s="181"/>
    </row>
    <row r="1769" spans="25:25">
      <c r="Y1769" s="181"/>
    </row>
    <row r="1770" spans="25:25">
      <c r="Y1770" s="181"/>
    </row>
    <row r="1771" spans="25:25">
      <c r="Y1771" s="181"/>
    </row>
    <row r="1772" spans="25:25">
      <c r="Y1772" s="181"/>
    </row>
    <row r="1773" spans="25:25">
      <c r="Y1773" s="181"/>
    </row>
    <row r="1774" spans="25:25">
      <c r="Y1774" s="181"/>
    </row>
    <row r="1775" spans="25:25">
      <c r="Y1775" s="181"/>
    </row>
    <row r="1776" spans="25:25">
      <c r="Y1776" s="181"/>
    </row>
    <row r="1777" spans="25:25">
      <c r="Y1777" s="181"/>
    </row>
    <row r="1778" spans="25:25">
      <c r="Y1778" s="181"/>
    </row>
    <row r="1779" spans="25:25">
      <c r="Y1779" s="181"/>
    </row>
    <row r="1780" spans="25:25">
      <c r="Y1780" s="181"/>
    </row>
    <row r="1781" spans="25:25">
      <c r="Y1781" s="181"/>
    </row>
    <row r="1782" spans="25:25">
      <c r="Y1782" s="181"/>
    </row>
    <row r="1783" spans="25:25">
      <c r="Y1783" s="181"/>
    </row>
    <row r="1784" spans="25:25">
      <c r="Y1784" s="181"/>
    </row>
    <row r="1785" spans="25:25">
      <c r="Y1785" s="181"/>
    </row>
    <row r="1786" spans="25:25">
      <c r="Y1786" s="181"/>
    </row>
    <row r="1787" spans="25:25">
      <c r="Y1787" s="181"/>
    </row>
    <row r="1788" spans="25:25">
      <c r="Y1788" s="181"/>
    </row>
    <row r="1789" spans="25:25">
      <c r="Y1789" s="181"/>
    </row>
    <row r="1790" spans="25:25">
      <c r="Y1790" s="181"/>
    </row>
    <row r="1791" spans="25:25">
      <c r="Y1791" s="181"/>
    </row>
    <row r="1792" spans="25:25">
      <c r="Y1792" s="181"/>
    </row>
    <row r="1793" spans="25:25">
      <c r="Y1793" s="181"/>
    </row>
    <row r="1794" spans="25:25">
      <c r="Y1794" s="181"/>
    </row>
    <row r="1795" spans="25:25">
      <c r="Y1795" s="181"/>
    </row>
    <row r="1796" spans="25:25">
      <c r="Y1796" s="181"/>
    </row>
    <row r="1797" spans="25:25">
      <c r="Y1797" s="181"/>
    </row>
    <row r="1798" spans="25:25">
      <c r="Y1798" s="181"/>
    </row>
    <row r="1799" spans="25:25">
      <c r="Y1799" s="181"/>
    </row>
    <row r="1800" spans="25:25">
      <c r="Y1800" s="181"/>
    </row>
    <row r="1801" spans="25:25">
      <c r="Y1801" s="181"/>
    </row>
    <row r="1802" spans="25:25">
      <c r="Y1802" s="181"/>
    </row>
    <row r="1803" spans="25:25">
      <c r="Y1803" s="181"/>
    </row>
    <row r="1804" spans="25:25">
      <c r="Y1804" s="181"/>
    </row>
    <row r="1805" spans="25:25">
      <c r="Y1805" s="181"/>
    </row>
    <row r="1806" spans="25:25">
      <c r="Y1806" s="181"/>
    </row>
    <row r="1807" spans="25:25">
      <c r="Y1807" s="181"/>
    </row>
    <row r="1808" spans="25:25">
      <c r="Y1808" s="181"/>
    </row>
    <row r="1809" spans="25:25">
      <c r="Y1809" s="181"/>
    </row>
    <row r="1810" spans="25:25">
      <c r="Y1810" s="181"/>
    </row>
    <row r="1811" spans="25:25">
      <c r="Y1811" s="181"/>
    </row>
    <row r="1812" spans="25:25">
      <c r="Y1812" s="181"/>
    </row>
    <row r="1813" spans="25:25">
      <c r="Y1813" s="181"/>
    </row>
    <row r="1814" spans="25:25">
      <c r="Y1814" s="181"/>
    </row>
    <row r="1815" spans="25:25">
      <c r="Y1815" s="181"/>
    </row>
    <row r="1816" spans="25:25">
      <c r="Y1816" s="181"/>
    </row>
    <row r="1817" spans="25:25">
      <c r="Y1817" s="181"/>
    </row>
    <row r="1818" spans="25:25">
      <c r="Y1818" s="181"/>
    </row>
    <row r="1819" spans="25:25">
      <c r="Y1819" s="181"/>
    </row>
    <row r="1820" spans="25:25">
      <c r="Y1820" s="181"/>
    </row>
    <row r="1821" spans="25:25">
      <c r="Y1821" s="181"/>
    </row>
    <row r="1822" spans="25:25">
      <c r="Y1822" s="181"/>
    </row>
    <row r="1823" spans="25:25">
      <c r="Y1823" s="181"/>
    </row>
    <row r="1824" spans="25:25">
      <c r="Y1824" s="181"/>
    </row>
    <row r="1825" spans="25:25">
      <c r="Y1825" s="181"/>
    </row>
    <row r="1826" spans="25:25">
      <c r="Y1826" s="181"/>
    </row>
    <row r="1827" spans="25:25">
      <c r="Y1827" s="181"/>
    </row>
    <row r="1828" spans="25:25">
      <c r="Y1828" s="181"/>
    </row>
    <row r="1829" spans="25:25">
      <c r="Y1829" s="181"/>
    </row>
    <row r="1830" spans="25:25">
      <c r="Y1830" s="181"/>
    </row>
    <row r="1831" spans="25:25">
      <c r="Y1831" s="181"/>
    </row>
    <row r="1832" spans="25:25">
      <c r="Y1832" s="181"/>
    </row>
    <row r="1833" spans="25:25">
      <c r="Y1833" s="181"/>
    </row>
    <row r="1834" spans="25:25">
      <c r="Y1834" s="181"/>
    </row>
    <row r="1835" spans="25:25">
      <c r="Y1835" s="181"/>
    </row>
    <row r="1836" spans="25:25">
      <c r="Y1836" s="181"/>
    </row>
    <row r="1837" spans="25:25">
      <c r="Y1837" s="181"/>
    </row>
    <row r="1838" spans="25:25">
      <c r="Y1838" s="181"/>
    </row>
    <row r="1839" spans="25:25">
      <c r="Y1839" s="181"/>
    </row>
    <row r="1840" spans="25:25">
      <c r="Y1840" s="181"/>
    </row>
    <row r="1841" spans="25:25">
      <c r="Y1841" s="181"/>
    </row>
    <row r="1842" spans="25:25">
      <c r="Y1842" s="181"/>
    </row>
    <row r="1843" spans="25:25">
      <c r="Y1843" s="181"/>
    </row>
    <row r="1844" spans="25:25">
      <c r="Y1844" s="181"/>
    </row>
    <row r="1845" spans="25:25">
      <c r="Y1845" s="181"/>
    </row>
    <row r="1846" spans="25:25">
      <c r="Y1846" s="181"/>
    </row>
    <row r="1847" spans="25:25">
      <c r="Y1847" s="181"/>
    </row>
    <row r="1848" spans="25:25">
      <c r="Y1848" s="181"/>
    </row>
    <row r="1849" spans="25:25">
      <c r="Y1849" s="181"/>
    </row>
    <row r="1850" spans="25:25">
      <c r="Y1850" s="181"/>
    </row>
    <row r="1851" spans="25:25">
      <c r="Y1851" s="181"/>
    </row>
    <row r="1852" spans="25:25">
      <c r="Y1852" s="181"/>
    </row>
    <row r="1853" spans="25:25">
      <c r="Y1853" s="181"/>
    </row>
    <row r="1854" spans="25:25">
      <c r="Y1854" s="181"/>
    </row>
    <row r="1855" spans="25:25">
      <c r="Y1855" s="181"/>
    </row>
    <row r="1856" spans="25:25">
      <c r="Y1856" s="181"/>
    </row>
    <row r="1857" spans="25:25">
      <c r="Y1857" s="181"/>
    </row>
    <row r="1858" spans="25:25">
      <c r="Y1858" s="181"/>
    </row>
    <row r="1859" spans="25:25">
      <c r="Y1859" s="181"/>
    </row>
    <row r="1860" spans="25:25">
      <c r="Y1860" s="181"/>
    </row>
    <row r="1861" spans="25:25">
      <c r="Y1861" s="181"/>
    </row>
    <row r="1862" spans="25:25">
      <c r="Y1862" s="181"/>
    </row>
    <row r="1863" spans="25:25">
      <c r="Y1863" s="181"/>
    </row>
    <row r="1864" spans="25:25">
      <c r="Y1864" s="181"/>
    </row>
    <row r="1865" spans="25:25">
      <c r="Y1865" s="181"/>
    </row>
    <row r="1866" spans="25:25">
      <c r="Y1866" s="181"/>
    </row>
    <row r="1867" spans="25:25">
      <c r="Y1867" s="181"/>
    </row>
    <row r="1868" spans="25:25">
      <c r="Y1868" s="181"/>
    </row>
    <row r="1869" spans="25:25">
      <c r="Y1869" s="181"/>
    </row>
    <row r="1870" spans="25:25">
      <c r="Y1870" s="181"/>
    </row>
    <row r="1871" spans="25:25">
      <c r="Y1871" s="181"/>
    </row>
    <row r="1872" spans="25:25">
      <c r="Y1872" s="181"/>
    </row>
    <row r="1873" spans="25:25">
      <c r="Y1873" s="181"/>
    </row>
    <row r="1874" spans="25:25">
      <c r="Y1874" s="181"/>
    </row>
    <row r="1875" spans="25:25">
      <c r="Y1875" s="181"/>
    </row>
    <row r="1876" spans="25:25">
      <c r="Y1876" s="181"/>
    </row>
    <row r="1877" spans="25:25">
      <c r="Y1877" s="181"/>
    </row>
    <row r="1878" spans="25:25">
      <c r="Y1878" s="181"/>
    </row>
    <row r="1879" spans="25:25">
      <c r="Y1879" s="181"/>
    </row>
    <row r="1880" spans="25:25">
      <c r="Y1880" s="181"/>
    </row>
    <row r="1881" spans="25:25">
      <c r="Y1881" s="181"/>
    </row>
    <row r="1882" spans="25:25">
      <c r="Y1882" s="181"/>
    </row>
    <row r="1883" spans="25:25">
      <c r="Y1883" s="181"/>
    </row>
    <row r="1884" spans="25:25">
      <c r="Y1884" s="181"/>
    </row>
    <row r="1885" spans="25:25">
      <c r="Y1885" s="181"/>
    </row>
    <row r="1886" spans="25:25">
      <c r="Y1886" s="181"/>
    </row>
    <row r="1887" spans="25:25">
      <c r="Y1887" s="181"/>
    </row>
    <row r="1888" spans="25:25">
      <c r="Y1888" s="181"/>
    </row>
    <row r="1889" spans="25:25">
      <c r="Y1889" s="181"/>
    </row>
    <row r="1890" spans="25:25">
      <c r="Y1890" s="181"/>
    </row>
    <row r="1891" spans="25:25">
      <c r="Y1891" s="181"/>
    </row>
    <row r="1892" spans="25:25">
      <c r="Y1892" s="181"/>
    </row>
    <row r="1893" spans="25:25">
      <c r="Y1893" s="181"/>
    </row>
    <row r="1894" spans="25:25">
      <c r="Y1894" s="181"/>
    </row>
    <row r="1895" spans="25:25">
      <c r="Y1895" s="181"/>
    </row>
    <row r="1896" spans="25:25">
      <c r="Y1896" s="181"/>
    </row>
    <row r="1897" spans="25:25">
      <c r="Y1897" s="181"/>
    </row>
    <row r="1898" spans="25:25">
      <c r="Y1898" s="181"/>
    </row>
    <row r="1899" spans="25:25">
      <c r="Y1899" s="181"/>
    </row>
    <row r="1900" spans="25:25">
      <c r="Y1900" s="181"/>
    </row>
    <row r="1901" spans="25:25">
      <c r="Y1901" s="181"/>
    </row>
    <row r="1902" spans="25:25">
      <c r="Y1902" s="181"/>
    </row>
    <row r="1903" spans="25:25">
      <c r="Y1903" s="181"/>
    </row>
    <row r="1904" spans="25:25">
      <c r="Y1904" s="181"/>
    </row>
    <row r="1905" spans="25:25">
      <c r="Y1905" s="181"/>
    </row>
    <row r="1906" spans="25:25">
      <c r="Y1906" s="181"/>
    </row>
    <row r="1907" spans="25:25">
      <c r="Y1907" s="181"/>
    </row>
    <row r="1908" spans="25:25">
      <c r="Y1908" s="181"/>
    </row>
    <row r="1909" spans="25:25">
      <c r="Y1909" s="181"/>
    </row>
    <row r="1910" spans="25:25">
      <c r="Y1910" s="181"/>
    </row>
    <row r="1911" spans="25:25">
      <c r="Y1911" s="181"/>
    </row>
    <row r="1912" spans="25:25">
      <c r="Y1912" s="181"/>
    </row>
    <row r="1913" spans="25:25">
      <c r="Y1913" s="181"/>
    </row>
    <row r="1914" spans="25:25">
      <c r="Y1914" s="181"/>
    </row>
    <row r="1915" spans="25:25">
      <c r="Y1915" s="181"/>
    </row>
    <row r="1916" spans="25:25">
      <c r="Y1916" s="181"/>
    </row>
    <row r="1917" spans="25:25">
      <c r="Y1917" s="181"/>
    </row>
    <row r="1918" spans="25:25">
      <c r="Y1918" s="181"/>
    </row>
    <row r="1919" spans="25:25">
      <c r="Y1919" s="181"/>
    </row>
    <row r="1920" spans="25:25">
      <c r="Y1920" s="181"/>
    </row>
    <row r="1921" spans="25:25">
      <c r="Y1921" s="181"/>
    </row>
    <row r="1922" spans="25:25">
      <c r="Y1922" s="181"/>
    </row>
    <row r="1923" spans="25:25">
      <c r="Y1923" s="181"/>
    </row>
    <row r="1924" spans="25:25">
      <c r="Y1924" s="181"/>
    </row>
    <row r="1925" spans="25:25">
      <c r="Y1925" s="181"/>
    </row>
    <row r="1926" spans="25:25">
      <c r="Y1926" s="181"/>
    </row>
    <row r="1927" spans="25:25">
      <c r="Y1927" s="181"/>
    </row>
    <row r="1928" spans="25:25">
      <c r="Y1928" s="181"/>
    </row>
    <row r="1929" spans="25:25">
      <c r="Y1929" s="181"/>
    </row>
    <row r="1930" spans="25:25">
      <c r="Y1930" s="181"/>
    </row>
    <row r="1931" spans="25:25">
      <c r="Y1931" s="181"/>
    </row>
    <row r="1932" spans="25:25">
      <c r="Y1932" s="181"/>
    </row>
    <row r="1933" spans="25:25">
      <c r="Y1933" s="181"/>
    </row>
    <row r="1934" spans="25:25">
      <c r="Y1934" s="181"/>
    </row>
    <row r="1935" spans="25:25">
      <c r="Y1935" s="181"/>
    </row>
    <row r="1936" spans="25:25">
      <c r="Y1936" s="181"/>
    </row>
    <row r="1937" spans="25:25">
      <c r="Y1937" s="181"/>
    </row>
    <row r="1938" spans="25:25">
      <c r="Y1938" s="181"/>
    </row>
    <row r="1939" spans="25:25">
      <c r="Y1939" s="181"/>
    </row>
    <row r="1940" spans="25:25">
      <c r="Y1940" s="181"/>
    </row>
    <row r="1941" spans="25:25">
      <c r="Y1941" s="181"/>
    </row>
    <row r="1942" spans="25:25">
      <c r="Y1942" s="181"/>
    </row>
    <row r="1943" spans="25:25">
      <c r="Y1943" s="181"/>
    </row>
    <row r="1944" spans="25:25">
      <c r="Y1944" s="181"/>
    </row>
    <row r="1945" spans="25:25">
      <c r="Y1945" s="181"/>
    </row>
    <row r="1946" spans="25:25">
      <c r="Y1946" s="181"/>
    </row>
    <row r="1947" spans="25:25">
      <c r="Y1947" s="181"/>
    </row>
    <row r="1948" spans="25:25">
      <c r="Y1948" s="181"/>
    </row>
    <row r="1949" spans="25:25">
      <c r="Y1949" s="181"/>
    </row>
    <row r="1950" spans="25:25">
      <c r="Y1950" s="181"/>
    </row>
    <row r="1951" spans="25:25">
      <c r="Y1951" s="181"/>
    </row>
    <row r="1952" spans="25:25">
      <c r="Y1952" s="181"/>
    </row>
    <row r="1953" spans="25:25">
      <c r="Y1953" s="181"/>
    </row>
    <row r="1954" spans="25:25">
      <c r="Y1954" s="181"/>
    </row>
    <row r="1955" spans="25:25">
      <c r="Y1955" s="181"/>
    </row>
    <row r="1956" spans="25:25">
      <c r="Y1956" s="181"/>
    </row>
    <row r="1957" spans="25:25">
      <c r="Y1957" s="181"/>
    </row>
    <row r="1958" spans="25:25">
      <c r="Y1958" s="181"/>
    </row>
    <row r="1959" spans="25:25">
      <c r="Y1959" s="181"/>
    </row>
    <row r="1960" spans="25:25">
      <c r="Y1960" s="181"/>
    </row>
    <row r="1961" spans="25:25">
      <c r="Y1961" s="181"/>
    </row>
    <row r="1962" spans="25:25">
      <c r="Y1962" s="181"/>
    </row>
    <row r="1963" spans="25:25">
      <c r="Y1963" s="181"/>
    </row>
    <row r="1964" spans="25:25">
      <c r="Y1964" s="181"/>
    </row>
    <row r="1965" spans="25:25">
      <c r="Y1965" s="181"/>
    </row>
    <row r="1966" spans="25:25">
      <c r="Y1966" s="181"/>
    </row>
    <row r="1967" spans="25:25">
      <c r="Y1967" s="181"/>
    </row>
    <row r="1968" spans="25:25">
      <c r="Y1968" s="181"/>
    </row>
    <row r="1969" spans="25:25">
      <c r="Y1969" s="181"/>
    </row>
    <row r="1970" spans="25:25">
      <c r="Y1970" s="181"/>
    </row>
    <row r="1971" spans="25:25">
      <c r="Y1971" s="181"/>
    </row>
    <row r="1972" spans="25:25">
      <c r="Y1972" s="181"/>
    </row>
    <row r="1973" spans="25:25">
      <c r="Y1973" s="181"/>
    </row>
    <row r="1974" spans="25:25">
      <c r="Y1974" s="181"/>
    </row>
    <row r="1975" spans="25:25">
      <c r="Y1975" s="181"/>
    </row>
    <row r="1976" spans="25:25">
      <c r="Y1976" s="181"/>
    </row>
    <row r="1977" spans="25:25">
      <c r="Y1977" s="181"/>
    </row>
    <row r="1978" spans="25:25">
      <c r="Y1978" s="181"/>
    </row>
    <row r="1979" spans="25:25">
      <c r="Y1979" s="181"/>
    </row>
    <row r="1980" spans="25:25">
      <c r="Y1980" s="181"/>
    </row>
    <row r="1981" spans="25:25">
      <c r="Y1981" s="181"/>
    </row>
    <row r="1982" spans="25:25">
      <c r="Y1982" s="181"/>
    </row>
    <row r="1983" spans="25:25">
      <c r="Y1983" s="181"/>
    </row>
    <row r="1984" spans="25:25">
      <c r="Y1984" s="181"/>
    </row>
    <row r="1985" spans="25:25">
      <c r="Y1985" s="181"/>
    </row>
    <row r="1986" spans="25:25">
      <c r="Y1986" s="181"/>
    </row>
    <row r="1987" spans="25:25">
      <c r="Y1987" s="181"/>
    </row>
    <row r="1988" spans="25:25">
      <c r="Y1988" s="181"/>
    </row>
    <row r="1989" spans="25:25">
      <c r="Y1989" s="181"/>
    </row>
    <row r="1990" spans="25:25">
      <c r="Y1990" s="181"/>
    </row>
    <row r="1991" spans="25:25">
      <c r="Y1991" s="181"/>
    </row>
    <row r="1992" spans="25:25">
      <c r="Y1992" s="181"/>
    </row>
    <row r="1993" spans="25:25">
      <c r="Y1993" s="181"/>
    </row>
    <row r="1994" spans="25:25">
      <c r="Y1994" s="181"/>
    </row>
    <row r="1995" spans="25:25">
      <c r="Y1995" s="181"/>
    </row>
    <row r="1996" spans="25:25">
      <c r="Y1996" s="181"/>
    </row>
    <row r="1997" spans="25:25">
      <c r="Y1997" s="181"/>
    </row>
    <row r="1998" spans="25:25">
      <c r="Y1998" s="181"/>
    </row>
    <row r="1999" spans="25:25">
      <c r="Y1999" s="181"/>
    </row>
    <row r="2000" spans="25:25">
      <c r="Y2000" s="181"/>
    </row>
    <row r="2001" spans="25:25">
      <c r="Y2001" s="181"/>
    </row>
    <row r="2002" spans="25:25">
      <c r="Y2002" s="181"/>
    </row>
    <row r="2003" spans="25:25">
      <c r="Y2003" s="181"/>
    </row>
    <row r="2004" spans="25:25">
      <c r="Y2004" s="181"/>
    </row>
    <row r="2005" spans="25:25">
      <c r="Y2005" s="181"/>
    </row>
    <row r="2006" spans="25:25">
      <c r="Y2006" s="181"/>
    </row>
    <row r="2007" spans="25:25">
      <c r="Y2007" s="181"/>
    </row>
    <row r="2008" spans="25:25">
      <c r="Y2008" s="181"/>
    </row>
    <row r="2009" spans="25:25">
      <c r="Y2009" s="181"/>
    </row>
    <row r="2010" spans="25:25">
      <c r="Y2010" s="181"/>
    </row>
    <row r="2011" spans="25:25">
      <c r="Y2011" s="181"/>
    </row>
    <row r="2012" spans="25:25">
      <c r="Y2012" s="181"/>
    </row>
    <row r="2013" spans="25:25">
      <c r="Y2013" s="181"/>
    </row>
    <row r="2014" spans="25:25">
      <c r="Y2014" s="181"/>
    </row>
    <row r="2015" spans="25:25">
      <c r="Y2015" s="181"/>
    </row>
    <row r="2016" spans="25:25">
      <c r="Y2016" s="181"/>
    </row>
    <row r="2017" spans="25:25">
      <c r="Y2017" s="181"/>
    </row>
    <row r="2018" spans="25:25">
      <c r="Y2018" s="181"/>
    </row>
    <row r="2019" spans="25:25">
      <c r="Y2019" s="181"/>
    </row>
    <row r="2020" spans="25:25">
      <c r="Y2020" s="181"/>
    </row>
    <row r="2021" spans="25:25">
      <c r="Y2021" s="181"/>
    </row>
    <row r="2022" spans="25:25">
      <c r="Y2022" s="181"/>
    </row>
    <row r="2023" spans="25:25">
      <c r="Y2023" s="181"/>
    </row>
    <row r="2024" spans="25:25">
      <c r="Y2024" s="181"/>
    </row>
    <row r="2025" spans="25:25">
      <c r="Y2025" s="181"/>
    </row>
    <row r="2026" spans="25:25">
      <c r="Y2026" s="181"/>
    </row>
    <row r="2027" spans="25:25">
      <c r="Y2027" s="181"/>
    </row>
    <row r="2028" spans="25:25">
      <c r="Y2028" s="181"/>
    </row>
    <row r="2029" spans="25:25">
      <c r="Y2029" s="181"/>
    </row>
    <row r="2030" spans="25:25">
      <c r="Y2030" s="181"/>
    </row>
    <row r="2031" spans="25:25">
      <c r="Y2031" s="181"/>
    </row>
    <row r="2032" spans="25:25">
      <c r="Y2032" s="181"/>
    </row>
    <row r="2033" spans="25:25">
      <c r="Y2033" s="181"/>
    </row>
    <row r="2034" spans="25:25">
      <c r="Y2034" s="181"/>
    </row>
    <row r="2035" spans="25:25">
      <c r="Y2035" s="181"/>
    </row>
    <row r="2036" spans="25:25">
      <c r="Y2036" s="181"/>
    </row>
    <row r="2037" spans="25:25">
      <c r="Y2037" s="181"/>
    </row>
    <row r="2038" spans="25:25">
      <c r="Y2038" s="181"/>
    </row>
    <row r="2039" spans="25:25">
      <c r="Y2039" s="181"/>
    </row>
    <row r="2040" spans="25:25">
      <c r="Y2040" s="181"/>
    </row>
    <row r="2041" spans="25:25">
      <c r="Y2041" s="181"/>
    </row>
    <row r="2042" spans="25:25">
      <c r="Y2042" s="181"/>
    </row>
    <row r="2043" spans="25:25">
      <c r="Y2043" s="181"/>
    </row>
    <row r="2044" spans="25:25">
      <c r="Y2044" s="181"/>
    </row>
    <row r="2045" spans="25:25">
      <c r="Y2045" s="181"/>
    </row>
    <row r="2046" spans="25:25">
      <c r="Y2046" s="181"/>
    </row>
    <row r="2047" spans="25:25">
      <c r="Y2047" s="181"/>
    </row>
    <row r="2048" spans="25:25">
      <c r="Y2048" s="181"/>
    </row>
    <row r="2049" spans="25:25">
      <c r="Y2049" s="181"/>
    </row>
    <row r="2050" spans="25:25">
      <c r="Y2050" s="181"/>
    </row>
    <row r="2051" spans="25:25">
      <c r="Y2051" s="181"/>
    </row>
    <row r="2052" spans="25:25">
      <c r="Y2052" s="181"/>
    </row>
    <row r="2053" spans="25:25">
      <c r="Y2053" s="181"/>
    </row>
    <row r="2054" spans="25:25">
      <c r="Y2054" s="181"/>
    </row>
    <row r="2055" spans="25:25">
      <c r="Y2055" s="181"/>
    </row>
    <row r="2056" spans="25:25">
      <c r="Y2056" s="181"/>
    </row>
    <row r="2057" spans="25:25">
      <c r="Y2057" s="181"/>
    </row>
    <row r="2058" spans="25:25">
      <c r="Y2058" s="181"/>
    </row>
    <row r="2059" spans="25:25">
      <c r="Y2059" s="181"/>
    </row>
    <row r="2060" spans="25:25">
      <c r="Y2060" s="181"/>
    </row>
    <row r="2061" spans="25:25">
      <c r="Y2061" s="181"/>
    </row>
    <row r="2062" spans="25:25">
      <c r="Y2062" s="181"/>
    </row>
    <row r="2063" spans="25:25">
      <c r="Y2063" s="181"/>
    </row>
    <row r="2064" spans="25:25">
      <c r="Y2064" s="181"/>
    </row>
    <row r="2065" spans="25:25">
      <c r="Y2065" s="181"/>
    </row>
    <row r="2066" spans="25:25">
      <c r="Y2066" s="181"/>
    </row>
    <row r="2067" spans="25:25">
      <c r="Y2067" s="181"/>
    </row>
    <row r="2068" spans="25:25">
      <c r="Y2068" s="181"/>
    </row>
    <row r="2069" spans="25:25">
      <c r="Y2069" s="181"/>
    </row>
    <row r="2070" spans="25:25">
      <c r="Y2070" s="181"/>
    </row>
    <row r="2071" spans="25:25">
      <c r="Y2071" s="181"/>
    </row>
    <row r="2072" spans="25:25">
      <c r="Y2072" s="181"/>
    </row>
    <row r="2073" spans="25:25">
      <c r="Y2073" s="181"/>
    </row>
    <row r="2074" spans="25:25">
      <c r="Y2074" s="181"/>
    </row>
    <row r="2075" spans="25:25">
      <c r="Y2075" s="181"/>
    </row>
    <row r="2076" spans="25:25">
      <c r="Y2076" s="181"/>
    </row>
    <row r="2077" spans="25:25">
      <c r="Y2077" s="181"/>
    </row>
    <row r="2078" spans="25:25">
      <c r="Y2078" s="181"/>
    </row>
    <row r="2079" spans="25:25">
      <c r="Y2079" s="181"/>
    </row>
    <row r="2080" spans="25:25">
      <c r="Y2080" s="181"/>
    </row>
    <row r="2081" spans="25:25">
      <c r="Y2081" s="181"/>
    </row>
    <row r="2082" spans="25:25">
      <c r="Y2082" s="181"/>
    </row>
    <row r="2083" spans="25:25">
      <c r="Y2083" s="181"/>
    </row>
    <row r="2084" spans="25:25">
      <c r="Y2084" s="181"/>
    </row>
    <row r="2085" spans="25:25">
      <c r="Y2085" s="181"/>
    </row>
    <row r="2086" spans="25:25">
      <c r="Y2086" s="181"/>
    </row>
    <row r="2087" spans="25:25">
      <c r="Y2087" s="181"/>
    </row>
    <row r="2088" spans="25:25">
      <c r="Y2088" s="181"/>
    </row>
    <row r="2089" spans="25:25">
      <c r="Y2089" s="181"/>
    </row>
    <row r="2090" spans="25:25">
      <c r="Y2090" s="181"/>
    </row>
    <row r="2091" spans="25:25">
      <c r="Y2091" s="181"/>
    </row>
    <row r="2092" spans="25:25">
      <c r="Y2092" s="181"/>
    </row>
    <row r="2093" spans="25:25">
      <c r="Y2093" s="181"/>
    </row>
    <row r="2094" spans="25:25">
      <c r="Y2094" s="181"/>
    </row>
    <row r="2095" spans="25:25">
      <c r="Y2095" s="181"/>
    </row>
    <row r="2096" spans="25:25">
      <c r="Y2096" s="181"/>
    </row>
    <row r="2097" spans="25:25">
      <c r="Y2097" s="181"/>
    </row>
    <row r="2098" spans="25:25">
      <c r="Y2098" s="181"/>
    </row>
    <row r="2099" spans="25:25">
      <c r="Y2099" s="181"/>
    </row>
    <row r="2100" spans="25:25">
      <c r="Y2100" s="181"/>
    </row>
    <row r="2101" spans="25:25">
      <c r="Y2101" s="181"/>
    </row>
    <row r="2102" spans="25:25">
      <c r="Y2102" s="181"/>
    </row>
    <row r="2103" spans="25:25">
      <c r="Y2103" s="181"/>
    </row>
    <row r="2104" spans="25:25">
      <c r="Y2104" s="181"/>
    </row>
    <row r="2105" spans="25:25">
      <c r="Y2105" s="181"/>
    </row>
    <row r="2106" spans="25:25">
      <c r="Y2106" s="181"/>
    </row>
    <row r="2107" spans="25:25">
      <c r="Y2107" s="181"/>
    </row>
    <row r="2108" spans="25:25">
      <c r="Y2108" s="181"/>
    </row>
    <row r="2109" spans="25:25">
      <c r="Y2109" s="181"/>
    </row>
    <row r="2110" spans="25:25">
      <c r="Y2110" s="181"/>
    </row>
    <row r="2111" spans="25:25">
      <c r="Y2111" s="181"/>
    </row>
    <row r="2112" spans="25:25">
      <c r="Y2112" s="181"/>
    </row>
    <row r="2113" spans="25:25">
      <c r="Y2113" s="181"/>
    </row>
    <row r="2114" spans="25:25">
      <c r="Y2114" s="181"/>
    </row>
    <row r="2115" spans="25:25">
      <c r="Y2115" s="181"/>
    </row>
    <row r="2116" spans="25:25">
      <c r="Y2116" s="181"/>
    </row>
    <row r="2117" spans="25:25">
      <c r="Y2117" s="181"/>
    </row>
    <row r="2118" spans="25:25">
      <c r="Y2118" s="181"/>
    </row>
    <row r="2119" spans="25:25">
      <c r="Y2119" s="181"/>
    </row>
    <row r="2120" spans="25:25">
      <c r="Y2120" s="181"/>
    </row>
    <row r="2121" spans="25:25">
      <c r="Y2121" s="181"/>
    </row>
    <row r="2122" spans="25:25">
      <c r="Y2122" s="181"/>
    </row>
    <row r="2123" spans="25:25">
      <c r="Y2123" s="181"/>
    </row>
    <row r="2124" spans="25:25">
      <c r="Y2124" s="181"/>
    </row>
    <row r="2125" spans="25:25">
      <c r="Y2125" s="181"/>
    </row>
    <row r="2126" spans="25:25">
      <c r="Y2126" s="181"/>
    </row>
    <row r="2127" spans="25:25">
      <c r="Y2127" s="181"/>
    </row>
    <row r="2128" spans="25:25">
      <c r="Y2128" s="181"/>
    </row>
    <row r="2129" spans="25:25">
      <c r="Y2129" s="181"/>
    </row>
    <row r="2130" spans="25:25">
      <c r="Y2130" s="181"/>
    </row>
    <row r="2131" spans="25:25">
      <c r="Y2131" s="181"/>
    </row>
    <row r="2132" spans="25:25">
      <c r="Y2132" s="181"/>
    </row>
    <row r="2133" spans="25:25">
      <c r="Y2133" s="181"/>
    </row>
    <row r="2134" spans="25:25">
      <c r="Y2134" s="181"/>
    </row>
    <row r="2135" spans="25:25">
      <c r="Y2135" s="181"/>
    </row>
    <row r="2136" spans="25:25">
      <c r="Y2136" s="181"/>
    </row>
    <row r="2137" spans="25:25">
      <c r="Y2137" s="181"/>
    </row>
    <row r="2138" spans="25:25">
      <c r="Y2138" s="181"/>
    </row>
    <row r="2139" spans="25:25">
      <c r="Y2139" s="181"/>
    </row>
    <row r="2140" spans="25:25">
      <c r="Y2140" s="181"/>
    </row>
    <row r="2141" spans="25:25">
      <c r="Y2141" s="181"/>
    </row>
    <row r="2142" spans="25:25">
      <c r="Y2142" s="181"/>
    </row>
    <row r="2143" spans="25:25">
      <c r="Y2143" s="181"/>
    </row>
    <row r="2144" spans="25:25">
      <c r="Y2144" s="181"/>
    </row>
    <row r="2145" spans="25:25">
      <c r="Y2145" s="181"/>
    </row>
    <row r="2146" spans="25:25">
      <c r="Y2146" s="181"/>
    </row>
    <row r="2147" spans="25:25">
      <c r="Y2147" s="181"/>
    </row>
    <row r="2148" spans="25:25">
      <c r="Y2148" s="181"/>
    </row>
    <row r="2149" spans="25:25">
      <c r="Y2149" s="181"/>
    </row>
    <row r="2150" spans="25:25">
      <c r="Y2150" s="181"/>
    </row>
    <row r="2151" spans="25:25">
      <c r="Y2151" s="181"/>
    </row>
    <row r="2152" spans="25:25">
      <c r="Y2152" s="181"/>
    </row>
    <row r="2153" spans="25:25">
      <c r="Y2153" s="181"/>
    </row>
    <row r="2154" spans="25:25">
      <c r="Y2154" s="181"/>
    </row>
    <row r="2155" spans="25:25">
      <c r="Y2155" s="181"/>
    </row>
    <row r="2156" spans="25:25">
      <c r="Y2156" s="181"/>
    </row>
    <row r="2157" spans="25:25">
      <c r="Y2157" s="181"/>
    </row>
    <row r="2158" spans="25:25">
      <c r="Y2158" s="181"/>
    </row>
    <row r="2159" spans="25:25">
      <c r="Y2159" s="181"/>
    </row>
    <row r="2160" spans="25:25">
      <c r="Y2160" s="181"/>
    </row>
    <row r="2161" spans="25:25">
      <c r="Y2161" s="181"/>
    </row>
    <row r="2162" spans="25:25">
      <c r="Y2162" s="181"/>
    </row>
    <row r="2163" spans="25:25">
      <c r="Y2163" s="181"/>
    </row>
    <row r="2164" spans="25:25">
      <c r="Y2164" s="181"/>
    </row>
    <row r="2165" spans="25:25">
      <c r="Y2165" s="181"/>
    </row>
    <row r="2166" spans="25:25">
      <c r="Y2166" s="181"/>
    </row>
    <row r="2167" spans="25:25">
      <c r="Y2167" s="181"/>
    </row>
    <row r="2168" spans="25:25">
      <c r="Y2168" s="181"/>
    </row>
    <row r="2169" spans="25:25">
      <c r="Y2169" s="181"/>
    </row>
    <row r="2170" spans="25:25">
      <c r="Y2170" s="181"/>
    </row>
    <row r="2171" spans="25:25">
      <c r="Y2171" s="181"/>
    </row>
    <row r="2172" spans="25:25">
      <c r="Y2172" s="181"/>
    </row>
    <row r="2173" spans="25:25">
      <c r="Y2173" s="181"/>
    </row>
    <row r="2174" spans="25:25">
      <c r="Y2174" s="181"/>
    </row>
    <row r="2175" spans="25:25">
      <c r="Y2175" s="181"/>
    </row>
    <row r="2176" spans="25:25">
      <c r="Y2176" s="181"/>
    </row>
    <row r="2177" spans="25:25">
      <c r="Y2177" s="181"/>
    </row>
    <row r="2178" spans="25:25">
      <c r="Y2178" s="181"/>
    </row>
    <row r="2179" spans="25:25">
      <c r="Y2179" s="181"/>
    </row>
    <row r="2180" spans="25:25">
      <c r="Y2180" s="181"/>
    </row>
    <row r="2181" spans="25:25">
      <c r="Y2181" s="181"/>
    </row>
    <row r="2182" spans="25:25">
      <c r="Y2182" s="181"/>
    </row>
    <row r="2183" spans="25:25">
      <c r="Y2183" s="181"/>
    </row>
    <row r="2184" spans="25:25">
      <c r="Y2184" s="181"/>
    </row>
    <row r="2185" spans="25:25">
      <c r="Y2185" s="181"/>
    </row>
    <row r="2186" spans="25:25">
      <c r="Y2186" s="181"/>
    </row>
    <row r="2187" spans="25:25">
      <c r="Y2187" s="181"/>
    </row>
    <row r="2188" spans="25:25">
      <c r="Y2188" s="181"/>
    </row>
    <row r="2189" spans="25:25">
      <c r="Y2189" s="181"/>
    </row>
    <row r="2190" spans="25:25">
      <c r="Y2190" s="181"/>
    </row>
    <row r="2191" spans="25:25">
      <c r="Y2191" s="181"/>
    </row>
    <row r="2192" spans="25:25">
      <c r="Y2192" s="181"/>
    </row>
    <row r="2193" spans="25:25">
      <c r="Y2193" s="181"/>
    </row>
    <row r="2194" spans="25:25">
      <c r="Y2194" s="181"/>
    </row>
    <row r="2195" spans="25:25">
      <c r="Y2195" s="181"/>
    </row>
    <row r="2196" spans="25:25">
      <c r="Y2196" s="181"/>
    </row>
    <row r="2197" spans="25:25">
      <c r="Y2197" s="181"/>
    </row>
    <row r="2198" spans="25:25">
      <c r="Y2198" s="181"/>
    </row>
    <row r="2199" spans="25:25">
      <c r="Y2199" s="181"/>
    </row>
    <row r="2200" spans="25:25">
      <c r="Y2200" s="181"/>
    </row>
    <row r="2201" spans="25:25">
      <c r="Y2201" s="181"/>
    </row>
    <row r="2202" spans="25:25">
      <c r="Y2202" s="181"/>
    </row>
    <row r="2203" spans="25:25">
      <c r="Y2203" s="181"/>
    </row>
    <row r="2204" spans="25:25">
      <c r="Y2204" s="181"/>
    </row>
    <row r="2205" spans="25:25">
      <c r="Y2205" s="181"/>
    </row>
    <row r="2206" spans="25:25">
      <c r="Y2206" s="181"/>
    </row>
    <row r="2207" spans="25:25">
      <c r="Y2207" s="181"/>
    </row>
    <row r="2208" spans="25:25">
      <c r="Y2208" s="181"/>
    </row>
    <row r="2209" spans="25:25">
      <c r="Y2209" s="181"/>
    </row>
    <row r="2210" spans="25:25">
      <c r="Y2210" s="181"/>
    </row>
    <row r="2211" spans="25:25">
      <c r="Y2211" s="181"/>
    </row>
    <row r="2212" spans="25:25">
      <c r="Y2212" s="181"/>
    </row>
    <row r="2213" spans="25:25">
      <c r="Y2213" s="181"/>
    </row>
    <row r="2214" spans="25:25">
      <c r="Y2214" s="181"/>
    </row>
    <row r="2215" spans="25:25">
      <c r="Y2215" s="181"/>
    </row>
    <row r="2216" spans="25:25">
      <c r="Y2216" s="181"/>
    </row>
    <row r="2217" spans="25:25">
      <c r="Y2217" s="181"/>
    </row>
    <row r="2218" spans="25:25">
      <c r="Y2218" s="181"/>
    </row>
    <row r="2219" spans="25:25">
      <c r="Y2219" s="181"/>
    </row>
    <row r="2220" spans="25:25">
      <c r="Y2220" s="181"/>
    </row>
    <row r="2221" spans="25:25">
      <c r="Y2221" s="181"/>
    </row>
    <row r="2222" spans="25:25">
      <c r="Y2222" s="181"/>
    </row>
    <row r="2223" spans="25:25">
      <c r="Y2223" s="181"/>
    </row>
    <row r="2224" spans="25:25">
      <c r="Y2224" s="181"/>
    </row>
    <row r="2225" spans="25:25">
      <c r="Y2225" s="181"/>
    </row>
    <row r="2226" spans="25:25">
      <c r="Y2226" s="181"/>
    </row>
    <row r="2227" spans="25:25">
      <c r="Y2227" s="181"/>
    </row>
    <row r="2228" spans="25:25">
      <c r="Y2228" s="181"/>
    </row>
    <row r="2229" spans="25:25">
      <c r="Y2229" s="181"/>
    </row>
    <row r="2230" spans="25:25">
      <c r="Y2230" s="181"/>
    </row>
    <row r="2231" spans="25:25">
      <c r="Y2231" s="181"/>
    </row>
    <row r="2232" spans="25:25">
      <c r="Y2232" s="181"/>
    </row>
    <row r="2233" spans="25:25">
      <c r="Y2233" s="181"/>
    </row>
    <row r="2234" spans="25:25">
      <c r="Y2234" s="181"/>
    </row>
    <row r="2235" spans="25:25">
      <c r="Y2235" s="181"/>
    </row>
    <row r="2236" spans="25:25">
      <c r="Y2236" s="181"/>
    </row>
    <row r="2237" spans="25:25">
      <c r="Y2237" s="181"/>
    </row>
    <row r="2238" spans="25:25">
      <c r="Y2238" s="181"/>
    </row>
    <row r="2239" spans="25:25">
      <c r="Y2239" s="181"/>
    </row>
    <row r="2240" spans="25:25">
      <c r="Y2240" s="181"/>
    </row>
    <row r="2241" spans="25:25">
      <c r="Y2241" s="181"/>
    </row>
    <row r="2242" spans="25:25">
      <c r="Y2242" s="181"/>
    </row>
    <row r="2243" spans="25:25">
      <c r="Y2243" s="181"/>
    </row>
    <row r="2244" spans="25:25">
      <c r="Y2244" s="181"/>
    </row>
    <row r="2245" spans="25:25">
      <c r="Y2245" s="181"/>
    </row>
    <row r="2246" spans="25:25">
      <c r="Y2246" s="181"/>
    </row>
    <row r="2247" spans="25:25">
      <c r="Y2247" s="181"/>
    </row>
    <row r="2248" spans="25:25">
      <c r="Y2248" s="181"/>
    </row>
    <row r="2249" spans="25:25">
      <c r="Y2249" s="181"/>
    </row>
    <row r="2250" spans="25:25">
      <c r="Y2250" s="181"/>
    </row>
    <row r="2251" spans="25:25">
      <c r="Y2251" s="181"/>
    </row>
    <row r="2252" spans="25:25">
      <c r="Y2252" s="181"/>
    </row>
    <row r="2253" spans="25:25">
      <c r="Y2253" s="181"/>
    </row>
    <row r="2254" spans="25:25">
      <c r="Y2254" s="181"/>
    </row>
    <row r="2255" spans="25:25">
      <c r="Y2255" s="181"/>
    </row>
    <row r="2256" spans="25:25">
      <c r="Y2256" s="181"/>
    </row>
    <row r="2257" spans="25:25">
      <c r="Y2257" s="181"/>
    </row>
    <row r="2258" spans="25:25">
      <c r="Y2258" s="181"/>
    </row>
    <row r="2259" spans="25:25">
      <c r="Y2259" s="181"/>
    </row>
    <row r="2260" spans="25:25">
      <c r="Y2260" s="181"/>
    </row>
    <row r="2261" spans="25:25">
      <c r="Y2261" s="181"/>
    </row>
    <row r="2262" spans="25:25">
      <c r="Y2262" s="181"/>
    </row>
    <row r="2263" spans="25:25">
      <c r="Y2263" s="181"/>
    </row>
    <row r="2264" spans="25:25">
      <c r="Y2264" s="181"/>
    </row>
    <row r="2265" spans="25:25">
      <c r="Y2265" s="181"/>
    </row>
    <row r="2266" spans="25:25">
      <c r="Y2266" s="181"/>
    </row>
    <row r="2267" spans="25:25">
      <c r="Y2267" s="181"/>
    </row>
    <row r="2268" spans="25:25">
      <c r="Y2268" s="181"/>
    </row>
    <row r="2269" spans="25:25">
      <c r="Y2269" s="181"/>
    </row>
    <row r="2270" spans="25:25">
      <c r="Y2270" s="181"/>
    </row>
    <row r="2271" spans="25:25">
      <c r="Y2271" s="181"/>
    </row>
    <row r="2272" spans="25:25">
      <c r="Y2272" s="181"/>
    </row>
    <row r="2273" spans="25:25">
      <c r="Y2273" s="181"/>
    </row>
    <row r="2274" spans="25:25">
      <c r="Y2274" s="181"/>
    </row>
    <row r="2275" spans="25:25">
      <c r="Y2275" s="181"/>
    </row>
    <row r="2276" spans="25:25">
      <c r="Y2276" s="181"/>
    </row>
    <row r="2277" spans="25:25">
      <c r="Y2277" s="181"/>
    </row>
    <row r="2278" spans="25:25">
      <c r="Y2278" s="181"/>
    </row>
    <row r="2279" spans="25:25">
      <c r="Y2279" s="181"/>
    </row>
    <row r="2280" spans="25:25">
      <c r="Y2280" s="181"/>
    </row>
    <row r="2281" spans="25:25">
      <c r="Y2281" s="181"/>
    </row>
    <row r="2282" spans="25:25">
      <c r="Y2282" s="181"/>
    </row>
    <row r="2283" spans="25:25">
      <c r="Y2283" s="181"/>
    </row>
    <row r="2284" spans="25:25">
      <c r="Y2284" s="181"/>
    </row>
    <row r="2285" spans="25:25">
      <c r="Y2285" s="181"/>
    </row>
    <row r="2286" spans="25:25">
      <c r="Y2286" s="181"/>
    </row>
    <row r="2287" spans="25:25">
      <c r="Y2287" s="181"/>
    </row>
    <row r="2288" spans="25:25">
      <c r="Y2288" s="181"/>
    </row>
    <row r="2289" spans="25:25">
      <c r="Y2289" s="181"/>
    </row>
    <row r="2290" spans="25:25">
      <c r="Y2290" s="181"/>
    </row>
    <row r="2291" spans="25:25">
      <c r="Y2291" s="181"/>
    </row>
    <row r="2292" spans="25:25">
      <c r="Y2292" s="181"/>
    </row>
    <row r="2293" spans="25:25">
      <c r="Y2293" s="181"/>
    </row>
    <row r="2294" spans="25:25">
      <c r="Y2294" s="181"/>
    </row>
    <row r="2295" spans="25:25">
      <c r="Y2295" s="181"/>
    </row>
    <row r="2296" spans="25:25">
      <c r="Y2296" s="181"/>
    </row>
    <row r="2297" spans="25:25">
      <c r="Y2297" s="181"/>
    </row>
    <row r="2298" spans="25:25">
      <c r="Y2298" s="181"/>
    </row>
    <row r="2299" spans="25:25">
      <c r="Y2299" s="181"/>
    </row>
    <row r="2300" spans="25:25">
      <c r="Y2300" s="181"/>
    </row>
    <row r="2301" spans="25:25">
      <c r="Y2301" s="181"/>
    </row>
    <row r="2302" spans="25:25">
      <c r="Y2302" s="181"/>
    </row>
    <row r="2303" spans="25:25">
      <c r="Y2303" s="181"/>
    </row>
    <row r="2304" spans="25:25">
      <c r="Y2304" s="181"/>
    </row>
    <row r="2305" spans="25:25">
      <c r="Y2305" s="181"/>
    </row>
    <row r="2306" spans="25:25">
      <c r="Y2306" s="181"/>
    </row>
    <row r="2307" spans="25:25">
      <c r="Y2307" s="181"/>
    </row>
    <row r="2308" spans="25:25">
      <c r="Y2308" s="181"/>
    </row>
    <row r="2309" spans="25:25">
      <c r="Y2309" s="181"/>
    </row>
    <row r="2310" spans="25:25">
      <c r="Y2310" s="181"/>
    </row>
    <row r="2311" spans="25:25">
      <c r="Y2311" s="181"/>
    </row>
    <row r="2312" spans="25:25">
      <c r="Y2312" s="181"/>
    </row>
    <row r="2313" spans="25:25">
      <c r="Y2313" s="181"/>
    </row>
    <row r="2314" spans="25:25">
      <c r="Y2314" s="181"/>
    </row>
    <row r="2315" spans="25:25">
      <c r="Y2315" s="181"/>
    </row>
    <row r="2316" spans="25:25">
      <c r="Y2316" s="181"/>
    </row>
    <row r="2317" spans="25:25">
      <c r="Y2317" s="181"/>
    </row>
    <row r="2318" spans="25:25">
      <c r="Y2318" s="181"/>
    </row>
    <row r="2319" spans="25:25">
      <c r="Y2319" s="181"/>
    </row>
    <row r="2320" spans="25:25">
      <c r="Y2320" s="181"/>
    </row>
    <row r="2321" spans="25:25">
      <c r="Y2321" s="181"/>
    </row>
    <row r="2322" spans="25:25">
      <c r="Y2322" s="181"/>
    </row>
    <row r="2323" spans="25:25">
      <c r="Y2323" s="181"/>
    </row>
    <row r="2324" spans="25:25">
      <c r="Y2324" s="181"/>
    </row>
    <row r="2325" spans="25:25">
      <c r="Y2325" s="181"/>
    </row>
    <row r="2326" spans="25:25">
      <c r="Y2326" s="181"/>
    </row>
    <row r="2327" spans="25:25">
      <c r="Y2327" s="181"/>
    </row>
    <row r="2328" spans="25:25">
      <c r="Y2328" s="181"/>
    </row>
    <row r="2329" spans="25:25">
      <c r="Y2329" s="181"/>
    </row>
    <row r="2330" spans="25:25">
      <c r="Y2330" s="181"/>
    </row>
    <row r="2331" spans="25:25">
      <c r="Y2331" s="181"/>
    </row>
    <row r="2332" spans="25:25">
      <c r="Y2332" s="181"/>
    </row>
    <row r="2333" spans="25:25">
      <c r="Y2333" s="181"/>
    </row>
    <row r="2334" spans="25:25">
      <c r="Y2334" s="181"/>
    </row>
    <row r="2335" spans="25:25">
      <c r="Y2335" s="181"/>
    </row>
    <row r="2336" spans="25:25">
      <c r="Y2336" s="181"/>
    </row>
    <row r="2337" spans="25:25">
      <c r="Y2337" s="181"/>
    </row>
    <row r="2338" spans="25:25">
      <c r="Y2338" s="181"/>
    </row>
    <row r="2339" spans="25:25">
      <c r="Y2339" s="181"/>
    </row>
    <row r="2340" spans="25:25">
      <c r="Y2340" s="181"/>
    </row>
    <row r="2341" spans="25:25">
      <c r="Y2341" s="181"/>
    </row>
    <row r="2342" spans="25:25">
      <c r="Y2342" s="181"/>
    </row>
    <row r="2343" spans="25:25">
      <c r="Y2343" s="181"/>
    </row>
    <row r="2344" spans="25:25">
      <c r="Y2344" s="181"/>
    </row>
    <row r="2345" spans="25:25">
      <c r="Y2345" s="181"/>
    </row>
    <row r="2346" spans="25:25">
      <c r="Y2346" s="181"/>
    </row>
    <row r="2347" spans="25:25">
      <c r="Y2347" s="181"/>
    </row>
    <row r="2348" spans="25:25">
      <c r="Y2348" s="181"/>
    </row>
    <row r="2349" spans="25:25">
      <c r="Y2349" s="181"/>
    </row>
    <row r="2350" spans="25:25">
      <c r="Y2350" s="181"/>
    </row>
    <row r="2351" spans="25:25">
      <c r="Y2351" s="181"/>
    </row>
    <row r="2352" spans="25:25">
      <c r="Y2352" s="181"/>
    </row>
    <row r="2353" spans="25:25">
      <c r="Y2353" s="181"/>
    </row>
    <row r="2354" spans="25:25">
      <c r="Y2354" s="181"/>
    </row>
    <row r="2355" spans="25:25">
      <c r="Y2355" s="181"/>
    </row>
    <row r="2356" spans="25:25">
      <c r="Y2356" s="181"/>
    </row>
    <row r="2357" spans="25:25">
      <c r="Y2357" s="181"/>
    </row>
    <row r="2358" spans="25:25">
      <c r="Y2358" s="181"/>
    </row>
    <row r="2359" spans="25:25">
      <c r="Y2359" s="181"/>
    </row>
    <row r="2360" spans="25:25">
      <c r="Y2360" s="181"/>
    </row>
    <row r="2361" spans="25:25">
      <c r="Y2361" s="181"/>
    </row>
    <row r="2362" spans="25:25">
      <c r="Y2362" s="181"/>
    </row>
    <row r="2363" spans="25:25">
      <c r="Y2363" s="181"/>
    </row>
    <row r="2364" spans="25:25">
      <c r="Y2364" s="181"/>
    </row>
    <row r="2365" spans="25:25">
      <c r="Y2365" s="181"/>
    </row>
    <row r="2366" spans="25:25">
      <c r="Y2366" s="181"/>
    </row>
    <row r="2367" spans="25:25">
      <c r="Y2367" s="181"/>
    </row>
    <row r="2368" spans="25:25">
      <c r="Y2368" s="181"/>
    </row>
    <row r="2369" spans="25:25">
      <c r="Y2369" s="181"/>
    </row>
    <row r="2370" spans="25:25">
      <c r="Y2370" s="181"/>
    </row>
    <row r="2371" spans="25:25">
      <c r="Y2371" s="181"/>
    </row>
    <row r="2372" spans="25:25">
      <c r="Y2372" s="181"/>
    </row>
    <row r="2373" spans="25:25">
      <c r="Y2373" s="181"/>
    </row>
    <row r="2374" spans="25:25">
      <c r="Y2374" s="181"/>
    </row>
    <row r="2375" spans="25:25">
      <c r="Y2375" s="181"/>
    </row>
    <row r="2376" spans="25:25">
      <c r="Y2376" s="181"/>
    </row>
    <row r="2377" spans="25:25">
      <c r="Y2377" s="181"/>
    </row>
    <row r="2378" spans="25:25">
      <c r="Y2378" s="181"/>
    </row>
    <row r="2379" spans="25:25">
      <c r="Y2379" s="181"/>
    </row>
    <row r="2380" spans="25:25">
      <c r="Y2380" s="181"/>
    </row>
    <row r="2381" spans="25:25">
      <c r="Y2381" s="181"/>
    </row>
    <row r="2382" spans="25:25">
      <c r="Y2382" s="181"/>
    </row>
    <row r="2383" spans="25:25">
      <c r="Y2383" s="181"/>
    </row>
    <row r="2384" spans="25:25">
      <c r="Y2384" s="181"/>
    </row>
    <row r="2385" spans="25:25">
      <c r="Y2385" s="181"/>
    </row>
    <row r="2386" spans="25:25">
      <c r="Y2386" s="181"/>
    </row>
    <row r="2387" spans="25:25">
      <c r="Y2387" s="181"/>
    </row>
    <row r="2388" spans="25:25">
      <c r="Y2388" s="181"/>
    </row>
    <row r="2389" spans="25:25">
      <c r="Y2389" s="181"/>
    </row>
    <row r="2390" spans="25:25">
      <c r="Y2390" s="181"/>
    </row>
    <row r="2391" spans="25:25">
      <c r="Y2391" s="181"/>
    </row>
    <row r="2392" spans="25:25">
      <c r="Y2392" s="181"/>
    </row>
    <row r="2393" spans="25:25">
      <c r="Y2393" s="181"/>
    </row>
    <row r="2394" spans="25:25">
      <c r="Y2394" s="181"/>
    </row>
    <row r="2395" spans="25:25">
      <c r="Y2395" s="181"/>
    </row>
    <row r="2396" spans="25:25">
      <c r="Y2396" s="181"/>
    </row>
    <row r="2397" spans="25:25">
      <c r="Y2397" s="181"/>
    </row>
    <row r="2398" spans="25:25">
      <c r="Y2398" s="181"/>
    </row>
    <row r="2399" spans="25:25">
      <c r="Y2399" s="181"/>
    </row>
    <row r="2400" spans="25:25">
      <c r="Y2400" s="181"/>
    </row>
    <row r="2401" spans="25:25">
      <c r="Y2401" s="181"/>
    </row>
    <row r="2402" spans="25:25">
      <c r="Y2402" s="181"/>
    </row>
    <row r="2403" spans="25:25">
      <c r="Y2403" s="181"/>
    </row>
    <row r="2404" spans="25:25">
      <c r="Y2404" s="181"/>
    </row>
    <row r="2405" spans="25:25">
      <c r="Y2405" s="181"/>
    </row>
    <row r="2406" spans="25:25">
      <c r="Y2406" s="181"/>
    </row>
    <row r="2407" spans="25:25">
      <c r="Y2407" s="181"/>
    </row>
    <row r="2408" spans="25:25">
      <c r="Y2408" s="181"/>
    </row>
    <row r="2409" spans="25:25">
      <c r="Y2409" s="181"/>
    </row>
    <row r="2410" spans="25:25">
      <c r="Y2410" s="181"/>
    </row>
    <row r="2411" spans="25:25">
      <c r="Y2411" s="181"/>
    </row>
    <row r="2412" spans="25:25">
      <c r="Y2412" s="181"/>
    </row>
    <row r="2413" spans="25:25">
      <c r="Y2413" s="181"/>
    </row>
    <row r="2414" spans="25:25">
      <c r="Y2414" s="181"/>
    </row>
    <row r="2415" spans="25:25">
      <c r="Y2415" s="181"/>
    </row>
    <row r="2416" spans="25:25">
      <c r="Y2416" s="181"/>
    </row>
    <row r="2417" spans="25:25">
      <c r="Y2417" s="181"/>
    </row>
    <row r="2418" spans="25:25">
      <c r="Y2418" s="181"/>
    </row>
    <row r="2419" spans="25:25">
      <c r="Y2419" s="181"/>
    </row>
    <row r="2420" spans="25:25">
      <c r="Y2420" s="181"/>
    </row>
    <row r="2421" spans="25:25">
      <c r="Y2421" s="181"/>
    </row>
    <row r="2422" spans="25:25">
      <c r="Y2422" s="181"/>
    </row>
    <row r="2423" spans="25:25">
      <c r="Y2423" s="181"/>
    </row>
    <row r="2424" spans="25:25">
      <c r="Y2424" s="181"/>
    </row>
    <row r="2425" spans="25:25">
      <c r="Y2425" s="181"/>
    </row>
    <row r="2426" spans="25:25">
      <c r="Y2426" s="181"/>
    </row>
    <row r="2427" spans="25:25">
      <c r="Y2427" s="181"/>
    </row>
    <row r="2428" spans="25:25">
      <c r="Y2428" s="181"/>
    </row>
    <row r="2429" spans="25:25">
      <c r="Y2429" s="181"/>
    </row>
    <row r="2430" spans="25:25">
      <c r="Y2430" s="181"/>
    </row>
    <row r="2431" spans="25:25">
      <c r="Y2431" s="181"/>
    </row>
    <row r="2432" spans="25:25">
      <c r="Y2432" s="181"/>
    </row>
    <row r="2433" spans="25:25">
      <c r="Y2433" s="181"/>
    </row>
    <row r="2434" spans="25:25">
      <c r="Y2434" s="181"/>
    </row>
    <row r="2435" spans="25:25">
      <c r="Y2435" s="181"/>
    </row>
    <row r="2436" spans="25:25">
      <c r="Y2436" s="181"/>
    </row>
    <row r="2437" spans="25:25">
      <c r="Y2437" s="181"/>
    </row>
    <row r="2438" spans="25:25">
      <c r="Y2438" s="181"/>
    </row>
    <row r="2439" spans="25:25">
      <c r="Y2439" s="181"/>
    </row>
    <row r="2440" spans="25:25">
      <c r="Y2440" s="181"/>
    </row>
    <row r="2441" spans="25:25">
      <c r="Y2441" s="181"/>
    </row>
    <row r="2442" spans="25:25">
      <c r="Y2442" s="181"/>
    </row>
    <row r="2443" spans="25:25">
      <c r="Y2443" s="181"/>
    </row>
    <row r="2444" spans="25:25">
      <c r="Y2444" s="181"/>
    </row>
    <row r="2445" spans="25:25">
      <c r="Y2445" s="181"/>
    </row>
    <row r="2446" spans="25:25">
      <c r="Y2446" s="181"/>
    </row>
    <row r="2447" spans="25:25">
      <c r="Y2447" s="181"/>
    </row>
    <row r="2448" spans="25:25">
      <c r="Y2448" s="181"/>
    </row>
    <row r="2449" spans="25:25">
      <c r="Y2449" s="181"/>
    </row>
    <row r="2450" spans="25:25">
      <c r="Y2450" s="181"/>
    </row>
    <row r="2451" spans="25:25">
      <c r="Y2451" s="181"/>
    </row>
    <row r="2452" spans="25:25">
      <c r="Y2452" s="181"/>
    </row>
    <row r="2453" spans="25:25">
      <c r="Y2453" s="181"/>
    </row>
    <row r="2454" spans="25:25">
      <c r="Y2454" s="181"/>
    </row>
    <row r="2455" spans="25:25">
      <c r="Y2455" s="181"/>
    </row>
    <row r="2456" spans="25:25">
      <c r="Y2456" s="181"/>
    </row>
    <row r="2457" spans="25:25">
      <c r="Y2457" s="181"/>
    </row>
    <row r="2458" spans="25:25">
      <c r="Y2458" s="181"/>
    </row>
    <row r="2459" spans="25:25">
      <c r="Y2459" s="181"/>
    </row>
    <row r="2460" spans="25:25">
      <c r="Y2460" s="181"/>
    </row>
    <row r="2461" spans="25:25">
      <c r="Y2461" s="181"/>
    </row>
    <row r="2462" spans="25:25">
      <c r="Y2462" s="181"/>
    </row>
    <row r="2463" spans="25:25">
      <c r="Y2463" s="181"/>
    </row>
    <row r="2464" spans="25:25">
      <c r="Y2464" s="181"/>
    </row>
    <row r="2465" spans="25:25">
      <c r="Y2465" s="181"/>
    </row>
    <row r="2466" spans="25:25">
      <c r="Y2466" s="181"/>
    </row>
    <row r="2467" spans="25:25">
      <c r="Y2467" s="181"/>
    </row>
    <row r="2468" spans="25:25">
      <c r="Y2468" s="181"/>
    </row>
    <row r="2469" spans="25:25">
      <c r="Y2469" s="181"/>
    </row>
    <row r="2470" spans="25:25">
      <c r="Y2470" s="181"/>
    </row>
    <row r="2471" spans="25:25">
      <c r="Y2471" s="181"/>
    </row>
    <row r="2472" spans="25:25">
      <c r="Y2472" s="181"/>
    </row>
    <row r="2473" spans="25:25">
      <c r="Y2473" s="181"/>
    </row>
    <row r="2474" spans="25:25">
      <c r="Y2474" s="181"/>
    </row>
    <row r="2475" spans="25:25">
      <c r="Y2475" s="181"/>
    </row>
    <row r="2476" spans="25:25">
      <c r="Y2476" s="181"/>
    </row>
    <row r="2477" spans="25:25">
      <c r="Y2477" s="181"/>
    </row>
    <row r="2478" spans="25:25">
      <c r="Y2478" s="181"/>
    </row>
    <row r="2479" spans="25:25">
      <c r="Y2479" s="181"/>
    </row>
    <row r="2480" spans="25:25">
      <c r="Y2480" s="181"/>
    </row>
    <row r="2481" spans="25:25">
      <c r="Y2481" s="181"/>
    </row>
    <row r="2482" spans="25:25">
      <c r="Y2482" s="181"/>
    </row>
    <row r="2483" spans="25:25">
      <c r="Y2483" s="181"/>
    </row>
    <row r="2484" spans="25:25">
      <c r="Y2484" s="181"/>
    </row>
    <row r="2485" spans="25:25">
      <c r="Y2485" s="181"/>
    </row>
    <row r="2486" spans="25:25">
      <c r="Y2486" s="181"/>
    </row>
    <row r="2487" spans="25:25">
      <c r="Y2487" s="181"/>
    </row>
    <row r="2488" spans="25:25">
      <c r="Y2488" s="181"/>
    </row>
    <row r="2489" spans="25:25">
      <c r="Y2489" s="181"/>
    </row>
    <row r="2490" spans="25:25">
      <c r="Y2490" s="181"/>
    </row>
    <row r="2491" spans="25:25">
      <c r="Y2491" s="181"/>
    </row>
    <row r="2492" spans="25:25">
      <c r="Y2492" s="181"/>
    </row>
    <row r="2493" spans="25:25">
      <c r="Y2493" s="181"/>
    </row>
    <row r="2494" spans="25:25">
      <c r="Y2494" s="181"/>
    </row>
    <row r="2495" spans="25:25">
      <c r="Y2495" s="181"/>
    </row>
    <row r="2496" spans="25:25">
      <c r="Y2496" s="181"/>
    </row>
    <row r="2497" spans="25:25">
      <c r="Y2497" s="181"/>
    </row>
    <row r="2498" spans="25:25">
      <c r="Y2498" s="181"/>
    </row>
    <row r="2499" spans="25:25">
      <c r="Y2499" s="181"/>
    </row>
    <row r="2500" spans="25:25">
      <c r="Y2500" s="181"/>
    </row>
    <row r="2501" spans="25:25">
      <c r="Y2501" s="181"/>
    </row>
    <row r="2502" spans="25:25">
      <c r="Y2502" s="181"/>
    </row>
    <row r="2503" spans="25:25">
      <c r="Y2503" s="181"/>
    </row>
    <row r="2504" spans="25:25">
      <c r="Y2504" s="181"/>
    </row>
    <row r="2505" spans="25:25">
      <c r="Y2505" s="181"/>
    </row>
    <row r="2506" spans="25:25">
      <c r="Y2506" s="181"/>
    </row>
    <row r="2507" spans="25:25">
      <c r="Y2507" s="181"/>
    </row>
    <row r="2508" spans="25:25">
      <c r="Y2508" s="181"/>
    </row>
    <row r="2509" spans="25:25">
      <c r="Y2509" s="181"/>
    </row>
    <row r="2510" spans="25:25">
      <c r="Y2510" s="181"/>
    </row>
    <row r="2511" spans="25:25">
      <c r="Y2511" s="181"/>
    </row>
    <row r="2512" spans="25:25">
      <c r="Y2512" s="181"/>
    </row>
    <row r="2513" spans="25:25">
      <c r="Y2513" s="181"/>
    </row>
    <row r="2514" spans="25:25">
      <c r="Y2514" s="181"/>
    </row>
    <row r="2515" spans="25:25">
      <c r="Y2515" s="181"/>
    </row>
    <row r="2516" spans="25:25">
      <c r="Y2516" s="181"/>
    </row>
    <row r="2517" spans="25:25">
      <c r="Y2517" s="181"/>
    </row>
    <row r="2518" spans="25:25">
      <c r="Y2518" s="181"/>
    </row>
    <row r="2519" spans="25:25">
      <c r="Y2519" s="181"/>
    </row>
    <row r="2520" spans="25:25">
      <c r="Y2520" s="181"/>
    </row>
    <row r="2521" spans="25:25">
      <c r="Y2521" s="181"/>
    </row>
    <row r="2522" spans="25:25">
      <c r="Y2522" s="181"/>
    </row>
    <row r="2523" spans="25:25">
      <c r="Y2523" s="181"/>
    </row>
    <row r="2524" spans="25:25">
      <c r="Y2524" s="181"/>
    </row>
    <row r="2525" spans="25:25">
      <c r="Y2525" s="181"/>
    </row>
    <row r="2526" spans="25:25">
      <c r="Y2526" s="181"/>
    </row>
    <row r="2527" spans="25:25">
      <c r="Y2527" s="181"/>
    </row>
    <row r="2528" spans="25:25">
      <c r="Y2528" s="181"/>
    </row>
    <row r="2529" spans="25:25">
      <c r="Y2529" s="181"/>
    </row>
    <row r="2530" spans="25:25">
      <c r="Y2530" s="181"/>
    </row>
    <row r="2531" spans="25:25">
      <c r="Y2531" s="181"/>
    </row>
    <row r="2532" spans="25:25">
      <c r="Y2532" s="181"/>
    </row>
    <row r="2533" spans="25:25">
      <c r="Y2533" s="181"/>
    </row>
    <row r="2534" spans="25:25">
      <c r="Y2534" s="181"/>
    </row>
    <row r="2535" spans="25:25">
      <c r="Y2535" s="181"/>
    </row>
    <row r="2536" spans="25:25">
      <c r="Y2536" s="181"/>
    </row>
    <row r="2537" spans="25:25">
      <c r="Y2537" s="181"/>
    </row>
    <row r="2538" spans="25:25">
      <c r="Y2538" s="181"/>
    </row>
    <row r="2539" spans="25:25">
      <c r="Y2539" s="181"/>
    </row>
    <row r="2540" spans="25:25">
      <c r="Y2540" s="181"/>
    </row>
    <row r="2541" spans="25:25">
      <c r="Y2541" s="181"/>
    </row>
    <row r="2542" spans="25:25">
      <c r="Y2542" s="181"/>
    </row>
    <row r="2543" spans="25:25">
      <c r="Y2543" s="181"/>
    </row>
    <row r="2544" spans="25:25">
      <c r="Y2544" s="181"/>
    </row>
    <row r="2545" spans="25:25">
      <c r="Y2545" s="181"/>
    </row>
    <row r="2546" spans="25:25">
      <c r="Y2546" s="181"/>
    </row>
    <row r="2547" spans="25:25">
      <c r="Y2547" s="181"/>
    </row>
    <row r="2548" spans="25:25">
      <c r="Y2548" s="181"/>
    </row>
    <row r="2549" spans="25:25">
      <c r="Y2549" s="181"/>
    </row>
    <row r="2550" spans="25:25">
      <c r="Y2550" s="181"/>
    </row>
  </sheetData>
  <mergeCells count="20">
    <mergeCell ref="AN1:AP1"/>
    <mergeCell ref="AE1:AG1"/>
    <mergeCell ref="AH1:AJ1"/>
    <mergeCell ref="AK1:AM1"/>
    <mergeCell ref="AB1:AD1"/>
    <mergeCell ref="B1:D1"/>
    <mergeCell ref="E1:G1"/>
    <mergeCell ref="B2:D2"/>
    <mergeCell ref="E2:G2"/>
    <mergeCell ref="H2:J2"/>
    <mergeCell ref="V2:X2"/>
    <mergeCell ref="Y2:AA2"/>
    <mergeCell ref="V1:X1"/>
    <mergeCell ref="Y1:AA1"/>
    <mergeCell ref="H1:J1"/>
    <mergeCell ref="K1:M1"/>
    <mergeCell ref="N1:P1"/>
    <mergeCell ref="Q1:U1"/>
    <mergeCell ref="K2:M2"/>
    <mergeCell ref="N2:P2"/>
  </mergeCells>
  <printOptions gridLines="1"/>
  <pageMargins left="0.25" right="0.25" top="0.75" bottom="0.75" header="0.5" footer="0.5"/>
  <pageSetup paperSize="17" fitToWidth="0" orientation="portrait" r:id="rId1"/>
  <headerFooter alignWithMargins="0">
    <oddHeader>&amp;A</oddHeader>
    <oddFooter>&amp;CPage &amp;P of &amp;N&amp;RUpdated January 2006</oddFooter>
  </headerFooter>
  <colBreaks count="5" manualBreakCount="5">
    <brk id="7" max="1048575" man="1"/>
    <brk id="13" max="1048575" man="1"/>
    <brk id="18" max="1048575" man="1"/>
    <brk id="24" max="1048575" man="1"/>
    <brk id="3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1"/>
  <sheetViews>
    <sheetView workbookViewId="0">
      <selection activeCell="AF2" sqref="AF2"/>
    </sheetView>
  </sheetViews>
  <sheetFormatPr defaultRowHeight="12.75"/>
  <cols>
    <col min="1" max="1" width="17.42578125" style="190" customWidth="1"/>
    <col min="2" max="2" width="13" style="190" customWidth="1"/>
    <col min="3" max="256" width="9.140625" style="190"/>
    <col min="257" max="257" width="17.42578125" style="190" customWidth="1"/>
    <col min="258" max="258" width="13" style="190" customWidth="1"/>
    <col min="259" max="512" width="9.140625" style="190"/>
    <col min="513" max="513" width="17.42578125" style="190" customWidth="1"/>
    <col min="514" max="514" width="13" style="190" customWidth="1"/>
    <col min="515" max="768" width="9.140625" style="190"/>
    <col min="769" max="769" width="17.42578125" style="190" customWidth="1"/>
    <col min="770" max="770" width="13" style="190" customWidth="1"/>
    <col min="771" max="1024" width="9.140625" style="190"/>
    <col min="1025" max="1025" width="17.42578125" style="190" customWidth="1"/>
    <col min="1026" max="1026" width="13" style="190" customWidth="1"/>
    <col min="1027" max="1280" width="9.140625" style="190"/>
    <col min="1281" max="1281" width="17.42578125" style="190" customWidth="1"/>
    <col min="1282" max="1282" width="13" style="190" customWidth="1"/>
    <col min="1283" max="1536" width="9.140625" style="190"/>
    <col min="1537" max="1537" width="17.42578125" style="190" customWidth="1"/>
    <col min="1538" max="1538" width="13" style="190" customWidth="1"/>
    <col min="1539" max="1792" width="9.140625" style="190"/>
    <col min="1793" max="1793" width="17.42578125" style="190" customWidth="1"/>
    <col min="1794" max="1794" width="13" style="190" customWidth="1"/>
    <col min="1795" max="2048" width="9.140625" style="190"/>
    <col min="2049" max="2049" width="17.42578125" style="190" customWidth="1"/>
    <col min="2050" max="2050" width="13" style="190" customWidth="1"/>
    <col min="2051" max="2304" width="9.140625" style="190"/>
    <col min="2305" max="2305" width="17.42578125" style="190" customWidth="1"/>
    <col min="2306" max="2306" width="13" style="190" customWidth="1"/>
    <col min="2307" max="2560" width="9.140625" style="190"/>
    <col min="2561" max="2561" width="17.42578125" style="190" customWidth="1"/>
    <col min="2562" max="2562" width="13" style="190" customWidth="1"/>
    <col min="2563" max="2816" width="9.140625" style="190"/>
    <col min="2817" max="2817" width="17.42578125" style="190" customWidth="1"/>
    <col min="2818" max="2818" width="13" style="190" customWidth="1"/>
    <col min="2819" max="3072" width="9.140625" style="190"/>
    <col min="3073" max="3073" width="17.42578125" style="190" customWidth="1"/>
    <col min="3074" max="3074" width="13" style="190" customWidth="1"/>
    <col min="3075" max="3328" width="9.140625" style="190"/>
    <col min="3329" max="3329" width="17.42578125" style="190" customWidth="1"/>
    <col min="3330" max="3330" width="13" style="190" customWidth="1"/>
    <col min="3331" max="3584" width="9.140625" style="190"/>
    <col min="3585" max="3585" width="17.42578125" style="190" customWidth="1"/>
    <col min="3586" max="3586" width="13" style="190" customWidth="1"/>
    <col min="3587" max="3840" width="9.140625" style="190"/>
    <col min="3841" max="3841" width="17.42578125" style="190" customWidth="1"/>
    <col min="3842" max="3842" width="13" style="190" customWidth="1"/>
    <col min="3843" max="4096" width="9.140625" style="190"/>
    <col min="4097" max="4097" width="17.42578125" style="190" customWidth="1"/>
    <col min="4098" max="4098" width="13" style="190" customWidth="1"/>
    <col min="4099" max="4352" width="9.140625" style="190"/>
    <col min="4353" max="4353" width="17.42578125" style="190" customWidth="1"/>
    <col min="4354" max="4354" width="13" style="190" customWidth="1"/>
    <col min="4355" max="4608" width="9.140625" style="190"/>
    <col min="4609" max="4609" width="17.42578125" style="190" customWidth="1"/>
    <col min="4610" max="4610" width="13" style="190" customWidth="1"/>
    <col min="4611" max="4864" width="9.140625" style="190"/>
    <col min="4865" max="4865" width="17.42578125" style="190" customWidth="1"/>
    <col min="4866" max="4866" width="13" style="190" customWidth="1"/>
    <col min="4867" max="5120" width="9.140625" style="190"/>
    <col min="5121" max="5121" width="17.42578125" style="190" customWidth="1"/>
    <col min="5122" max="5122" width="13" style="190" customWidth="1"/>
    <col min="5123" max="5376" width="9.140625" style="190"/>
    <col min="5377" max="5377" width="17.42578125" style="190" customWidth="1"/>
    <col min="5378" max="5378" width="13" style="190" customWidth="1"/>
    <col min="5379" max="5632" width="9.140625" style="190"/>
    <col min="5633" max="5633" width="17.42578125" style="190" customWidth="1"/>
    <col min="5634" max="5634" width="13" style="190" customWidth="1"/>
    <col min="5635" max="5888" width="9.140625" style="190"/>
    <col min="5889" max="5889" width="17.42578125" style="190" customWidth="1"/>
    <col min="5890" max="5890" width="13" style="190" customWidth="1"/>
    <col min="5891" max="6144" width="9.140625" style="190"/>
    <col min="6145" max="6145" width="17.42578125" style="190" customWidth="1"/>
    <col min="6146" max="6146" width="13" style="190" customWidth="1"/>
    <col min="6147" max="6400" width="9.140625" style="190"/>
    <col min="6401" max="6401" width="17.42578125" style="190" customWidth="1"/>
    <col min="6402" max="6402" width="13" style="190" customWidth="1"/>
    <col min="6403" max="6656" width="9.140625" style="190"/>
    <col min="6657" max="6657" width="17.42578125" style="190" customWidth="1"/>
    <col min="6658" max="6658" width="13" style="190" customWidth="1"/>
    <col min="6659" max="6912" width="9.140625" style="190"/>
    <col min="6913" max="6913" width="17.42578125" style="190" customWidth="1"/>
    <col min="6914" max="6914" width="13" style="190" customWidth="1"/>
    <col min="6915" max="7168" width="9.140625" style="190"/>
    <col min="7169" max="7169" width="17.42578125" style="190" customWidth="1"/>
    <col min="7170" max="7170" width="13" style="190" customWidth="1"/>
    <col min="7171" max="7424" width="9.140625" style="190"/>
    <col min="7425" max="7425" width="17.42578125" style="190" customWidth="1"/>
    <col min="7426" max="7426" width="13" style="190" customWidth="1"/>
    <col min="7427" max="7680" width="9.140625" style="190"/>
    <col min="7681" max="7681" width="17.42578125" style="190" customWidth="1"/>
    <col min="7682" max="7682" width="13" style="190" customWidth="1"/>
    <col min="7683" max="7936" width="9.140625" style="190"/>
    <col min="7937" max="7937" width="17.42578125" style="190" customWidth="1"/>
    <col min="7938" max="7938" width="13" style="190" customWidth="1"/>
    <col min="7939" max="8192" width="9.140625" style="190"/>
    <col min="8193" max="8193" width="17.42578125" style="190" customWidth="1"/>
    <col min="8194" max="8194" width="13" style="190" customWidth="1"/>
    <col min="8195" max="8448" width="9.140625" style="190"/>
    <col min="8449" max="8449" width="17.42578125" style="190" customWidth="1"/>
    <col min="8450" max="8450" width="13" style="190" customWidth="1"/>
    <col min="8451" max="8704" width="9.140625" style="190"/>
    <col min="8705" max="8705" width="17.42578125" style="190" customWidth="1"/>
    <col min="8706" max="8706" width="13" style="190" customWidth="1"/>
    <col min="8707" max="8960" width="9.140625" style="190"/>
    <col min="8961" max="8961" width="17.42578125" style="190" customWidth="1"/>
    <col min="8962" max="8962" width="13" style="190" customWidth="1"/>
    <col min="8963" max="9216" width="9.140625" style="190"/>
    <col min="9217" max="9217" width="17.42578125" style="190" customWidth="1"/>
    <col min="9218" max="9218" width="13" style="190" customWidth="1"/>
    <col min="9219" max="9472" width="9.140625" style="190"/>
    <col min="9473" max="9473" width="17.42578125" style="190" customWidth="1"/>
    <col min="9474" max="9474" width="13" style="190" customWidth="1"/>
    <col min="9475" max="9728" width="9.140625" style="190"/>
    <col min="9729" max="9729" width="17.42578125" style="190" customWidth="1"/>
    <col min="9730" max="9730" width="13" style="190" customWidth="1"/>
    <col min="9731" max="9984" width="9.140625" style="190"/>
    <col min="9985" max="9985" width="17.42578125" style="190" customWidth="1"/>
    <col min="9986" max="9986" width="13" style="190" customWidth="1"/>
    <col min="9987" max="10240" width="9.140625" style="190"/>
    <col min="10241" max="10241" width="17.42578125" style="190" customWidth="1"/>
    <col min="10242" max="10242" width="13" style="190" customWidth="1"/>
    <col min="10243" max="10496" width="9.140625" style="190"/>
    <col min="10497" max="10497" width="17.42578125" style="190" customWidth="1"/>
    <col min="10498" max="10498" width="13" style="190" customWidth="1"/>
    <col min="10499" max="10752" width="9.140625" style="190"/>
    <col min="10753" max="10753" width="17.42578125" style="190" customWidth="1"/>
    <col min="10754" max="10754" width="13" style="190" customWidth="1"/>
    <col min="10755" max="11008" width="9.140625" style="190"/>
    <col min="11009" max="11009" width="17.42578125" style="190" customWidth="1"/>
    <col min="11010" max="11010" width="13" style="190" customWidth="1"/>
    <col min="11011" max="11264" width="9.140625" style="190"/>
    <col min="11265" max="11265" width="17.42578125" style="190" customWidth="1"/>
    <col min="11266" max="11266" width="13" style="190" customWidth="1"/>
    <col min="11267" max="11520" width="9.140625" style="190"/>
    <col min="11521" max="11521" width="17.42578125" style="190" customWidth="1"/>
    <col min="11522" max="11522" width="13" style="190" customWidth="1"/>
    <col min="11523" max="11776" width="9.140625" style="190"/>
    <col min="11777" max="11777" width="17.42578125" style="190" customWidth="1"/>
    <col min="11778" max="11778" width="13" style="190" customWidth="1"/>
    <col min="11779" max="12032" width="9.140625" style="190"/>
    <col min="12033" max="12033" width="17.42578125" style="190" customWidth="1"/>
    <col min="12034" max="12034" width="13" style="190" customWidth="1"/>
    <col min="12035" max="12288" width="9.140625" style="190"/>
    <col min="12289" max="12289" width="17.42578125" style="190" customWidth="1"/>
    <col min="12290" max="12290" width="13" style="190" customWidth="1"/>
    <col min="12291" max="12544" width="9.140625" style="190"/>
    <col min="12545" max="12545" width="17.42578125" style="190" customWidth="1"/>
    <col min="12546" max="12546" width="13" style="190" customWidth="1"/>
    <col min="12547" max="12800" width="9.140625" style="190"/>
    <col min="12801" max="12801" width="17.42578125" style="190" customWidth="1"/>
    <col min="12802" max="12802" width="13" style="190" customWidth="1"/>
    <col min="12803" max="13056" width="9.140625" style="190"/>
    <col min="13057" max="13057" width="17.42578125" style="190" customWidth="1"/>
    <col min="13058" max="13058" width="13" style="190" customWidth="1"/>
    <col min="13059" max="13312" width="9.140625" style="190"/>
    <col min="13313" max="13313" width="17.42578125" style="190" customWidth="1"/>
    <col min="13314" max="13314" width="13" style="190" customWidth="1"/>
    <col min="13315" max="13568" width="9.140625" style="190"/>
    <col min="13569" max="13569" width="17.42578125" style="190" customWidth="1"/>
    <col min="13570" max="13570" width="13" style="190" customWidth="1"/>
    <col min="13571" max="13824" width="9.140625" style="190"/>
    <col min="13825" max="13825" width="17.42578125" style="190" customWidth="1"/>
    <col min="13826" max="13826" width="13" style="190" customWidth="1"/>
    <col min="13827" max="14080" width="9.140625" style="190"/>
    <col min="14081" max="14081" width="17.42578125" style="190" customWidth="1"/>
    <col min="14082" max="14082" width="13" style="190" customWidth="1"/>
    <col min="14083" max="14336" width="9.140625" style="190"/>
    <col min="14337" max="14337" width="17.42578125" style="190" customWidth="1"/>
    <col min="14338" max="14338" width="13" style="190" customWidth="1"/>
    <col min="14339" max="14592" width="9.140625" style="190"/>
    <col min="14593" max="14593" width="17.42578125" style="190" customWidth="1"/>
    <col min="14594" max="14594" width="13" style="190" customWidth="1"/>
    <col min="14595" max="14848" width="9.140625" style="190"/>
    <col min="14849" max="14849" width="17.42578125" style="190" customWidth="1"/>
    <col min="14850" max="14850" width="13" style="190" customWidth="1"/>
    <col min="14851" max="15104" width="9.140625" style="190"/>
    <col min="15105" max="15105" width="17.42578125" style="190" customWidth="1"/>
    <col min="15106" max="15106" width="13" style="190" customWidth="1"/>
    <col min="15107" max="15360" width="9.140625" style="190"/>
    <col min="15361" max="15361" width="17.42578125" style="190" customWidth="1"/>
    <col min="15362" max="15362" width="13" style="190" customWidth="1"/>
    <col min="15363" max="15616" width="9.140625" style="190"/>
    <col min="15617" max="15617" width="17.42578125" style="190" customWidth="1"/>
    <col min="15618" max="15618" width="13" style="190" customWidth="1"/>
    <col min="15619" max="15872" width="9.140625" style="190"/>
    <col min="15873" max="15873" width="17.42578125" style="190" customWidth="1"/>
    <col min="15874" max="15874" width="13" style="190" customWidth="1"/>
    <col min="15875" max="16128" width="9.140625" style="190"/>
    <col min="16129" max="16129" width="17.42578125" style="190" customWidth="1"/>
    <col min="16130" max="16130" width="13" style="190" customWidth="1"/>
    <col min="16131" max="16384" width="9.140625" style="190"/>
  </cols>
  <sheetData>
    <row r="1" spans="1:67" ht="15">
      <c r="A1" s="487" t="s">
        <v>884</v>
      </c>
      <c r="B1" s="447" t="s">
        <v>792</v>
      </c>
      <c r="C1" s="447" t="s">
        <v>796</v>
      </c>
      <c r="D1" s="454" t="s">
        <v>797</v>
      </c>
      <c r="E1" s="454" t="s">
        <v>802</v>
      </c>
      <c r="F1" s="454" t="s">
        <v>803</v>
      </c>
      <c r="G1" s="454" t="s">
        <v>804</v>
      </c>
      <c r="H1" s="454" t="s">
        <v>805</v>
      </c>
      <c r="I1" s="454" t="s">
        <v>807</v>
      </c>
      <c r="J1" s="454" t="s">
        <v>808</v>
      </c>
      <c r="K1" s="454" t="s">
        <v>811</v>
      </c>
      <c r="L1" s="454" t="s">
        <v>817</v>
      </c>
      <c r="M1" s="454" t="s">
        <v>819</v>
      </c>
      <c r="N1" s="454" t="s">
        <v>820</v>
      </c>
      <c r="O1" s="454" t="s">
        <v>821</v>
      </c>
      <c r="P1" s="454" t="s">
        <v>822</v>
      </c>
      <c r="Q1" s="454" t="s">
        <v>823</v>
      </c>
      <c r="R1" s="454" t="s">
        <v>824</v>
      </c>
      <c r="S1" s="454" t="s">
        <v>825</v>
      </c>
      <c r="T1" s="454" t="s">
        <v>826</v>
      </c>
      <c r="U1" s="454" t="s">
        <v>827</v>
      </c>
      <c r="V1" s="454" t="s">
        <v>829</v>
      </c>
      <c r="W1" s="454" t="s">
        <v>830</v>
      </c>
      <c r="X1" s="454" t="s">
        <v>831</v>
      </c>
      <c r="Y1" s="454" t="s">
        <v>832</v>
      </c>
      <c r="Z1" s="454" t="s">
        <v>834</v>
      </c>
      <c r="AA1" s="454" t="s">
        <v>835</v>
      </c>
      <c r="AB1" s="454" t="s">
        <v>836</v>
      </c>
      <c r="AC1" s="454" t="s">
        <v>837</v>
      </c>
      <c r="AD1" s="454" t="s">
        <v>838</v>
      </c>
      <c r="AE1" s="454" t="s">
        <v>839</v>
      </c>
      <c r="AF1" s="454" t="s">
        <v>840</v>
      </c>
      <c r="AG1" s="454" t="s">
        <v>841</v>
      </c>
      <c r="AH1" s="454" t="s">
        <v>842</v>
      </c>
      <c r="AI1" s="454" t="s">
        <v>843</v>
      </c>
      <c r="AJ1" s="454" t="s">
        <v>844</v>
      </c>
      <c r="AK1" s="459" t="s">
        <v>845</v>
      </c>
      <c r="AL1" s="459" t="s">
        <v>848</v>
      </c>
      <c r="AM1" s="459" t="s">
        <v>849</v>
      </c>
      <c r="AN1" s="459" t="s">
        <v>850</v>
      </c>
      <c r="AO1" s="459" t="s">
        <v>851</v>
      </c>
      <c r="AP1" s="459" t="s">
        <v>852</v>
      </c>
      <c r="AQ1" s="459" t="s">
        <v>853</v>
      </c>
      <c r="AR1" s="459" t="s">
        <v>854</v>
      </c>
      <c r="AS1" s="459" t="s">
        <v>855</v>
      </c>
      <c r="AT1" s="459" t="s">
        <v>856</v>
      </c>
      <c r="AU1" s="459" t="s">
        <v>857</v>
      </c>
      <c r="AV1" s="459" t="s">
        <v>858</v>
      </c>
      <c r="AW1" s="459" t="s">
        <v>859</v>
      </c>
      <c r="AX1" s="459" t="s">
        <v>860</v>
      </c>
      <c r="AY1" s="459" t="s">
        <v>861</v>
      </c>
      <c r="AZ1" s="459" t="s">
        <v>862</v>
      </c>
      <c r="BA1" s="459" t="s">
        <v>863</v>
      </c>
      <c r="BB1" s="459" t="s">
        <v>864</v>
      </c>
      <c r="BC1" s="459" t="s">
        <v>865</v>
      </c>
      <c r="BD1" s="459" t="s">
        <v>866</v>
      </c>
      <c r="BE1" s="454" t="s">
        <v>867</v>
      </c>
      <c r="BF1" s="454" t="s">
        <v>868</v>
      </c>
      <c r="BG1" s="454" t="s">
        <v>869</v>
      </c>
      <c r="BH1" s="454" t="s">
        <v>870</v>
      </c>
      <c r="BI1" s="454" t="s">
        <v>871</v>
      </c>
      <c r="BJ1" s="454" t="s">
        <v>872</v>
      </c>
      <c r="BK1" s="454" t="s">
        <v>873</v>
      </c>
      <c r="BL1" s="454" t="s">
        <v>874</v>
      </c>
      <c r="BM1" s="454" t="s">
        <v>875</v>
      </c>
      <c r="BN1" s="454" t="s">
        <v>876</v>
      </c>
      <c r="BO1" s="454" t="s">
        <v>877</v>
      </c>
    </row>
    <row r="2" spans="1:67" ht="15">
      <c r="A2" s="487" t="s">
        <v>885</v>
      </c>
      <c r="B2" s="465">
        <f>'Emission Factors'!$B$4</f>
        <v>0</v>
      </c>
      <c r="C2" s="465">
        <f>'Emission Factors'!$B$5</f>
        <v>0</v>
      </c>
      <c r="D2" s="465">
        <f>'Emission Factors'!$B$6</f>
        <v>4.3000000000000001E-7</v>
      </c>
      <c r="E2" s="465">
        <f>'Emission Factors'!$B$7</f>
        <v>0</v>
      </c>
      <c r="F2" s="465">
        <f>'Emission Factors'!$B$8</f>
        <v>0</v>
      </c>
      <c r="G2" s="465">
        <f>'Emission Factors'!$B$9</f>
        <v>0</v>
      </c>
      <c r="H2" s="465">
        <f>'Emission Factors'!$B$10</f>
        <v>4.0000000000000003E-5</v>
      </c>
      <c r="I2" s="465">
        <f>'Emission Factors'!$B$11</f>
        <v>6.3999999999999997E-6</v>
      </c>
      <c r="J2" s="465">
        <f>'Emission Factors'!$B$12</f>
        <v>0</v>
      </c>
      <c r="K2" s="465">
        <f>'Emission Factors'!$B$13</f>
        <v>0</v>
      </c>
      <c r="L2" s="465">
        <f>'Emission Factors'!$B$14</f>
        <v>1.2E-5</v>
      </c>
      <c r="M2" s="465">
        <f>'Emission Factors'!$B$15</f>
        <v>0</v>
      </c>
      <c r="N2" s="465">
        <f>'Emission Factors'!$B$16</f>
        <v>0</v>
      </c>
      <c r="O2" s="465">
        <f>'Emission Factors'!$B$17</f>
        <v>0</v>
      </c>
      <c r="P2" s="465">
        <f>'Emission Factors'!$B$18</f>
        <v>0</v>
      </c>
      <c r="Q2" s="465">
        <f>'Emission Factors'!$B$19</f>
        <v>0</v>
      </c>
      <c r="R2" s="465">
        <f>'Emission Factors'!$B$20</f>
        <v>0</v>
      </c>
      <c r="S2" s="465">
        <f>'Emission Factors'!$B$21</f>
        <v>0</v>
      </c>
      <c r="T2" s="465">
        <f>'Emission Factors'!$B$22</f>
        <v>0</v>
      </c>
      <c r="U2" s="465">
        <f>'Emission Factors'!$B$23</f>
        <v>0</v>
      </c>
      <c r="V2" s="465">
        <f>'Emission Factors'!$B$24</f>
        <v>3.1999999999999999E-5</v>
      </c>
      <c r="W2" s="465">
        <f>'Emission Factors'!$B$25</f>
        <v>0</v>
      </c>
      <c r="X2" s="465">
        <f>'Emission Factors'!$B$26</f>
        <v>0</v>
      </c>
      <c r="Y2" s="465">
        <f>'Emission Factors'!$B$27</f>
        <v>7.1000000000000002E-4</v>
      </c>
      <c r="Z2" s="465">
        <f>'Emission Factors'!$B$28</f>
        <v>0</v>
      </c>
      <c r="AA2" s="465">
        <f>'Emission Factors'!$B$29</f>
        <v>0</v>
      </c>
      <c r="AB2" s="465">
        <f>'Emission Factors'!$B$30</f>
        <v>0</v>
      </c>
      <c r="AC2" s="465">
        <f>'Emission Factors'!$B$31</f>
        <v>0</v>
      </c>
      <c r="AD2" s="465">
        <f>'Emission Factors'!$B$32</f>
        <v>0</v>
      </c>
      <c r="AE2" s="465">
        <f>'Emission Factors'!$B$33</f>
        <v>0</v>
      </c>
      <c r="AF2" s="465">
        <f>'Emission Factors'!$B$34</f>
        <v>0</v>
      </c>
      <c r="AG2" s="465">
        <f>'Emission Factors'!$B$35</f>
        <v>0</v>
      </c>
      <c r="AH2" s="465">
        <f>'Emission Factors'!$B$36</f>
        <v>2.2000000000000001E-6</v>
      </c>
      <c r="AI2" s="465">
        <f>'Emission Factors'!$B$37</f>
        <v>0</v>
      </c>
      <c r="AJ2" s="465">
        <f>'Emission Factors'!$B$38</f>
        <v>0</v>
      </c>
      <c r="AK2" s="465">
        <f>'Emission Factors'!$B$39</f>
        <v>1.3E-6</v>
      </c>
      <c r="AL2" s="465">
        <f>'Emission Factors'!$B$40</f>
        <v>0</v>
      </c>
      <c r="AM2" s="465">
        <f>'Emission Factors'!$B$41</f>
        <v>0</v>
      </c>
      <c r="AN2" s="465">
        <f>'Emission Factors'!$B$42</f>
        <v>0</v>
      </c>
      <c r="AO2" s="465">
        <f>'Emission Factors'!$B$43</f>
        <v>0</v>
      </c>
      <c r="AP2" s="465">
        <f>'Emission Factors'!$B$44</f>
        <v>0</v>
      </c>
      <c r="AQ2" s="465">
        <f>'Emission Factors'!$B$45</f>
        <v>0</v>
      </c>
      <c r="AR2" s="465">
        <f>'Emission Factors'!$B$46</f>
        <v>0</v>
      </c>
      <c r="AS2" s="465">
        <f>'Emission Factors'!$B$47</f>
        <v>0</v>
      </c>
      <c r="AT2" s="465">
        <f>'Emission Factors'!$B$48</f>
        <v>0</v>
      </c>
      <c r="AU2" s="465">
        <f>'Emission Factors'!$B$49</f>
        <v>0</v>
      </c>
      <c r="AV2" s="465">
        <f>'Emission Factors'!$B$50</f>
        <v>0</v>
      </c>
      <c r="AW2" s="465">
        <f>'Emission Factors'!$B$51</f>
        <v>0</v>
      </c>
      <c r="AX2" s="465">
        <f>'Emission Factors'!$B$52</f>
        <v>0</v>
      </c>
      <c r="AY2" s="465">
        <f>'Emission Factors'!$B$53</f>
        <v>0</v>
      </c>
      <c r="AZ2" s="465">
        <f>'Emission Factors'!$B$54</f>
        <v>0</v>
      </c>
      <c r="BA2" s="465">
        <f>'Emission Factors'!$B$55</f>
        <v>0</v>
      </c>
      <c r="BB2" s="465">
        <f>'Emission Factors'!$B$56</f>
        <v>1.3E-6</v>
      </c>
      <c r="BC2" s="465">
        <f>'Emission Factors'!$B$57</f>
        <v>0</v>
      </c>
      <c r="BD2" s="465">
        <f>'Emission Factors'!$B$58</f>
        <v>0</v>
      </c>
      <c r="BE2" s="465">
        <f>'Emission Factors'!$B$59</f>
        <v>0</v>
      </c>
      <c r="BF2" s="465">
        <f>'Emission Factors'!$B$60</f>
        <v>2.9E-5</v>
      </c>
      <c r="BG2" s="465">
        <f>'Emission Factors'!$B$61</f>
        <v>0</v>
      </c>
      <c r="BH2" s="465">
        <f>'Emission Factors'!$B$62</f>
        <v>0</v>
      </c>
      <c r="BI2" s="465">
        <f>'Emission Factors'!$B$63</f>
        <v>0</v>
      </c>
      <c r="BJ2" s="465">
        <f>'Emission Factors'!$B$64</f>
        <v>1.2999999999999999E-4</v>
      </c>
      <c r="BK2" s="465">
        <f>'Emission Factors'!$B$65</f>
        <v>0</v>
      </c>
      <c r="BL2" s="465">
        <f>'Emission Factors'!$B$66</f>
        <v>0</v>
      </c>
      <c r="BM2" s="465">
        <f>'Emission Factors'!$B$67</f>
        <v>0</v>
      </c>
      <c r="BN2" s="465">
        <f>'Emission Factors'!$B$68</f>
        <v>6.3999999999999997E-5</v>
      </c>
      <c r="BO2" s="465">
        <f>'Emission Factors'!$B$69</f>
        <v>0</v>
      </c>
    </row>
    <row r="3" spans="1:67" ht="15">
      <c r="A3" s="487" t="s">
        <v>886</v>
      </c>
      <c r="B3" s="465">
        <f>'Emission Factors'!$E$4</f>
        <v>0</v>
      </c>
      <c r="C3" s="465">
        <f>'Emission Factors'!$E$5</f>
        <v>0</v>
      </c>
      <c r="D3" s="465">
        <f>'Emission Factors'!$E$6</f>
        <v>4.2899999999999999E-7</v>
      </c>
      <c r="E3" s="465">
        <f>'Emission Factors'!$E$7</f>
        <v>0</v>
      </c>
      <c r="F3" s="465">
        <f>'Emission Factors'!$E$8</f>
        <v>0</v>
      </c>
      <c r="G3" s="465">
        <f>'Emission Factors'!$E$9</f>
        <v>0</v>
      </c>
      <c r="H3" s="465">
        <f>'Emission Factors'!$E$10</f>
        <v>4.4499999999999997E-5</v>
      </c>
      <c r="I3" s="465">
        <f>'Emission Factors'!$E$11</f>
        <v>8.3100000000000001E-6</v>
      </c>
      <c r="J3" s="465">
        <f>'Emission Factors'!$E$12</f>
        <v>0</v>
      </c>
      <c r="K3" s="465">
        <f>'Emission Factors'!$E$13</f>
        <v>0</v>
      </c>
      <c r="L3" s="465">
        <f>'Emission Factors'!$E$14</f>
        <v>1.03E-4</v>
      </c>
      <c r="M3" s="465">
        <f>'Emission Factors'!$E$15</f>
        <v>0</v>
      </c>
      <c r="N3" s="465">
        <f>'Emission Factors'!$E$16</f>
        <v>0</v>
      </c>
      <c r="O3" s="465">
        <f>'Emission Factors'!$E$17</f>
        <v>0</v>
      </c>
      <c r="P3" s="465">
        <f>'Emission Factors'!$E$18</f>
        <v>0</v>
      </c>
      <c r="Q3" s="465">
        <f>'Emission Factors'!$E$19</f>
        <v>0</v>
      </c>
      <c r="R3" s="465">
        <f>'Emission Factors'!$E$20</f>
        <v>0</v>
      </c>
      <c r="S3" s="465">
        <f>'Emission Factors'!$E$21</f>
        <v>0</v>
      </c>
      <c r="T3" s="465">
        <f>'Emission Factors'!$E$22</f>
        <v>0</v>
      </c>
      <c r="U3" s="465">
        <f>'Emission Factors'!$E$23</f>
        <v>0</v>
      </c>
      <c r="V3" s="465">
        <f>'Emission Factors'!$E$24</f>
        <v>2.58E-5</v>
      </c>
      <c r="W3" s="465">
        <f>'Emission Factors'!$E$25</f>
        <v>0</v>
      </c>
      <c r="X3" s="465">
        <f>'Emission Factors'!$E$26</f>
        <v>0</v>
      </c>
      <c r="Y3" s="465">
        <f>'Emission Factors'!$E$27</f>
        <v>3.1199999999999999E-3</v>
      </c>
      <c r="Z3" s="465">
        <f>'Emission Factors'!$E$28</f>
        <v>0</v>
      </c>
      <c r="AA3" s="465">
        <f>'Emission Factors'!$E$29</f>
        <v>0</v>
      </c>
      <c r="AB3" s="465">
        <f>'Emission Factors'!$E$30</f>
        <v>0</v>
      </c>
      <c r="AC3" s="465">
        <f>'Emission Factors'!$E$31</f>
        <v>0</v>
      </c>
      <c r="AD3" s="465">
        <f>'Emission Factors'!$E$32</f>
        <v>0</v>
      </c>
      <c r="AE3" s="465">
        <f>'Emission Factors'!$E$33</f>
        <v>0</v>
      </c>
      <c r="AF3" s="465">
        <f>'Emission Factors'!$E$34</f>
        <v>0</v>
      </c>
      <c r="AG3" s="465">
        <f>'Emission Factors'!$E$35</f>
        <v>0</v>
      </c>
      <c r="AH3" s="465">
        <f>'Emission Factors'!$E$36</f>
        <v>2.2500000000000001E-6</v>
      </c>
      <c r="AI3" s="465">
        <f>'Emission Factors'!$E$37</f>
        <v>0</v>
      </c>
      <c r="AJ3" s="465">
        <f>'Emission Factors'!$E$38</f>
        <v>0</v>
      </c>
      <c r="AK3" s="465">
        <f>'Emission Factors'!$E$39</f>
        <v>1.37E-6</v>
      </c>
      <c r="AL3" s="465">
        <f>'Emission Factors'!$E$40</f>
        <v>0</v>
      </c>
      <c r="AM3" s="465">
        <f>'Emission Factors'!$E$41</f>
        <v>0</v>
      </c>
      <c r="AN3" s="465">
        <f>'Emission Factors'!$E$42</f>
        <v>0</v>
      </c>
      <c r="AO3" s="465">
        <f>'Emission Factors'!$E$43</f>
        <v>0</v>
      </c>
      <c r="AP3" s="465">
        <f>'Emission Factors'!$E$44</f>
        <v>0</v>
      </c>
      <c r="AQ3" s="465">
        <f>'Emission Factors'!$E$45</f>
        <v>0</v>
      </c>
      <c r="AR3" s="465">
        <f>'Emission Factors'!$E$46</f>
        <v>0</v>
      </c>
      <c r="AS3" s="465">
        <f>'Emission Factors'!$E$47</f>
        <v>0</v>
      </c>
      <c r="AT3" s="465">
        <f>'Emission Factors'!$E$48</f>
        <v>0</v>
      </c>
      <c r="AU3" s="465">
        <f>'Emission Factors'!$E$49</f>
        <v>0</v>
      </c>
      <c r="AV3" s="465">
        <f>'Emission Factors'!$E$50</f>
        <v>0</v>
      </c>
      <c r="AW3" s="465">
        <f>'Emission Factors'!$E$51</f>
        <v>0</v>
      </c>
      <c r="AX3" s="465">
        <f>'Emission Factors'!$E$52</f>
        <v>0</v>
      </c>
      <c r="AY3" s="465">
        <f>'Emission Factors'!$E$53</f>
        <v>0</v>
      </c>
      <c r="AZ3" s="465">
        <f>'Emission Factors'!$E$54</f>
        <v>0</v>
      </c>
      <c r="BA3" s="465">
        <f>'Emission Factors'!$E$55</f>
        <v>0</v>
      </c>
      <c r="BB3" s="465">
        <f>'Emission Factors'!$E$56</f>
        <v>1.37E-6</v>
      </c>
      <c r="BC3" s="465">
        <f>'Emission Factors'!$E$57</f>
        <v>0</v>
      </c>
      <c r="BD3" s="465">
        <f>'Emission Factors'!$E$58</f>
        <v>0</v>
      </c>
      <c r="BE3" s="465">
        <f>'Emission Factors'!$E$59</f>
        <v>0</v>
      </c>
      <c r="BF3" s="465">
        <f>'Emission Factors'!$E$60</f>
        <v>2.8600000000000001E-5</v>
      </c>
      <c r="BG3" s="465">
        <f>'Emission Factors'!$E$61</f>
        <v>0</v>
      </c>
      <c r="BH3" s="465">
        <f>'Emission Factors'!$E$62</f>
        <v>0</v>
      </c>
      <c r="BI3" s="465">
        <f>'Emission Factors'!$E$63</f>
        <v>0</v>
      </c>
      <c r="BJ3" s="465">
        <f>'Emission Factors'!$E$64</f>
        <v>9.3700000000000001E-5</v>
      </c>
      <c r="BK3" s="465">
        <f>'Emission Factors'!$E$65</f>
        <v>0</v>
      </c>
      <c r="BL3" s="465">
        <f>'Emission Factors'!$E$66</f>
        <v>0</v>
      </c>
      <c r="BM3" s="465">
        <f>'Emission Factors'!$E$67</f>
        <v>0</v>
      </c>
      <c r="BN3" s="465">
        <f>'Emission Factors'!$E$68</f>
        <v>5.4799999999999997E-5</v>
      </c>
      <c r="BO3" s="465">
        <f>'Emission Factors'!$E$69</f>
        <v>0</v>
      </c>
    </row>
    <row r="4" spans="1:67" ht="15">
      <c r="A4" s="487" t="s">
        <v>887</v>
      </c>
      <c r="B4" s="465">
        <f>'Emission Factors'!$K$4</f>
        <v>0</v>
      </c>
      <c r="C4" s="465">
        <f>'Emission Factors'!$K$5</f>
        <v>0</v>
      </c>
      <c r="D4" s="465">
        <f>'Emission Factors'!$K$6</f>
        <v>1.5999999999999999E-5</v>
      </c>
      <c r="E4" s="465">
        <f>'Emission Factors'!$K$7</f>
        <v>0</v>
      </c>
      <c r="F4" s="465">
        <f>'Emission Factors'!$K$8</f>
        <v>0</v>
      </c>
      <c r="G4" s="465">
        <f>'Emission Factors'!$K$9</f>
        <v>0</v>
      </c>
      <c r="H4" s="465">
        <f>'Emission Factors'!$K$10</f>
        <v>0</v>
      </c>
      <c r="I4" s="465">
        <f>'Emission Factors'!$K$11</f>
        <v>0</v>
      </c>
      <c r="J4" s="465">
        <f>'Emission Factors'!$K$12</f>
        <v>0</v>
      </c>
      <c r="K4" s="465">
        <f>'Emission Factors'!$K$13</f>
        <v>1.1E-5</v>
      </c>
      <c r="L4" s="465">
        <f>'Emission Factors'!$K$14</f>
        <v>5.5000000000000002E-5</v>
      </c>
      <c r="M4" s="465">
        <f>'Emission Factors'!$K$15</f>
        <v>3.1E-7</v>
      </c>
      <c r="N4" s="465">
        <f>'Emission Factors'!$K$16</f>
        <v>0</v>
      </c>
      <c r="O4" s="465">
        <f>'Emission Factors'!$K$17</f>
        <v>4.7999999999999998E-6</v>
      </c>
      <c r="P4" s="465">
        <f>'Emission Factors'!$K$18</f>
        <v>0</v>
      </c>
      <c r="Q4" s="465">
        <f>'Emission Factors'!$K$19</f>
        <v>0</v>
      </c>
      <c r="R4" s="465">
        <f>'Emission Factors'!$K$20</f>
        <v>0</v>
      </c>
      <c r="S4" s="465">
        <f>'Emission Factors'!$K$21</f>
        <v>1.1E-5</v>
      </c>
      <c r="T4" s="465">
        <f>'Emission Factors'!$K$22</f>
        <v>0</v>
      </c>
      <c r="U4" s="465">
        <f>'Emission Factors'!$K$23</f>
        <v>0</v>
      </c>
      <c r="V4" s="465">
        <f>'Emission Factors'!$K$24</f>
        <v>0</v>
      </c>
      <c r="W4" s="465">
        <f>'Emission Factors'!$K$25</f>
        <v>0</v>
      </c>
      <c r="X4" s="465">
        <f>'Emission Factors'!$K$26</f>
        <v>0</v>
      </c>
      <c r="Y4" s="465">
        <f>'Emission Factors'!$K$27</f>
        <v>2.7999999999999998E-4</v>
      </c>
      <c r="Z4" s="465">
        <f>'Emission Factors'!$K$28</f>
        <v>0</v>
      </c>
      <c r="AA4" s="465">
        <f>'Emission Factors'!$K$29</f>
        <v>1.4E-5</v>
      </c>
      <c r="AB4" s="465">
        <f>'Emission Factors'!$K$30</f>
        <v>7.9000000000000001E-4</v>
      </c>
      <c r="AC4" s="465">
        <f>'Emission Factors'!$K$31</f>
        <v>1.1999999999999999E-6</v>
      </c>
      <c r="AD4" s="465">
        <f>'Emission Factors'!$K$32</f>
        <v>0</v>
      </c>
      <c r="AE4" s="465">
        <f>'Emission Factors'!$K$33</f>
        <v>0</v>
      </c>
      <c r="AF4" s="465">
        <f>'Emission Factors'!$K$34</f>
        <v>0</v>
      </c>
      <c r="AG4" s="465">
        <f>'Emission Factors'!$K$35</f>
        <v>4.6E-6</v>
      </c>
      <c r="AH4" s="465">
        <f>'Emission Factors'!$K$36</f>
        <v>4.0000000000000003E-5</v>
      </c>
      <c r="AI4" s="465">
        <f>'Emission Factors'!$K$37</f>
        <v>0</v>
      </c>
      <c r="AJ4" s="465">
        <f>'Emission Factors'!$K$38</f>
        <v>0</v>
      </c>
      <c r="AK4" s="465">
        <f>'Emission Factors'!$K$39</f>
        <v>3.4999999999999997E-5</v>
      </c>
      <c r="AL4" s="465">
        <f>'Emission Factors'!$K$40</f>
        <v>0</v>
      </c>
      <c r="AM4" s="465">
        <f>'Emission Factors'!$K$41</f>
        <v>0</v>
      </c>
      <c r="AN4" s="465">
        <f>'Emission Factors'!$K$42</f>
        <v>0</v>
      </c>
      <c r="AO4" s="465">
        <f>'Emission Factors'!$K$43</f>
        <v>0</v>
      </c>
      <c r="AP4" s="465">
        <f>'Emission Factors'!$K$44</f>
        <v>0</v>
      </c>
      <c r="AQ4" s="465">
        <f>'Emission Factors'!$K$45</f>
        <v>0</v>
      </c>
      <c r="AR4" s="465">
        <f>'Emission Factors'!$K$46</f>
        <v>0</v>
      </c>
      <c r="AS4" s="465">
        <f>'Emission Factors'!$K$47</f>
        <v>0</v>
      </c>
      <c r="AT4" s="465">
        <f>'Emission Factors'!$K$48</f>
        <v>0</v>
      </c>
      <c r="AU4" s="465">
        <f>'Emission Factors'!$K$49</f>
        <v>0</v>
      </c>
      <c r="AV4" s="465">
        <f>'Emission Factors'!$K$50</f>
        <v>0</v>
      </c>
      <c r="AW4" s="465">
        <f>'Emission Factors'!$K$51</f>
        <v>0</v>
      </c>
      <c r="AX4" s="465">
        <f>'Emission Factors'!$K$52</f>
        <v>0</v>
      </c>
      <c r="AY4" s="465">
        <f>'Emission Factors'!$K$53</f>
        <v>0</v>
      </c>
      <c r="AZ4" s="465">
        <f>'Emission Factors'!$K$54</f>
        <v>0</v>
      </c>
      <c r="BA4" s="465">
        <f>'Emission Factors'!$K$55</f>
        <v>0</v>
      </c>
      <c r="BB4" s="465">
        <f>'Emission Factors'!$K$56</f>
        <v>3.4999999999999997E-5</v>
      </c>
      <c r="BC4" s="465">
        <f>'Emission Factors'!$K$57</f>
        <v>0</v>
      </c>
      <c r="BD4" s="465">
        <f>'Emission Factors'!$K$58</f>
        <v>0</v>
      </c>
      <c r="BE4" s="465">
        <f>'Emission Factors'!$K$59</f>
        <v>0</v>
      </c>
      <c r="BF4" s="465">
        <f>'Emission Factors'!$K$60</f>
        <v>0</v>
      </c>
      <c r="BG4" s="465">
        <f>'Emission Factors'!$K$61</f>
        <v>2.5000000000000001E-5</v>
      </c>
      <c r="BH4" s="465">
        <f>'Emission Factors'!$K$62</f>
        <v>0</v>
      </c>
      <c r="BI4" s="465">
        <f>'Emission Factors'!$K$63</f>
        <v>0</v>
      </c>
      <c r="BJ4" s="465">
        <f>'Emission Factors'!$K$64</f>
        <v>0</v>
      </c>
      <c r="BK4" s="465">
        <f>'Emission Factors'!$K$65</f>
        <v>0</v>
      </c>
      <c r="BL4" s="465">
        <f>'Emission Factors'!$K$66</f>
        <v>0</v>
      </c>
      <c r="BM4" s="465">
        <f>'Emission Factors'!$K$67</f>
        <v>0</v>
      </c>
      <c r="BN4" s="465">
        <f>'Emission Factors'!$K$68</f>
        <v>0</v>
      </c>
      <c r="BO4" s="465">
        <f>'Emission Factors'!$K$69</f>
        <v>0</v>
      </c>
    </row>
    <row r="5" spans="1:67" ht="15">
      <c r="A5" s="487" t="s">
        <v>888</v>
      </c>
      <c r="B5" s="465">
        <f>'Emission Factors'!$H$4</f>
        <v>0</v>
      </c>
      <c r="C5" s="465">
        <f>'Emission Factors'!$H$5</f>
        <v>0</v>
      </c>
      <c r="D5" s="465">
        <f>'Emission Factors'!$H$6</f>
        <v>1.6500000000000001E-5</v>
      </c>
      <c r="E5" s="465">
        <f>'Emission Factors'!$H$7</f>
        <v>0</v>
      </c>
      <c r="F5" s="465">
        <f>'Emission Factors'!$H$8</f>
        <v>2.97E-5</v>
      </c>
      <c r="G5" s="465">
        <f>'Emission Factors'!$H$9</f>
        <v>0</v>
      </c>
      <c r="H5" s="465">
        <f>'Emission Factors'!$H$10</f>
        <v>3.0300000000000001E-5</v>
      </c>
      <c r="I5" s="465">
        <f>'Emission Factors'!$H$11</f>
        <v>0</v>
      </c>
      <c r="J5" s="465">
        <f>'Emission Factors'!$H$12</f>
        <v>0</v>
      </c>
      <c r="K5" s="465">
        <f>'Emission Factors'!$H$13</f>
        <v>1.1E-5</v>
      </c>
      <c r="L5" s="465">
        <f>'Emission Factors'!$H$14</f>
        <v>5.4799999999999997E-5</v>
      </c>
      <c r="M5" s="465">
        <f>'Emission Factors'!$H$15</f>
        <v>3.0699999999999998E-7</v>
      </c>
      <c r="N5" s="465">
        <f>'Emission Factors'!$H$16</f>
        <v>0</v>
      </c>
      <c r="O5" s="465">
        <f>'Emission Factors'!$H$17</f>
        <v>3.7500000000000001E-6</v>
      </c>
      <c r="P5" s="465">
        <f>'Emission Factors'!$H$18</f>
        <v>3.0599999999999998E-5</v>
      </c>
      <c r="Q5" s="465">
        <f>'Emission Factors'!$H$19</f>
        <v>2.4899999999999999E-5</v>
      </c>
      <c r="R5" s="465">
        <f>'Emission Factors'!$H$20</f>
        <v>2.55E-5</v>
      </c>
      <c r="S5" s="465">
        <f>'Emission Factors'!$H$21</f>
        <v>8.4300000000000006E-6</v>
      </c>
      <c r="T5" s="465">
        <f>'Emission Factors'!$H$22</f>
        <v>0</v>
      </c>
      <c r="U5" s="465">
        <f>'Emission Factors'!$H$23</f>
        <v>0</v>
      </c>
      <c r="V5" s="465">
        <f>'Emission Factors'!$H$24</f>
        <v>0</v>
      </c>
      <c r="W5" s="465">
        <f>'Emission Factors'!$H$25</f>
        <v>0</v>
      </c>
      <c r="X5" s="465">
        <f>'Emission Factors'!$H$26</f>
        <v>2.02E-5</v>
      </c>
      <c r="Y5" s="465">
        <f>'Emission Factors'!$H$27</f>
        <v>2.4499999999999999E-4</v>
      </c>
      <c r="Z5" s="465">
        <f>'Emission Factors'!$H$28</f>
        <v>0</v>
      </c>
      <c r="AA5" s="465">
        <f>'Emission Factors'!$H$29</f>
        <v>1.34E-5</v>
      </c>
      <c r="AB5" s="465">
        <f>'Emission Factors'!$H$30</f>
        <v>7.8899999999999999E-4</v>
      </c>
      <c r="AC5" s="465">
        <f>'Emission Factors'!$H$31</f>
        <v>1.1999999999999999E-6</v>
      </c>
      <c r="AD5" s="465">
        <f>'Emission Factors'!$H$32</f>
        <v>0</v>
      </c>
      <c r="AE5" s="465">
        <f>'Emission Factors'!$H$33</f>
        <v>2.1299999999999999E-5</v>
      </c>
      <c r="AF5" s="465">
        <f>'Emission Factors'!$H$34</f>
        <v>0</v>
      </c>
      <c r="AG5" s="465">
        <f>'Emission Factors'!$H$35</f>
        <v>1.6200000000000001E-5</v>
      </c>
      <c r="AH5" s="465">
        <f>'Emission Factors'!$H$36</f>
        <v>4.0299999999999997E-5</v>
      </c>
      <c r="AI5" s="465">
        <f>'Emission Factors'!$H$37</f>
        <v>0</v>
      </c>
      <c r="AJ5" s="465">
        <f>'Emission Factors'!$H$38</f>
        <v>0</v>
      </c>
      <c r="AK5" s="465">
        <f>'Emission Factors'!$H$39</f>
        <v>3.5200000000000002E-5</v>
      </c>
      <c r="AL5" s="465">
        <f>'Emission Factors'!$H$40</f>
        <v>0</v>
      </c>
      <c r="AM5" s="465">
        <f>'Emission Factors'!$H$41</f>
        <v>0</v>
      </c>
      <c r="AN5" s="465">
        <f>'Emission Factors'!$H$42</f>
        <v>0</v>
      </c>
      <c r="AO5" s="465">
        <f>'Emission Factors'!$H$43</f>
        <v>0</v>
      </c>
      <c r="AP5" s="465">
        <f>'Emission Factors'!$H$44</f>
        <v>0</v>
      </c>
      <c r="AQ5" s="465">
        <f>'Emission Factors'!$H$45</f>
        <v>0</v>
      </c>
      <c r="AR5" s="465">
        <f>'Emission Factors'!$H$46</f>
        <v>0</v>
      </c>
      <c r="AS5" s="465">
        <f>'Emission Factors'!$H$47</f>
        <v>0</v>
      </c>
      <c r="AT5" s="465">
        <f>'Emission Factors'!$H$48</f>
        <v>0</v>
      </c>
      <c r="AU5" s="465">
        <f>'Emission Factors'!$H$49</f>
        <v>0</v>
      </c>
      <c r="AV5" s="465">
        <f>'Emission Factors'!$H$50</f>
        <v>0</v>
      </c>
      <c r="AW5" s="465">
        <f>'Emission Factors'!$H$51</f>
        <v>0</v>
      </c>
      <c r="AX5" s="465">
        <f>'Emission Factors'!$H$52</f>
        <v>0</v>
      </c>
      <c r="AY5" s="465">
        <f>'Emission Factors'!$H$53</f>
        <v>0</v>
      </c>
      <c r="AZ5" s="465">
        <f>'Emission Factors'!$H$54</f>
        <v>0</v>
      </c>
      <c r="BA5" s="465">
        <f>'Emission Factors'!$H$55</f>
        <v>0</v>
      </c>
      <c r="BB5" s="465">
        <f>'Emission Factors'!$H$56</f>
        <v>3.5200000000000002E-5</v>
      </c>
      <c r="BC5" s="465">
        <f>'Emission Factors'!$H$57</f>
        <v>0</v>
      </c>
      <c r="BD5" s="465">
        <f>'Emission Factors'!$H$58</f>
        <v>0</v>
      </c>
      <c r="BE5" s="465">
        <f>'Emission Factors'!$H$59</f>
        <v>0</v>
      </c>
      <c r="BF5" s="465">
        <f>'Emission Factors'!$H$60</f>
        <v>0</v>
      </c>
      <c r="BG5" s="465">
        <f>'Emission Factors'!$H$61</f>
        <v>2.8799999999999999E-5</v>
      </c>
      <c r="BH5" s="465">
        <f>'Emission Factors'!$H$62</f>
        <v>0</v>
      </c>
      <c r="BI5" s="465">
        <f>'Emission Factors'!$H$63</f>
        <v>3.2400000000000001E-5</v>
      </c>
      <c r="BJ5" s="465">
        <f>'Emission Factors'!$H$64</f>
        <v>0</v>
      </c>
      <c r="BK5" s="465">
        <f>'Emission Factors'!$H$65</f>
        <v>2.7500000000000001E-5</v>
      </c>
      <c r="BL5" s="465">
        <f>'Emission Factors'!$H$66</f>
        <v>5.27E-5</v>
      </c>
      <c r="BM5" s="465">
        <f>'Emission Factors'!$H$67</f>
        <v>2.02E-5</v>
      </c>
      <c r="BN5" s="465">
        <f>'Emission Factors'!$H$68</f>
        <v>0</v>
      </c>
      <c r="BO5" s="465">
        <f>'Emission Factors'!$H$69</f>
        <v>0</v>
      </c>
    </row>
    <row r="6" spans="1:67" ht="15">
      <c r="A6" s="487" t="s">
        <v>889</v>
      </c>
      <c r="B6" s="465">
        <f>'Emission Factors'!$N$4</f>
        <v>0</v>
      </c>
      <c r="C6" s="465">
        <f>'Emission Factors'!$N$5</f>
        <v>0</v>
      </c>
      <c r="D6" s="465">
        <f>'Emission Factors'!$N$6</f>
        <v>0</v>
      </c>
      <c r="E6" s="465">
        <f>'Emission Factors'!$N$7</f>
        <v>0</v>
      </c>
      <c r="F6" s="465">
        <f>'Emission Factors'!$N$8</f>
        <v>0</v>
      </c>
      <c r="G6" s="465">
        <f>'Emission Factors'!$N$9</f>
        <v>0</v>
      </c>
      <c r="H6" s="465">
        <f>'Emission Factors'!$N$10</f>
        <v>0</v>
      </c>
      <c r="I6" s="465">
        <f>'Emission Factors'!$N$11</f>
        <v>0</v>
      </c>
      <c r="J6" s="465">
        <f>'Emission Factors'!$N$12</f>
        <v>0</v>
      </c>
      <c r="K6" s="465">
        <f>'Emission Factors'!$N$13</f>
        <v>0</v>
      </c>
      <c r="L6" s="465">
        <f>'Emission Factors'!$N$14</f>
        <v>2.0588000000000001E-6</v>
      </c>
      <c r="M6" s="465">
        <f>'Emission Factors'!$N$15</f>
        <v>0</v>
      </c>
      <c r="N6" s="465">
        <f>'Emission Factors'!$N$16</f>
        <v>0</v>
      </c>
      <c r="O6" s="465">
        <f>'Emission Factors'!$N$17</f>
        <v>0</v>
      </c>
      <c r="P6" s="465">
        <f>'Emission Factors'!$N$18</f>
        <v>0</v>
      </c>
      <c r="Q6" s="465">
        <f>'Emission Factors'!$N$19</f>
        <v>0</v>
      </c>
      <c r="R6" s="465">
        <f>'Emission Factors'!$N$20</f>
        <v>0</v>
      </c>
      <c r="S6" s="465">
        <f>'Emission Factors'!$N$21</f>
        <v>0</v>
      </c>
      <c r="T6" s="465">
        <f>'Emission Factors'!$N$22</f>
        <v>0</v>
      </c>
      <c r="U6" s="465">
        <f>'Emission Factors'!$N$23</f>
        <v>0</v>
      </c>
      <c r="V6" s="465">
        <f>'Emission Factors'!$N$24</f>
        <v>0</v>
      </c>
      <c r="W6" s="465">
        <f>'Emission Factors'!$N$25</f>
        <v>0</v>
      </c>
      <c r="X6" s="465">
        <f>'Emission Factors'!$N$26</f>
        <v>0</v>
      </c>
      <c r="Y6" s="465">
        <f>'Emission Factors'!$N$27</f>
        <v>7.3529399999999994E-5</v>
      </c>
      <c r="Z6" s="465">
        <f>'Emission Factors'!$N$28</f>
        <v>0</v>
      </c>
      <c r="AA6" s="465">
        <f>'Emission Factors'!$N$29</f>
        <v>4.9019999999999998E-7</v>
      </c>
      <c r="AB6" s="465">
        <f>'Emission Factors'!$N$30</f>
        <v>0</v>
      </c>
      <c r="AC6" s="465">
        <f>'Emission Factors'!$N$31</f>
        <v>0</v>
      </c>
      <c r="AD6" s="465">
        <f>'Emission Factors'!$N$32</f>
        <v>0</v>
      </c>
      <c r="AE6" s="465">
        <f>'Emission Factors'!$N$33</f>
        <v>0</v>
      </c>
      <c r="AF6" s="465">
        <f>'Emission Factors'!$N$34</f>
        <v>1.7647059E-3</v>
      </c>
      <c r="AG6" s="465">
        <f>'Emission Factors'!$N$35</f>
        <v>0</v>
      </c>
      <c r="AH6" s="465">
        <f>'Emission Factors'!$N$36</f>
        <v>0</v>
      </c>
      <c r="AI6" s="465">
        <f>'Emission Factors'!$N$37</f>
        <v>0</v>
      </c>
      <c r="AJ6" s="465">
        <f>'Emission Factors'!$N$38</f>
        <v>0</v>
      </c>
      <c r="AK6" s="465">
        <f>'Emission Factors'!$N$39</f>
        <v>6.848000000000001E-7</v>
      </c>
      <c r="AL6" s="465">
        <f>'Emission Factors'!$N$40</f>
        <v>2.3499999999999999E-8</v>
      </c>
      <c r="AM6" s="465">
        <f>'Emission Factors'!$N$41</f>
        <v>1.8E-9</v>
      </c>
      <c r="AN6" s="465">
        <f>'Emission Factors'!$N$42</f>
        <v>1.5700000000000002E-8</v>
      </c>
      <c r="AO6" s="465">
        <f>'Emission Factors'!$N$43</f>
        <v>1.8E-9</v>
      </c>
      <c r="AP6" s="465">
        <f>'Emission Factors'!$N$44</f>
        <v>1.8E-9</v>
      </c>
      <c r="AQ6" s="465">
        <f>'Emission Factors'!$N$45</f>
        <v>2.4E-9</v>
      </c>
      <c r="AR6" s="465">
        <f>'Emission Factors'!$N$46</f>
        <v>1.8E-9</v>
      </c>
      <c r="AS6" s="465">
        <f>'Emission Factors'!$N$47</f>
        <v>1.2E-9</v>
      </c>
      <c r="AT6" s="465">
        <f>'Emission Factors'!$N$48</f>
        <v>1.8E-9</v>
      </c>
      <c r="AU6" s="465">
        <f>'Emission Factors'!$N$49</f>
        <v>1.2E-9</v>
      </c>
      <c r="AV6" s="465">
        <f>'Emission Factors'!$N$50</f>
        <v>1.8E-9</v>
      </c>
      <c r="AW6" s="465">
        <f>'Emission Factors'!$N$51</f>
        <v>1.8E-9</v>
      </c>
      <c r="AX6" s="465">
        <f>'Emission Factors'!$N$52</f>
        <v>1.2E-9</v>
      </c>
      <c r="AY6" s="465">
        <f>'Emission Factors'!$N$53</f>
        <v>2.8999999999999999E-9</v>
      </c>
      <c r="AZ6" s="465">
        <f>'Emission Factors'!$N$54</f>
        <v>2.7000000000000002E-9</v>
      </c>
      <c r="BA6" s="465">
        <f>'Emission Factors'!$N$55</f>
        <v>1.8E-9</v>
      </c>
      <c r="BB6" s="465">
        <f>'Emission Factors'!$N$56</f>
        <v>5.9800000000000003E-7</v>
      </c>
      <c r="BC6" s="465">
        <f>'Emission Factors'!$N$57</f>
        <v>1.6700000000000001E-8</v>
      </c>
      <c r="BD6" s="465">
        <f>'Emission Factors'!$N$58</f>
        <v>4.9E-9</v>
      </c>
      <c r="BE6" s="465">
        <f>'Emission Factors'!$N$59</f>
        <v>0</v>
      </c>
      <c r="BF6" s="465">
        <f>'Emission Factors'!$N$60</f>
        <v>0</v>
      </c>
      <c r="BG6" s="465">
        <f>'Emission Factors'!$N$61</f>
        <v>0</v>
      </c>
      <c r="BH6" s="465">
        <f>'Emission Factors'!$N$62</f>
        <v>0</v>
      </c>
      <c r="BI6" s="465">
        <f>'Emission Factors'!$N$63</f>
        <v>0</v>
      </c>
      <c r="BJ6" s="465">
        <f>'Emission Factors'!$N$64</f>
        <v>3.3332999999999999E-6</v>
      </c>
      <c r="BK6" s="465">
        <f>'Emission Factors'!$N$65</f>
        <v>0</v>
      </c>
      <c r="BL6" s="465">
        <f>'Emission Factors'!$N$66</f>
        <v>0</v>
      </c>
      <c r="BM6" s="465">
        <f>'Emission Factors'!$N$67</f>
        <v>0</v>
      </c>
      <c r="BN6" s="465">
        <f>'Emission Factors'!$N$68</f>
        <v>0</v>
      </c>
      <c r="BO6" s="465">
        <f>'Emission Factors'!$N$69</f>
        <v>0</v>
      </c>
    </row>
    <row r="7" spans="1:67" ht="15">
      <c r="A7" s="487" t="s">
        <v>890</v>
      </c>
      <c r="B7" s="465">
        <f>'Emission Factors'!$S$4</f>
        <v>0</v>
      </c>
      <c r="C7" s="465">
        <f>'Emission Factors'!$S$5</f>
        <v>0</v>
      </c>
      <c r="D7" s="465">
        <f>'Emission Factors'!$S$6</f>
        <v>0</v>
      </c>
      <c r="E7" s="465">
        <f>'Emission Factors'!$S$7</f>
        <v>0</v>
      </c>
      <c r="F7" s="465">
        <f>'Emission Factors'!$S$8</f>
        <v>0</v>
      </c>
      <c r="G7" s="465">
        <f>'Emission Factors'!$S$9</f>
        <v>0</v>
      </c>
      <c r="H7" s="465">
        <f>'Emission Factors'!$S$10</f>
        <v>0</v>
      </c>
      <c r="I7" s="465">
        <f>'Emission Factors'!$S$11</f>
        <v>0</v>
      </c>
      <c r="J7" s="465">
        <f>'Emission Factors'!$S$12</f>
        <v>0</v>
      </c>
      <c r="K7" s="465">
        <f>'Emission Factors'!$S$13</f>
        <v>4000000</v>
      </c>
      <c r="L7" s="465">
        <f>'Emission Factors'!$S$14</f>
        <v>0</v>
      </c>
      <c r="M7" s="465">
        <f>'Emission Factors'!$S$15</f>
        <v>3000000</v>
      </c>
      <c r="N7" s="465">
        <f>'Emission Factors'!$S$16</f>
        <v>0</v>
      </c>
      <c r="O7" s="465">
        <f>'Emission Factors'!$S$17</f>
        <v>3000000</v>
      </c>
      <c r="P7" s="465">
        <f>'Emission Factors'!$S$18</f>
        <v>0</v>
      </c>
      <c r="Q7" s="465">
        <f>'Emission Factors'!$S$19</f>
        <v>0</v>
      </c>
      <c r="R7" s="465">
        <f>'Emission Factors'!$S$20</f>
        <v>0</v>
      </c>
      <c r="S7" s="465">
        <f>'Emission Factors'!$S$21</f>
        <v>3000000</v>
      </c>
      <c r="T7" s="465">
        <f>'Emission Factors'!$S$22</f>
        <v>0</v>
      </c>
      <c r="U7" s="465">
        <f>'Emission Factors'!$S$23</f>
        <v>0</v>
      </c>
      <c r="V7" s="465">
        <f>'Emission Factors'!$S$24</f>
        <v>0</v>
      </c>
      <c r="W7" s="465">
        <f>'Emission Factors'!$S$25</f>
        <v>0</v>
      </c>
      <c r="X7" s="465">
        <f>'Emission Factors'!$S$26</f>
        <v>0</v>
      </c>
      <c r="Y7" s="465">
        <f>'Emission Factors'!$S$27</f>
        <v>453.36306205871421</v>
      </c>
      <c r="Z7" s="465">
        <f>'Emission Factors'!$S$28</f>
        <v>0</v>
      </c>
      <c r="AA7" s="465">
        <f>'Emission Factors'!$S$29</f>
        <v>9000000</v>
      </c>
      <c r="AB7" s="465">
        <f>'Emission Factors'!$S$30</f>
        <v>6000000</v>
      </c>
      <c r="AC7" s="465">
        <f>'Emission Factors'!$S$31</f>
        <v>3000000</v>
      </c>
      <c r="AD7" s="465">
        <f>'Emission Factors'!$S$32</f>
        <v>0</v>
      </c>
      <c r="AE7" s="465">
        <f>'Emission Factors'!$S$33</f>
        <v>0</v>
      </c>
      <c r="AF7" s="465">
        <f>'Emission Factors'!$S$34</f>
        <v>0</v>
      </c>
      <c r="AG7" s="465">
        <f>'Emission Factors'!$S$35</f>
        <v>3000000</v>
      </c>
      <c r="AH7" s="465">
        <f>'Emission Factors'!$S$36</f>
        <v>0</v>
      </c>
      <c r="AI7" s="465">
        <f>'Emission Factors'!$S$37</f>
        <v>0</v>
      </c>
      <c r="AJ7" s="465">
        <f>'Emission Factors'!$S$38</f>
        <v>0</v>
      </c>
      <c r="AK7" s="465">
        <f>'Emission Factors'!$S$39</f>
        <v>24.526198439241917</v>
      </c>
      <c r="AL7" s="465">
        <f>'Emission Factors'!$S$40</f>
        <v>0</v>
      </c>
      <c r="AM7" s="465">
        <f>'Emission Factors'!$S$41</f>
        <v>0</v>
      </c>
      <c r="AN7" s="465">
        <f>'Emission Factors'!$S$42</f>
        <v>0</v>
      </c>
      <c r="AO7" s="465">
        <f>'Emission Factors'!$S$43</f>
        <v>0</v>
      </c>
      <c r="AP7" s="465">
        <f>'Emission Factors'!$S$44</f>
        <v>0</v>
      </c>
      <c r="AQ7" s="465">
        <f>'Emission Factors'!$S$45</f>
        <v>0</v>
      </c>
      <c r="AR7" s="465">
        <f>'Emission Factors'!$S$46</f>
        <v>0</v>
      </c>
      <c r="AS7" s="465">
        <f>'Emission Factors'!$S$47</f>
        <v>0</v>
      </c>
      <c r="AT7" s="465">
        <f>'Emission Factors'!$S$48</f>
        <v>0</v>
      </c>
      <c r="AU7" s="465">
        <f>'Emission Factors'!$S$49</f>
        <v>0</v>
      </c>
      <c r="AV7" s="465">
        <f>'Emission Factors'!$S$50</f>
        <v>0</v>
      </c>
      <c r="AW7" s="465">
        <f>'Emission Factors'!$S$51</f>
        <v>0</v>
      </c>
      <c r="AX7" s="465">
        <f>'Emission Factors'!$S$52</f>
        <v>0</v>
      </c>
      <c r="AY7" s="465">
        <f>'Emission Factors'!$S$53</f>
        <v>0</v>
      </c>
      <c r="AZ7" s="465">
        <f>'Emission Factors'!$S$54</f>
        <v>0</v>
      </c>
      <c r="BA7" s="465">
        <f>'Emission Factors'!$S$55</f>
        <v>0</v>
      </c>
      <c r="BB7" s="465">
        <f>'Emission Factors'!$S$56</f>
        <v>0</v>
      </c>
      <c r="BC7" s="465">
        <f>'Emission Factors'!$S$57</f>
        <v>0</v>
      </c>
      <c r="BD7" s="465">
        <f>'Emission Factors'!$S$58</f>
        <v>0</v>
      </c>
      <c r="BE7" s="465">
        <f>'Emission Factors'!$S$59</f>
        <v>0</v>
      </c>
      <c r="BF7" s="465">
        <f>'Emission Factors'!$S$60</f>
        <v>0</v>
      </c>
      <c r="BG7" s="465">
        <f>'Emission Factors'!$S$61</f>
        <v>15000000</v>
      </c>
      <c r="BH7" s="465">
        <f>'Emission Factors'!$S$62</f>
        <v>0</v>
      </c>
      <c r="BI7" s="465">
        <f>'Emission Factors'!$S$63</f>
        <v>0</v>
      </c>
      <c r="BJ7" s="465">
        <f>'Emission Factors'!$S$64</f>
        <v>0</v>
      </c>
      <c r="BK7" s="465">
        <f>'Emission Factors'!$S$65</f>
        <v>0</v>
      </c>
      <c r="BL7" s="465">
        <f>'Emission Factors'!$S$66</f>
        <v>0</v>
      </c>
      <c r="BM7" s="465">
        <f>'Emission Factors'!$S$67</f>
        <v>0</v>
      </c>
      <c r="BN7" s="465">
        <f>'Emission Factors'!$S$68</f>
        <v>0</v>
      </c>
      <c r="BO7" s="465">
        <f>'Emission Factors'!$S$69</f>
        <v>0</v>
      </c>
    </row>
    <row r="8" spans="1:67" ht="15">
      <c r="A8" s="487" t="s">
        <v>891</v>
      </c>
      <c r="B8" s="465">
        <f>'Emission Factors'!$V$4</f>
        <v>6.6299999999999999E-5</v>
      </c>
      <c r="C8" s="465">
        <f>'Emission Factors'!$V$5</f>
        <v>5.27E-5</v>
      </c>
      <c r="D8" s="465">
        <f>'Emission Factors'!$V$6</f>
        <v>8.1999999999999998E-4</v>
      </c>
      <c r="E8" s="465">
        <f>'Emission Factors'!$V$7</f>
        <v>4.3800000000000001E-5</v>
      </c>
      <c r="F8" s="465">
        <f>'Emission Factors'!$V$8</f>
        <v>0</v>
      </c>
      <c r="G8" s="465">
        <f>'Emission Factors'!$V$9</f>
        <v>8.4599999999999996E-4</v>
      </c>
      <c r="H8" s="465">
        <f>'Emission Factors'!$V$10</f>
        <v>7.7600000000000004E-3</v>
      </c>
      <c r="I8" s="465">
        <f>'Emission Factors'!$V$11</f>
        <v>7.7799999999999996E-3</v>
      </c>
      <c r="J8" s="465">
        <f>'Emission Factors'!$V$12</f>
        <v>0</v>
      </c>
      <c r="K8" s="465">
        <f>'Emission Factors'!$V$13</f>
        <v>0</v>
      </c>
      <c r="L8" s="465">
        <f>'Emission Factors'!$V$14</f>
        <v>1.9400000000000001E-3</v>
      </c>
      <c r="M8" s="465">
        <f>'Emission Factors'!$V$15</f>
        <v>0</v>
      </c>
      <c r="N8" s="465">
        <f>'Emission Factors'!$V$16</f>
        <v>3.9500000000000003E-6</v>
      </c>
      <c r="O8" s="465">
        <f>'Emission Factors'!$V$17</f>
        <v>0</v>
      </c>
      <c r="P8" s="465">
        <f>'Emission Factors'!$V$18</f>
        <v>6.0699999999999998E-5</v>
      </c>
      <c r="Q8" s="465">
        <f>'Emission Factors'!$V$19</f>
        <v>4.4400000000000002E-5</v>
      </c>
      <c r="R8" s="465">
        <f>'Emission Factors'!$V$20</f>
        <v>4.71E-5</v>
      </c>
      <c r="S8" s="465">
        <f>'Emission Factors'!$V$21</f>
        <v>0</v>
      </c>
      <c r="T8" s="465">
        <f>'Emission Factors'!$V$22</f>
        <v>0</v>
      </c>
      <c r="U8" s="465">
        <f>'Emission Factors'!$V$23</f>
        <v>0</v>
      </c>
      <c r="V8" s="465">
        <f>'Emission Factors'!$V$24</f>
        <v>1.08E-4</v>
      </c>
      <c r="W8" s="465">
        <f>'Emission Factors'!$V$25</f>
        <v>7.3399999999999995E-5</v>
      </c>
      <c r="X8" s="465">
        <f>'Emission Factors'!$V$26</f>
        <v>0</v>
      </c>
      <c r="Y8" s="465">
        <f>'Emission Factors'!$V$27</f>
        <v>5.5199999999999999E-2</v>
      </c>
      <c r="Z8" s="465">
        <f>'Emission Factors'!$V$28</f>
        <v>0</v>
      </c>
      <c r="AA8" s="465">
        <f>'Emission Factors'!$V$29</f>
        <v>0</v>
      </c>
      <c r="AB8" s="465">
        <f>'Emission Factors'!$V$30</f>
        <v>0</v>
      </c>
      <c r="AC8" s="465">
        <f>'Emission Factors'!$V$31</f>
        <v>0</v>
      </c>
      <c r="AD8" s="465">
        <f>'Emission Factors'!$V$32</f>
        <v>2.48E-3</v>
      </c>
      <c r="AE8" s="465">
        <f>'Emission Factors'!$V$33</f>
        <v>1.47E-4</v>
      </c>
      <c r="AF8" s="465">
        <f>'Emission Factors'!$V$34</f>
        <v>4.4499999999999997E-4</v>
      </c>
      <c r="AG8" s="465">
        <f>'Emission Factors'!$V$35</f>
        <v>0</v>
      </c>
      <c r="AH8" s="465">
        <f>'Emission Factors'!$V$36</f>
        <v>1.34E-4</v>
      </c>
      <c r="AI8" s="465">
        <f>'Emission Factors'!$V$37</f>
        <v>4.21E-5</v>
      </c>
      <c r="AJ8" s="465">
        <f>'Emission Factors'!$V$38</f>
        <v>0</v>
      </c>
      <c r="AK8" s="465">
        <f>'Emission Factors'!$V$39</f>
        <v>1.3014417999999999E-4</v>
      </c>
      <c r="AL8" s="465">
        <f>'Emission Factors'!$V$40</f>
        <v>2.1399999999999998E-5</v>
      </c>
      <c r="AM8" s="465">
        <f>'Emission Factors'!$V$41</f>
        <v>0</v>
      </c>
      <c r="AN8" s="465">
        <f>'Emission Factors'!$V$42</f>
        <v>0</v>
      </c>
      <c r="AO8" s="465">
        <f>'Emission Factors'!$V$43</f>
        <v>1.33E-6</v>
      </c>
      <c r="AP8" s="465">
        <f>'Emission Factors'!$V$44</f>
        <v>3.1700000000000001E-6</v>
      </c>
      <c r="AQ8" s="465">
        <f>'Emission Factors'!$V$45</f>
        <v>7.1800000000000005E-7</v>
      </c>
      <c r="AR8" s="465">
        <f>'Emission Factors'!$V$46</f>
        <v>3.3599999999999999E-7</v>
      </c>
      <c r="AS8" s="465">
        <f>'Emission Factors'!$V$47</f>
        <v>5.6800000000000002E-9</v>
      </c>
      <c r="AT8" s="465">
        <f>'Emission Factors'!$V$48</f>
        <v>8.5099999999999998E-9</v>
      </c>
      <c r="AU8" s="465">
        <f>'Emission Factors'!$V$49</f>
        <v>2.48E-8</v>
      </c>
      <c r="AV8" s="465">
        <f>'Emission Factors'!$V$50</f>
        <v>4.2599999999999998E-9</v>
      </c>
      <c r="AW8" s="465">
        <f>'Emission Factors'!$V$51</f>
        <v>6.7199999999999998E-7</v>
      </c>
      <c r="AX8" s="465">
        <f>'Emission Factors'!$V$52</f>
        <v>0</v>
      </c>
      <c r="AY8" s="465">
        <f>'Emission Factors'!$V$53</f>
        <v>3.6100000000000002E-7</v>
      </c>
      <c r="AZ8" s="465">
        <f>'Emission Factors'!$V$54</f>
        <v>1.6899999999999999E-6</v>
      </c>
      <c r="BA8" s="465">
        <f>'Emission Factors'!$V$55</f>
        <v>9.9300000000000002E-9</v>
      </c>
      <c r="BB8" s="465">
        <f>'Emission Factors'!$V$56</f>
        <v>9.6299999999999996E-5</v>
      </c>
      <c r="BC8" s="465">
        <f>'Emission Factors'!$V$57</f>
        <v>3.5300000000000001E-6</v>
      </c>
      <c r="BD8" s="465">
        <f>'Emission Factors'!$V$58</f>
        <v>5.8400000000000004E-7</v>
      </c>
      <c r="BE8" s="465">
        <f>'Emission Factors'!$V$59</f>
        <v>0</v>
      </c>
      <c r="BF8" s="465">
        <f>'Emission Factors'!$V$60</f>
        <v>0</v>
      </c>
      <c r="BG8" s="465">
        <f>'Emission Factors'!$V$61</f>
        <v>0</v>
      </c>
      <c r="BH8" s="465">
        <f>'Emission Factors'!$V$62</f>
        <v>5.4799999999999997E-5</v>
      </c>
      <c r="BI8" s="465">
        <f>'Emission Factors'!$V$63</f>
        <v>0</v>
      </c>
      <c r="BJ8" s="465">
        <f>'Emission Factors'!$V$64</f>
        <v>9.6299999999999999E-4</v>
      </c>
      <c r="BK8" s="465">
        <f>'Emission Factors'!$V$65</f>
        <v>0</v>
      </c>
      <c r="BL8" s="465">
        <f>'Emission Factors'!$V$66</f>
        <v>2.4700000000000001E-5</v>
      </c>
      <c r="BM8" s="465">
        <f>'Emission Factors'!$V$67</f>
        <v>0</v>
      </c>
      <c r="BN8" s="465">
        <f>'Emission Factors'!$V$68</f>
        <v>2.6800000000000001E-4</v>
      </c>
      <c r="BO8" s="465">
        <f>'Emission Factors'!$V$69</f>
        <v>0</v>
      </c>
    </row>
    <row r="9" spans="1:67" ht="15">
      <c r="A9" s="487" t="s">
        <v>892</v>
      </c>
      <c r="B9" s="465">
        <f>'Emission Factors'!$Y$4</f>
        <v>2.5299999999999998E-5</v>
      </c>
      <c r="C9" s="465">
        <f>'Emission Factors'!$Y$5</f>
        <v>1.5299999999999999E-5</v>
      </c>
      <c r="D9" s="465">
        <f>'Emission Factors'!$Y$6</f>
        <v>6.6299999999999996E-4</v>
      </c>
      <c r="E9" s="465">
        <f>'Emission Factors'!$Y$7</f>
        <v>1.27E-5</v>
      </c>
      <c r="F9" s="465">
        <f>'Emission Factors'!$Y$8</f>
        <v>0</v>
      </c>
      <c r="G9" s="465">
        <f>'Emission Factors'!$Y$9</f>
        <v>0</v>
      </c>
      <c r="H9" s="465">
        <f>'Emission Factors'!$Y$10</f>
        <v>2.7899999999999999E-3</v>
      </c>
      <c r="I9" s="465">
        <f>'Emission Factors'!$Y$11</f>
        <v>2.63E-3</v>
      </c>
      <c r="J9" s="465">
        <f>'Emission Factors'!$Y$12</f>
        <v>0</v>
      </c>
      <c r="K9" s="465">
        <f>'Emission Factors'!$Y$13</f>
        <v>0</v>
      </c>
      <c r="L9" s="465">
        <f>'Emission Factors'!$Y$14</f>
        <v>1.58E-3</v>
      </c>
      <c r="M9" s="465">
        <f>'Emission Factors'!$Y$15</f>
        <v>0</v>
      </c>
      <c r="N9" s="465">
        <f>'Emission Factors'!$Y$16</f>
        <v>0</v>
      </c>
      <c r="O9" s="465">
        <f>'Emission Factors'!$Y$17</f>
        <v>0</v>
      </c>
      <c r="P9" s="465">
        <f>'Emission Factors'!$Y$18</f>
        <v>1.77E-5</v>
      </c>
      <c r="Q9" s="465">
        <f>'Emission Factors'!$Y$19</f>
        <v>1.29E-5</v>
      </c>
      <c r="R9" s="465">
        <f>'Emission Factors'!$Y$20</f>
        <v>1.3699999999999999E-5</v>
      </c>
      <c r="S9" s="465">
        <f>'Emission Factors'!$Y$21</f>
        <v>0</v>
      </c>
      <c r="T9" s="465">
        <f>'Emission Factors'!$Y$22</f>
        <v>0</v>
      </c>
      <c r="U9" s="465">
        <f>'Emission Factors'!$Y$23</f>
        <v>0</v>
      </c>
      <c r="V9" s="465">
        <f>'Emission Factors'!$Y$24</f>
        <v>2.48E-5</v>
      </c>
      <c r="W9" s="465">
        <f>'Emission Factors'!$Y$25</f>
        <v>2.1299999999999999E-5</v>
      </c>
      <c r="X9" s="465">
        <f>'Emission Factors'!$Y$26</f>
        <v>0</v>
      </c>
      <c r="Y9" s="465">
        <f>'Emission Factors'!$Y$27</f>
        <v>2.0500000000000001E-2</v>
      </c>
      <c r="Z9" s="465">
        <f>'Emission Factors'!$Y$28</f>
        <v>0</v>
      </c>
      <c r="AA9" s="465">
        <f>'Emission Factors'!$Y$29</f>
        <v>0</v>
      </c>
      <c r="AB9" s="465">
        <f>'Emission Factors'!$Y$30</f>
        <v>0</v>
      </c>
      <c r="AC9" s="465">
        <f>'Emission Factors'!$Y$31</f>
        <v>0</v>
      </c>
      <c r="AD9" s="465">
        <f>'Emission Factors'!$Y$32</f>
        <v>3.0599999999999998E-3</v>
      </c>
      <c r="AE9" s="465">
        <f>'Emission Factors'!$Y$33</f>
        <v>4.1199999999999999E-5</v>
      </c>
      <c r="AF9" s="465">
        <f>'Emission Factors'!$Y$34</f>
        <v>0</v>
      </c>
      <c r="AG9" s="465">
        <f>'Emission Factors'!$Y$35</f>
        <v>0</v>
      </c>
      <c r="AH9" s="465">
        <f>'Emission Factors'!$Y$36</f>
        <v>1.4100000000000001E-4</v>
      </c>
      <c r="AI9" s="465">
        <f>'Emission Factors'!$Y$37</f>
        <v>0</v>
      </c>
      <c r="AJ9" s="465">
        <f>'Emission Factors'!$Y$38</f>
        <v>0</v>
      </c>
      <c r="AK9" s="465">
        <f>'Emission Factors'!$Y$39</f>
        <v>9.7100000000000002E-5</v>
      </c>
      <c r="AL9" s="465">
        <f>'Emission Factors'!$Y$40</f>
        <v>0</v>
      </c>
      <c r="AM9" s="465">
        <f>'Emission Factors'!$Y$41</f>
        <v>0</v>
      </c>
      <c r="AN9" s="465">
        <f>'Emission Factors'!$Y$42</f>
        <v>0</v>
      </c>
      <c r="AO9" s="465">
        <f>'Emission Factors'!$Y$43</f>
        <v>0</v>
      </c>
      <c r="AP9" s="465">
        <f>'Emission Factors'!$Y$44</f>
        <v>0</v>
      </c>
      <c r="AQ9" s="465">
        <f>'Emission Factors'!$Y$45</f>
        <v>0</v>
      </c>
      <c r="AR9" s="465">
        <f>'Emission Factors'!$Y$46</f>
        <v>0</v>
      </c>
      <c r="AS9" s="465">
        <f>'Emission Factors'!$Y$47</f>
        <v>0</v>
      </c>
      <c r="AT9" s="465">
        <f>'Emission Factors'!$Y$48</f>
        <v>0</v>
      </c>
      <c r="AU9" s="465">
        <f>'Emission Factors'!$Y$49</f>
        <v>0</v>
      </c>
      <c r="AV9" s="465">
        <f>'Emission Factors'!$Y$50</f>
        <v>0</v>
      </c>
      <c r="AW9" s="465">
        <f>'Emission Factors'!$Y$51</f>
        <v>0</v>
      </c>
      <c r="AX9" s="465">
        <f>'Emission Factors'!$Y$52</f>
        <v>0</v>
      </c>
      <c r="AY9" s="465">
        <f>'Emission Factors'!$Y$53</f>
        <v>0</v>
      </c>
      <c r="AZ9" s="465">
        <f>'Emission Factors'!$Y$54</f>
        <v>0</v>
      </c>
      <c r="BA9" s="465">
        <f>'Emission Factors'!$Y$55</f>
        <v>0</v>
      </c>
      <c r="BB9" s="465">
        <f>'Emission Factors'!$Y$56</f>
        <v>9.7100000000000002E-5</v>
      </c>
      <c r="BC9" s="465">
        <f>'Emission Factors'!$Y$57</f>
        <v>0</v>
      </c>
      <c r="BD9" s="465">
        <f>'Emission Factors'!$Y$58</f>
        <v>0</v>
      </c>
      <c r="BE9" s="465">
        <f>'Emission Factors'!$Y$59</f>
        <v>0</v>
      </c>
      <c r="BF9" s="465">
        <f>'Emission Factors'!$Y$60</f>
        <v>0</v>
      </c>
      <c r="BG9" s="465">
        <f>'Emission Factors'!$Y$61</f>
        <v>0</v>
      </c>
      <c r="BH9" s="465">
        <f>'Emission Factors'!$Y$62</f>
        <v>1.19E-5</v>
      </c>
      <c r="BI9" s="465">
        <f>'Emission Factors'!$Y$63</f>
        <v>0</v>
      </c>
      <c r="BJ9" s="465">
        <f>'Emission Factors'!$Y$64</f>
        <v>5.5800000000000001E-4</v>
      </c>
      <c r="BK9" s="465">
        <f>'Emission Factors'!$Y$65</f>
        <v>0</v>
      </c>
      <c r="BL9" s="465">
        <f>'Emission Factors'!$Y$66</f>
        <v>7.1799999999999999E-6</v>
      </c>
      <c r="BM9" s="465">
        <f>'Emission Factors'!$Y$67</f>
        <v>0</v>
      </c>
      <c r="BN9" s="465">
        <f>'Emission Factors'!$Y$68</f>
        <v>1.95E-4</v>
      </c>
      <c r="BO9" s="465">
        <f>'Emission Factors'!$Y$69</f>
        <v>0</v>
      </c>
    </row>
    <row r="10" spans="1:67" ht="15">
      <c r="A10" s="487" t="s">
        <v>893</v>
      </c>
      <c r="B10" s="465">
        <f>'Emission Factors'!$AB$4</f>
        <v>0</v>
      </c>
      <c r="C10" s="465">
        <f>'Emission Factors'!$AB$5</f>
        <v>0</v>
      </c>
      <c r="D10" s="465">
        <f>'Emission Factors'!$AB$6</f>
        <v>3.9100000000000002E-5</v>
      </c>
      <c r="E10" s="465">
        <f>'Emission Factors'!$AB$7</f>
        <v>0</v>
      </c>
      <c r="F10" s="465">
        <f>'Emission Factors'!$AB$8</f>
        <v>0</v>
      </c>
      <c r="G10" s="465">
        <f>'Emission Factors'!$AB$9</f>
        <v>0</v>
      </c>
      <c r="H10" s="465">
        <f>'Emission Factors'!$AB$10</f>
        <v>7.67E-4</v>
      </c>
      <c r="I10" s="465">
        <f>'Emission Factors'!$AB$11</f>
        <v>9.2499999999999999E-5</v>
      </c>
      <c r="J10" s="465">
        <f>'Emission Factors'!$AB$12</f>
        <v>0</v>
      </c>
      <c r="K10" s="465">
        <f>'Emission Factors'!$AB$13</f>
        <v>0</v>
      </c>
      <c r="L10" s="465">
        <f>'Emission Factors'!$AB$14</f>
        <v>9.3300000000000002E-4</v>
      </c>
      <c r="M10" s="465">
        <f>'Emission Factors'!$AB$15</f>
        <v>0</v>
      </c>
      <c r="N10" s="465">
        <f>'Emission Factors'!$AB$16</f>
        <v>0</v>
      </c>
      <c r="O10" s="465">
        <f>'Emission Factors'!$AB$17</f>
        <v>0</v>
      </c>
      <c r="P10" s="465">
        <f>'Emission Factors'!$AB$18</f>
        <v>0</v>
      </c>
      <c r="Q10" s="465">
        <f>'Emission Factors'!$AB$19</f>
        <v>0</v>
      </c>
      <c r="R10" s="465">
        <f>'Emission Factors'!$AB$20</f>
        <v>0</v>
      </c>
      <c r="S10" s="465">
        <f>'Emission Factors'!$AB$21</f>
        <v>0</v>
      </c>
      <c r="T10" s="465">
        <f>'Emission Factors'!$AB$22</f>
        <v>0</v>
      </c>
      <c r="U10" s="465">
        <f>'Emission Factors'!$AB$23</f>
        <v>0</v>
      </c>
      <c r="V10" s="465">
        <f>'Emission Factors'!$AB$24</f>
        <v>0</v>
      </c>
      <c r="W10" s="465">
        <f>'Emission Factors'!$AB$25</f>
        <v>0</v>
      </c>
      <c r="X10" s="465">
        <f>'Emission Factors'!$AB$26</f>
        <v>0</v>
      </c>
      <c r="Y10" s="465">
        <f>'Emission Factors'!$AB$27</f>
        <v>1.1800000000000001E-3</v>
      </c>
      <c r="Z10" s="465">
        <f>'Emission Factors'!$AB$28</f>
        <v>0</v>
      </c>
      <c r="AA10" s="465">
        <f>'Emission Factors'!$AB$29</f>
        <v>0</v>
      </c>
      <c r="AB10" s="465">
        <f>'Emission Factors'!$AB$30</f>
        <v>0</v>
      </c>
      <c r="AC10" s="465">
        <f>'Emission Factors'!$AB$31</f>
        <v>0</v>
      </c>
      <c r="AD10" s="465">
        <f>'Emission Factors'!$AB$32</f>
        <v>0</v>
      </c>
      <c r="AE10" s="465">
        <f>'Emission Factors'!$AB$33</f>
        <v>0</v>
      </c>
      <c r="AF10" s="465">
        <f>'Emission Factors'!$AB$34</f>
        <v>0</v>
      </c>
      <c r="AG10" s="465">
        <f>'Emission Factors'!$AB$35</f>
        <v>0</v>
      </c>
      <c r="AH10" s="465">
        <f>'Emission Factors'!$AB$36</f>
        <v>1.6799999999999999E-4</v>
      </c>
      <c r="AI10" s="465">
        <f>'Emission Factors'!$AB$37</f>
        <v>0</v>
      </c>
      <c r="AJ10" s="465">
        <f>'Emission Factors'!$AB$38</f>
        <v>0</v>
      </c>
      <c r="AK10" s="465">
        <f>'Emission Factors'!$AB$39</f>
        <v>1.682621E-4</v>
      </c>
      <c r="AL10" s="465">
        <f>'Emission Factors'!$AB$40</f>
        <v>0</v>
      </c>
      <c r="AM10" s="465">
        <f>'Emission Factors'!$AB$41</f>
        <v>0</v>
      </c>
      <c r="AN10" s="465">
        <f>'Emission Factors'!$AB$42</f>
        <v>0</v>
      </c>
      <c r="AO10" s="465">
        <f>'Emission Factors'!$AB$43</f>
        <v>1.42E-6</v>
      </c>
      <c r="AP10" s="465">
        <f>'Emission Factors'!$AB$44</f>
        <v>5.0599999999999998E-6</v>
      </c>
      <c r="AQ10" s="465">
        <f>'Emission Factors'!$AB$45</f>
        <v>1.8700000000000001E-6</v>
      </c>
      <c r="AR10" s="465">
        <f>'Emission Factors'!$AB$46</f>
        <v>1.68E-6</v>
      </c>
      <c r="AS10" s="465">
        <f>'Emission Factors'!$AB$47</f>
        <v>1.8799999999999999E-7</v>
      </c>
      <c r="AT10" s="465">
        <f>'Emission Factors'!$AB$48</f>
        <v>9.9099999999999994E-8</v>
      </c>
      <c r="AU10" s="465">
        <f>'Emission Factors'!$AB$49</f>
        <v>4.89E-7</v>
      </c>
      <c r="AV10" s="465">
        <f>'Emission Factors'!$AB$50</f>
        <v>1.55E-7</v>
      </c>
      <c r="AW10" s="465">
        <f>'Emission Factors'!$AB$51</f>
        <v>3.53E-7</v>
      </c>
      <c r="AX10" s="465">
        <f>'Emission Factors'!$AB$52</f>
        <v>5.8299999999999997E-7</v>
      </c>
      <c r="AY10" s="465">
        <f>'Emission Factors'!$AB$53</f>
        <v>7.61E-6</v>
      </c>
      <c r="AZ10" s="465">
        <f>'Emission Factors'!$AB$54</f>
        <v>2.94E-5</v>
      </c>
      <c r="BA10" s="465">
        <f>'Emission Factors'!$AB$55</f>
        <v>3.7500000000000001E-7</v>
      </c>
      <c r="BB10" s="465">
        <f>'Emission Factors'!$AB$56</f>
        <v>8.4800000000000001E-5</v>
      </c>
      <c r="BC10" s="465">
        <f>'Emission Factors'!$AB$57</f>
        <v>2.94E-5</v>
      </c>
      <c r="BD10" s="465">
        <f>'Emission Factors'!$AB$58</f>
        <v>4.78E-6</v>
      </c>
      <c r="BE10" s="465">
        <f>'Emission Factors'!$AB$59</f>
        <v>0</v>
      </c>
      <c r="BF10" s="465">
        <f>'Emission Factors'!$AB$60</f>
        <v>0</v>
      </c>
      <c r="BG10" s="465">
        <f>'Emission Factors'!$AB$61</f>
        <v>0</v>
      </c>
      <c r="BH10" s="465">
        <f>'Emission Factors'!$AB$62</f>
        <v>0</v>
      </c>
      <c r="BI10" s="465">
        <f>'Emission Factors'!$AB$63</f>
        <v>0</v>
      </c>
      <c r="BJ10" s="465">
        <f>'Emission Factors'!$AB$64</f>
        <v>4.0900000000000002E-4</v>
      </c>
      <c r="BK10" s="465">
        <f>'Emission Factors'!$AB$65</f>
        <v>0</v>
      </c>
      <c r="BL10" s="465">
        <f>'Emission Factors'!$AB$66</f>
        <v>0</v>
      </c>
      <c r="BM10" s="465">
        <f>'Emission Factors'!$AB$67</f>
        <v>0</v>
      </c>
      <c r="BN10" s="465">
        <f>'Emission Factors'!$AB$68</f>
        <v>2.8499999999999999E-4</v>
      </c>
      <c r="BO10" s="465">
        <f>'Emission Factors'!$AB$69</f>
        <v>0</v>
      </c>
    </row>
    <row r="11" spans="1:67" ht="15">
      <c r="A11" s="487" t="s">
        <v>894</v>
      </c>
      <c r="B11" s="465">
        <f>'Emission Factors'!$AE$4</f>
        <v>0</v>
      </c>
      <c r="C11" s="465">
        <f>'Emission Factors'!$AE$5</f>
        <v>0</v>
      </c>
      <c r="D11" s="465">
        <f>'Emission Factors'!$AE$6</f>
        <v>0</v>
      </c>
      <c r="E11" s="465">
        <f>'Emission Factors'!$AE$7</f>
        <v>0</v>
      </c>
      <c r="F11" s="465">
        <f>'Emission Factors'!$AE$8</f>
        <v>0</v>
      </c>
      <c r="G11" s="465">
        <f>'Emission Factors'!$AE$9</f>
        <v>0</v>
      </c>
      <c r="H11" s="465">
        <f>'Emission Factors'!$AE$10</f>
        <v>2.5199999999999999E-5</v>
      </c>
      <c r="I11" s="465">
        <f>'Emission Factors'!$AE$11</f>
        <v>7.8800000000000008E-6</v>
      </c>
      <c r="J11" s="465">
        <f>'Emission Factors'!$AE$12</f>
        <v>0</v>
      </c>
      <c r="K11" s="465">
        <f>'Emission Factors'!$AE$13</f>
        <v>0</v>
      </c>
      <c r="L11" s="465">
        <f>'Emission Factors'!$AE$14</f>
        <v>7.76E-4</v>
      </c>
      <c r="M11" s="465">
        <f>'Emission Factors'!$AE$15</f>
        <v>0</v>
      </c>
      <c r="N11" s="465">
        <f>'Emission Factors'!$AE$16</f>
        <v>0</v>
      </c>
      <c r="O11" s="465">
        <f>'Emission Factors'!$AE$17</f>
        <v>0</v>
      </c>
      <c r="P11" s="465">
        <f>'Emission Factors'!$AE$18</f>
        <v>0</v>
      </c>
      <c r="Q11" s="465">
        <f>'Emission Factors'!$AE$19</f>
        <v>0</v>
      </c>
      <c r="R11" s="465">
        <f>'Emission Factors'!$AE$20</f>
        <v>0</v>
      </c>
      <c r="S11" s="465">
        <f>'Emission Factors'!$AE$21</f>
        <v>0</v>
      </c>
      <c r="T11" s="465">
        <f>'Emission Factors'!$AE$22</f>
        <v>0</v>
      </c>
      <c r="U11" s="465">
        <f>'Emission Factors'!$AE$23</f>
        <v>0</v>
      </c>
      <c r="V11" s="465">
        <f>'Emission Factors'!$AE$24</f>
        <v>0</v>
      </c>
      <c r="W11" s="465">
        <f>'Emission Factors'!$AE$25</f>
        <v>0</v>
      </c>
      <c r="X11" s="465">
        <f>'Emission Factors'!$AE$26</f>
        <v>0</v>
      </c>
      <c r="Y11" s="465">
        <f>'Emission Factors'!$AE$27</f>
        <v>7.8899999999999993E-5</v>
      </c>
      <c r="Z11" s="465">
        <f>'Emission Factors'!$AE$28</f>
        <v>0</v>
      </c>
      <c r="AA11" s="465">
        <f>'Emission Factors'!$AE$29</f>
        <v>0</v>
      </c>
      <c r="AB11" s="465">
        <f>'Emission Factors'!$AE$30</f>
        <v>0</v>
      </c>
      <c r="AC11" s="465">
        <f>'Emission Factors'!$AE$31</f>
        <v>0</v>
      </c>
      <c r="AD11" s="465">
        <f>'Emission Factors'!$AE$32</f>
        <v>0</v>
      </c>
      <c r="AE11" s="465">
        <f>'Emission Factors'!$AE$33</f>
        <v>0</v>
      </c>
      <c r="AF11" s="465">
        <f>'Emission Factors'!$AE$34</f>
        <v>0</v>
      </c>
      <c r="AG11" s="465">
        <f>'Emission Factors'!$AE$35</f>
        <v>0</v>
      </c>
      <c r="AH11" s="465">
        <f>'Emission Factors'!$AE$36</f>
        <v>2.12E-4</v>
      </c>
      <c r="AI11" s="465">
        <f>'Emission Factors'!$AE$37</f>
        <v>0</v>
      </c>
      <c r="AJ11" s="465">
        <f>'Emission Factors'!$AE$38</f>
        <v>0</v>
      </c>
      <c r="AK11" s="465">
        <f>'Emission Factors'!$AE$39</f>
        <v>2.11533E-4</v>
      </c>
      <c r="AL11" s="465">
        <f>'Emission Factors'!$AE$40</f>
        <v>0</v>
      </c>
      <c r="AM11" s="465">
        <f>'Emission Factors'!$AE$41</f>
        <v>0</v>
      </c>
      <c r="AN11" s="465">
        <f>'Emission Factors'!$AE$42</f>
        <v>0</v>
      </c>
      <c r="AO11" s="465">
        <f>'Emission Factors'!$AE$43</f>
        <v>4.6800000000000001E-6</v>
      </c>
      <c r="AP11" s="465">
        <f>'Emission Factors'!$AE$44</f>
        <v>9.2299999999999997E-6</v>
      </c>
      <c r="AQ11" s="465">
        <f>'Emission Factors'!$AE$45</f>
        <v>1.2300000000000001E-6</v>
      </c>
      <c r="AR11" s="465">
        <f>'Emission Factors'!$AE$46</f>
        <v>6.2200000000000004E-7</v>
      </c>
      <c r="AS11" s="465">
        <f>'Emission Factors'!$AE$47</f>
        <v>2.5699999999999999E-7</v>
      </c>
      <c r="AT11" s="465">
        <f>'Emission Factors'!$AE$48</f>
        <v>1.11E-6</v>
      </c>
      <c r="AU11" s="465">
        <f>'Emission Factors'!$AE$49</f>
        <v>5.5599999999999995E-7</v>
      </c>
      <c r="AV11" s="465">
        <f>'Emission Factors'!$AE$50</f>
        <v>2.1799999999999999E-7</v>
      </c>
      <c r="AW11" s="465">
        <f>'Emission Factors'!$AE$51</f>
        <v>1.53E-6</v>
      </c>
      <c r="AX11" s="465">
        <f>'Emission Factors'!$AE$52</f>
        <v>3.46E-7</v>
      </c>
      <c r="AY11" s="465">
        <f>'Emission Factors'!$AE$53</f>
        <v>4.0300000000000004E-6</v>
      </c>
      <c r="AZ11" s="465">
        <f>'Emission Factors'!$AE$54</f>
        <v>1.2799999999999999E-5</v>
      </c>
      <c r="BA11" s="465">
        <f>'Emission Factors'!$AE$55</f>
        <v>4.1399999999999997E-7</v>
      </c>
      <c r="BB11" s="465">
        <f>'Emission Factors'!$AE$56</f>
        <v>1.2999999999999999E-4</v>
      </c>
      <c r="BC11" s="465">
        <f>'Emission Factors'!$AE$57</f>
        <v>4.0800000000000002E-5</v>
      </c>
      <c r="BD11" s="465">
        <f>'Emission Factors'!$AE$58</f>
        <v>3.7100000000000001E-6</v>
      </c>
      <c r="BE11" s="465">
        <f>'Emission Factors'!$AE$59</f>
        <v>0</v>
      </c>
      <c r="BF11" s="465">
        <f>'Emission Factors'!$AE$60</f>
        <v>0</v>
      </c>
      <c r="BG11" s="465">
        <f>'Emission Factors'!$AE$61</f>
        <v>0</v>
      </c>
      <c r="BH11" s="465">
        <f>'Emission Factors'!$AE$62</f>
        <v>0</v>
      </c>
      <c r="BI11" s="465">
        <f>'Emission Factors'!$AE$63</f>
        <v>0</v>
      </c>
      <c r="BJ11" s="465">
        <f>'Emission Factors'!$AE$64</f>
        <v>2.81E-4</v>
      </c>
      <c r="BK11" s="465">
        <f>'Emission Factors'!$AE$65</f>
        <v>0</v>
      </c>
      <c r="BL11" s="465">
        <f>'Emission Factors'!$AE$66</f>
        <v>0</v>
      </c>
      <c r="BM11" s="465">
        <f>'Emission Factors'!$AE$67</f>
        <v>0</v>
      </c>
      <c r="BN11" s="465">
        <f>'Emission Factors'!$AE$68</f>
        <v>1.93E-4</v>
      </c>
      <c r="BO11" s="465">
        <f>'Emission Factors'!$AE$69</f>
        <v>0</v>
      </c>
    </row>
    <row r="12" spans="1:67" ht="15">
      <c r="A12" s="487" t="s">
        <v>895</v>
      </c>
      <c r="B12" s="465">
        <f>'Emission Factors'!$AH$4</f>
        <v>0</v>
      </c>
      <c r="C12" s="465">
        <f>'Emission Factors'!$AH$5</f>
        <v>0</v>
      </c>
      <c r="D12" s="465">
        <f>'Emission Factors'!$AH$6</f>
        <v>0</v>
      </c>
      <c r="E12" s="465">
        <f>'Emission Factors'!$AH$7</f>
        <v>0</v>
      </c>
      <c r="F12" s="465">
        <f>'Emission Factors'!$AH$8</f>
        <v>0</v>
      </c>
      <c r="G12" s="465">
        <f>'Emission Factors'!$AH$9</f>
        <v>0</v>
      </c>
      <c r="H12" s="465">
        <f>'Emission Factors'!$AH$10</f>
        <v>4.2156862745098033E-5</v>
      </c>
      <c r="I12" s="465">
        <f>'Emission Factors'!$AH$11</f>
        <v>9.8039215686274513E-6</v>
      </c>
      <c r="J12" s="465">
        <f>'Emission Factors'!$AH$12</f>
        <v>0</v>
      </c>
      <c r="K12" s="465">
        <f>'Emission Factors'!$AH$13</f>
        <v>0</v>
      </c>
      <c r="L12" s="465">
        <f>'Emission Factors'!$AH$14</f>
        <v>1.5588235294117648E-4</v>
      </c>
      <c r="M12" s="465">
        <f>'Emission Factors'!$AH$15</f>
        <v>0</v>
      </c>
      <c r="N12" s="465">
        <f>'Emission Factors'!$AH$16</f>
        <v>0</v>
      </c>
      <c r="O12" s="465">
        <f>'Emission Factors'!$AH$17</f>
        <v>0</v>
      </c>
      <c r="P12" s="465">
        <f>'Emission Factors'!$AH$18</f>
        <v>0</v>
      </c>
      <c r="Q12" s="465">
        <f>'Emission Factors'!$AH$19</f>
        <v>0</v>
      </c>
      <c r="R12" s="465">
        <f>'Emission Factors'!$AH$20</f>
        <v>0</v>
      </c>
      <c r="S12" s="465">
        <f>'Emission Factors'!$AH$21</f>
        <v>0</v>
      </c>
      <c r="T12" s="465">
        <f>'Emission Factors'!$AH$22</f>
        <v>0</v>
      </c>
      <c r="U12" s="465">
        <f>'Emission Factors'!$AH$23</f>
        <v>0</v>
      </c>
      <c r="V12" s="465">
        <f>'Emission Factors'!$AH$24</f>
        <v>1.415686274509804E-3</v>
      </c>
      <c r="W12" s="465">
        <f>'Emission Factors'!$AH$25</f>
        <v>0</v>
      </c>
      <c r="X12" s="465">
        <f>'Emission Factors'!$AH$26</f>
        <v>0</v>
      </c>
      <c r="Y12" s="465">
        <f>'Emission Factors'!$AH$27</f>
        <v>1.146078431372549E-3</v>
      </c>
      <c r="Z12" s="465">
        <f>'Emission Factors'!$AH$28</f>
        <v>0</v>
      </c>
      <c r="AA12" s="465">
        <f>'Emission Factors'!$AH$29</f>
        <v>0</v>
      </c>
      <c r="AB12" s="465">
        <f>'Emission Factors'!$AH$30</f>
        <v>0</v>
      </c>
      <c r="AC12" s="465">
        <f>'Emission Factors'!$AH$31</f>
        <v>0</v>
      </c>
      <c r="AD12" s="465">
        <f>'Emission Factors'!$AH$32</f>
        <v>0</v>
      </c>
      <c r="AE12" s="465">
        <f>'Emission Factors'!$AH$33</f>
        <v>0</v>
      </c>
      <c r="AF12" s="465">
        <f>'Emission Factors'!$AH$34</f>
        <v>2.8431372549019608E-5</v>
      </c>
      <c r="AG12" s="465">
        <f>'Emission Factors'!$AH$35</f>
        <v>0</v>
      </c>
      <c r="AH12" s="465">
        <f>'Emission Factors'!$AH$36</f>
        <v>1.3725490196078432E-5</v>
      </c>
      <c r="AI12" s="465">
        <f>'Emission Factors'!$AH$37</f>
        <v>0</v>
      </c>
      <c r="AJ12" s="465">
        <f>'Emission Factors'!$AH$38</f>
        <v>0</v>
      </c>
      <c r="AK12" s="465">
        <f>'Emission Factors'!$AH$39</f>
        <v>1.0572856593617839E-8</v>
      </c>
      <c r="AL12" s="465">
        <f>'Emission Factors'!$AH$40</f>
        <v>0</v>
      </c>
      <c r="AM12" s="465">
        <f>'Emission Factors'!$AH$41</f>
        <v>0</v>
      </c>
      <c r="AN12" s="465">
        <f>'Emission Factors'!$AH$42</f>
        <v>0</v>
      </c>
      <c r="AO12" s="465">
        <f>'Emission Factors'!$AH$43</f>
        <v>0</v>
      </c>
      <c r="AP12" s="465">
        <f>'Emission Factors'!$AH$44</f>
        <v>0</v>
      </c>
      <c r="AQ12" s="465">
        <f>'Emission Factors'!$AH$45</f>
        <v>0</v>
      </c>
      <c r="AR12" s="465">
        <f>'Emission Factors'!$AH$46</f>
        <v>0</v>
      </c>
      <c r="AS12" s="465">
        <f>'Emission Factors'!$AH$47</f>
        <v>0</v>
      </c>
      <c r="AT12" s="465">
        <f>'Emission Factors'!$AH$48</f>
        <v>0</v>
      </c>
      <c r="AU12" s="465">
        <f>'Emission Factors'!$AH$49</f>
        <v>0</v>
      </c>
      <c r="AV12" s="465">
        <f>'Emission Factors'!$AH$50</f>
        <v>0</v>
      </c>
      <c r="AW12" s="465">
        <f>'Emission Factors'!$AH$51</f>
        <v>0</v>
      </c>
      <c r="AX12" s="465">
        <f>'Emission Factors'!$AH$52</f>
        <v>0</v>
      </c>
      <c r="AY12" s="465">
        <f>'Emission Factors'!$AH$53</f>
        <v>0</v>
      </c>
      <c r="AZ12" s="465">
        <f>'Emission Factors'!$AH$54</f>
        <v>0</v>
      </c>
      <c r="BA12" s="465">
        <f>'Emission Factors'!$AH$55</f>
        <v>0</v>
      </c>
      <c r="BB12" s="465">
        <f>'Emission Factors'!$AH$56</f>
        <v>1.0784313725490196E-5</v>
      </c>
      <c r="BC12" s="465">
        <f>'Emission Factors'!$AH$57</f>
        <v>0</v>
      </c>
      <c r="BD12" s="465">
        <f>'Emission Factors'!$AH$58</f>
        <v>0</v>
      </c>
      <c r="BE12" s="465">
        <f>'Emission Factors'!$AH$59</f>
        <v>0</v>
      </c>
      <c r="BF12" s="465">
        <f>'Emission Factors'!$AH$60</f>
        <v>0</v>
      </c>
      <c r="BG12" s="465">
        <f>'Emission Factors'!$AH$61</f>
        <v>0</v>
      </c>
      <c r="BH12" s="465">
        <f>'Emission Factors'!$AH$62</f>
        <v>0</v>
      </c>
      <c r="BI12" s="465">
        <f>'Emission Factors'!$AH$63</f>
        <v>0</v>
      </c>
      <c r="BJ12" s="465">
        <f>'Emission Factors'!$AH$64</f>
        <v>5.6862745098039215E-5</v>
      </c>
      <c r="BK12" s="465">
        <f>'Emission Factors'!$AH$65</f>
        <v>0</v>
      </c>
      <c r="BL12" s="465">
        <f>'Emission Factors'!$AH$66</f>
        <v>0</v>
      </c>
      <c r="BM12" s="465">
        <f>'Emission Factors'!$AH$67</f>
        <v>0</v>
      </c>
      <c r="BN12" s="465">
        <f>'Emission Factors'!$AH$68</f>
        <v>2.8431372549019608E-5</v>
      </c>
      <c r="BO12" s="465">
        <f>'Emission Factors'!$AH$69</f>
        <v>0</v>
      </c>
    </row>
    <row r="13" spans="1:67" ht="15">
      <c r="A13" s="487" t="s">
        <v>896</v>
      </c>
      <c r="B13" s="465">
        <f>'Emission Factors'!$AK$4</f>
        <v>0</v>
      </c>
      <c r="C13" s="465">
        <f>'Emission Factors'!$AK$5</f>
        <v>0</v>
      </c>
      <c r="D13" s="465">
        <f>'Emission Factors'!$AK$6</f>
        <v>0</v>
      </c>
      <c r="E13" s="465">
        <f>'Emission Factors'!$AK$7</f>
        <v>0</v>
      </c>
      <c r="F13" s="465">
        <f>'Emission Factors'!$AK$8</f>
        <v>0</v>
      </c>
      <c r="G13" s="465">
        <f>'Emission Factors'!$AK$9</f>
        <v>0</v>
      </c>
      <c r="H13" s="465">
        <f>'Emission Factors'!$AK$10</f>
        <v>0</v>
      </c>
      <c r="I13" s="465">
        <f>'Emission Factors'!$AK$11</f>
        <v>0</v>
      </c>
      <c r="J13" s="465">
        <f>'Emission Factors'!$AK$12</f>
        <v>0</v>
      </c>
      <c r="K13" s="465">
        <f>'Emission Factors'!$AK$13</f>
        <v>6.69E-4</v>
      </c>
      <c r="L13" s="465">
        <f>'Emission Factors'!$AK$14</f>
        <v>0</v>
      </c>
      <c r="M13" s="465">
        <f>'Emission Factors'!$AK$15</f>
        <v>0</v>
      </c>
      <c r="N13" s="465">
        <f>'Emission Factors'!$AK$16</f>
        <v>0</v>
      </c>
      <c r="O13" s="465">
        <f>'Emission Factors'!$AK$17</f>
        <v>2.4099999999999998E-3</v>
      </c>
      <c r="P13" s="465">
        <f>'Emission Factors'!$AK$18</f>
        <v>0</v>
      </c>
      <c r="Q13" s="465">
        <f>'Emission Factors'!$AK$19</f>
        <v>0</v>
      </c>
      <c r="R13" s="465">
        <f>'Emission Factors'!$AK$20</f>
        <v>0</v>
      </c>
      <c r="S13" s="465">
        <f>'Emission Factors'!$AK$21</f>
        <v>3.31E-3</v>
      </c>
      <c r="T13" s="465">
        <f>'Emission Factors'!$AK$22</f>
        <v>0</v>
      </c>
      <c r="U13" s="465">
        <f>'Emission Factors'!$AK$23</f>
        <v>0</v>
      </c>
      <c r="V13" s="465">
        <f>'Emission Factors'!$AK$24</f>
        <v>0</v>
      </c>
      <c r="W13" s="465">
        <f>'Emission Factors'!$AK$25</f>
        <v>0</v>
      </c>
      <c r="X13" s="465">
        <f>'Emission Factors'!$AK$26</f>
        <v>0</v>
      </c>
      <c r="Y13" s="465">
        <f>'Emission Factors'!$AK$27</f>
        <v>0</v>
      </c>
      <c r="Z13" s="465">
        <f>'Emission Factors'!$AK$28</f>
        <v>2.15</v>
      </c>
      <c r="AA13" s="465">
        <f>'Emission Factors'!$AK$29</f>
        <v>0</v>
      </c>
      <c r="AB13" s="465">
        <f>'Emission Factors'!$AK$30</f>
        <v>0</v>
      </c>
      <c r="AC13" s="465">
        <f>'Emission Factors'!$AK$31</f>
        <v>5.5999999999999999E-3</v>
      </c>
      <c r="AD13" s="465">
        <f>'Emission Factors'!$AK$32</f>
        <v>0</v>
      </c>
      <c r="AE13" s="465">
        <f>'Emission Factors'!$AK$33</f>
        <v>0</v>
      </c>
      <c r="AF13" s="465">
        <f>'Emission Factors'!$AK$34</f>
        <v>0</v>
      </c>
      <c r="AG13" s="465">
        <f>'Emission Factors'!$AK$35</f>
        <v>5.5199999999999997E-3</v>
      </c>
      <c r="AH13" s="465">
        <f>'Emission Factors'!$AK$36</f>
        <v>0</v>
      </c>
      <c r="AI13" s="465">
        <f>'Emission Factors'!$AK$37</f>
        <v>0</v>
      </c>
      <c r="AJ13" s="465">
        <f>'Emission Factors'!$AK$38</f>
        <v>0</v>
      </c>
      <c r="AK13" s="465">
        <f>'Emission Factors'!$AK$39</f>
        <v>0</v>
      </c>
      <c r="AL13" s="465">
        <f>'Emission Factors'!$AK$40</f>
        <v>0</v>
      </c>
      <c r="AM13" s="465">
        <f>'Emission Factors'!$AK$41</f>
        <v>0</v>
      </c>
      <c r="AN13" s="465">
        <f>'Emission Factors'!$AK$42</f>
        <v>0</v>
      </c>
      <c r="AO13" s="465">
        <f>'Emission Factors'!$AK$43</f>
        <v>0</v>
      </c>
      <c r="AP13" s="465">
        <f>'Emission Factors'!$AK$44</f>
        <v>0</v>
      </c>
      <c r="AQ13" s="465">
        <f>'Emission Factors'!$AK$45</f>
        <v>0</v>
      </c>
      <c r="AR13" s="465">
        <f>'Emission Factors'!$AK$46</f>
        <v>0</v>
      </c>
      <c r="AS13" s="465">
        <f>'Emission Factors'!$AK$47</f>
        <v>0</v>
      </c>
      <c r="AT13" s="465">
        <f>'Emission Factors'!$AK$48</f>
        <v>0</v>
      </c>
      <c r="AU13" s="465">
        <f>'Emission Factors'!$AK$49</f>
        <v>0</v>
      </c>
      <c r="AV13" s="465">
        <f>'Emission Factors'!$AK$50</f>
        <v>0</v>
      </c>
      <c r="AW13" s="465">
        <f>'Emission Factors'!$AK$51</f>
        <v>0</v>
      </c>
      <c r="AX13" s="465">
        <f>'Emission Factors'!$AK$52</f>
        <v>0</v>
      </c>
      <c r="AY13" s="465">
        <f>'Emission Factors'!$AK$53</f>
        <v>0</v>
      </c>
      <c r="AZ13" s="465">
        <f>'Emission Factors'!$AK$54</f>
        <v>0</v>
      </c>
      <c r="BA13" s="465">
        <f>'Emission Factors'!$AK$55</f>
        <v>0</v>
      </c>
      <c r="BB13" s="465">
        <f>'Emission Factors'!$AK$56</f>
        <v>0</v>
      </c>
      <c r="BC13" s="465">
        <f>'Emission Factors'!$AK$57</f>
        <v>0</v>
      </c>
      <c r="BD13" s="465">
        <f>'Emission Factors'!$AK$58</f>
        <v>0</v>
      </c>
      <c r="BE13" s="465">
        <f>'Emission Factors'!$AK$59</f>
        <v>0</v>
      </c>
      <c r="BF13" s="465">
        <f>'Emission Factors'!$AK$60</f>
        <v>0</v>
      </c>
      <c r="BG13" s="465">
        <f>'Emission Factors'!$AK$61</f>
        <v>0</v>
      </c>
      <c r="BH13" s="465">
        <f>'Emission Factors'!$AK$62</f>
        <v>0</v>
      </c>
      <c r="BI13" s="465">
        <f>'Emission Factors'!$AK$63</f>
        <v>0</v>
      </c>
      <c r="BJ13" s="465">
        <f>'Emission Factors'!$AK$64</f>
        <v>0</v>
      </c>
      <c r="BK13" s="465">
        <f>'Emission Factors'!$AK$65</f>
        <v>0</v>
      </c>
      <c r="BL13" s="465">
        <f>'Emission Factors'!$AK$66</f>
        <v>0</v>
      </c>
      <c r="BM13" s="465">
        <f>'Emission Factors'!$AK$67</f>
        <v>0</v>
      </c>
      <c r="BN13" s="465">
        <f>'Emission Factors'!$AK$68</f>
        <v>0</v>
      </c>
      <c r="BO13" s="465">
        <f>'Emission Factors'!$AK$69</f>
        <v>2.9399999999999998E-6</v>
      </c>
    </row>
    <row r="14" spans="1:67" ht="15">
      <c r="A14" s="487" t="s">
        <v>897</v>
      </c>
      <c r="B14" s="465">
        <f>'Emission Factors'!$AN$4</f>
        <v>0</v>
      </c>
      <c r="C14" s="465">
        <f>'Emission Factors'!$AN$5</f>
        <v>0</v>
      </c>
      <c r="D14" s="465">
        <f>'Emission Factors'!$AN$6</f>
        <v>0</v>
      </c>
      <c r="E14" s="465">
        <f>'Emission Factors'!$AN$7</f>
        <v>0</v>
      </c>
      <c r="F14" s="465">
        <f>'Emission Factors'!$AN$8</f>
        <v>0</v>
      </c>
      <c r="G14" s="465">
        <f>'Emission Factors'!$AN$9</f>
        <v>0</v>
      </c>
      <c r="H14" s="465">
        <f>'Emission Factors'!$AN$10</f>
        <v>0</v>
      </c>
      <c r="I14" s="465">
        <f>'Emission Factors'!$AN$11</f>
        <v>0</v>
      </c>
      <c r="J14" s="465">
        <f>'Emission Factors'!$AN$12</f>
        <v>4.4999999999999997E-3</v>
      </c>
      <c r="K14" s="465">
        <f>'Emission Factors'!$AN$13</f>
        <v>0.06</v>
      </c>
      <c r="L14" s="465">
        <f>'Emission Factors'!$AN$14</f>
        <v>0</v>
      </c>
      <c r="M14" s="465">
        <f>'Emission Factors'!$AN$15</f>
        <v>1.8E-3</v>
      </c>
      <c r="N14" s="465">
        <f>'Emission Factors'!$AN$16</f>
        <v>0</v>
      </c>
      <c r="O14" s="465">
        <f>'Emission Factors'!$AN$17</f>
        <v>1.2E-2</v>
      </c>
      <c r="P14" s="465">
        <f>'Emission Factors'!$AN$18</f>
        <v>0</v>
      </c>
      <c r="Q14" s="465">
        <f>'Emission Factors'!$AN$19</f>
        <v>0</v>
      </c>
      <c r="R14" s="465">
        <f>'Emission Factors'!$AN$20</f>
        <v>0</v>
      </c>
      <c r="S14" s="465">
        <f>'Emission Factors'!$AN$21</f>
        <v>0.18</v>
      </c>
      <c r="T14" s="465">
        <f>'Emission Factors'!$AN$22</f>
        <v>5.1999999999999998E-3</v>
      </c>
      <c r="U14" s="465">
        <f>'Emission Factors'!$AN$23</f>
        <v>3.4E-5</v>
      </c>
      <c r="V14" s="465">
        <f>'Emission Factors'!$AN$24</f>
        <v>0</v>
      </c>
      <c r="W14" s="465">
        <f>'Emission Factors'!$AN$25</f>
        <v>0</v>
      </c>
      <c r="X14" s="465">
        <f>'Emission Factors'!$AN$26</f>
        <v>0</v>
      </c>
      <c r="Y14" s="465">
        <f>'Emission Factors'!$AN$27</f>
        <v>0</v>
      </c>
      <c r="Z14" s="465">
        <f>'Emission Factors'!$AN$28</f>
        <v>0</v>
      </c>
      <c r="AA14" s="465">
        <f>'Emission Factors'!$AN$29</f>
        <v>0</v>
      </c>
      <c r="AB14" s="465">
        <f>'Emission Factors'!$AN$30</f>
        <v>0.05</v>
      </c>
      <c r="AC14" s="465">
        <f>'Emission Factors'!$AN$31</f>
        <v>0</v>
      </c>
      <c r="AD14" s="465">
        <f>'Emission Factors'!$AN$32</f>
        <v>0</v>
      </c>
      <c r="AE14" s="465">
        <f>'Emission Factors'!$AN$33</f>
        <v>0</v>
      </c>
      <c r="AF14" s="465">
        <f>'Emission Factors'!$AN$34</f>
        <v>0</v>
      </c>
      <c r="AG14" s="465">
        <f>'Emission Factors'!$AN$35</f>
        <v>0.16</v>
      </c>
      <c r="AH14" s="465">
        <f>'Emission Factors'!$AN$36</f>
        <v>0</v>
      </c>
      <c r="AI14" s="465">
        <f>'Emission Factors'!$AN$37</f>
        <v>2.8E-5</v>
      </c>
      <c r="AJ14" s="465">
        <f>'Emission Factors'!$AN$38</f>
        <v>0</v>
      </c>
      <c r="AK14" s="465">
        <f>'Emission Factors'!$AN$39</f>
        <v>2.0030000000000002E-4</v>
      </c>
      <c r="AL14" s="465">
        <f>'Emission Factors'!$AN$40</f>
        <v>0</v>
      </c>
      <c r="AM14" s="465">
        <f>'Emission Factors'!$AN$41</f>
        <v>0</v>
      </c>
      <c r="AN14" s="465">
        <f>'Emission Factors'!$AN$42</f>
        <v>0</v>
      </c>
      <c r="AO14" s="465">
        <f>'Emission Factors'!$AN$43</f>
        <v>0</v>
      </c>
      <c r="AP14" s="465">
        <f>'Emission Factors'!$AN$44</f>
        <v>0</v>
      </c>
      <c r="AQ14" s="465">
        <f>'Emission Factors'!$AN$45</f>
        <v>0</v>
      </c>
      <c r="AR14" s="465">
        <f>'Emission Factors'!$AN$46</f>
        <v>0</v>
      </c>
      <c r="AS14" s="465">
        <f>'Emission Factors'!$AN$47</f>
        <v>0</v>
      </c>
      <c r="AT14" s="465">
        <f>'Emission Factors'!$AN$48</f>
        <v>0</v>
      </c>
      <c r="AU14" s="465">
        <f>'Emission Factors'!$AN$49</f>
        <v>0</v>
      </c>
      <c r="AV14" s="465">
        <f>'Emission Factors'!$AN$50</f>
        <v>0</v>
      </c>
      <c r="AW14" s="465">
        <f>'Emission Factors'!$AN$51</f>
        <v>0</v>
      </c>
      <c r="AX14" s="465">
        <f>'Emission Factors'!$AN$52</f>
        <v>0</v>
      </c>
      <c r="AY14" s="465">
        <f>'Emission Factors'!$AN$53</f>
        <v>0</v>
      </c>
      <c r="AZ14" s="465">
        <f>'Emission Factors'!$AN$54</f>
        <v>0</v>
      </c>
      <c r="BA14" s="465">
        <f>'Emission Factors'!$AN$55</f>
        <v>0</v>
      </c>
      <c r="BB14" s="465">
        <f>'Emission Factors'!$AN$56</f>
        <v>9.2E-5</v>
      </c>
      <c r="BC14" s="465">
        <f>'Emission Factors'!$AN$57</f>
        <v>1E-4</v>
      </c>
      <c r="BD14" s="465">
        <f>'Emission Factors'!$AN$58</f>
        <v>8.3000000000000002E-6</v>
      </c>
      <c r="BE14" s="465">
        <f>'Emission Factors'!$AN$59</f>
        <v>0</v>
      </c>
      <c r="BF14" s="465">
        <f>'Emission Factors'!$AN$60</f>
        <v>0</v>
      </c>
      <c r="BG14" s="465">
        <f>'Emission Factors'!$AN$61</f>
        <v>0</v>
      </c>
      <c r="BH14" s="465">
        <f>'Emission Factors'!$AN$62</f>
        <v>0</v>
      </c>
      <c r="BI14" s="465">
        <f>'Emission Factors'!$AN$63</f>
        <v>0</v>
      </c>
      <c r="BJ14" s="465">
        <f>'Emission Factors'!$AN$64</f>
        <v>0</v>
      </c>
      <c r="BK14" s="465">
        <f>'Emission Factors'!$AN$65</f>
        <v>0</v>
      </c>
      <c r="BL14" s="465">
        <f>'Emission Factors'!$AN$66</f>
        <v>0</v>
      </c>
      <c r="BM14" s="465">
        <f>'Emission Factors'!$AN$67</f>
        <v>0</v>
      </c>
      <c r="BN14" s="465">
        <f>'Emission Factors'!$AN$68</f>
        <v>0</v>
      </c>
      <c r="BO14" s="465">
        <f>'Emission Factors'!$AN$69</f>
        <v>0</v>
      </c>
    </row>
    <row r="15" spans="1:67" ht="15">
      <c r="A15" s="487" t="s">
        <v>898</v>
      </c>
      <c r="B15" s="190">
        <v>0</v>
      </c>
      <c r="C15" s="190">
        <v>0</v>
      </c>
      <c r="D15" s="190">
        <v>0</v>
      </c>
      <c r="E15" s="190">
        <v>0</v>
      </c>
      <c r="F15" s="190">
        <v>0</v>
      </c>
      <c r="G15" s="190">
        <v>0</v>
      </c>
      <c r="H15" s="190">
        <v>0</v>
      </c>
      <c r="I15" s="190">
        <v>0</v>
      </c>
      <c r="J15" s="190">
        <v>0</v>
      </c>
      <c r="K15" s="190">
        <v>0</v>
      </c>
      <c r="L15" s="190">
        <v>0</v>
      </c>
      <c r="M15" s="190">
        <v>0</v>
      </c>
      <c r="N15" s="190">
        <v>0</v>
      </c>
      <c r="O15" s="190">
        <v>0</v>
      </c>
      <c r="P15" s="190">
        <v>0</v>
      </c>
      <c r="Q15" s="190">
        <v>0</v>
      </c>
      <c r="R15" s="190">
        <v>0</v>
      </c>
      <c r="S15" s="190">
        <v>0</v>
      </c>
      <c r="T15" s="190">
        <v>0</v>
      </c>
      <c r="U15" s="190">
        <v>0</v>
      </c>
      <c r="V15" s="190">
        <v>0</v>
      </c>
      <c r="W15" s="190">
        <v>0</v>
      </c>
      <c r="X15" s="190">
        <v>0</v>
      </c>
      <c r="Y15" s="190">
        <v>0</v>
      </c>
      <c r="Z15" s="190">
        <v>0</v>
      </c>
      <c r="AA15" s="190">
        <v>0</v>
      </c>
      <c r="AB15" s="190">
        <v>0</v>
      </c>
      <c r="AC15" s="190">
        <v>0</v>
      </c>
      <c r="AD15" s="190">
        <v>0</v>
      </c>
      <c r="AE15" s="190">
        <v>0</v>
      </c>
      <c r="AF15" s="190">
        <v>0</v>
      </c>
      <c r="AG15" s="190">
        <v>0</v>
      </c>
      <c r="AH15" s="190">
        <v>0</v>
      </c>
      <c r="AI15" s="190">
        <v>0</v>
      </c>
      <c r="AJ15" s="190">
        <v>0</v>
      </c>
      <c r="AK15" s="190">
        <v>0</v>
      </c>
      <c r="AL15" s="190">
        <v>0</v>
      </c>
      <c r="AM15" s="190">
        <v>0</v>
      </c>
      <c r="AN15" s="190">
        <v>0</v>
      </c>
      <c r="AO15" s="190">
        <v>0</v>
      </c>
      <c r="AP15" s="190">
        <v>0</v>
      </c>
      <c r="AQ15" s="190">
        <v>0</v>
      </c>
      <c r="AR15" s="190">
        <v>0</v>
      </c>
      <c r="AS15" s="190">
        <v>0</v>
      </c>
      <c r="AT15" s="190">
        <v>0</v>
      </c>
      <c r="AU15" s="190">
        <v>0</v>
      </c>
      <c r="AV15" s="190">
        <v>0</v>
      </c>
      <c r="AW15" s="190">
        <v>0</v>
      </c>
      <c r="AX15" s="190">
        <v>0</v>
      </c>
      <c r="AY15" s="190">
        <v>0</v>
      </c>
      <c r="AZ15" s="190">
        <v>0</v>
      </c>
      <c r="BA15" s="190">
        <v>0</v>
      </c>
      <c r="BB15" s="190">
        <v>0</v>
      </c>
      <c r="BC15" s="190">
        <v>0</v>
      </c>
      <c r="BD15" s="190">
        <v>0</v>
      </c>
      <c r="BE15" s="190">
        <v>0</v>
      </c>
      <c r="BF15" s="190">
        <v>0</v>
      </c>
      <c r="BG15" s="190">
        <v>0</v>
      </c>
      <c r="BH15" s="190">
        <v>0</v>
      </c>
      <c r="BI15" s="190">
        <v>0</v>
      </c>
      <c r="BJ15" s="190">
        <v>0</v>
      </c>
      <c r="BK15" s="190">
        <v>0</v>
      </c>
      <c r="BL15" s="190">
        <v>0</v>
      </c>
      <c r="BM15" s="190">
        <v>0</v>
      </c>
      <c r="BN15" s="190">
        <v>0</v>
      </c>
      <c r="BO15" s="190">
        <v>0</v>
      </c>
    </row>
    <row r="16" spans="1:67" ht="15">
      <c r="A16" s="487" t="s">
        <v>899</v>
      </c>
      <c r="B16" s="190">
        <v>0</v>
      </c>
      <c r="C16" s="190">
        <v>0</v>
      </c>
      <c r="D16" s="190">
        <v>0</v>
      </c>
      <c r="E16" s="190">
        <v>0</v>
      </c>
      <c r="F16" s="190">
        <v>0</v>
      </c>
      <c r="G16" s="190">
        <v>0</v>
      </c>
      <c r="H16" s="190">
        <v>0</v>
      </c>
      <c r="I16" s="190">
        <v>0</v>
      </c>
      <c r="J16" s="190">
        <v>0</v>
      </c>
      <c r="K16" s="190">
        <v>0</v>
      </c>
      <c r="L16" s="190">
        <v>0</v>
      </c>
      <c r="M16" s="190">
        <v>0</v>
      </c>
      <c r="N16" s="190">
        <v>0</v>
      </c>
      <c r="O16" s="190">
        <v>0</v>
      </c>
      <c r="P16" s="190">
        <v>0</v>
      </c>
      <c r="Q16" s="190">
        <v>0</v>
      </c>
      <c r="R16" s="190">
        <v>0</v>
      </c>
      <c r="S16" s="190">
        <v>0</v>
      </c>
      <c r="T16" s="190">
        <v>0</v>
      </c>
      <c r="U16" s="190">
        <v>0</v>
      </c>
      <c r="V16" s="190">
        <v>0</v>
      </c>
      <c r="W16" s="190">
        <v>0</v>
      </c>
      <c r="X16" s="190">
        <v>0</v>
      </c>
      <c r="Y16" s="190">
        <v>0</v>
      </c>
      <c r="Z16" s="190">
        <v>0</v>
      </c>
      <c r="AA16" s="190">
        <v>0</v>
      </c>
      <c r="AB16" s="190">
        <v>0</v>
      </c>
      <c r="AC16" s="190">
        <v>0</v>
      </c>
      <c r="AD16" s="190">
        <v>0</v>
      </c>
      <c r="AE16" s="190">
        <v>0</v>
      </c>
      <c r="AF16" s="190">
        <v>0</v>
      </c>
      <c r="AG16" s="190">
        <v>0</v>
      </c>
      <c r="AH16" s="190">
        <v>0</v>
      </c>
      <c r="AI16" s="190">
        <v>0</v>
      </c>
      <c r="AJ16" s="190">
        <v>0</v>
      </c>
      <c r="AK16" s="190">
        <v>0</v>
      </c>
      <c r="AL16" s="190">
        <v>0</v>
      </c>
      <c r="AM16" s="190">
        <v>0</v>
      </c>
      <c r="AN16" s="190">
        <v>0</v>
      </c>
      <c r="AO16" s="190">
        <v>0</v>
      </c>
      <c r="AP16" s="190">
        <v>0</v>
      </c>
      <c r="AQ16" s="190">
        <v>0</v>
      </c>
      <c r="AR16" s="190">
        <v>0</v>
      </c>
      <c r="AS16" s="190">
        <v>0</v>
      </c>
      <c r="AT16" s="190">
        <v>0</v>
      </c>
      <c r="AU16" s="190">
        <v>0</v>
      </c>
      <c r="AV16" s="190">
        <v>0</v>
      </c>
      <c r="AW16" s="190">
        <v>0</v>
      </c>
      <c r="AX16" s="190">
        <v>0</v>
      </c>
      <c r="AY16" s="190">
        <v>0</v>
      </c>
      <c r="AZ16" s="190">
        <v>0</v>
      </c>
      <c r="BA16" s="190">
        <v>0</v>
      </c>
      <c r="BB16" s="190">
        <v>0</v>
      </c>
      <c r="BC16" s="190">
        <v>0</v>
      </c>
      <c r="BD16" s="190">
        <v>0</v>
      </c>
      <c r="BE16" s="190">
        <v>0</v>
      </c>
      <c r="BF16" s="190">
        <v>0</v>
      </c>
      <c r="BG16" s="190">
        <v>0</v>
      </c>
      <c r="BH16" s="190">
        <v>0</v>
      </c>
      <c r="BI16" s="190">
        <v>0</v>
      </c>
      <c r="BJ16" s="190">
        <v>0</v>
      </c>
      <c r="BK16" s="190">
        <v>0</v>
      </c>
      <c r="BL16" s="190">
        <v>0</v>
      </c>
      <c r="BM16" s="190">
        <v>0</v>
      </c>
      <c r="BN16" s="190">
        <v>0</v>
      </c>
      <c r="BO16" s="190">
        <v>0</v>
      </c>
    </row>
    <row r="84" spans="5:5">
      <c r="E84" s="465"/>
    </row>
    <row r="85" spans="5:5">
      <c r="E85" s="465"/>
    </row>
    <row r="86" spans="5:5">
      <c r="E86" s="465"/>
    </row>
    <row r="87" spans="5:5">
      <c r="E87" s="465"/>
    </row>
    <row r="88" spans="5:5">
      <c r="E88" s="465"/>
    </row>
    <row r="89" spans="5:5">
      <c r="E89" s="465"/>
    </row>
    <row r="90" spans="5:5">
      <c r="E90" s="465"/>
    </row>
    <row r="91" spans="5:5">
      <c r="E91" s="4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I73"/>
  <sheetViews>
    <sheetView showGridLines="0" topLeftCell="A40" workbookViewId="0">
      <selection activeCell="P76" sqref="P76"/>
    </sheetView>
  </sheetViews>
  <sheetFormatPr defaultRowHeight="15"/>
  <cols>
    <col min="2" max="2" width="21.5703125" customWidth="1"/>
    <col min="3" max="3" width="13.42578125" customWidth="1"/>
    <col min="4" max="4" width="7.85546875" customWidth="1"/>
    <col min="5" max="5" width="13.7109375" customWidth="1"/>
  </cols>
  <sheetData>
    <row r="2" spans="2:5" ht="15.75" thickBot="1">
      <c r="B2" s="28" t="s">
        <v>154</v>
      </c>
      <c r="C2" s="28"/>
    </row>
    <row r="3" spans="2:5">
      <c r="B3" s="30" t="s">
        <v>33</v>
      </c>
      <c r="C3" s="591" t="s">
        <v>34</v>
      </c>
      <c r="D3" s="29" t="s">
        <v>37</v>
      </c>
      <c r="E3" s="28"/>
    </row>
    <row r="4" spans="2:5">
      <c r="B4" s="74" t="s">
        <v>162</v>
      </c>
      <c r="C4" s="592">
        <f>0.6872</f>
        <v>0.68720000000000003</v>
      </c>
      <c r="D4" s="598"/>
      <c r="E4" s="28"/>
    </row>
    <row r="5" spans="2:5">
      <c r="B5" s="74" t="s">
        <v>163</v>
      </c>
      <c r="C5" s="592">
        <v>5.0000000000000001E-3</v>
      </c>
      <c r="D5" s="598"/>
    </row>
    <row r="6" spans="2:5" ht="18.75">
      <c r="B6" s="74" t="s">
        <v>164</v>
      </c>
      <c r="C6" s="592"/>
      <c r="D6" s="598"/>
    </row>
    <row r="7" spans="2:5">
      <c r="B7" s="74" t="s">
        <v>165</v>
      </c>
      <c r="C7" s="592">
        <v>1E-3</v>
      </c>
      <c r="D7" s="598"/>
    </row>
    <row r="8" spans="2:5">
      <c r="B8" s="74" t="s">
        <v>155</v>
      </c>
      <c r="C8" s="592"/>
      <c r="D8" s="598"/>
    </row>
    <row r="9" spans="2:5">
      <c r="B9" s="74" t="s">
        <v>166</v>
      </c>
      <c r="C9" s="592"/>
      <c r="D9" s="598"/>
    </row>
    <row r="10" spans="2:5">
      <c r="B10" s="74" t="s">
        <v>167</v>
      </c>
      <c r="C10" s="592">
        <v>91.147499999999994</v>
      </c>
      <c r="D10" s="598"/>
    </row>
    <row r="11" spans="2:5">
      <c r="B11" s="74" t="s">
        <v>168</v>
      </c>
      <c r="C11" s="592">
        <v>5.8250999999999999</v>
      </c>
      <c r="D11" s="598"/>
    </row>
    <row r="12" spans="2:5">
      <c r="B12" s="74" t="s">
        <v>169</v>
      </c>
      <c r="C12" s="592">
        <v>1.8872</v>
      </c>
      <c r="D12" s="598"/>
    </row>
    <row r="13" spans="2:5">
      <c r="B13" s="74" t="s">
        <v>170</v>
      </c>
      <c r="C13" s="592">
        <v>0.13739999999999999</v>
      </c>
      <c r="D13" s="598"/>
    </row>
    <row r="14" spans="2:5">
      <c r="B14" s="74" t="s">
        <v>171</v>
      </c>
      <c r="C14" s="592">
        <v>0.2056</v>
      </c>
      <c r="D14" s="598"/>
    </row>
    <row r="15" spans="2:5">
      <c r="B15" s="74" t="s">
        <v>172</v>
      </c>
      <c r="C15" s="592">
        <v>4.6300000000000001E-2</v>
      </c>
      <c r="D15" s="598"/>
    </row>
    <row r="16" spans="2:5">
      <c r="B16" s="74" t="s">
        <v>173</v>
      </c>
      <c r="C16" s="592">
        <v>4.4299999999999999E-2</v>
      </c>
      <c r="D16" s="598"/>
    </row>
    <row r="17" spans="2:4">
      <c r="B17" s="74" t="s">
        <v>174</v>
      </c>
      <c r="C17" s="592">
        <v>1.6999999999999999E-3</v>
      </c>
      <c r="D17" s="598"/>
    </row>
    <row r="18" spans="2:4">
      <c r="B18" s="74" t="s">
        <v>175</v>
      </c>
      <c r="C18" s="592">
        <v>2.3E-3</v>
      </c>
      <c r="D18" s="598"/>
    </row>
    <row r="19" spans="2:4">
      <c r="B19" s="74" t="s">
        <v>176</v>
      </c>
      <c r="C19" s="592">
        <v>1.2999999999999999E-3</v>
      </c>
      <c r="D19" s="598"/>
    </row>
    <row r="20" spans="2:4">
      <c r="B20" s="74" t="s">
        <v>177</v>
      </c>
      <c r="C20" s="592">
        <v>1.1999999999999999E-3</v>
      </c>
      <c r="D20" s="598"/>
    </row>
    <row r="21" spans="2:4">
      <c r="B21" s="74" t="s">
        <v>178</v>
      </c>
      <c r="C21" s="592">
        <v>4.1000000000000003E-3</v>
      </c>
      <c r="D21" s="598"/>
    </row>
    <row r="22" spans="2:4">
      <c r="B22" s="74" t="s">
        <v>179</v>
      </c>
      <c r="C22" s="592">
        <v>1.1000000000000001E-3</v>
      </c>
      <c r="D22" s="598"/>
    </row>
    <row r="23" spans="2:4">
      <c r="B23" s="74" t="s">
        <v>180</v>
      </c>
      <c r="C23" s="592">
        <v>1E-3</v>
      </c>
      <c r="D23" s="598"/>
    </row>
    <row r="24" spans="2:4">
      <c r="B24" s="74" t="s">
        <v>181</v>
      </c>
      <c r="C24" s="592">
        <v>2.9999999999999997E-4</v>
      </c>
      <c r="D24" s="598"/>
    </row>
    <row r="25" spans="2:4">
      <c r="B25" s="74" t="s">
        <v>182</v>
      </c>
      <c r="C25" s="592">
        <v>1E-4</v>
      </c>
      <c r="D25" s="598"/>
    </row>
    <row r="26" spans="2:4">
      <c r="B26" s="74" t="s">
        <v>183</v>
      </c>
      <c r="C26" s="592"/>
      <c r="D26" s="598"/>
    </row>
    <row r="27" spans="2:4">
      <c r="B27" s="74" t="s">
        <v>184</v>
      </c>
      <c r="C27" s="592"/>
      <c r="D27" s="598"/>
    </row>
    <row r="28" spans="2:4">
      <c r="B28" s="74" t="s">
        <v>185</v>
      </c>
      <c r="C28" s="592"/>
      <c r="D28" s="598"/>
    </row>
    <row r="29" spans="2:4">
      <c r="B29" s="74" t="s">
        <v>186</v>
      </c>
      <c r="C29" s="592"/>
      <c r="D29" s="598"/>
    </row>
    <row r="30" spans="2:4">
      <c r="B30" s="74" t="s">
        <v>187</v>
      </c>
      <c r="C30" s="592"/>
      <c r="D30" s="598"/>
    </row>
    <row r="31" spans="2:4">
      <c r="B31" s="74" t="s">
        <v>188</v>
      </c>
      <c r="C31" s="592"/>
      <c r="D31" s="598"/>
    </row>
    <row r="32" spans="2:4">
      <c r="B32" s="74" t="s">
        <v>156</v>
      </c>
      <c r="C32" s="592"/>
      <c r="D32" s="598"/>
    </row>
    <row r="33" spans="2:4">
      <c r="B33" s="74" t="s">
        <v>189</v>
      </c>
      <c r="C33" s="593"/>
      <c r="D33" s="598"/>
    </row>
    <row r="34" spans="2:4">
      <c r="B34" s="74" t="s">
        <v>190</v>
      </c>
      <c r="C34" s="593"/>
      <c r="D34" s="598"/>
    </row>
    <row r="35" spans="2:4">
      <c r="B35" s="74" t="s">
        <v>191</v>
      </c>
      <c r="C35" s="593"/>
      <c r="D35" s="598"/>
    </row>
    <row r="36" spans="2:4">
      <c r="B36" s="74" t="s">
        <v>192</v>
      </c>
      <c r="C36" s="593"/>
      <c r="D36" s="598"/>
    </row>
    <row r="37" spans="2:4">
      <c r="B37" s="74" t="s">
        <v>193</v>
      </c>
      <c r="C37" s="593"/>
      <c r="D37" s="598"/>
    </row>
    <row r="38" spans="2:4">
      <c r="B38" s="74" t="s">
        <v>194</v>
      </c>
      <c r="C38" s="593"/>
      <c r="D38" s="598"/>
    </row>
    <row r="39" spans="2:4">
      <c r="B39" s="74" t="s">
        <v>195</v>
      </c>
      <c r="C39" s="593"/>
      <c r="D39" s="598"/>
    </row>
    <row r="40" spans="2:4">
      <c r="B40" s="74" t="s">
        <v>196</v>
      </c>
      <c r="C40" s="593"/>
      <c r="D40" s="598"/>
    </row>
    <row r="41" spans="2:4">
      <c r="B41" s="74" t="s">
        <v>157</v>
      </c>
      <c r="C41" s="593"/>
      <c r="D41" s="598"/>
    </row>
    <row r="42" spans="2:4">
      <c r="B42" s="74" t="s">
        <v>158</v>
      </c>
      <c r="C42" s="593"/>
      <c r="D42" s="598"/>
    </row>
    <row r="43" spans="2:4">
      <c r="B43" s="74" t="s">
        <v>197</v>
      </c>
      <c r="C43" s="593"/>
      <c r="D43" s="598"/>
    </row>
    <row r="44" spans="2:4">
      <c r="B44" s="74" t="s">
        <v>198</v>
      </c>
      <c r="C44" s="593"/>
      <c r="D44" s="598"/>
    </row>
    <row r="45" spans="2:4">
      <c r="B45" s="76" t="s">
        <v>161</v>
      </c>
      <c r="C45" s="645">
        <v>1.6000000000000001E-3</v>
      </c>
      <c r="D45" s="652">
        <v>64.066000000000003</v>
      </c>
    </row>
    <row r="46" spans="2:4">
      <c r="B46" s="76" t="s">
        <v>159</v>
      </c>
      <c r="C46" s="646"/>
      <c r="D46" s="652"/>
    </row>
    <row r="47" spans="2:4">
      <c r="B47" s="76" t="s">
        <v>199</v>
      </c>
      <c r="C47" s="646"/>
      <c r="D47" s="652"/>
    </row>
    <row r="48" spans="2:4" ht="18.75" thickBot="1">
      <c r="B48" s="75" t="s">
        <v>160</v>
      </c>
      <c r="C48" s="647"/>
      <c r="D48" s="652"/>
    </row>
    <row r="49" spans="1:9">
      <c r="B49" s="77" t="s">
        <v>46</v>
      </c>
      <c r="C49" s="594"/>
      <c r="D49" s="598"/>
    </row>
    <row r="50" spans="1:9">
      <c r="B50" s="31" t="s">
        <v>36</v>
      </c>
      <c r="C50" s="595"/>
      <c r="D50" s="598"/>
    </row>
    <row r="51" spans="1:9">
      <c r="B51" s="31" t="s">
        <v>37</v>
      </c>
      <c r="C51" s="595">
        <v>17.68</v>
      </c>
      <c r="D51" s="598"/>
    </row>
    <row r="52" spans="1:9">
      <c r="B52" s="31" t="s">
        <v>38</v>
      </c>
      <c r="C52" s="596"/>
      <c r="D52" s="598"/>
    </row>
    <row r="53" spans="1:9">
      <c r="B53" s="33" t="s">
        <v>39</v>
      </c>
      <c r="C53" s="595"/>
      <c r="D53" s="598"/>
    </row>
    <row r="54" spans="1:9">
      <c r="B54" s="33" t="s">
        <v>40</v>
      </c>
      <c r="C54" s="595">
        <v>981</v>
      </c>
      <c r="D54" s="598"/>
    </row>
    <row r="55" spans="1:9">
      <c r="B55" s="33" t="s">
        <v>41</v>
      </c>
      <c r="C55" s="595"/>
      <c r="D55" s="598"/>
    </row>
    <row r="56" spans="1:9">
      <c r="B56" s="33" t="s">
        <v>42</v>
      </c>
      <c r="C56" s="595">
        <v>1087</v>
      </c>
      <c r="D56" s="598"/>
    </row>
    <row r="57" spans="1:9" ht="15.75" thickBot="1">
      <c r="B57" s="32" t="s">
        <v>43</v>
      </c>
      <c r="C57" s="597"/>
      <c r="D57" s="72"/>
    </row>
    <row r="58" spans="1:9" hidden="1"/>
    <row r="59" spans="1:9" hidden="1">
      <c r="B59" s="26" t="s">
        <v>200</v>
      </c>
    </row>
    <row r="61" spans="1:9">
      <c r="A61" t="s">
        <v>44</v>
      </c>
    </row>
    <row r="62" spans="1:9">
      <c r="A62">
        <v>1</v>
      </c>
      <c r="B62" s="653" t="s">
        <v>45</v>
      </c>
      <c r="C62" s="653"/>
      <c r="D62" s="653"/>
      <c r="E62" s="653"/>
      <c r="F62" s="653"/>
      <c r="G62" s="653"/>
      <c r="H62" s="653"/>
      <c r="I62" s="653"/>
    </row>
    <row r="63" spans="1:9">
      <c r="B63" s="653"/>
      <c r="C63" s="653"/>
      <c r="D63" s="653"/>
      <c r="E63" s="653"/>
      <c r="F63" s="653"/>
      <c r="G63" s="653"/>
      <c r="H63" s="653"/>
      <c r="I63" s="653"/>
    </row>
    <row r="65" spans="2:6" ht="15.75" thickBot="1">
      <c r="B65" s="516" t="s">
        <v>1019</v>
      </c>
    </row>
    <row r="66" spans="2:6">
      <c r="B66" s="42" t="s">
        <v>50</v>
      </c>
      <c r="C66" s="40">
        <v>15</v>
      </c>
      <c r="D66" s="37" t="s">
        <v>51</v>
      </c>
      <c r="E66" s="648" t="s">
        <v>52</v>
      </c>
      <c r="F66" s="649"/>
    </row>
    <row r="67" spans="2:6">
      <c r="B67" s="53" t="s">
        <v>53</v>
      </c>
      <c r="C67" s="41">
        <v>0.85499999999999998</v>
      </c>
      <c r="D67" s="38"/>
      <c r="E67" s="650" t="s">
        <v>54</v>
      </c>
      <c r="F67" s="651"/>
    </row>
    <row r="68" spans="2:6">
      <c r="B68" s="53" t="s">
        <v>55</v>
      </c>
      <c r="C68" s="41">
        <v>7.1307</v>
      </c>
      <c r="D68" s="38" t="s">
        <v>56</v>
      </c>
      <c r="E68" s="38"/>
      <c r="F68" s="36"/>
    </row>
    <row r="69" spans="2:6">
      <c r="B69" s="53" t="s">
        <v>57</v>
      </c>
      <c r="C69" s="41">
        <v>0.131133573</v>
      </c>
      <c r="D69" s="38" t="s">
        <v>58</v>
      </c>
      <c r="E69" s="38"/>
      <c r="F69" s="36"/>
    </row>
    <row r="70" spans="2:6">
      <c r="B70" s="27" t="s">
        <v>57</v>
      </c>
      <c r="C70" s="22">
        <f>C69*1000000/C68</f>
        <v>18390</v>
      </c>
      <c r="D70" s="23" t="s">
        <v>87</v>
      </c>
      <c r="E70" s="38"/>
      <c r="F70" s="36"/>
    </row>
    <row r="71" spans="2:6">
      <c r="B71" s="53" t="s">
        <v>59</v>
      </c>
      <c r="C71" s="41">
        <v>0.14424693030000002</v>
      </c>
      <c r="D71" s="38" t="s">
        <v>58</v>
      </c>
      <c r="E71" s="38" t="s">
        <v>60</v>
      </c>
      <c r="F71" s="36"/>
    </row>
    <row r="72" spans="2:6">
      <c r="B72" s="27" t="s">
        <v>59</v>
      </c>
      <c r="C72" s="22">
        <f>C71*1000000/C68</f>
        <v>20229</v>
      </c>
      <c r="D72" s="23" t="s">
        <v>87</v>
      </c>
      <c r="E72" s="38"/>
      <c r="F72" s="36"/>
    </row>
    <row r="73" spans="2:6" ht="15.75" thickBot="1">
      <c r="B73" s="52" t="s">
        <v>61</v>
      </c>
      <c r="C73" s="39">
        <v>2.0133741176470588E-4</v>
      </c>
      <c r="D73" s="39"/>
      <c r="E73" s="35"/>
      <c r="F73" s="34"/>
    </row>
  </sheetData>
  <mergeCells count="5">
    <mergeCell ref="C45:C48"/>
    <mergeCell ref="E66:F66"/>
    <mergeCell ref="E67:F67"/>
    <mergeCell ref="D45:D48"/>
    <mergeCell ref="B62:I6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75"/>
  <sheetViews>
    <sheetView showGridLines="0" zoomScale="85" zoomScaleNormal="85" workbookViewId="0">
      <selection activeCell="C19" sqref="C19"/>
    </sheetView>
  </sheetViews>
  <sheetFormatPr defaultRowHeight="15"/>
  <cols>
    <col min="1" max="1" width="2.7109375" customWidth="1"/>
    <col min="2" max="2" width="36.85546875" customWidth="1"/>
    <col min="3" max="3" width="16.7109375" customWidth="1"/>
    <col min="4" max="4" width="15.5703125" customWidth="1"/>
    <col min="5" max="5" width="16.140625" customWidth="1"/>
    <col min="6" max="6" width="14.28515625" customWidth="1"/>
    <col min="7" max="7" width="16.7109375" customWidth="1"/>
    <col min="8" max="8" width="16" customWidth="1"/>
    <col min="9" max="9" width="17.7109375" customWidth="1"/>
    <col min="10" max="10" width="16.85546875" customWidth="1"/>
    <col min="11" max="11" width="16.42578125" customWidth="1"/>
    <col min="12" max="13" width="16.28515625" customWidth="1"/>
  </cols>
  <sheetData>
    <row r="1" spans="1:12">
      <c r="A1" s="28" t="s">
        <v>276</v>
      </c>
      <c r="D1" s="63"/>
      <c r="E1" t="s">
        <v>277</v>
      </c>
    </row>
    <row r="2" spans="1:12">
      <c r="A2" s="28"/>
      <c r="D2" s="63"/>
      <c r="E2" t="s">
        <v>278</v>
      </c>
    </row>
    <row r="3" spans="1:12">
      <c r="A3" s="28"/>
      <c r="C3" s="101"/>
      <c r="D3" s="101"/>
      <c r="E3" s="101"/>
    </row>
    <row r="4" spans="1:12">
      <c r="A4" s="28"/>
      <c r="B4" s="667" t="s">
        <v>131</v>
      </c>
      <c r="C4" s="669" t="s">
        <v>203</v>
      </c>
      <c r="D4" s="669"/>
      <c r="E4" s="674" t="s">
        <v>129</v>
      </c>
      <c r="F4" s="674"/>
      <c r="G4" s="674"/>
      <c r="H4" s="674"/>
      <c r="I4" s="674"/>
      <c r="J4" s="674"/>
      <c r="K4" s="674"/>
      <c r="L4" s="674"/>
    </row>
    <row r="5" spans="1:12" ht="45">
      <c r="A5" s="28"/>
      <c r="B5" s="668"/>
      <c r="C5" s="581" t="s">
        <v>254</v>
      </c>
      <c r="D5" s="519" t="s">
        <v>145</v>
      </c>
      <c r="E5" s="672"/>
      <c r="F5" s="672"/>
      <c r="G5" s="102" t="s">
        <v>942</v>
      </c>
      <c r="H5" s="102" t="s">
        <v>943</v>
      </c>
      <c r="I5" s="102" t="s">
        <v>280</v>
      </c>
      <c r="J5" s="102" t="s">
        <v>942</v>
      </c>
      <c r="K5" s="102" t="s">
        <v>943</v>
      </c>
      <c r="L5" s="102" t="s">
        <v>936</v>
      </c>
    </row>
    <row r="6" spans="1:12">
      <c r="A6" s="28"/>
      <c r="B6" s="44" t="s">
        <v>149</v>
      </c>
      <c r="C6" s="43">
        <f>0.32*'LNG Fuel'!$C$56/1020</f>
        <v>0.34101960784313728</v>
      </c>
      <c r="D6" s="19"/>
      <c r="E6" s="673" t="s">
        <v>928</v>
      </c>
      <c r="F6" s="673"/>
      <c r="G6" s="64">
        <v>-30</v>
      </c>
      <c r="H6" s="518">
        <v>1</v>
      </c>
      <c r="I6" s="73">
        <v>9</v>
      </c>
      <c r="J6" s="64">
        <v>-30</v>
      </c>
      <c r="K6" s="518">
        <v>1</v>
      </c>
      <c r="L6" s="73">
        <v>9</v>
      </c>
    </row>
    <row r="7" spans="1:12">
      <c r="A7" s="28"/>
      <c r="B7" s="44" t="s">
        <v>150</v>
      </c>
      <c r="C7" s="43">
        <f>0.082*'LNG Fuel'!$C$56/1020</f>
        <v>8.7386274509803921E-2</v>
      </c>
      <c r="D7" s="19"/>
      <c r="E7" s="673" t="s">
        <v>929</v>
      </c>
      <c r="F7" s="673"/>
      <c r="G7" s="64">
        <v>-30</v>
      </c>
      <c r="H7" s="518">
        <v>1</v>
      </c>
      <c r="I7" s="73">
        <v>25</v>
      </c>
      <c r="J7" s="64">
        <v>-30</v>
      </c>
      <c r="K7" s="518">
        <v>1</v>
      </c>
      <c r="L7" s="73">
        <v>8</v>
      </c>
    </row>
    <row r="8" spans="1:12">
      <c r="A8" s="28"/>
      <c r="B8" s="44" t="s">
        <v>151</v>
      </c>
      <c r="C8" s="43">
        <f>0.0021*'LNG Fuel'!$C$56/1020</f>
        <v>2.2379411764705879E-3</v>
      </c>
      <c r="D8" s="19"/>
      <c r="E8" s="673" t="s">
        <v>930</v>
      </c>
      <c r="F8" s="673"/>
      <c r="G8" s="64">
        <v>40</v>
      </c>
      <c r="H8" s="518">
        <v>1</v>
      </c>
      <c r="I8" s="73">
        <v>9</v>
      </c>
      <c r="J8" s="64">
        <v>40</v>
      </c>
      <c r="K8" s="518">
        <v>1</v>
      </c>
      <c r="L8" s="73">
        <v>9</v>
      </c>
    </row>
    <row r="9" spans="1:12">
      <c r="A9" s="28"/>
      <c r="B9" s="44" t="s">
        <v>201</v>
      </c>
      <c r="C9" s="43">
        <f>0.0066*'LNG Fuel'!$C$56/1020</f>
        <v>7.0335294117647058E-3</v>
      </c>
      <c r="D9" s="19"/>
      <c r="E9" s="673" t="s">
        <v>931</v>
      </c>
      <c r="F9" s="673"/>
      <c r="G9" s="64">
        <v>40</v>
      </c>
      <c r="H9" s="518">
        <v>1</v>
      </c>
      <c r="I9" s="73">
        <v>25</v>
      </c>
      <c r="J9" s="64">
        <v>40</v>
      </c>
      <c r="K9" s="518">
        <v>1</v>
      </c>
      <c r="L9" s="73">
        <v>5</v>
      </c>
    </row>
    <row r="10" spans="1:12">
      <c r="A10" s="28"/>
      <c r="B10" s="44" t="s">
        <v>202</v>
      </c>
      <c r="C10" s="43">
        <f>0.0066*'LNG Fuel'!$C$56/1020</f>
        <v>7.0335294117647058E-3</v>
      </c>
      <c r="D10" s="19"/>
      <c r="E10" s="657"/>
      <c r="F10" s="658"/>
      <c r="G10" s="514"/>
      <c r="H10" s="514"/>
      <c r="I10" s="65"/>
      <c r="J10" s="65"/>
      <c r="K10" s="65"/>
      <c r="L10" s="44"/>
    </row>
    <row r="11" spans="1:12">
      <c r="A11" s="28"/>
      <c r="B11" s="44" t="s">
        <v>402</v>
      </c>
      <c r="C11" s="43"/>
      <c r="D11" s="50">
        <f>53.06</f>
        <v>53.06</v>
      </c>
      <c r="E11" s="657"/>
      <c r="F11" s="658"/>
      <c r="G11" s="514"/>
      <c r="H11" s="514"/>
      <c r="I11" s="65"/>
      <c r="J11" s="65"/>
      <c r="K11" s="65"/>
      <c r="L11" s="19"/>
    </row>
    <row r="12" spans="1:12">
      <c r="A12" s="28"/>
      <c r="B12" s="44" t="s">
        <v>403</v>
      </c>
      <c r="C12" s="43"/>
      <c r="D12" s="50">
        <f>0.001</f>
        <v>1E-3</v>
      </c>
      <c r="E12" s="657"/>
      <c r="F12" s="658"/>
      <c r="G12" s="514"/>
      <c r="H12" s="514"/>
      <c r="I12" s="19"/>
      <c r="J12" s="19"/>
      <c r="K12" s="19"/>
      <c r="L12" s="19"/>
    </row>
    <row r="13" spans="1:12">
      <c r="A13" s="28"/>
      <c r="B13" s="44" t="s">
        <v>404</v>
      </c>
      <c r="C13" s="43"/>
      <c r="D13" s="69">
        <f>0.0001</f>
        <v>1E-4</v>
      </c>
      <c r="E13" s="657"/>
      <c r="F13" s="658"/>
      <c r="G13" s="514"/>
      <c r="H13" s="514"/>
      <c r="I13" s="19"/>
      <c r="J13" s="19"/>
      <c r="K13" s="19"/>
      <c r="L13" s="19"/>
    </row>
    <row r="14" spans="1:12">
      <c r="A14" s="28"/>
      <c r="B14" s="70" t="s">
        <v>44</v>
      </c>
    </row>
    <row r="15" spans="1:12">
      <c r="B15" s="70" t="s">
        <v>255</v>
      </c>
    </row>
    <row r="17" spans="2:13" ht="30.75" customHeight="1">
      <c r="B17" s="79" t="s">
        <v>204</v>
      </c>
      <c r="C17" s="655" t="s">
        <v>279</v>
      </c>
      <c r="D17" s="656"/>
      <c r="E17" s="655" t="s">
        <v>381</v>
      </c>
      <c r="F17" s="656"/>
      <c r="G17" s="670" t="s">
        <v>90</v>
      </c>
      <c r="H17" s="671"/>
    </row>
    <row r="18" spans="2:13">
      <c r="B18" s="105" t="s">
        <v>261</v>
      </c>
      <c r="C18" s="504" t="s">
        <v>927</v>
      </c>
      <c r="D18" s="504" t="s">
        <v>318</v>
      </c>
      <c r="E18" s="504" t="s">
        <v>927</v>
      </c>
      <c r="F18" s="504" t="s">
        <v>318</v>
      </c>
      <c r="G18" s="660"/>
      <c r="H18" s="660"/>
      <c r="J18" s="627" t="s">
        <v>64</v>
      </c>
      <c r="K18" s="628"/>
      <c r="L18" s="629"/>
    </row>
    <row r="19" spans="2:13">
      <c r="B19" s="104" t="s">
        <v>47</v>
      </c>
      <c r="C19" s="68">
        <v>6</v>
      </c>
      <c r="D19" s="68">
        <v>6</v>
      </c>
      <c r="E19" s="68">
        <v>4</v>
      </c>
      <c r="F19" s="68">
        <v>4</v>
      </c>
      <c r="G19" s="654" t="s">
        <v>135</v>
      </c>
      <c r="H19" s="654"/>
      <c r="J19" s="45" t="s">
        <v>65</v>
      </c>
      <c r="K19" s="45">
        <v>453.59</v>
      </c>
      <c r="L19" s="45" t="s">
        <v>66</v>
      </c>
    </row>
    <row r="20" spans="2:13">
      <c r="B20" s="517" t="s">
        <v>944</v>
      </c>
      <c r="C20" s="86">
        <v>-30</v>
      </c>
      <c r="D20" s="86">
        <v>40</v>
      </c>
      <c r="E20" s="86">
        <v>-30</v>
      </c>
      <c r="F20" s="86">
        <v>40</v>
      </c>
      <c r="G20" s="654"/>
      <c r="H20" s="654"/>
      <c r="J20" s="45" t="s">
        <v>67</v>
      </c>
      <c r="K20" s="45">
        <v>378.49</v>
      </c>
      <c r="L20" s="45" t="s">
        <v>68</v>
      </c>
    </row>
    <row r="21" spans="2:13">
      <c r="B21" s="517" t="s">
        <v>943</v>
      </c>
      <c r="C21" s="518">
        <v>1</v>
      </c>
      <c r="D21" s="518">
        <v>1</v>
      </c>
      <c r="E21" s="518">
        <v>1</v>
      </c>
      <c r="F21" s="518">
        <v>1</v>
      </c>
      <c r="G21" s="654"/>
      <c r="H21" s="654"/>
      <c r="J21" s="45" t="s">
        <v>69</v>
      </c>
      <c r="K21" s="45">
        <v>1000000</v>
      </c>
      <c r="L21" s="45" t="s">
        <v>70</v>
      </c>
    </row>
    <row r="22" spans="2:13">
      <c r="B22" s="44" t="s">
        <v>49</v>
      </c>
      <c r="C22" s="103">
        <v>8760</v>
      </c>
      <c r="D22" s="103">
        <v>8760</v>
      </c>
      <c r="E22" s="103">
        <v>8760</v>
      </c>
      <c r="F22" s="103">
        <v>8760</v>
      </c>
      <c r="G22" s="659"/>
      <c r="H22" s="659"/>
      <c r="J22" s="46" t="s">
        <v>71</v>
      </c>
      <c r="K22" s="46">
        <v>60</v>
      </c>
      <c r="L22" s="46" t="s">
        <v>72</v>
      </c>
    </row>
    <row r="23" spans="2:13">
      <c r="B23" s="44" t="s">
        <v>258</v>
      </c>
      <c r="C23" s="106">
        <f>C24/$K$29</f>
        <v>155759.68888292878</v>
      </c>
      <c r="D23" s="106">
        <f>D24/$K$29</f>
        <v>152876.49188681776</v>
      </c>
      <c r="E23" s="106">
        <f>E24/$K$29</f>
        <v>60603.459836395334</v>
      </c>
      <c r="F23" s="106">
        <f>F24/$K$29</f>
        <v>53756.202226096284</v>
      </c>
      <c r="G23" s="659"/>
      <c r="H23" s="659"/>
      <c r="J23" s="46" t="s">
        <v>73</v>
      </c>
      <c r="K23" s="45">
        <v>2.8316999999999998E-2</v>
      </c>
      <c r="L23" s="46" t="s">
        <v>74</v>
      </c>
    </row>
    <row r="24" spans="2:13">
      <c r="B24" s="44" t="s">
        <v>259</v>
      </c>
      <c r="C24" s="110">
        <f>116150</f>
        <v>116150</v>
      </c>
      <c r="D24" s="110">
        <f>114000</f>
        <v>114000</v>
      </c>
      <c r="E24" s="110">
        <v>45192</v>
      </c>
      <c r="F24" s="110">
        <v>40086</v>
      </c>
      <c r="G24" s="654" t="s">
        <v>281</v>
      </c>
      <c r="H24" s="654"/>
      <c r="J24" s="45" t="s">
        <v>75</v>
      </c>
      <c r="K24" s="45">
        <v>60</v>
      </c>
      <c r="L24" s="45" t="s">
        <v>76</v>
      </c>
    </row>
    <row r="25" spans="2:13">
      <c r="B25" s="44" t="s">
        <v>260</v>
      </c>
      <c r="C25" s="110">
        <v>1170</v>
      </c>
      <c r="D25" s="110">
        <v>1113</v>
      </c>
      <c r="E25" s="115">
        <v>433</v>
      </c>
      <c r="F25" s="115">
        <v>384</v>
      </c>
      <c r="G25" s="654" t="s">
        <v>135</v>
      </c>
      <c r="H25" s="654"/>
      <c r="J25" s="46" t="s">
        <v>77</v>
      </c>
      <c r="K25" s="46">
        <v>0.94781700000000002</v>
      </c>
      <c r="L25" s="46" t="s">
        <v>78</v>
      </c>
    </row>
    <row r="26" spans="2:13">
      <c r="B26" s="44" t="s">
        <v>146</v>
      </c>
      <c r="C26" s="110">
        <f>1076933/$K$20</f>
        <v>2845.3406959232739</v>
      </c>
      <c r="D26" s="110">
        <f>1024301/$K$20</f>
        <v>2706.2828608417658</v>
      </c>
      <c r="E26" s="110">
        <f>398142/$K$20</f>
        <v>1051.9221115485218</v>
      </c>
      <c r="F26" s="110">
        <f>353158/$K$20</f>
        <v>933.07088694549395</v>
      </c>
      <c r="G26" s="654" t="s">
        <v>135</v>
      </c>
      <c r="H26" s="654"/>
      <c r="J26" s="46" t="s">
        <v>79</v>
      </c>
      <c r="K26" s="46">
        <v>28.32</v>
      </c>
      <c r="L26" s="46" t="s">
        <v>80</v>
      </c>
    </row>
    <row r="27" spans="2:13">
      <c r="B27" s="44" t="s">
        <v>262</v>
      </c>
      <c r="C27" s="111">
        <v>28.55</v>
      </c>
      <c r="D27" s="111">
        <v>28.5</v>
      </c>
      <c r="E27" s="116">
        <v>28.51</v>
      </c>
      <c r="F27" s="116">
        <v>28.54</v>
      </c>
      <c r="G27" s="654" t="s">
        <v>135</v>
      </c>
      <c r="H27" s="654"/>
      <c r="J27" s="46" t="s">
        <v>81</v>
      </c>
      <c r="K27" s="46">
        <v>1000000</v>
      </c>
      <c r="L27" s="46" t="s">
        <v>82</v>
      </c>
    </row>
    <row r="28" spans="2:13">
      <c r="B28" s="44" t="s">
        <v>282</v>
      </c>
      <c r="C28" s="110">
        <v>2524290</v>
      </c>
      <c r="D28" s="110">
        <v>2477111</v>
      </c>
      <c r="E28" s="110">
        <v>1027143</v>
      </c>
      <c r="F28" s="110">
        <v>924064</v>
      </c>
      <c r="G28" s="654" t="s">
        <v>135</v>
      </c>
      <c r="H28" s="654"/>
      <c r="J28" s="46" t="s">
        <v>83</v>
      </c>
      <c r="K28" s="46">
        <v>2000</v>
      </c>
      <c r="L28" s="46" t="s">
        <v>84</v>
      </c>
    </row>
    <row r="29" spans="2:13">
      <c r="B29" s="44" t="s">
        <v>263</v>
      </c>
      <c r="C29" s="106">
        <f t="shared" ref="C29" si="0">C28/C27</f>
        <v>88416.462346760061</v>
      </c>
      <c r="D29" s="106">
        <f t="shared" ref="D29:F29" si="1">D28/D27</f>
        <v>86916.175438596489</v>
      </c>
      <c r="E29" s="106">
        <f t="shared" ref="E29" si="2">E28/E27</f>
        <v>36027.46404770256</v>
      </c>
      <c r="F29" s="106">
        <f t="shared" si="1"/>
        <v>32377.855641205326</v>
      </c>
      <c r="G29" s="659"/>
      <c r="H29" s="659"/>
      <c r="J29" s="46" t="s">
        <v>85</v>
      </c>
      <c r="K29" s="46">
        <v>0.74570000000000003</v>
      </c>
      <c r="L29" s="46" t="s">
        <v>86</v>
      </c>
    </row>
    <row r="30" spans="2:13">
      <c r="B30" s="44" t="s">
        <v>272</v>
      </c>
      <c r="C30" s="112">
        <v>6.7199999999999996E-2</v>
      </c>
      <c r="D30" s="112">
        <v>7.0999999999999994E-2</v>
      </c>
      <c r="E30" s="112">
        <v>6.9400000000000003E-2</v>
      </c>
      <c r="F30" s="112">
        <v>6.4399999999999999E-2</v>
      </c>
      <c r="G30" s="654" t="s">
        <v>135</v>
      </c>
      <c r="H30" s="654"/>
      <c r="J30" s="46" t="s">
        <v>105</v>
      </c>
      <c r="K30" s="46">
        <v>2.2046000000000001</v>
      </c>
      <c r="L30" s="46" t="s">
        <v>84</v>
      </c>
    </row>
    <row r="31" spans="2:13">
      <c r="B31" s="44" t="s">
        <v>273</v>
      </c>
      <c r="C31" s="106">
        <f t="shared" ref="C31" si="3">C29-(C29*C30)</f>
        <v>82474.876077057779</v>
      </c>
      <c r="D31" s="106">
        <f t="shared" ref="D31:F31" si="4">D29-(D29*D30)</f>
        <v>80745.126982456131</v>
      </c>
      <c r="E31" s="106">
        <f t="shared" ref="E31" si="5">E29-(E29*E30)</f>
        <v>33527.158042792005</v>
      </c>
      <c r="F31" s="106">
        <f t="shared" si="4"/>
        <v>30292.721737911703</v>
      </c>
      <c r="G31" s="657"/>
      <c r="H31" s="658"/>
      <c r="J31" s="46" t="s">
        <v>268</v>
      </c>
      <c r="K31" s="46">
        <v>1000000</v>
      </c>
      <c r="L31" s="46" t="s">
        <v>51</v>
      </c>
    </row>
    <row r="32" spans="2:13">
      <c r="B32" s="44" t="s">
        <v>283</v>
      </c>
      <c r="C32" s="112">
        <f>13.43%/(1-C30)</f>
        <v>0.14397512864493997</v>
      </c>
      <c r="D32" s="112">
        <f>13.55%/(1-D30)</f>
        <v>0.14585575888051669</v>
      </c>
      <c r="E32" s="113">
        <f>13.67%/(1-E30)</f>
        <v>0.14689447668171071</v>
      </c>
      <c r="F32" s="113">
        <f>14.24%/(1-F30)</f>
        <v>0.15220179563916203</v>
      </c>
      <c r="G32" s="654" t="s">
        <v>135</v>
      </c>
      <c r="H32" s="654"/>
      <c r="J32" s="565" t="s">
        <v>957</v>
      </c>
      <c r="K32" s="46">
        <v>1000</v>
      </c>
      <c r="L32" s="565" t="s">
        <v>958</v>
      </c>
      <c r="M32" s="498"/>
    </row>
    <row r="33" spans="2:11">
      <c r="B33" s="44" t="s">
        <v>275</v>
      </c>
      <c r="C33" s="106">
        <f t="shared" ref="C33" si="6">C29*10.73*(C70+460)/14.696</f>
        <v>92314463.568484753</v>
      </c>
      <c r="D33" s="106">
        <f t="shared" ref="D33:F33" si="7">D29*10.73*(D70+460)/14.696</f>
        <v>90748033.771929845</v>
      </c>
      <c r="E33" s="106">
        <f t="shared" ref="E33" si="8">E29*10.73*(E70+460)/14.696</f>
        <v>21070109.286520865</v>
      </c>
      <c r="F33" s="106">
        <f t="shared" si="7"/>
        <v>18935691.835542776</v>
      </c>
      <c r="G33" s="654"/>
      <c r="H33" s="654"/>
    </row>
    <row r="34" spans="2:11">
      <c r="B34" s="48" t="s">
        <v>266</v>
      </c>
      <c r="C34" s="100"/>
      <c r="D34" s="100"/>
      <c r="E34" s="100"/>
      <c r="F34" s="100"/>
      <c r="G34" s="660"/>
      <c r="H34" s="660"/>
      <c r="J34" s="665" t="s">
        <v>104</v>
      </c>
      <c r="K34" s="666"/>
    </row>
    <row r="35" spans="2:11">
      <c r="B35" s="44" t="s">
        <v>264</v>
      </c>
      <c r="C35" s="21">
        <f>$I$6</f>
        <v>9</v>
      </c>
      <c r="D35" s="21">
        <f>$I$8</f>
        <v>9</v>
      </c>
      <c r="E35" s="21">
        <f>$L$6</f>
        <v>9</v>
      </c>
      <c r="F35" s="21">
        <f>$L$8</f>
        <v>9</v>
      </c>
      <c r="G35" s="663" t="s">
        <v>271</v>
      </c>
      <c r="H35" s="664"/>
      <c r="J35" s="51">
        <v>1</v>
      </c>
      <c r="K35" s="54" t="s">
        <v>97</v>
      </c>
    </row>
    <row r="36" spans="2:11">
      <c r="B36" s="44" t="s">
        <v>265</v>
      </c>
      <c r="C36" s="21">
        <f>$I$7</f>
        <v>25</v>
      </c>
      <c r="D36" s="21">
        <f>$I$9</f>
        <v>25</v>
      </c>
      <c r="E36" s="21">
        <f>$L$7</f>
        <v>8</v>
      </c>
      <c r="F36" s="21">
        <f>$L$9</f>
        <v>5</v>
      </c>
      <c r="G36" s="663" t="s">
        <v>271</v>
      </c>
      <c r="H36" s="664"/>
      <c r="J36" s="51">
        <v>25</v>
      </c>
      <c r="K36" s="54" t="s">
        <v>98</v>
      </c>
    </row>
    <row r="37" spans="2:11">
      <c r="B37" s="44" t="s">
        <v>151</v>
      </c>
      <c r="C37" s="43">
        <f t="shared" ref="C37:F37" si="9">$C$8</f>
        <v>2.2379411764705879E-3</v>
      </c>
      <c r="D37" s="43">
        <f t="shared" si="9"/>
        <v>2.2379411764705879E-3</v>
      </c>
      <c r="E37" s="43">
        <f t="shared" si="9"/>
        <v>2.2379411764705879E-3</v>
      </c>
      <c r="F37" s="43">
        <f t="shared" si="9"/>
        <v>2.2379411764705879E-3</v>
      </c>
      <c r="G37" s="659"/>
      <c r="H37" s="659"/>
      <c r="J37" s="51">
        <v>298</v>
      </c>
      <c r="K37" s="54" t="s">
        <v>99</v>
      </c>
    </row>
    <row r="38" spans="2:11">
      <c r="B38" s="44" t="s">
        <v>201</v>
      </c>
      <c r="C38" s="43">
        <f t="shared" ref="C38:F38" si="10">$C$9</f>
        <v>7.0335294117647058E-3</v>
      </c>
      <c r="D38" s="43">
        <f t="shared" si="10"/>
        <v>7.0335294117647058E-3</v>
      </c>
      <c r="E38" s="43">
        <f t="shared" si="10"/>
        <v>7.0335294117647058E-3</v>
      </c>
      <c r="F38" s="43">
        <f t="shared" si="10"/>
        <v>7.0335294117647058E-3</v>
      </c>
      <c r="G38" s="659"/>
      <c r="H38" s="659"/>
    </row>
    <row r="39" spans="2:11">
      <c r="B39" s="44" t="s">
        <v>202</v>
      </c>
      <c r="C39" s="43">
        <f t="shared" ref="C39:F39" si="11">$C$10</f>
        <v>7.0335294117647058E-3</v>
      </c>
      <c r="D39" s="43">
        <f t="shared" si="11"/>
        <v>7.0335294117647058E-3</v>
      </c>
      <c r="E39" s="43">
        <f t="shared" si="11"/>
        <v>7.0335294117647058E-3</v>
      </c>
      <c r="F39" s="43">
        <f t="shared" si="11"/>
        <v>7.0335294117647058E-3</v>
      </c>
      <c r="G39" s="659"/>
      <c r="H39" s="659"/>
      <c r="J39" s="657" t="s">
        <v>269</v>
      </c>
      <c r="K39" s="658"/>
    </row>
    <row r="40" spans="2:11">
      <c r="B40" s="44" t="s">
        <v>96</v>
      </c>
      <c r="C40" s="50" t="s">
        <v>133</v>
      </c>
      <c r="D40" s="50" t="s">
        <v>133</v>
      </c>
      <c r="E40" s="50" t="s">
        <v>133</v>
      </c>
      <c r="F40" s="50" t="s">
        <v>133</v>
      </c>
      <c r="G40" s="661" t="s">
        <v>953</v>
      </c>
      <c r="H40" s="662"/>
      <c r="J40" s="19" t="s">
        <v>270</v>
      </c>
      <c r="K40" s="19">
        <v>46.01</v>
      </c>
    </row>
    <row r="41" spans="2:11">
      <c r="B41" s="44" t="s">
        <v>402</v>
      </c>
      <c r="C41" s="50">
        <f t="shared" ref="C41:F41" si="12">$D$11</f>
        <v>53.06</v>
      </c>
      <c r="D41" s="50">
        <f t="shared" si="12"/>
        <v>53.06</v>
      </c>
      <c r="E41" s="50">
        <f t="shared" si="12"/>
        <v>53.06</v>
      </c>
      <c r="F41" s="50">
        <f t="shared" si="12"/>
        <v>53.06</v>
      </c>
      <c r="G41" s="659"/>
      <c r="H41" s="659"/>
      <c r="J41" s="19" t="s">
        <v>35</v>
      </c>
      <c r="K41" s="19">
        <v>28.01</v>
      </c>
    </row>
    <row r="42" spans="2:11">
      <c r="B42" s="44" t="s">
        <v>403</v>
      </c>
      <c r="C42" s="50">
        <f t="shared" ref="C42:F42" si="13">$D$12</f>
        <v>1E-3</v>
      </c>
      <c r="D42" s="50">
        <f t="shared" si="13"/>
        <v>1E-3</v>
      </c>
      <c r="E42" s="50">
        <f t="shared" si="13"/>
        <v>1E-3</v>
      </c>
      <c r="F42" s="50">
        <f t="shared" si="13"/>
        <v>1E-3</v>
      </c>
      <c r="G42" s="659"/>
      <c r="H42" s="659"/>
    </row>
    <row r="43" spans="2:11">
      <c r="B43" s="44" t="s">
        <v>404</v>
      </c>
      <c r="C43" s="69">
        <f t="shared" ref="C43:F43" si="14">$D$13</f>
        <v>1E-4</v>
      </c>
      <c r="D43" s="69">
        <f t="shared" si="14"/>
        <v>1E-4</v>
      </c>
      <c r="E43" s="69">
        <f t="shared" si="14"/>
        <v>1E-4</v>
      </c>
      <c r="F43" s="69">
        <f t="shared" si="14"/>
        <v>1E-4</v>
      </c>
      <c r="G43" s="659"/>
      <c r="H43" s="659"/>
    </row>
    <row r="44" spans="2:11">
      <c r="B44" s="48" t="s">
        <v>267</v>
      </c>
      <c r="C44" s="504"/>
      <c r="D44" s="504"/>
      <c r="E44" s="504"/>
      <c r="F44" s="504"/>
      <c r="G44" s="660"/>
      <c r="H44" s="660"/>
    </row>
    <row r="45" spans="2:11">
      <c r="B45" s="44" t="s">
        <v>107</v>
      </c>
      <c r="C45" s="43">
        <f t="shared" ref="C45" si="15">C31*((C35/$K$31)*(0.209-C32)/(0.209-0.15))*$K$40</f>
        <v>37.639505089996554</v>
      </c>
      <c r="D45" s="43">
        <f>D31*((D35/$K$31)*(0.209-D32)/(0.209-0.15))*$K$40</f>
        <v>35.78432265735794</v>
      </c>
      <c r="E45" s="43">
        <f>E31*((E35/$K$31)*(0.209-E32)/(0.209-0.15))*$K$40</f>
        <v>14.614020032887421</v>
      </c>
      <c r="F45" s="43">
        <f>F31*((F35/$K$31)*(0.209-F32)/(0.209-0.15))*$K$40</f>
        <v>12.075792241748781</v>
      </c>
      <c r="G45" s="659"/>
      <c r="H45" s="659"/>
    </row>
    <row r="46" spans="2:11">
      <c r="B46" s="44" t="s">
        <v>108</v>
      </c>
      <c r="C46" s="43">
        <f t="shared" ref="C46" si="16">C31*((C36/$K$31)*(0.209-C32)/(0.209-0.15))*$K$41</f>
        <v>63.650567362819906</v>
      </c>
      <c r="D46" s="43">
        <f>D31*((D36/$K$31)*(0.209-D32)/(0.209-0.15))*$K$41</f>
        <v>60.513347197022142</v>
      </c>
      <c r="E46" s="43">
        <f>E31*((E36/$K$31)*(0.209-E32)/(0.209-0.15))*$K$41</f>
        <v>7.9082074161883007</v>
      </c>
      <c r="F46" s="43">
        <f>F31*((F36/$K$31)*(0.209-F32)/(0.209-0.15))*$K$41</f>
        <v>4.0841718067495414</v>
      </c>
      <c r="G46" s="659"/>
      <c r="H46" s="659"/>
    </row>
    <row r="47" spans="2:11">
      <c r="B47" s="44" t="s">
        <v>109</v>
      </c>
      <c r="C47" s="43">
        <f t="shared" ref="C47" si="17">C37*C25</f>
        <v>2.6183911764705878</v>
      </c>
      <c r="D47" s="43">
        <f t="shared" ref="D47:F47" si="18">D37*D25</f>
        <v>2.4908285294117642</v>
      </c>
      <c r="E47" s="43">
        <f t="shared" ref="E47" si="19">E37*E25</f>
        <v>0.96902852941176454</v>
      </c>
      <c r="F47" s="43">
        <f t="shared" si="18"/>
        <v>0.85936941176470572</v>
      </c>
      <c r="G47" s="659"/>
      <c r="H47" s="659"/>
    </row>
    <row r="48" spans="2:11">
      <c r="B48" s="44" t="s">
        <v>110</v>
      </c>
      <c r="C48" s="43">
        <f t="shared" ref="C48" si="20">C38*C25</f>
        <v>8.229229411764706</v>
      </c>
      <c r="D48" s="43">
        <f t="shared" ref="D48:F48" si="21">D38*D25</f>
        <v>7.8283182352941179</v>
      </c>
      <c r="E48" s="43">
        <f t="shared" ref="E48" si="22">E38*E25</f>
        <v>3.0455182352941175</v>
      </c>
      <c r="F48" s="43">
        <f t="shared" si="21"/>
        <v>2.700875294117647</v>
      </c>
      <c r="G48" s="659"/>
      <c r="H48" s="659"/>
    </row>
    <row r="49" spans="2:8">
      <c r="B49" s="44" t="s">
        <v>111</v>
      </c>
      <c r="C49" s="43">
        <f t="shared" ref="C49" si="23">C39*C25</f>
        <v>8.229229411764706</v>
      </c>
      <c r="D49" s="43">
        <f t="shared" ref="D49:F49" si="24">D39*D25</f>
        <v>7.8283182352941179</v>
      </c>
      <c r="E49" s="43">
        <f t="shared" ref="E49" si="25">E39*E25</f>
        <v>3.0455182352941175</v>
      </c>
      <c r="F49" s="43">
        <f t="shared" si="24"/>
        <v>2.700875294117647</v>
      </c>
      <c r="G49" s="659"/>
      <c r="H49" s="659"/>
    </row>
    <row r="50" spans="2:8">
      <c r="B50" s="44" t="s">
        <v>378</v>
      </c>
      <c r="C50" s="43">
        <f>C26*('LNG Fuel'!$C$45/100)*'LNG Fuel'!$D$45</f>
        <v>2.9166335524003277</v>
      </c>
      <c r="D50" s="43">
        <f>D26*('LNG Fuel'!$C$45/100)*'LNG Fuel'!$D$45</f>
        <v>2.7740914842030171</v>
      </c>
      <c r="E50" s="43">
        <f>E26*('LNG Fuel'!$C$45/100)*'LNG Fuel'!$D$45</f>
        <v>1.0782790719754816</v>
      </c>
      <c r="F50" s="43">
        <f>F26*('LNG Fuel'!$C$45/100)*'LNG Fuel'!$D$45</f>
        <v>0.95644991108880018</v>
      </c>
      <c r="G50" s="659"/>
      <c r="H50" s="659"/>
    </row>
    <row r="51" spans="2:8">
      <c r="B51" s="44" t="s">
        <v>113</v>
      </c>
      <c r="C51" s="107">
        <f t="shared" ref="C51:F53" si="26">C41*C$25*$K$30</f>
        <v>136862.00892000002</v>
      </c>
      <c r="D51" s="107">
        <f t="shared" si="26"/>
        <v>130194.37258800003</v>
      </c>
      <c r="E51" s="107">
        <f t="shared" si="26"/>
        <v>50650.640908000001</v>
      </c>
      <c r="F51" s="107">
        <f t="shared" si="26"/>
        <v>44918.813184000006</v>
      </c>
      <c r="G51" s="659"/>
      <c r="H51" s="659"/>
    </row>
    <row r="52" spans="2:8">
      <c r="B52" s="44" t="s">
        <v>114</v>
      </c>
      <c r="C52" s="107">
        <f t="shared" si="26"/>
        <v>2.5793819999999998</v>
      </c>
      <c r="D52" s="107">
        <f t="shared" si="26"/>
        <v>2.4537198</v>
      </c>
      <c r="E52" s="107">
        <f t="shared" si="26"/>
        <v>0.95459179999999999</v>
      </c>
      <c r="F52" s="107">
        <f t="shared" si="26"/>
        <v>0.84656640000000005</v>
      </c>
      <c r="G52" s="659"/>
      <c r="H52" s="659"/>
    </row>
    <row r="53" spans="2:8">
      <c r="B53" s="44" t="s">
        <v>115</v>
      </c>
      <c r="C53" s="107">
        <f t="shared" si="26"/>
        <v>0.25793820000000001</v>
      </c>
      <c r="D53" s="107">
        <f t="shared" si="26"/>
        <v>0.24537198000000005</v>
      </c>
      <c r="E53" s="107">
        <f t="shared" si="26"/>
        <v>9.5459180000000018E-2</v>
      </c>
      <c r="F53" s="107">
        <f t="shared" si="26"/>
        <v>8.4656640000000019E-2</v>
      </c>
      <c r="G53" s="659"/>
      <c r="H53" s="659"/>
    </row>
    <row r="54" spans="2:8">
      <c r="B54" s="44" t="s">
        <v>116</v>
      </c>
      <c r="C54" s="107">
        <f t="shared" ref="C54" si="27">C51*$J$35+C52*$J$36+C53*$J$37</f>
        <v>137003.35905360003</v>
      </c>
      <c r="D54" s="107">
        <f>D51*$J$35+D52*$J$36+D53*$J$37</f>
        <v>130328.83643304002</v>
      </c>
      <c r="E54" s="107">
        <f>E51*$J$35+E52*$J$36+E53*$J$37</f>
        <v>50702.952538640006</v>
      </c>
      <c r="F54" s="107">
        <f>F51*$J$35+F52*$J$36+F53*$J$37</f>
        <v>44965.205022720009</v>
      </c>
      <c r="G54" s="659"/>
      <c r="H54" s="659"/>
    </row>
    <row r="55" spans="2:8">
      <c r="B55" s="48" t="s">
        <v>274</v>
      </c>
      <c r="C55" s="100"/>
      <c r="D55" s="100"/>
      <c r="E55" s="100"/>
      <c r="F55" s="100"/>
      <c r="G55" s="660"/>
      <c r="H55" s="660"/>
    </row>
    <row r="56" spans="2:8">
      <c r="B56" s="44" t="s">
        <v>119</v>
      </c>
      <c r="C56" s="107">
        <f t="shared" ref="C56:F61" si="28">C45/$K$28*C$22</f>
        <v>164.86103229418492</v>
      </c>
      <c r="D56" s="107">
        <f t="shared" si="28"/>
        <v>156.73533323922777</v>
      </c>
      <c r="E56" s="107">
        <f t="shared" si="28"/>
        <v>64.009407744046896</v>
      </c>
      <c r="F56" s="107">
        <f t="shared" si="28"/>
        <v>52.891970018859659</v>
      </c>
      <c r="G56" s="659"/>
      <c r="H56" s="659"/>
    </row>
    <row r="57" spans="2:8">
      <c r="B57" s="44" t="s">
        <v>120</v>
      </c>
      <c r="C57" s="107">
        <f t="shared" si="28"/>
        <v>278.78948504915115</v>
      </c>
      <c r="D57" s="107">
        <f t="shared" si="28"/>
        <v>265.04846072295697</v>
      </c>
      <c r="E57" s="107">
        <f t="shared" si="28"/>
        <v>34.637948482904761</v>
      </c>
      <c r="F57" s="107">
        <f t="shared" si="28"/>
        <v>17.888672513562991</v>
      </c>
      <c r="G57" s="659"/>
      <c r="H57" s="659"/>
    </row>
    <row r="58" spans="2:8">
      <c r="B58" s="44" t="s">
        <v>121</v>
      </c>
      <c r="C58" s="107">
        <f t="shared" si="28"/>
        <v>11.468553352941175</v>
      </c>
      <c r="D58" s="107">
        <f t="shared" si="28"/>
        <v>10.909828958823526</v>
      </c>
      <c r="E58" s="107">
        <f t="shared" si="28"/>
        <v>4.2443449588235289</v>
      </c>
      <c r="F58" s="107">
        <f t="shared" si="28"/>
        <v>3.7640380235294111</v>
      </c>
      <c r="G58" s="659"/>
      <c r="H58" s="659"/>
    </row>
    <row r="59" spans="2:8">
      <c r="B59" s="44" t="s">
        <v>122</v>
      </c>
      <c r="C59" s="107">
        <f t="shared" si="28"/>
        <v>36.044024823529419</v>
      </c>
      <c r="D59" s="107">
        <f t="shared" si="28"/>
        <v>34.288033870588237</v>
      </c>
      <c r="E59" s="107">
        <f t="shared" si="28"/>
        <v>13.339369870588236</v>
      </c>
      <c r="F59" s="107">
        <f t="shared" si="28"/>
        <v>11.829833788235295</v>
      </c>
      <c r="G59" s="659"/>
      <c r="H59" s="659"/>
    </row>
    <row r="60" spans="2:8">
      <c r="B60" s="44" t="s">
        <v>123</v>
      </c>
      <c r="C60" s="107">
        <f t="shared" si="28"/>
        <v>36.044024823529419</v>
      </c>
      <c r="D60" s="107">
        <f t="shared" si="28"/>
        <v>34.288033870588237</v>
      </c>
      <c r="E60" s="107">
        <f t="shared" si="28"/>
        <v>13.339369870588236</v>
      </c>
      <c r="F60" s="107">
        <f t="shared" si="28"/>
        <v>11.829833788235295</v>
      </c>
      <c r="G60" s="659"/>
      <c r="H60" s="659"/>
    </row>
    <row r="61" spans="2:8">
      <c r="B61" s="44" t="s">
        <v>379</v>
      </c>
      <c r="C61" s="107">
        <f t="shared" si="28"/>
        <v>12.774854959513435</v>
      </c>
      <c r="D61" s="107">
        <f t="shared" si="28"/>
        <v>12.150520700809214</v>
      </c>
      <c r="E61" s="107">
        <f t="shared" si="28"/>
        <v>4.7228623352526089</v>
      </c>
      <c r="F61" s="107">
        <f t="shared" si="28"/>
        <v>4.1892506105689451</v>
      </c>
      <c r="G61" s="659"/>
      <c r="H61" s="659"/>
    </row>
    <row r="62" spans="2:8">
      <c r="B62" s="44" t="s">
        <v>920</v>
      </c>
      <c r="C62" s="107">
        <f t="shared" ref="C62:F64" si="29">C41*C$25/$K$32*C$22</f>
        <v>543822.55200000003</v>
      </c>
      <c r="D62" s="107">
        <f t="shared" si="29"/>
        <v>517328.63280000002</v>
      </c>
      <c r="E62" s="107">
        <f t="shared" si="29"/>
        <v>201260.8248</v>
      </c>
      <c r="F62" s="107">
        <f t="shared" si="29"/>
        <v>178485.35040000002</v>
      </c>
      <c r="G62" s="659"/>
      <c r="H62" s="659"/>
    </row>
    <row r="63" spans="2:8">
      <c r="B63" s="44" t="s">
        <v>921</v>
      </c>
      <c r="C63" s="107">
        <f t="shared" si="29"/>
        <v>10.2492</v>
      </c>
      <c r="D63" s="107">
        <f t="shared" si="29"/>
        <v>9.749880000000001</v>
      </c>
      <c r="E63" s="107">
        <f t="shared" si="29"/>
        <v>3.7930800000000002</v>
      </c>
      <c r="F63" s="107">
        <f t="shared" si="29"/>
        <v>3.3638400000000002</v>
      </c>
      <c r="G63" s="659"/>
      <c r="H63" s="659"/>
    </row>
    <row r="64" spans="2:8">
      <c r="B64" s="44" t="s">
        <v>922</v>
      </c>
      <c r="C64" s="107">
        <f t="shared" si="29"/>
        <v>1.0249200000000001</v>
      </c>
      <c r="D64" s="107">
        <f t="shared" si="29"/>
        <v>0.97498800000000008</v>
      </c>
      <c r="E64" s="107">
        <f t="shared" si="29"/>
        <v>0.37930800000000003</v>
      </c>
      <c r="F64" s="107">
        <f t="shared" si="29"/>
        <v>0.33638400000000007</v>
      </c>
      <c r="G64" s="659"/>
      <c r="H64" s="659"/>
    </row>
    <row r="65" spans="2:8">
      <c r="B65" s="44" t="s">
        <v>923</v>
      </c>
      <c r="C65" s="107">
        <f t="shared" ref="C65" si="30">C62*$J$35+C63*$J$36+C64*$J$37</f>
        <v>544384.20816000004</v>
      </c>
      <c r="D65" s="107">
        <f>D62*$J$35+D63*$J$36+D64*$J$37</f>
        <v>517862.926224</v>
      </c>
      <c r="E65" s="107">
        <f>E62*$J$35+E63*$J$36+E64*$J$37</f>
        <v>201468.68558399999</v>
      </c>
      <c r="F65" s="107">
        <f>F62*$J$35+F63*$J$36+F64*$J$37</f>
        <v>178669.68883200001</v>
      </c>
      <c r="G65" s="659"/>
      <c r="H65" s="659"/>
    </row>
    <row r="66" spans="2:8">
      <c r="B66" s="48" t="s">
        <v>139</v>
      </c>
      <c r="C66" s="100"/>
      <c r="D66" s="100"/>
      <c r="E66" s="100"/>
      <c r="F66" s="100"/>
      <c r="G66" s="660"/>
      <c r="H66" s="660"/>
    </row>
    <row r="67" spans="2:8">
      <c r="B67" s="66" t="s">
        <v>140</v>
      </c>
      <c r="C67" s="68">
        <v>210</v>
      </c>
      <c r="D67" s="68">
        <v>210</v>
      </c>
      <c r="E67" s="68">
        <v>150</v>
      </c>
      <c r="F67" s="68">
        <v>150</v>
      </c>
      <c r="G67" s="654" t="s">
        <v>135</v>
      </c>
      <c r="H67" s="654"/>
    </row>
    <row r="68" spans="2:8">
      <c r="B68" s="66" t="s">
        <v>934</v>
      </c>
      <c r="C68" s="86">
        <v>-30</v>
      </c>
      <c r="D68" s="86">
        <v>-30</v>
      </c>
      <c r="E68" s="86" t="s">
        <v>937</v>
      </c>
      <c r="F68" s="86" t="s">
        <v>937</v>
      </c>
      <c r="G68" s="657"/>
      <c r="H68" s="658"/>
    </row>
    <row r="69" spans="2:8">
      <c r="B69" s="66" t="s">
        <v>932</v>
      </c>
      <c r="C69" s="518">
        <v>1</v>
      </c>
      <c r="D69" s="518">
        <v>1</v>
      </c>
      <c r="E69" s="86" t="s">
        <v>937</v>
      </c>
      <c r="F69" s="86" t="s">
        <v>937</v>
      </c>
      <c r="G69" s="657"/>
      <c r="H69" s="658"/>
    </row>
    <row r="70" spans="2:8">
      <c r="B70" s="66" t="s">
        <v>141</v>
      </c>
      <c r="C70" s="68">
        <v>970</v>
      </c>
      <c r="D70" s="68">
        <v>970</v>
      </c>
      <c r="E70" s="68">
        <v>341</v>
      </c>
      <c r="F70" s="68">
        <v>341</v>
      </c>
      <c r="G70" s="654" t="s">
        <v>376</v>
      </c>
      <c r="H70" s="654"/>
    </row>
    <row r="71" spans="2:8">
      <c r="B71" s="66" t="s">
        <v>935</v>
      </c>
      <c r="C71" s="86">
        <v>71</v>
      </c>
      <c r="D71" s="86">
        <v>71</v>
      </c>
      <c r="E71" s="86">
        <v>70</v>
      </c>
      <c r="F71" s="86">
        <v>70</v>
      </c>
      <c r="G71" s="657"/>
      <c r="H71" s="658"/>
    </row>
    <row r="72" spans="2:8">
      <c r="B72" s="66" t="s">
        <v>933</v>
      </c>
      <c r="C72" s="518">
        <v>1</v>
      </c>
      <c r="D72" s="518">
        <v>1</v>
      </c>
      <c r="E72" s="515">
        <v>0.6</v>
      </c>
      <c r="F72" s="515">
        <v>0.6</v>
      </c>
      <c r="G72" s="657"/>
      <c r="H72" s="658"/>
    </row>
    <row r="73" spans="2:8">
      <c r="B73" s="66" t="s">
        <v>142</v>
      </c>
      <c r="C73" s="68">
        <v>86</v>
      </c>
      <c r="D73" s="68">
        <v>86</v>
      </c>
      <c r="E73" s="114">
        <v>48</v>
      </c>
      <c r="F73" s="114">
        <v>48</v>
      </c>
      <c r="G73" s="654" t="s">
        <v>375</v>
      </c>
      <c r="H73" s="654"/>
    </row>
    <row r="74" spans="2:8">
      <c r="B74" s="66" t="s">
        <v>143</v>
      </c>
      <c r="C74" s="68">
        <f>228/12</f>
        <v>19</v>
      </c>
      <c r="D74" s="68">
        <f>228/12</f>
        <v>19</v>
      </c>
      <c r="E74" s="68">
        <f>120/12</f>
        <v>10</v>
      </c>
      <c r="F74" s="68">
        <f>120/12</f>
        <v>10</v>
      </c>
      <c r="G74" s="654" t="s">
        <v>135</v>
      </c>
      <c r="H74" s="654"/>
    </row>
    <row r="75" spans="2:8">
      <c r="B75" s="66" t="s">
        <v>256</v>
      </c>
      <c r="C75" s="86">
        <v>0.5</v>
      </c>
      <c r="D75" s="86">
        <v>0.5</v>
      </c>
      <c r="E75" s="86">
        <v>0.5</v>
      </c>
      <c r="F75" s="86">
        <v>0.5</v>
      </c>
      <c r="G75" s="654" t="s">
        <v>257</v>
      </c>
      <c r="H75" s="654"/>
    </row>
  </sheetData>
  <mergeCells count="76">
    <mergeCell ref="B4:B5"/>
    <mergeCell ref="C4:D4"/>
    <mergeCell ref="G17:H17"/>
    <mergeCell ref="E5:F5"/>
    <mergeCell ref="E6:F6"/>
    <mergeCell ref="E7:F7"/>
    <mergeCell ref="E8:F8"/>
    <mergeCell ref="E9:F9"/>
    <mergeCell ref="E10:F10"/>
    <mergeCell ref="E11:F11"/>
    <mergeCell ref="E12:F12"/>
    <mergeCell ref="E13:F13"/>
    <mergeCell ref="E4:L4"/>
    <mergeCell ref="G29:H29"/>
    <mergeCell ref="G18:H18"/>
    <mergeCell ref="J18:L18"/>
    <mergeCell ref="G19:H19"/>
    <mergeCell ref="G21:H21"/>
    <mergeCell ref="G22:H22"/>
    <mergeCell ref="G23:H23"/>
    <mergeCell ref="G24:H24"/>
    <mergeCell ref="G25:H25"/>
    <mergeCell ref="G26:H26"/>
    <mergeCell ref="G27:H27"/>
    <mergeCell ref="G28:H28"/>
    <mergeCell ref="G20:H20"/>
    <mergeCell ref="G40:H40"/>
    <mergeCell ref="J39:K39"/>
    <mergeCell ref="G30:H30"/>
    <mergeCell ref="G31:H31"/>
    <mergeCell ref="G32:H32"/>
    <mergeCell ref="G33:H33"/>
    <mergeCell ref="G34:H34"/>
    <mergeCell ref="G35:H35"/>
    <mergeCell ref="J34:K34"/>
    <mergeCell ref="G36:H36"/>
    <mergeCell ref="G37:H37"/>
    <mergeCell ref="G38:H38"/>
    <mergeCell ref="G39:H39"/>
    <mergeCell ref="G52:H52"/>
    <mergeCell ref="G41:H41"/>
    <mergeCell ref="G42:H42"/>
    <mergeCell ref="G43:H43"/>
    <mergeCell ref="G44:H44"/>
    <mergeCell ref="G45:H45"/>
    <mergeCell ref="G46:H46"/>
    <mergeCell ref="G47:H47"/>
    <mergeCell ref="G48:H48"/>
    <mergeCell ref="G49:H49"/>
    <mergeCell ref="G50:H50"/>
    <mergeCell ref="G51:H51"/>
    <mergeCell ref="G62:H62"/>
    <mergeCell ref="G63:H63"/>
    <mergeCell ref="G64:H64"/>
    <mergeCell ref="G53:H53"/>
    <mergeCell ref="G54:H54"/>
    <mergeCell ref="G55:H55"/>
    <mergeCell ref="G56:H56"/>
    <mergeCell ref="G57:H57"/>
    <mergeCell ref="G58:H58"/>
    <mergeCell ref="G73:H73"/>
    <mergeCell ref="G74:H74"/>
    <mergeCell ref="G75:H75"/>
    <mergeCell ref="C17:D17"/>
    <mergeCell ref="E17:F17"/>
    <mergeCell ref="G68:H68"/>
    <mergeCell ref="G71:H71"/>
    <mergeCell ref="G65:H65"/>
    <mergeCell ref="G66:H66"/>
    <mergeCell ref="G67:H67"/>
    <mergeCell ref="G69:H69"/>
    <mergeCell ref="G70:H70"/>
    <mergeCell ref="G72:H72"/>
    <mergeCell ref="G59:H59"/>
    <mergeCell ref="G60:H60"/>
    <mergeCell ref="G61:H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64"/>
  <sheetViews>
    <sheetView tabSelected="1" topLeftCell="A18" workbookViewId="0">
      <selection activeCell="D52" sqref="D52"/>
    </sheetView>
  </sheetViews>
  <sheetFormatPr defaultRowHeight="15"/>
  <cols>
    <col min="1" max="1" width="2" customWidth="1"/>
    <col min="2" max="2" width="32.42578125" customWidth="1"/>
    <col min="3" max="3" width="19" customWidth="1"/>
    <col min="4" max="4" width="19.42578125" customWidth="1"/>
    <col min="5" max="5" width="18.28515625" customWidth="1"/>
    <col min="6" max="6" width="18.7109375" customWidth="1"/>
    <col min="7" max="8" width="20.28515625" customWidth="1"/>
    <col min="9" max="9" width="15.7109375" customWidth="1"/>
    <col min="10" max="10" width="16.140625" customWidth="1"/>
    <col min="11" max="11" width="16.28515625" customWidth="1"/>
  </cols>
  <sheetData>
    <row r="1" spans="1:9">
      <c r="A1" s="28" t="s">
        <v>144</v>
      </c>
      <c r="D1" s="63"/>
      <c r="E1" t="s">
        <v>136</v>
      </c>
    </row>
    <row r="2" spans="1:9">
      <c r="A2" s="28"/>
      <c r="D2" s="63"/>
      <c r="E2" t="s">
        <v>137</v>
      </c>
    </row>
    <row r="3" spans="1:9">
      <c r="A3" s="28"/>
    </row>
    <row r="4" spans="1:9">
      <c r="A4" s="28"/>
      <c r="C4" s="674" t="s">
        <v>127</v>
      </c>
      <c r="D4" s="674"/>
      <c r="E4" s="674"/>
      <c r="F4" s="674"/>
      <c r="G4" s="677" t="s">
        <v>128</v>
      </c>
      <c r="H4" s="678"/>
    </row>
    <row r="5" spans="1:9">
      <c r="A5" s="28"/>
      <c r="B5" s="676" t="s">
        <v>131</v>
      </c>
      <c r="C5" s="669" t="s">
        <v>203</v>
      </c>
      <c r="D5" s="669"/>
      <c r="E5" s="669"/>
      <c r="F5" s="669"/>
      <c r="G5" s="669"/>
      <c r="H5" s="669"/>
      <c r="I5" s="669"/>
    </row>
    <row r="6" spans="1:9" ht="45">
      <c r="A6" s="28"/>
      <c r="B6" s="668"/>
      <c r="C6" s="580" t="s">
        <v>945</v>
      </c>
      <c r="D6" s="580" t="s">
        <v>946</v>
      </c>
      <c r="E6" s="580" t="s">
        <v>947</v>
      </c>
      <c r="F6" s="580" t="s">
        <v>948</v>
      </c>
      <c r="G6" s="580" t="s">
        <v>949</v>
      </c>
      <c r="H6" s="580" t="s">
        <v>130</v>
      </c>
      <c r="I6" s="519" t="s">
        <v>106</v>
      </c>
    </row>
    <row r="7" spans="1:9">
      <c r="A7" s="28"/>
      <c r="B7" s="66" t="s">
        <v>952</v>
      </c>
      <c r="C7" s="43">
        <f>4*0.95*$J$29</f>
        <v>2.8336600000000001</v>
      </c>
      <c r="D7" s="43">
        <f>4*0.95*$J$29</f>
        <v>2.8336600000000001</v>
      </c>
      <c r="E7" s="43">
        <f>3*0.95</f>
        <v>2.8499999999999996</v>
      </c>
      <c r="F7" s="43">
        <f>3*0.95</f>
        <v>2.8499999999999996</v>
      </c>
      <c r="G7" s="43">
        <f>0.4*$J$29</f>
        <v>0.29828000000000005</v>
      </c>
      <c r="H7" s="43">
        <f>3.5*$J$29</f>
        <v>2.60995</v>
      </c>
      <c r="I7" s="43"/>
    </row>
    <row r="8" spans="1:9">
      <c r="A8" s="28"/>
      <c r="B8" s="66" t="s">
        <v>93</v>
      </c>
      <c r="C8" s="43">
        <f>3.5*$J$29</f>
        <v>2.60995</v>
      </c>
      <c r="D8" s="43">
        <f>3.5*$J$29</f>
        <v>2.60995</v>
      </c>
      <c r="E8" s="43">
        <f>2.6</f>
        <v>2.6</v>
      </c>
      <c r="F8" s="43">
        <f>2.6</f>
        <v>2.6</v>
      </c>
      <c r="G8" s="43">
        <f>3.5*$J$29</f>
        <v>2.60995</v>
      </c>
      <c r="H8" s="43">
        <f>3.5*$J$29</f>
        <v>2.60995</v>
      </c>
      <c r="I8" s="43"/>
    </row>
    <row r="9" spans="1:9">
      <c r="A9" s="28"/>
      <c r="B9" s="66" t="s">
        <v>951</v>
      </c>
      <c r="C9" s="43">
        <f>4*0.05*$J$29</f>
        <v>0.14914000000000002</v>
      </c>
      <c r="D9" s="43">
        <f>4*0.05*$J$29</f>
        <v>0.14914000000000002</v>
      </c>
      <c r="E9" s="43">
        <f>3*0.05</f>
        <v>0.15000000000000002</v>
      </c>
      <c r="F9" s="43">
        <f>3*0.05</f>
        <v>0.15000000000000002</v>
      </c>
      <c r="G9" s="43">
        <f>0.19*$J$29</f>
        <v>0.141683</v>
      </c>
      <c r="H9" s="43">
        <f>0.19*$J$29</f>
        <v>0.141683</v>
      </c>
      <c r="I9" s="43"/>
    </row>
    <row r="10" spans="1:9">
      <c r="A10" s="28"/>
      <c r="B10" s="44" t="s">
        <v>95</v>
      </c>
      <c r="C10" s="43">
        <f>0.2*$J$29</f>
        <v>0.14914000000000002</v>
      </c>
      <c r="D10" s="43">
        <f>0.2*$J$29</f>
        <v>0.14914000000000002</v>
      </c>
      <c r="E10" s="43">
        <v>0.15</v>
      </c>
      <c r="F10" s="43">
        <v>0.15</v>
      </c>
      <c r="G10" s="43">
        <f>0.02*$J$29</f>
        <v>1.4914E-2</v>
      </c>
      <c r="H10" s="43">
        <f>0.04*$J$29</f>
        <v>2.9828E-2</v>
      </c>
      <c r="I10" s="43"/>
    </row>
    <row r="11" spans="1:9">
      <c r="A11" s="28"/>
      <c r="B11" s="44" t="s">
        <v>102</v>
      </c>
      <c r="C11" s="43">
        <f>0.2*$J$29</f>
        <v>0.14914000000000002</v>
      </c>
      <c r="D11" s="43">
        <f>0.2*$J$29</f>
        <v>0.14914000000000002</v>
      </c>
      <c r="E11" s="43">
        <v>0.15</v>
      </c>
      <c r="F11" s="43">
        <v>0.15</v>
      </c>
      <c r="G11" s="43">
        <f>0.02*$J$29</f>
        <v>1.4914E-2</v>
      </c>
      <c r="H11" s="43">
        <f>0.04*$J$29</f>
        <v>2.9828E-2</v>
      </c>
      <c r="I11" s="43"/>
    </row>
    <row r="12" spans="1:9">
      <c r="A12" s="28"/>
      <c r="B12" s="44" t="s">
        <v>402</v>
      </c>
      <c r="C12" s="43"/>
      <c r="D12" s="43"/>
      <c r="E12" s="43"/>
      <c r="F12" s="43"/>
      <c r="G12" s="43"/>
      <c r="H12" s="43"/>
      <c r="I12" s="43">
        <f>73.96</f>
        <v>73.959999999999994</v>
      </c>
    </row>
    <row r="13" spans="1:9">
      <c r="A13" s="28"/>
      <c r="B13" s="44" t="s">
        <v>403</v>
      </c>
      <c r="C13" s="43"/>
      <c r="D13" s="43"/>
      <c r="E13" s="43"/>
      <c r="F13" s="43"/>
      <c r="G13" s="43"/>
      <c r="H13" s="43"/>
      <c r="I13" s="43">
        <f>0.003</f>
        <v>3.0000000000000001E-3</v>
      </c>
    </row>
    <row r="14" spans="1:9">
      <c r="A14" s="28"/>
      <c r="B14" s="44" t="s">
        <v>404</v>
      </c>
      <c r="C14" s="43"/>
      <c r="D14" s="43"/>
      <c r="E14" s="43"/>
      <c r="F14" s="43"/>
      <c r="G14" s="43"/>
      <c r="H14" s="43"/>
      <c r="I14" s="43">
        <f>0.0006</f>
        <v>5.9999999999999995E-4</v>
      </c>
    </row>
    <row r="15" spans="1:9">
      <c r="A15" s="28"/>
    </row>
    <row r="16" spans="1:9">
      <c r="A16" s="28"/>
    </row>
    <row r="17" spans="1:11" ht="30">
      <c r="A17" s="28"/>
      <c r="B17" s="79" t="s">
        <v>204</v>
      </c>
      <c r="C17" s="47" t="s">
        <v>125</v>
      </c>
      <c r="D17" s="47" t="s">
        <v>126</v>
      </c>
      <c r="E17" s="679" t="s">
        <v>90</v>
      </c>
      <c r="F17" s="679"/>
    </row>
    <row r="18" spans="1:11">
      <c r="A18" s="28"/>
      <c r="B18" s="44" t="s">
        <v>47</v>
      </c>
      <c r="C18" s="61">
        <v>1</v>
      </c>
      <c r="D18" s="61">
        <v>1</v>
      </c>
      <c r="E18" s="654" t="s">
        <v>135</v>
      </c>
      <c r="F18" s="654"/>
      <c r="I18" s="627" t="s">
        <v>64</v>
      </c>
      <c r="J18" s="628"/>
      <c r="K18" s="629"/>
    </row>
    <row r="19" spans="1:11" ht="15" customHeight="1">
      <c r="A19" s="28"/>
      <c r="B19" s="44" t="s">
        <v>48</v>
      </c>
      <c r="C19" s="518">
        <v>1</v>
      </c>
      <c r="D19" s="518">
        <v>1</v>
      </c>
      <c r="E19" s="675" t="s">
        <v>950</v>
      </c>
      <c r="F19" s="675"/>
      <c r="I19" s="45" t="s">
        <v>65</v>
      </c>
      <c r="J19" s="45">
        <v>453.59</v>
      </c>
      <c r="K19" s="45" t="s">
        <v>66</v>
      </c>
    </row>
    <row r="20" spans="1:11">
      <c r="A20" s="28"/>
      <c r="B20" s="44" t="s">
        <v>49</v>
      </c>
      <c r="C20" s="20">
        <v>500</v>
      </c>
      <c r="D20" s="20">
        <v>500</v>
      </c>
      <c r="E20" s="654" t="s">
        <v>100</v>
      </c>
      <c r="F20" s="654"/>
      <c r="I20" s="45" t="s">
        <v>67</v>
      </c>
      <c r="J20" s="45">
        <v>378.49</v>
      </c>
      <c r="K20" s="45" t="s">
        <v>68</v>
      </c>
    </row>
    <row r="21" spans="1:11" ht="15" customHeight="1">
      <c r="A21" s="28"/>
      <c r="B21" s="44" t="s">
        <v>62</v>
      </c>
      <c r="C21" s="61">
        <v>300</v>
      </c>
      <c r="D21" s="61">
        <v>575</v>
      </c>
      <c r="E21" s="654" t="s">
        <v>134</v>
      </c>
      <c r="F21" s="654"/>
      <c r="I21" s="45" t="s">
        <v>69</v>
      </c>
      <c r="J21" s="45">
        <v>1000000</v>
      </c>
      <c r="K21" s="45" t="s">
        <v>70</v>
      </c>
    </row>
    <row r="22" spans="1:11">
      <c r="A22" s="28"/>
      <c r="B22" s="44" t="s">
        <v>63</v>
      </c>
      <c r="C22" s="61">
        <v>224</v>
      </c>
      <c r="D22" s="61">
        <v>429</v>
      </c>
      <c r="E22" s="654" t="s">
        <v>134</v>
      </c>
      <c r="F22" s="654"/>
      <c r="H22" s="60"/>
      <c r="I22" s="46" t="s">
        <v>71</v>
      </c>
      <c r="J22" s="46">
        <v>60</v>
      </c>
      <c r="K22" s="46" t="s">
        <v>72</v>
      </c>
    </row>
    <row r="23" spans="1:11">
      <c r="A23" s="28"/>
      <c r="B23" s="44" t="s">
        <v>101</v>
      </c>
      <c r="C23" s="24">
        <v>7000</v>
      </c>
      <c r="D23" s="24">
        <v>7000</v>
      </c>
      <c r="E23" s="654" t="s">
        <v>88</v>
      </c>
      <c r="F23" s="654"/>
      <c r="H23" s="60"/>
      <c r="I23" s="46" t="s">
        <v>73</v>
      </c>
      <c r="J23" s="45">
        <v>2.8316999999999998E-2</v>
      </c>
      <c r="K23" s="46" t="s">
        <v>74</v>
      </c>
    </row>
    <row r="24" spans="1:11">
      <c r="A24" s="28"/>
      <c r="B24" s="44" t="s">
        <v>89</v>
      </c>
      <c r="C24" s="21">
        <f>C21*C23/$J$21</f>
        <v>2.1</v>
      </c>
      <c r="D24" s="21">
        <f>D21*D23/$J$21</f>
        <v>4.0250000000000004</v>
      </c>
      <c r="E24" s="654" t="s">
        <v>132</v>
      </c>
      <c r="F24" s="654"/>
      <c r="H24" s="60"/>
      <c r="I24" s="45" t="s">
        <v>75</v>
      </c>
      <c r="J24" s="45">
        <v>60</v>
      </c>
      <c r="K24" s="45" t="s">
        <v>76</v>
      </c>
    </row>
    <row r="25" spans="1:11">
      <c r="A25" s="28"/>
      <c r="B25" s="44" t="s">
        <v>103</v>
      </c>
      <c r="C25" s="21">
        <f>C24/'LNG Fuel'!$C$71</f>
        <v>14.558368733618726</v>
      </c>
      <c r="D25" s="21">
        <f>D24/'LNG Fuel'!$C$71</f>
        <v>27.903540072769228</v>
      </c>
      <c r="E25" s="654" t="s">
        <v>138</v>
      </c>
      <c r="F25" s="654"/>
      <c r="H25" s="60"/>
      <c r="I25" s="46" t="s">
        <v>77</v>
      </c>
      <c r="J25" s="46">
        <v>0.94781700000000002</v>
      </c>
      <c r="K25" s="46" t="s">
        <v>78</v>
      </c>
    </row>
    <row r="26" spans="1:11">
      <c r="A26" s="28"/>
      <c r="B26" s="48" t="s">
        <v>91</v>
      </c>
      <c r="C26" s="18"/>
      <c r="D26" s="18"/>
      <c r="E26" s="660"/>
      <c r="F26" s="660"/>
      <c r="I26" s="46" t="s">
        <v>79</v>
      </c>
      <c r="J26" s="46">
        <v>28.32</v>
      </c>
      <c r="K26" s="46" t="s">
        <v>80</v>
      </c>
    </row>
    <row r="27" spans="1:11">
      <c r="A27" s="28"/>
      <c r="B27" s="66" t="s">
        <v>917</v>
      </c>
      <c r="C27" s="108">
        <v>0.25</v>
      </c>
      <c r="D27" s="108">
        <v>0.25</v>
      </c>
      <c r="E27" s="659"/>
      <c r="F27" s="659"/>
      <c r="I27" s="46" t="s">
        <v>81</v>
      </c>
      <c r="J27" s="46">
        <v>1000000</v>
      </c>
      <c r="K27" s="46" t="s">
        <v>82</v>
      </c>
    </row>
    <row r="28" spans="1:11">
      <c r="A28" s="28"/>
      <c r="B28" s="44" t="s">
        <v>92</v>
      </c>
      <c r="C28" s="50">
        <f>$G$7</f>
        <v>0.29828000000000005</v>
      </c>
      <c r="D28" s="50">
        <f>$F$7</f>
        <v>2.8499999999999996</v>
      </c>
      <c r="E28" s="659"/>
      <c r="F28" s="659"/>
      <c r="I28" s="46" t="s">
        <v>83</v>
      </c>
      <c r="J28" s="46">
        <v>2000</v>
      </c>
      <c r="K28" s="46" t="s">
        <v>84</v>
      </c>
    </row>
    <row r="29" spans="1:11">
      <c r="A29" s="28"/>
      <c r="B29" s="44" t="s">
        <v>93</v>
      </c>
      <c r="C29" s="50">
        <f>$G$8</f>
        <v>2.60995</v>
      </c>
      <c r="D29" s="50">
        <f>$F$8</f>
        <v>2.6</v>
      </c>
      <c r="E29" s="659"/>
      <c r="F29" s="659"/>
      <c r="I29" s="46" t="s">
        <v>85</v>
      </c>
      <c r="J29" s="46">
        <v>0.74570000000000003</v>
      </c>
      <c r="K29" s="46" t="s">
        <v>86</v>
      </c>
    </row>
    <row r="30" spans="1:11">
      <c r="A30" s="28"/>
      <c r="B30" s="44" t="s">
        <v>94</v>
      </c>
      <c r="C30" s="50">
        <f>$G$9</f>
        <v>0.141683</v>
      </c>
      <c r="D30" s="50">
        <f>$F$9</f>
        <v>0.15000000000000002</v>
      </c>
      <c r="E30" s="659"/>
      <c r="F30" s="659"/>
      <c r="I30" s="46" t="s">
        <v>105</v>
      </c>
      <c r="J30" s="46">
        <v>2.2046000000000001</v>
      </c>
      <c r="K30" s="46" t="s">
        <v>84</v>
      </c>
    </row>
    <row r="31" spans="1:11">
      <c r="A31" s="28"/>
      <c r="B31" s="44" t="s">
        <v>95</v>
      </c>
      <c r="C31" s="50">
        <f>$G$10</f>
        <v>1.4914E-2</v>
      </c>
      <c r="D31" s="50">
        <f>$F$10</f>
        <v>0.15</v>
      </c>
      <c r="E31" s="659"/>
      <c r="F31" s="659"/>
      <c r="I31" s="46" t="s">
        <v>268</v>
      </c>
      <c r="J31" s="46">
        <v>1000000</v>
      </c>
      <c r="K31" s="46" t="s">
        <v>51</v>
      </c>
    </row>
    <row r="32" spans="1:11">
      <c r="A32" s="28"/>
      <c r="B32" s="44" t="s">
        <v>102</v>
      </c>
      <c r="C32" s="50">
        <f>$G$11</f>
        <v>1.4914E-2</v>
      </c>
      <c r="D32" s="50">
        <f>$F$11</f>
        <v>0.15</v>
      </c>
      <c r="E32" s="659"/>
      <c r="F32" s="659"/>
      <c r="I32" s="565" t="s">
        <v>957</v>
      </c>
      <c r="J32" s="46">
        <v>1000</v>
      </c>
      <c r="K32" s="565" t="s">
        <v>958</v>
      </c>
    </row>
    <row r="33" spans="2:10">
      <c r="B33" s="44" t="s">
        <v>96</v>
      </c>
      <c r="C33" s="50" t="s">
        <v>133</v>
      </c>
      <c r="D33" s="50" t="s">
        <v>133</v>
      </c>
      <c r="E33" s="661" t="s">
        <v>953</v>
      </c>
      <c r="F33" s="662"/>
    </row>
    <row r="34" spans="2:10">
      <c r="B34" s="44" t="s">
        <v>402</v>
      </c>
      <c r="C34" s="50">
        <f>$I$12</f>
        <v>73.959999999999994</v>
      </c>
      <c r="D34" s="50">
        <f>$I$12</f>
        <v>73.959999999999994</v>
      </c>
      <c r="E34" s="659"/>
      <c r="F34" s="659"/>
      <c r="I34" s="665" t="s">
        <v>104</v>
      </c>
      <c r="J34" s="666"/>
    </row>
    <row r="35" spans="2:10">
      <c r="B35" s="44" t="s">
        <v>403</v>
      </c>
      <c r="C35" s="50">
        <f>$I$13</f>
        <v>3.0000000000000001E-3</v>
      </c>
      <c r="D35" s="50">
        <f>$I$13</f>
        <v>3.0000000000000001E-3</v>
      </c>
      <c r="E35" s="659"/>
      <c r="F35" s="659"/>
      <c r="I35" s="51">
        <v>1</v>
      </c>
      <c r="J35" s="54" t="s">
        <v>97</v>
      </c>
    </row>
    <row r="36" spans="2:10">
      <c r="B36" s="44" t="s">
        <v>404</v>
      </c>
      <c r="C36" s="50">
        <f>$I$14</f>
        <v>5.9999999999999995E-4</v>
      </c>
      <c r="D36" s="50">
        <f>$I$14</f>
        <v>5.9999999999999995E-4</v>
      </c>
      <c r="E36" s="659"/>
      <c r="F36" s="659"/>
      <c r="I36" s="51">
        <v>25</v>
      </c>
      <c r="J36" s="54" t="s">
        <v>98</v>
      </c>
    </row>
    <row r="37" spans="2:10">
      <c r="B37" s="48" t="s">
        <v>117</v>
      </c>
      <c r="C37" s="49"/>
      <c r="D37" s="49"/>
      <c r="E37" s="660"/>
      <c r="F37" s="660"/>
      <c r="I37" s="51">
        <v>298</v>
      </c>
      <c r="J37" s="54" t="s">
        <v>99</v>
      </c>
    </row>
    <row r="38" spans="2:10">
      <c r="B38" s="44" t="s">
        <v>107</v>
      </c>
      <c r="C38" s="43">
        <f>(1+$C$27)*C28*$C$21/$J$19</f>
        <v>0.2465993518375626</v>
      </c>
      <c r="D38" s="43">
        <f>(1+$D$27)*D28*$D$21/$J$19</f>
        <v>4.5160552481315719</v>
      </c>
      <c r="E38" s="659"/>
      <c r="F38" s="659"/>
    </row>
    <row r="39" spans="2:10">
      <c r="B39" s="44" t="s">
        <v>108</v>
      </c>
      <c r="C39" s="43">
        <f>(1+$C$27)*C29*$C$21/$J$19</f>
        <v>2.1577443285786724</v>
      </c>
      <c r="D39" s="43">
        <f t="shared" ref="D39:D42" si="0">(1+$D$27)*D29*$D$21/$J$19</f>
        <v>4.1199100509270492</v>
      </c>
      <c r="E39" s="659"/>
      <c r="F39" s="659"/>
    </row>
    <row r="40" spans="2:10">
      <c r="B40" s="44" t="s">
        <v>109</v>
      </c>
      <c r="C40" s="43">
        <f t="shared" ref="C40:C42" si="1">(1+$C$27)*C30*$C$21/$J$19</f>
        <v>0.11713469212284223</v>
      </c>
      <c r="D40" s="43">
        <f t="shared" si="0"/>
        <v>0.23768711832271439</v>
      </c>
      <c r="E40" s="659"/>
      <c r="F40" s="659"/>
    </row>
    <row r="41" spans="2:10">
      <c r="B41" s="44" t="s">
        <v>110</v>
      </c>
      <c r="C41" s="43">
        <f t="shared" si="1"/>
        <v>1.2329967591878127E-2</v>
      </c>
      <c r="D41" s="43">
        <f t="shared" si="0"/>
        <v>0.23768711832271436</v>
      </c>
      <c r="E41" s="659"/>
      <c r="F41" s="659"/>
    </row>
    <row r="42" spans="2:10">
      <c r="B42" s="44" t="s">
        <v>111</v>
      </c>
      <c r="C42" s="43">
        <f t="shared" si="1"/>
        <v>1.2329967591878127E-2</v>
      </c>
      <c r="D42" s="43">
        <f t="shared" si="0"/>
        <v>0.23768711832271436</v>
      </c>
      <c r="E42" s="659"/>
      <c r="F42" s="659"/>
    </row>
    <row r="43" spans="2:10">
      <c r="B43" s="44" t="s">
        <v>112</v>
      </c>
      <c r="C43" s="43">
        <f>C25*'LNG Fuel'!$C$73</f>
        <v>2.9311442803430132E-3</v>
      </c>
      <c r="D43" s="43">
        <f>D25*'LNG Fuel'!$C$73</f>
        <v>5.6180265373241096E-3</v>
      </c>
      <c r="E43" s="659"/>
      <c r="F43" s="659"/>
    </row>
    <row r="44" spans="2:10">
      <c r="B44" s="44" t="s">
        <v>113</v>
      </c>
      <c r="C44" s="67">
        <f>C34*C$24*$J$30</f>
        <v>342.40965360000001</v>
      </c>
      <c r="D44" s="67">
        <f>D34*D$24*$J$30</f>
        <v>656.28516940000009</v>
      </c>
      <c r="E44" s="659"/>
      <c r="F44" s="659"/>
    </row>
    <row r="45" spans="2:10">
      <c r="B45" s="44" t="s">
        <v>114</v>
      </c>
      <c r="C45" s="67">
        <f t="shared" ref="C45:D46" si="2">C35*C$24*$J$30</f>
        <v>1.388898E-2</v>
      </c>
      <c r="D45" s="67">
        <f t="shared" si="2"/>
        <v>2.6620545000000002E-2</v>
      </c>
      <c r="E45" s="659"/>
      <c r="F45" s="659"/>
    </row>
    <row r="46" spans="2:10">
      <c r="B46" s="44" t="s">
        <v>115</v>
      </c>
      <c r="C46" s="67">
        <f t="shared" si="2"/>
        <v>2.7777959999999999E-3</v>
      </c>
      <c r="D46" s="67">
        <f t="shared" si="2"/>
        <v>5.3241090000000005E-3</v>
      </c>
      <c r="E46" s="659"/>
      <c r="F46" s="659"/>
    </row>
    <row r="47" spans="2:10">
      <c r="B47" s="44" t="s">
        <v>116</v>
      </c>
      <c r="C47" s="67">
        <f>C44*$I$35+C45*$I$36+C46*$I$37</f>
        <v>343.58466130800002</v>
      </c>
      <c r="D47" s="67">
        <f>D44*$I$35+D45*$I$36+D46*$I$37</f>
        <v>658.53726750700014</v>
      </c>
      <c r="E47" s="659"/>
      <c r="F47" s="659"/>
    </row>
    <row r="48" spans="2:10">
      <c r="B48" s="48" t="s">
        <v>118</v>
      </c>
      <c r="C48" s="49"/>
      <c r="D48" s="49"/>
      <c r="E48" s="660"/>
      <c r="F48" s="660"/>
    </row>
    <row r="49" spans="2:6">
      <c r="B49" s="44" t="s">
        <v>119</v>
      </c>
      <c r="C49" s="43">
        <f t="shared" ref="C49:C54" si="3">C38*$C$20/$J$28</f>
        <v>6.1649837959390649E-2</v>
      </c>
      <c r="D49" s="43">
        <f t="shared" ref="D49:D54" si="4">D38*$D$20/$J$28</f>
        <v>1.129013812032893</v>
      </c>
      <c r="E49" s="659"/>
      <c r="F49" s="659"/>
    </row>
    <row r="50" spans="2:6">
      <c r="B50" s="44" t="s">
        <v>120</v>
      </c>
      <c r="C50" s="43">
        <f t="shared" si="3"/>
        <v>0.53943608214466809</v>
      </c>
      <c r="D50" s="43">
        <f t="shared" si="4"/>
        <v>1.0299775127317623</v>
      </c>
      <c r="E50" s="659"/>
      <c r="F50" s="659"/>
    </row>
    <row r="51" spans="2:6">
      <c r="B51" s="44" t="s">
        <v>121</v>
      </c>
      <c r="C51" s="43">
        <f t="shared" si="3"/>
        <v>2.9283673030710559E-2</v>
      </c>
      <c r="D51" s="43">
        <f t="shared" si="4"/>
        <v>5.9421779580678596E-2</v>
      </c>
      <c r="E51" s="659"/>
      <c r="F51" s="659"/>
    </row>
    <row r="52" spans="2:6">
      <c r="B52" s="44" t="s">
        <v>122</v>
      </c>
      <c r="C52" s="43">
        <f t="shared" si="3"/>
        <v>3.0824918979695318E-3</v>
      </c>
      <c r="D52" s="43">
        <f t="shared" si="4"/>
        <v>5.942177958067859E-2</v>
      </c>
      <c r="E52" s="659"/>
      <c r="F52" s="659"/>
    </row>
    <row r="53" spans="2:6">
      <c r="B53" s="44" t="s">
        <v>123</v>
      </c>
      <c r="C53" s="43">
        <f t="shared" si="3"/>
        <v>3.0824918979695318E-3</v>
      </c>
      <c r="D53" s="43">
        <f t="shared" si="4"/>
        <v>5.942177958067859E-2</v>
      </c>
      <c r="E53" s="659"/>
      <c r="F53" s="659"/>
    </row>
    <row r="54" spans="2:6">
      <c r="B54" s="44" t="s">
        <v>124</v>
      </c>
      <c r="C54" s="599">
        <f t="shared" si="3"/>
        <v>7.3278607008575331E-4</v>
      </c>
      <c r="D54" s="599">
        <f t="shared" si="4"/>
        <v>1.4045066343310272E-3</v>
      </c>
      <c r="E54" s="659"/>
      <c r="F54" s="659"/>
    </row>
    <row r="55" spans="2:6">
      <c r="B55" s="44" t="s">
        <v>920</v>
      </c>
      <c r="C55" s="43">
        <f>C34*C$24/$J$32*C$20</f>
        <v>77.658000000000001</v>
      </c>
      <c r="D55" s="43">
        <f>D34*D$24/$J$32*D$20</f>
        <v>148.84450000000001</v>
      </c>
      <c r="E55" s="659"/>
      <c r="F55" s="659"/>
    </row>
    <row r="56" spans="2:6">
      <c r="B56" s="44" t="s">
        <v>921</v>
      </c>
      <c r="C56" s="43">
        <f t="shared" ref="C56:D57" si="5">C35*C$24/$J$32*C$20</f>
        <v>3.15E-3</v>
      </c>
      <c r="D56" s="43">
        <f t="shared" si="5"/>
        <v>6.0375000000000003E-3</v>
      </c>
      <c r="E56" s="659"/>
      <c r="F56" s="659"/>
    </row>
    <row r="57" spans="2:6">
      <c r="B57" s="44" t="s">
        <v>922</v>
      </c>
      <c r="C57" s="43">
        <f t="shared" si="5"/>
        <v>6.2999999999999992E-4</v>
      </c>
      <c r="D57" s="43">
        <f t="shared" si="5"/>
        <v>1.2075E-3</v>
      </c>
      <c r="E57" s="659"/>
      <c r="F57" s="659"/>
    </row>
    <row r="58" spans="2:6">
      <c r="B58" s="44" t="s">
        <v>923</v>
      </c>
      <c r="C58" s="67">
        <f t="shared" ref="C58:D58" si="6">C55*$I$35+C56*$I$36+C57*$I$37</f>
        <v>77.924490000000006</v>
      </c>
      <c r="D58" s="67">
        <f t="shared" si="6"/>
        <v>149.35527250000001</v>
      </c>
      <c r="E58" s="659"/>
      <c r="F58" s="659"/>
    </row>
    <row r="59" spans="2:6">
      <c r="B59" s="48" t="s">
        <v>139</v>
      </c>
      <c r="C59" s="49"/>
      <c r="D59" s="49"/>
      <c r="E59" s="660"/>
      <c r="F59" s="660"/>
    </row>
    <row r="60" spans="2:6">
      <c r="B60" s="66" t="s">
        <v>140</v>
      </c>
      <c r="C60" s="68">
        <v>10</v>
      </c>
      <c r="D60" s="68">
        <v>10</v>
      </c>
      <c r="E60" s="654" t="s">
        <v>135</v>
      </c>
      <c r="F60" s="654"/>
    </row>
    <row r="61" spans="2:6">
      <c r="B61" s="66" t="s">
        <v>141</v>
      </c>
      <c r="C61" s="68">
        <v>883</v>
      </c>
      <c r="D61" s="68">
        <v>908</v>
      </c>
      <c r="E61" s="654" t="s">
        <v>135</v>
      </c>
      <c r="F61" s="654"/>
    </row>
    <row r="62" spans="2:6">
      <c r="B62" s="66" t="s">
        <v>142</v>
      </c>
      <c r="C62" s="68">
        <v>115</v>
      </c>
      <c r="D62" s="68">
        <v>157</v>
      </c>
      <c r="E62" s="654" t="s">
        <v>135</v>
      </c>
      <c r="F62" s="654"/>
    </row>
    <row r="63" spans="2:6">
      <c r="B63" s="66" t="s">
        <v>143</v>
      </c>
      <c r="C63" s="68">
        <f>7.98/12</f>
        <v>0.66500000000000004</v>
      </c>
      <c r="D63" s="68">
        <f>7.98/12</f>
        <v>0.66500000000000004</v>
      </c>
      <c r="E63" s="654" t="s">
        <v>135</v>
      </c>
      <c r="F63" s="654"/>
    </row>
    <row r="64" spans="2:6">
      <c r="B64" s="66" t="s">
        <v>256</v>
      </c>
      <c r="C64" s="78">
        <v>0.5</v>
      </c>
      <c r="D64" s="78">
        <v>0.5</v>
      </c>
      <c r="E64" s="654" t="s">
        <v>257</v>
      </c>
      <c r="F64" s="654"/>
    </row>
  </sheetData>
  <mergeCells count="54">
    <mergeCell ref="E18:F18"/>
    <mergeCell ref="I18:K18"/>
    <mergeCell ref="C5:I5"/>
    <mergeCell ref="B5:B6"/>
    <mergeCell ref="C4:F4"/>
    <mergeCell ref="G4:H4"/>
    <mergeCell ref="E17:F17"/>
    <mergeCell ref="E31:F31"/>
    <mergeCell ref="E19:F19"/>
    <mergeCell ref="E20:F20"/>
    <mergeCell ref="E21:F21"/>
    <mergeCell ref="E22:F22"/>
    <mergeCell ref="E23:F23"/>
    <mergeCell ref="E24:F24"/>
    <mergeCell ref="E25:F25"/>
    <mergeCell ref="E26:F26"/>
    <mergeCell ref="E28:F28"/>
    <mergeCell ref="E29:F29"/>
    <mergeCell ref="E30:F30"/>
    <mergeCell ref="E27:F27"/>
    <mergeCell ref="E42:F42"/>
    <mergeCell ref="E32:F32"/>
    <mergeCell ref="E33:F33"/>
    <mergeCell ref="I34:J34"/>
    <mergeCell ref="E34:F34"/>
    <mergeCell ref="E35:F35"/>
    <mergeCell ref="E36:F36"/>
    <mergeCell ref="E37:F37"/>
    <mergeCell ref="E38:F38"/>
    <mergeCell ref="E39:F39"/>
    <mergeCell ref="E40:F40"/>
    <mergeCell ref="E41:F41"/>
    <mergeCell ref="E54:F54"/>
    <mergeCell ref="E43:F43"/>
    <mergeCell ref="E44:F44"/>
    <mergeCell ref="E45:F45"/>
    <mergeCell ref="E46:F46"/>
    <mergeCell ref="E47:F47"/>
    <mergeCell ref="E48:F48"/>
    <mergeCell ref="E49:F49"/>
    <mergeCell ref="E50:F50"/>
    <mergeCell ref="E51:F51"/>
    <mergeCell ref="E52:F52"/>
    <mergeCell ref="E53:F53"/>
    <mergeCell ref="E64:F64"/>
    <mergeCell ref="E61:F61"/>
    <mergeCell ref="E62:F62"/>
    <mergeCell ref="E63:F63"/>
    <mergeCell ref="E55:F55"/>
    <mergeCell ref="E56:F56"/>
    <mergeCell ref="E57:F57"/>
    <mergeCell ref="E58:F58"/>
    <mergeCell ref="E59:F59"/>
    <mergeCell ref="E60:F6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87"/>
  <sheetViews>
    <sheetView topLeftCell="A37" workbookViewId="0">
      <selection activeCell="H78" sqref="H78"/>
    </sheetView>
  </sheetViews>
  <sheetFormatPr defaultRowHeight="15"/>
  <cols>
    <col min="1" max="1" width="3.42578125" customWidth="1"/>
    <col min="2" max="2" width="31.5703125" customWidth="1"/>
    <col min="3" max="3" width="19.140625" customWidth="1"/>
    <col min="4" max="4" width="19.28515625" customWidth="1"/>
    <col min="5" max="5" width="18.7109375" customWidth="1"/>
    <col min="6" max="6" width="19.28515625" customWidth="1"/>
    <col min="7" max="7" width="19" bestFit="1" customWidth="1"/>
    <col min="8" max="8" width="19" customWidth="1"/>
    <col min="9" max="10" width="16.85546875" customWidth="1"/>
  </cols>
  <sheetData>
    <row r="1" spans="1:10">
      <c r="A1" s="28" t="s">
        <v>240</v>
      </c>
      <c r="D1" s="63"/>
      <c r="E1" t="s">
        <v>238</v>
      </c>
    </row>
    <row r="2" spans="1:10">
      <c r="A2" s="28"/>
      <c r="D2" s="63"/>
      <c r="E2" t="s">
        <v>239</v>
      </c>
    </row>
    <row r="3" spans="1:10">
      <c r="A3" s="28"/>
      <c r="D3" s="63"/>
      <c r="E3" t="s">
        <v>247</v>
      </c>
    </row>
    <row r="4" spans="1:10">
      <c r="A4" s="28"/>
    </row>
    <row r="5" spans="1:10">
      <c r="A5" s="28"/>
      <c r="B5" s="676" t="s">
        <v>131</v>
      </c>
      <c r="C5" s="674" t="s">
        <v>203</v>
      </c>
      <c r="D5" s="674"/>
    </row>
    <row r="6" spans="1:10" ht="30">
      <c r="A6" s="28"/>
      <c r="B6" s="668"/>
      <c r="C6" s="55" t="s">
        <v>206</v>
      </c>
      <c r="D6" s="56" t="s">
        <v>145</v>
      </c>
    </row>
    <row r="7" spans="1:10">
      <c r="A7" s="28"/>
      <c r="B7" s="44" t="s">
        <v>149</v>
      </c>
      <c r="C7" s="506">
        <f>0.068</f>
        <v>6.8000000000000005E-2</v>
      </c>
      <c r="D7" s="19"/>
    </row>
    <row r="8" spans="1:10">
      <c r="A8" s="28"/>
      <c r="B8" s="44" t="s">
        <v>150</v>
      </c>
      <c r="C8" s="506">
        <f>0.31</f>
        <v>0.31</v>
      </c>
      <c r="D8" s="19"/>
    </row>
    <row r="9" spans="1:10">
      <c r="A9" s="28"/>
      <c r="B9" s="44" t="s">
        <v>151</v>
      </c>
      <c r="C9" s="506">
        <f>0.57</f>
        <v>0.56999999999999995</v>
      </c>
      <c r="D9" s="19"/>
    </row>
    <row r="10" spans="1:10">
      <c r="A10" s="28"/>
      <c r="B10" s="44" t="s">
        <v>207</v>
      </c>
      <c r="C10" s="43">
        <v>40</v>
      </c>
      <c r="D10" s="19"/>
    </row>
    <row r="11" spans="1:10">
      <c r="A11" s="28"/>
      <c r="B11" s="44" t="s">
        <v>208</v>
      </c>
      <c r="C11" s="43">
        <v>40</v>
      </c>
      <c r="D11" s="19"/>
    </row>
    <row r="12" spans="1:10">
      <c r="A12" s="28"/>
      <c r="B12" s="44" t="s">
        <v>402</v>
      </c>
      <c r="C12" s="19"/>
      <c r="D12" s="50">
        <f>53.06</f>
        <v>53.06</v>
      </c>
    </row>
    <row r="13" spans="1:10">
      <c r="A13" s="28"/>
      <c r="B13" s="44" t="s">
        <v>403</v>
      </c>
      <c r="C13" s="19"/>
      <c r="D13" s="50">
        <f>0.001</f>
        <v>1E-3</v>
      </c>
    </row>
    <row r="14" spans="1:10">
      <c r="A14" s="28"/>
      <c r="B14" s="44" t="s">
        <v>404</v>
      </c>
      <c r="C14" s="19"/>
      <c r="D14" s="69">
        <f>0.0001</f>
        <v>1E-4</v>
      </c>
    </row>
    <row r="15" spans="1:10">
      <c r="B15" s="70"/>
    </row>
    <row r="16" spans="1:10" ht="45">
      <c r="B16" s="80" t="s">
        <v>220</v>
      </c>
      <c r="C16" s="58" t="s">
        <v>241</v>
      </c>
      <c r="D16" s="58" t="s">
        <v>242</v>
      </c>
      <c r="E16" s="58" t="s">
        <v>243</v>
      </c>
      <c r="F16" s="58" t="s">
        <v>244</v>
      </c>
      <c r="G16" s="58" t="s">
        <v>246</v>
      </c>
      <c r="H16" s="58" t="s">
        <v>245</v>
      </c>
      <c r="I16" s="679" t="s">
        <v>90</v>
      </c>
      <c r="J16" s="679"/>
    </row>
    <row r="17" spans="2:10">
      <c r="B17" s="48" t="s">
        <v>211</v>
      </c>
      <c r="C17" s="97"/>
      <c r="D17" s="97"/>
      <c r="E17" s="97"/>
      <c r="F17" s="97"/>
      <c r="G17" s="97"/>
      <c r="H17" s="97"/>
      <c r="I17" s="660"/>
      <c r="J17" s="660"/>
    </row>
    <row r="18" spans="2:10" ht="15.75" customHeight="1">
      <c r="B18" s="81" t="s">
        <v>212</v>
      </c>
      <c r="C18" s="87">
        <f>12746/2</f>
        <v>6373</v>
      </c>
      <c r="D18" s="88">
        <f>4154/2</f>
        <v>2077</v>
      </c>
      <c r="E18" s="89">
        <v>18634</v>
      </c>
      <c r="F18" s="90">
        <v>55201793</v>
      </c>
      <c r="G18" s="91">
        <v>12905048</v>
      </c>
      <c r="H18" s="92">
        <f>E18+759000+430563*(12*6/H43)</f>
        <v>992915.5</v>
      </c>
      <c r="I18" s="654" t="s">
        <v>372</v>
      </c>
      <c r="J18" s="654"/>
    </row>
    <row r="19" spans="2:10">
      <c r="B19" s="81" t="s">
        <v>146</v>
      </c>
      <c r="C19" s="82">
        <f t="shared" ref="C19:H19" si="0">C18/$M$43</f>
        <v>16.837961372823589</v>
      </c>
      <c r="D19" s="82">
        <f t="shared" si="0"/>
        <v>5.4875954450579938</v>
      </c>
      <c r="E19" s="82">
        <f t="shared" si="0"/>
        <v>49.232476419456262</v>
      </c>
      <c r="F19" s="82">
        <f t="shared" si="0"/>
        <v>145847.42793732992</v>
      </c>
      <c r="G19" s="82">
        <f t="shared" si="0"/>
        <v>34096.139924436575</v>
      </c>
      <c r="H19" s="82">
        <f t="shared" si="0"/>
        <v>2623.359930249148</v>
      </c>
      <c r="I19" s="659"/>
      <c r="J19" s="659"/>
    </row>
    <row r="20" spans="2:10">
      <c r="B20" s="81" t="s">
        <v>213</v>
      </c>
      <c r="C20" s="93">
        <v>18.5</v>
      </c>
      <c r="D20" s="82">
        <f>'LNG Fuel'!$C$51</f>
        <v>17.68</v>
      </c>
      <c r="E20" s="93">
        <v>23.1</v>
      </c>
      <c r="F20" s="82">
        <f>'LNG Fuel'!$C$51</f>
        <v>17.68</v>
      </c>
      <c r="G20" s="82">
        <f>'LNG Fuel'!$C$51</f>
        <v>17.68</v>
      </c>
      <c r="H20" s="93">
        <v>25.7</v>
      </c>
      <c r="I20" s="663" t="s">
        <v>248</v>
      </c>
      <c r="J20" s="664"/>
    </row>
    <row r="21" spans="2:10">
      <c r="B21" s="81" t="s">
        <v>214</v>
      </c>
      <c r="C21" s="82">
        <f t="shared" ref="C21:G21" si="1">C19*C20</f>
        <v>311.50228539723639</v>
      </c>
      <c r="D21" s="82">
        <f t="shared" si="1"/>
        <v>97.020687468625326</v>
      </c>
      <c r="E21" s="82">
        <f t="shared" si="1"/>
        <v>1137.2702052894397</v>
      </c>
      <c r="F21" s="82">
        <f t="shared" si="1"/>
        <v>2578582.525931993</v>
      </c>
      <c r="G21" s="82">
        <f t="shared" si="1"/>
        <v>602819.75386403862</v>
      </c>
      <c r="H21" s="82">
        <f>H19*H20</f>
        <v>67420.350207403098</v>
      </c>
      <c r="I21" s="659"/>
      <c r="J21" s="659"/>
    </row>
    <row r="22" spans="2:10">
      <c r="B22" s="81" t="s">
        <v>215</v>
      </c>
      <c r="C22" s="93">
        <f>14.3/2</f>
        <v>7.15</v>
      </c>
      <c r="D22" s="93">
        <f>4.5/2</f>
        <v>2.25</v>
      </c>
      <c r="E22" s="93">
        <v>10.5</v>
      </c>
      <c r="F22" s="93">
        <v>59992</v>
      </c>
      <c r="G22" s="93">
        <v>14020</v>
      </c>
      <c r="H22" s="93">
        <f>10.5+789+396*(0.5)</f>
        <v>997.5</v>
      </c>
      <c r="I22" s="654" t="s">
        <v>372</v>
      </c>
      <c r="J22" s="654"/>
    </row>
    <row r="23" spans="2:10">
      <c r="B23" s="99" t="s">
        <v>222</v>
      </c>
      <c r="C23" s="82">
        <v>8710</v>
      </c>
      <c r="D23" s="82">
        <v>8710</v>
      </c>
      <c r="E23" s="82">
        <v>8710</v>
      </c>
      <c r="F23" s="82">
        <v>8710</v>
      </c>
      <c r="G23" s="82">
        <v>8710</v>
      </c>
      <c r="H23" s="82">
        <v>8710</v>
      </c>
      <c r="I23" s="663" t="s">
        <v>223</v>
      </c>
      <c r="J23" s="664"/>
    </row>
    <row r="24" spans="2:10">
      <c r="B24" s="99" t="s">
        <v>224</v>
      </c>
      <c r="C24" s="98">
        <v>0.03</v>
      </c>
      <c r="D24" s="98">
        <v>0.03</v>
      </c>
      <c r="E24" s="98">
        <v>0.03</v>
      </c>
      <c r="F24" s="98">
        <v>0.03</v>
      </c>
      <c r="G24" s="98">
        <v>0.03</v>
      </c>
      <c r="H24" s="98">
        <v>0.03</v>
      </c>
      <c r="I24" s="663" t="s">
        <v>909</v>
      </c>
      <c r="J24" s="664"/>
    </row>
    <row r="25" spans="2:10">
      <c r="B25" s="81" t="s">
        <v>216</v>
      </c>
      <c r="C25" s="82">
        <f>$C$23*C22*(0.209/(0.209-$C$24))</f>
        <v>72713.902234636873</v>
      </c>
      <c r="D25" s="82">
        <f t="shared" ref="D25:G25" si="2">$C$23*D22*(0.209/(0.209-$C$24))</f>
        <v>22881.997206703909</v>
      </c>
      <c r="E25" s="82">
        <f t="shared" si="2"/>
        <v>106782.65363128491</v>
      </c>
      <c r="F25" s="82">
        <f t="shared" si="2"/>
        <v>610105233.96648037</v>
      </c>
      <c r="G25" s="82">
        <f t="shared" si="2"/>
        <v>142580267.03910613</v>
      </c>
      <c r="H25" s="82">
        <f>$C$23*H22*(0.209/(0.209-$C$24))</f>
        <v>10144352.094972067</v>
      </c>
      <c r="I25" s="659"/>
      <c r="J25" s="659"/>
    </row>
    <row r="26" spans="2:10">
      <c r="B26" s="99" t="s">
        <v>225</v>
      </c>
      <c r="C26" s="98">
        <v>0.1</v>
      </c>
      <c r="D26" s="98">
        <v>0.1</v>
      </c>
      <c r="E26" s="98">
        <v>0.1</v>
      </c>
      <c r="F26" s="98">
        <v>0.1</v>
      </c>
      <c r="G26" s="98">
        <v>0.1</v>
      </c>
      <c r="H26" s="98">
        <v>0.1</v>
      </c>
      <c r="I26" s="663" t="s">
        <v>226</v>
      </c>
      <c r="J26" s="664"/>
    </row>
    <row r="27" spans="2:10">
      <c r="B27" s="81" t="s">
        <v>217</v>
      </c>
      <c r="C27" s="82">
        <f t="shared" ref="C27:G27" si="3">C25/(1-C26)</f>
        <v>80793.224705152083</v>
      </c>
      <c r="D27" s="82">
        <f t="shared" si="3"/>
        <v>25424.441340782119</v>
      </c>
      <c r="E27" s="82">
        <f t="shared" si="3"/>
        <v>118647.3929236499</v>
      </c>
      <c r="F27" s="82">
        <f t="shared" si="3"/>
        <v>677894704.40720046</v>
      </c>
      <c r="G27" s="82">
        <f t="shared" si="3"/>
        <v>158422518.93234015</v>
      </c>
      <c r="H27" s="82">
        <f>H25/(1-H26)</f>
        <v>11271502.32774674</v>
      </c>
      <c r="I27" s="659"/>
      <c r="J27" s="659"/>
    </row>
    <row r="28" spans="2:10">
      <c r="B28" s="81" t="s">
        <v>218</v>
      </c>
      <c r="C28" s="82">
        <f t="shared" ref="C28:H28" si="4">C27/C18</f>
        <v>12.677424243708156</v>
      </c>
      <c r="D28" s="82">
        <f t="shared" si="4"/>
        <v>12.240944314290861</v>
      </c>
      <c r="E28" s="82">
        <f t="shared" si="4"/>
        <v>6.3672530279945203</v>
      </c>
      <c r="F28" s="82">
        <f t="shared" si="4"/>
        <v>12.280302279442273</v>
      </c>
      <c r="G28" s="82">
        <f t="shared" si="4"/>
        <v>12.276011598898364</v>
      </c>
      <c r="H28" s="82">
        <f t="shared" si="4"/>
        <v>11.351925040697562</v>
      </c>
      <c r="I28" s="659"/>
      <c r="J28" s="659"/>
    </row>
    <row r="29" spans="2:10">
      <c r="B29" s="81" t="s">
        <v>219</v>
      </c>
      <c r="C29" s="82">
        <f t="shared" ref="C29:G29" si="5">C27*$M$49</f>
        <v>2288064.1236499068</v>
      </c>
      <c r="D29" s="82">
        <f t="shared" si="5"/>
        <v>720020.1787709496</v>
      </c>
      <c r="E29" s="82">
        <f t="shared" si="5"/>
        <v>3360094.1675977651</v>
      </c>
      <c r="F29" s="82">
        <f t="shared" si="5"/>
        <v>19197978028.811916</v>
      </c>
      <c r="G29" s="82">
        <f t="shared" si="5"/>
        <v>4486525736.1638727</v>
      </c>
      <c r="H29" s="82">
        <f>H27*$M$49</f>
        <v>319208945.92178768</v>
      </c>
      <c r="I29" s="659"/>
      <c r="J29" s="659"/>
    </row>
    <row r="30" spans="2:10" ht="15" customHeight="1">
      <c r="B30" s="83" t="s">
        <v>227</v>
      </c>
      <c r="C30" s="96"/>
      <c r="D30" s="96"/>
      <c r="E30" s="96"/>
      <c r="F30" s="96"/>
      <c r="G30" s="96"/>
      <c r="H30" s="96"/>
      <c r="I30" s="655"/>
      <c r="J30" s="656"/>
    </row>
    <row r="31" spans="2:10">
      <c r="B31" s="84" t="s">
        <v>249</v>
      </c>
      <c r="C31" s="93">
        <f>C22*1012/1120</f>
        <v>6.4605357142857143</v>
      </c>
      <c r="D31" s="93">
        <f>D22*981/1087</f>
        <v>2.0305887764489419</v>
      </c>
      <c r="E31" s="93">
        <f>E22*509/563</f>
        <v>9.4928952042628776</v>
      </c>
      <c r="F31" s="93">
        <f>F22*981/1087</f>
        <v>54141.814167433302</v>
      </c>
      <c r="G31" s="93">
        <f>G22*981/1086</f>
        <v>12664.475138121546</v>
      </c>
      <c r="H31" s="93">
        <f>H22*300/333</f>
        <v>898.64864864864865</v>
      </c>
      <c r="I31" s="663" t="s">
        <v>250</v>
      </c>
      <c r="J31" s="664"/>
    </row>
    <row r="32" spans="2:10">
      <c r="B32" s="99" t="s">
        <v>230</v>
      </c>
      <c r="C32" s="82">
        <f t="shared" ref="C32:H32" si="6">1.162*C31</f>
        <v>7.5071424999999996</v>
      </c>
      <c r="D32" s="82">
        <f t="shared" si="6"/>
        <v>2.3595441582336703</v>
      </c>
      <c r="E32" s="82">
        <f t="shared" si="6"/>
        <v>11.030744227353463</v>
      </c>
      <c r="F32" s="82">
        <f t="shared" si="6"/>
        <v>62912.788062557491</v>
      </c>
      <c r="G32" s="82">
        <f t="shared" si="6"/>
        <v>14716.120110497235</v>
      </c>
      <c r="H32" s="82">
        <f t="shared" si="6"/>
        <v>1044.2297297297296</v>
      </c>
      <c r="I32" s="661" t="s">
        <v>284</v>
      </c>
      <c r="J32" s="662"/>
    </row>
    <row r="33" spans="2:14">
      <c r="B33" s="99" t="s">
        <v>231</v>
      </c>
      <c r="C33" s="94">
        <f>$M$54*0</f>
        <v>0</v>
      </c>
      <c r="D33" s="94">
        <f>$M$54*0</f>
        <v>0</v>
      </c>
      <c r="E33" s="94">
        <f>$M$54*199</f>
        <v>60.655200000000001</v>
      </c>
      <c r="F33" s="94">
        <f>$M$54*0</f>
        <v>0</v>
      </c>
      <c r="G33" s="94">
        <f>$M$54*0</f>
        <v>0</v>
      </c>
      <c r="H33" s="94">
        <f>$M$54*199</f>
        <v>60.655200000000001</v>
      </c>
      <c r="I33" s="663" t="s">
        <v>251</v>
      </c>
      <c r="J33" s="664"/>
    </row>
    <row r="34" spans="2:14">
      <c r="B34" s="81" t="s">
        <v>210</v>
      </c>
      <c r="C34" s="82">
        <v>65</v>
      </c>
      <c r="D34" s="82">
        <v>65</v>
      </c>
      <c r="E34" s="82">
        <v>65</v>
      </c>
      <c r="F34" s="82">
        <v>65</v>
      </c>
      <c r="G34" s="82">
        <v>65</v>
      </c>
      <c r="H34" s="82">
        <v>65</v>
      </c>
      <c r="I34" s="661" t="s">
        <v>285</v>
      </c>
      <c r="J34" s="662"/>
    </row>
    <row r="35" spans="2:14">
      <c r="B35" s="99" t="s">
        <v>228</v>
      </c>
      <c r="C35" s="82">
        <f t="shared" ref="C35:G35" si="7">C33+0.944*C31^0.478</f>
        <v>2.3029279589734992</v>
      </c>
      <c r="D35" s="82">
        <f t="shared" si="7"/>
        <v>1.3243881962741884</v>
      </c>
      <c r="E35" s="82">
        <f t="shared" si="7"/>
        <v>63.42321581084029</v>
      </c>
      <c r="F35" s="82">
        <f>F33+0.944*F31^0.478</f>
        <v>172.82265572658403</v>
      </c>
      <c r="G35" s="82">
        <f t="shared" si="7"/>
        <v>86.29957836265973</v>
      </c>
      <c r="H35" s="82">
        <f>H33+0.944*H31^0.478</f>
        <v>85.021409768171225</v>
      </c>
      <c r="I35" s="661" t="s">
        <v>284</v>
      </c>
      <c r="J35" s="662"/>
    </row>
    <row r="36" spans="2:14">
      <c r="B36" s="99" t="s">
        <v>229</v>
      </c>
      <c r="C36" s="82">
        <f t="shared" ref="C36:H36" si="8">0.1755*C31^0.5</f>
        <v>0.44607859748471296</v>
      </c>
      <c r="D36" s="82">
        <f t="shared" si="8"/>
        <v>0.25008526938190806</v>
      </c>
      <c r="E36" s="82">
        <f t="shared" si="8"/>
        <v>0.54072501839206366</v>
      </c>
      <c r="F36" s="82">
        <f t="shared" si="8"/>
        <v>40.836030803819405</v>
      </c>
      <c r="G36" s="82">
        <f t="shared" si="8"/>
        <v>19.750164565717625</v>
      </c>
      <c r="H36" s="82">
        <f t="shared" si="8"/>
        <v>5.2610458124350652</v>
      </c>
      <c r="I36" s="661" t="s">
        <v>284</v>
      </c>
      <c r="J36" s="662"/>
    </row>
    <row r="37" spans="2:14">
      <c r="B37" s="70" t="s">
        <v>209</v>
      </c>
    </row>
    <row r="38" spans="2:14">
      <c r="B38" s="70" t="s">
        <v>221</v>
      </c>
    </row>
    <row r="39" spans="2:14">
      <c r="B39" s="70"/>
    </row>
    <row r="40" spans="2:14" ht="45">
      <c r="B40" s="79" t="s">
        <v>204</v>
      </c>
      <c r="C40" s="58" t="s">
        <v>241</v>
      </c>
      <c r="D40" s="58" t="s">
        <v>242</v>
      </c>
      <c r="E40" s="58" t="s">
        <v>243</v>
      </c>
      <c r="F40" s="58" t="s">
        <v>244</v>
      </c>
      <c r="G40" s="58" t="s">
        <v>246</v>
      </c>
      <c r="H40" s="58" t="s">
        <v>245</v>
      </c>
      <c r="I40" s="679" t="s">
        <v>90</v>
      </c>
      <c r="J40" s="679"/>
    </row>
    <row r="41" spans="2:14">
      <c r="B41" s="44" t="s">
        <v>47</v>
      </c>
      <c r="C41" s="61">
        <v>3</v>
      </c>
      <c r="D41" s="61">
        <v>3</v>
      </c>
      <c r="E41" s="61">
        <v>1</v>
      </c>
      <c r="F41" s="61">
        <v>3</v>
      </c>
      <c r="G41" s="61">
        <v>3</v>
      </c>
      <c r="H41" s="61">
        <v>1</v>
      </c>
      <c r="I41" s="654" t="s">
        <v>373</v>
      </c>
      <c r="J41" s="654"/>
      <c r="L41" s="627" t="s">
        <v>64</v>
      </c>
      <c r="M41" s="628"/>
      <c r="N41" s="629"/>
    </row>
    <row r="42" spans="2:14">
      <c r="B42" s="44" t="s">
        <v>48</v>
      </c>
      <c r="C42" s="518">
        <v>1</v>
      </c>
      <c r="D42" s="518">
        <v>1</v>
      </c>
      <c r="E42" s="518">
        <v>1</v>
      </c>
      <c r="F42" s="518">
        <v>1</v>
      </c>
      <c r="G42" s="518">
        <v>1</v>
      </c>
      <c r="H42" s="518">
        <v>1</v>
      </c>
      <c r="I42" s="675" t="s">
        <v>950</v>
      </c>
      <c r="J42" s="675"/>
      <c r="L42" s="45" t="s">
        <v>65</v>
      </c>
      <c r="M42" s="45">
        <v>453.59</v>
      </c>
      <c r="N42" s="45" t="s">
        <v>66</v>
      </c>
    </row>
    <row r="43" spans="2:14">
      <c r="B43" s="44" t="s">
        <v>49</v>
      </c>
      <c r="C43" s="20">
        <v>8760</v>
      </c>
      <c r="D43" s="20">
        <v>8760</v>
      </c>
      <c r="E43" s="20">
        <v>8760</v>
      </c>
      <c r="F43" s="20">
        <v>500</v>
      </c>
      <c r="G43" s="20">
        <v>500</v>
      </c>
      <c r="H43" s="20">
        <v>144</v>
      </c>
      <c r="I43" s="654" t="s">
        <v>205</v>
      </c>
      <c r="J43" s="654"/>
      <c r="L43" s="45" t="s">
        <v>67</v>
      </c>
      <c r="M43" s="45">
        <v>378.49</v>
      </c>
      <c r="N43" s="45" t="s">
        <v>68</v>
      </c>
    </row>
    <row r="44" spans="2:14">
      <c r="B44" s="44" t="s">
        <v>148</v>
      </c>
      <c r="C44" s="73">
        <f t="shared" ref="C44:H44" si="9">C22</f>
        <v>7.15</v>
      </c>
      <c r="D44" s="73">
        <f t="shared" si="9"/>
        <v>2.25</v>
      </c>
      <c r="E44" s="73">
        <f t="shared" si="9"/>
        <v>10.5</v>
      </c>
      <c r="F44" s="73">
        <f>F22</f>
        <v>59992</v>
      </c>
      <c r="G44" s="73">
        <f t="shared" si="9"/>
        <v>14020</v>
      </c>
      <c r="H44" s="73">
        <f t="shared" si="9"/>
        <v>997.5</v>
      </c>
      <c r="I44" s="663" t="s">
        <v>252</v>
      </c>
      <c r="J44" s="664"/>
      <c r="L44" s="45" t="s">
        <v>69</v>
      </c>
      <c r="M44" s="45">
        <v>1000000</v>
      </c>
      <c r="N44" s="45" t="s">
        <v>70</v>
      </c>
    </row>
    <row r="45" spans="2:14">
      <c r="B45" s="48" t="s">
        <v>91</v>
      </c>
      <c r="C45" s="18"/>
      <c r="D45" s="18"/>
      <c r="E45" s="18"/>
      <c r="F45" s="18"/>
      <c r="G45" s="18"/>
      <c r="H45" s="18"/>
      <c r="I45" s="660"/>
      <c r="J45" s="660"/>
      <c r="L45" s="46" t="s">
        <v>71</v>
      </c>
      <c r="M45" s="46">
        <v>60</v>
      </c>
      <c r="N45" s="46" t="s">
        <v>72</v>
      </c>
    </row>
    <row r="46" spans="2:14">
      <c r="B46" s="44" t="s">
        <v>149</v>
      </c>
      <c r="C46" s="50">
        <f t="shared" ref="C46:H46" si="10">$C$7</f>
        <v>6.8000000000000005E-2</v>
      </c>
      <c r="D46" s="50">
        <f t="shared" si="10"/>
        <v>6.8000000000000005E-2</v>
      </c>
      <c r="E46" s="50">
        <f t="shared" si="10"/>
        <v>6.8000000000000005E-2</v>
      </c>
      <c r="F46" s="50">
        <f t="shared" si="10"/>
        <v>6.8000000000000005E-2</v>
      </c>
      <c r="G46" s="50">
        <f t="shared" si="10"/>
        <v>6.8000000000000005E-2</v>
      </c>
      <c r="H46" s="50">
        <f t="shared" si="10"/>
        <v>6.8000000000000005E-2</v>
      </c>
      <c r="I46" s="654" t="s">
        <v>152</v>
      </c>
      <c r="J46" s="654"/>
      <c r="L46" s="46" t="s">
        <v>73</v>
      </c>
      <c r="M46" s="45">
        <v>2.8316999999999998E-2</v>
      </c>
      <c r="N46" s="46" t="s">
        <v>74</v>
      </c>
    </row>
    <row r="47" spans="2:14">
      <c r="B47" s="44" t="s">
        <v>150</v>
      </c>
      <c r="C47" s="50">
        <f t="shared" ref="C47:H47" si="11">$C$8</f>
        <v>0.31</v>
      </c>
      <c r="D47" s="50">
        <f t="shared" si="11"/>
        <v>0.31</v>
      </c>
      <c r="E47" s="50">
        <f t="shared" si="11"/>
        <v>0.31</v>
      </c>
      <c r="F47" s="50">
        <f t="shared" si="11"/>
        <v>0.31</v>
      </c>
      <c r="G47" s="50">
        <f t="shared" si="11"/>
        <v>0.31</v>
      </c>
      <c r="H47" s="50">
        <f t="shared" si="11"/>
        <v>0.31</v>
      </c>
      <c r="I47" s="654" t="s">
        <v>152</v>
      </c>
      <c r="J47" s="654"/>
      <c r="L47" s="45" t="s">
        <v>75</v>
      </c>
      <c r="M47" s="45">
        <v>60</v>
      </c>
      <c r="N47" s="45" t="s">
        <v>76</v>
      </c>
    </row>
    <row r="48" spans="2:14">
      <c r="B48" s="44" t="s">
        <v>151</v>
      </c>
      <c r="C48" s="50">
        <f t="shared" ref="C48:H48" si="12">$C$9</f>
        <v>0.56999999999999995</v>
      </c>
      <c r="D48" s="50">
        <f t="shared" si="12"/>
        <v>0.56999999999999995</v>
      </c>
      <c r="E48" s="50">
        <f t="shared" si="12"/>
        <v>0.56999999999999995</v>
      </c>
      <c r="F48" s="50">
        <f t="shared" si="12"/>
        <v>0.56999999999999995</v>
      </c>
      <c r="G48" s="50">
        <f t="shared" si="12"/>
        <v>0.56999999999999995</v>
      </c>
      <c r="H48" s="50">
        <f t="shared" si="12"/>
        <v>0.56999999999999995</v>
      </c>
      <c r="I48" s="654" t="s">
        <v>152</v>
      </c>
      <c r="J48" s="654"/>
      <c r="L48" s="46" t="s">
        <v>77</v>
      </c>
      <c r="M48" s="46">
        <v>0.94781700000000002</v>
      </c>
      <c r="N48" s="46" t="s">
        <v>78</v>
      </c>
    </row>
    <row r="49" spans="2:15">
      <c r="B49" s="44" t="s">
        <v>207</v>
      </c>
      <c r="C49" s="50">
        <f t="shared" ref="C49:H49" si="13">$C$10</f>
        <v>40</v>
      </c>
      <c r="D49" s="50">
        <f t="shared" si="13"/>
        <v>40</v>
      </c>
      <c r="E49" s="50">
        <f t="shared" si="13"/>
        <v>40</v>
      </c>
      <c r="F49" s="50">
        <f t="shared" si="13"/>
        <v>40</v>
      </c>
      <c r="G49" s="50">
        <f t="shared" si="13"/>
        <v>40</v>
      </c>
      <c r="H49" s="50">
        <f t="shared" si="13"/>
        <v>40</v>
      </c>
      <c r="I49" s="654"/>
      <c r="J49" s="654"/>
      <c r="L49" s="46" t="s">
        <v>79</v>
      </c>
      <c r="M49" s="46">
        <v>28.32</v>
      </c>
      <c r="N49" s="46" t="s">
        <v>80</v>
      </c>
    </row>
    <row r="50" spans="2:15">
      <c r="B50" s="44" t="s">
        <v>208</v>
      </c>
      <c r="C50" s="50">
        <f t="shared" ref="C50:H50" si="14">$C$11</f>
        <v>40</v>
      </c>
      <c r="D50" s="50">
        <f t="shared" si="14"/>
        <v>40</v>
      </c>
      <c r="E50" s="50">
        <f t="shared" si="14"/>
        <v>40</v>
      </c>
      <c r="F50" s="50">
        <f t="shared" si="14"/>
        <v>40</v>
      </c>
      <c r="G50" s="50">
        <f t="shared" si="14"/>
        <v>40</v>
      </c>
      <c r="H50" s="50">
        <f t="shared" si="14"/>
        <v>40</v>
      </c>
      <c r="I50" s="654"/>
      <c r="J50" s="654"/>
      <c r="L50" s="46" t="s">
        <v>81</v>
      </c>
      <c r="M50" s="46">
        <v>1000000</v>
      </c>
      <c r="N50" s="46" t="s">
        <v>82</v>
      </c>
    </row>
    <row r="51" spans="2:15">
      <c r="B51" s="44" t="s">
        <v>96</v>
      </c>
      <c r="C51" s="50" t="s">
        <v>133</v>
      </c>
      <c r="D51" s="50" t="s">
        <v>133</v>
      </c>
      <c r="E51" s="50" t="s">
        <v>133</v>
      </c>
      <c r="F51" s="50" t="s">
        <v>133</v>
      </c>
      <c r="G51" s="50" t="s">
        <v>133</v>
      </c>
      <c r="H51" s="50" t="s">
        <v>133</v>
      </c>
      <c r="I51" s="661" t="s">
        <v>953</v>
      </c>
      <c r="J51" s="662"/>
      <c r="L51" s="46" t="s">
        <v>83</v>
      </c>
      <c r="M51" s="46">
        <v>2000</v>
      </c>
      <c r="N51" s="46" t="s">
        <v>84</v>
      </c>
    </row>
    <row r="52" spans="2:15">
      <c r="B52" s="44" t="s">
        <v>402</v>
      </c>
      <c r="C52" s="50">
        <f t="shared" ref="C52:H52" si="15">$D$12</f>
        <v>53.06</v>
      </c>
      <c r="D52" s="50">
        <f t="shared" si="15"/>
        <v>53.06</v>
      </c>
      <c r="E52" s="50">
        <f t="shared" si="15"/>
        <v>53.06</v>
      </c>
      <c r="F52" s="50">
        <f t="shared" si="15"/>
        <v>53.06</v>
      </c>
      <c r="G52" s="50">
        <f t="shared" si="15"/>
        <v>53.06</v>
      </c>
      <c r="H52" s="50">
        <f t="shared" si="15"/>
        <v>53.06</v>
      </c>
      <c r="I52" s="654" t="s">
        <v>152</v>
      </c>
      <c r="J52" s="654"/>
      <c r="L52" s="46" t="s">
        <v>85</v>
      </c>
      <c r="M52" s="46">
        <v>0.74570000000000003</v>
      </c>
      <c r="N52" s="46" t="s">
        <v>86</v>
      </c>
    </row>
    <row r="53" spans="2:15">
      <c r="B53" s="44" t="s">
        <v>403</v>
      </c>
      <c r="C53" s="50">
        <f t="shared" ref="C53:H53" si="16">$D$13</f>
        <v>1E-3</v>
      </c>
      <c r="D53" s="50">
        <f t="shared" si="16"/>
        <v>1E-3</v>
      </c>
      <c r="E53" s="50">
        <f t="shared" si="16"/>
        <v>1E-3</v>
      </c>
      <c r="F53" s="50">
        <f t="shared" si="16"/>
        <v>1E-3</v>
      </c>
      <c r="G53" s="50">
        <f t="shared" si="16"/>
        <v>1E-3</v>
      </c>
      <c r="H53" s="50">
        <f t="shared" si="16"/>
        <v>1E-3</v>
      </c>
      <c r="I53" s="654" t="s">
        <v>152</v>
      </c>
      <c r="J53" s="654"/>
      <c r="L53" s="46" t="s">
        <v>105</v>
      </c>
      <c r="M53" s="46">
        <v>2.2046000000000001</v>
      </c>
      <c r="N53" s="46" t="s">
        <v>84</v>
      </c>
    </row>
    <row r="54" spans="2:15">
      <c r="B54" s="44" t="s">
        <v>404</v>
      </c>
      <c r="C54" s="50">
        <f t="shared" ref="C54:H54" si="17">$D$14</f>
        <v>1E-4</v>
      </c>
      <c r="D54" s="50">
        <f t="shared" si="17"/>
        <v>1E-4</v>
      </c>
      <c r="E54" s="50">
        <f t="shared" si="17"/>
        <v>1E-4</v>
      </c>
      <c r="F54" s="50">
        <f t="shared" si="17"/>
        <v>1E-4</v>
      </c>
      <c r="G54" s="50">
        <f t="shared" si="17"/>
        <v>1E-4</v>
      </c>
      <c r="H54" s="50">
        <f t="shared" si="17"/>
        <v>1E-4</v>
      </c>
      <c r="I54" s="654" t="s">
        <v>152</v>
      </c>
      <c r="J54" s="654"/>
      <c r="L54" s="46" t="s">
        <v>232</v>
      </c>
      <c r="M54" s="46">
        <v>0.30480000000000002</v>
      </c>
      <c r="N54" s="46" t="s">
        <v>233</v>
      </c>
    </row>
    <row r="55" spans="2:15">
      <c r="B55" s="48" t="s">
        <v>916</v>
      </c>
      <c r="C55" s="551"/>
      <c r="D55" s="551"/>
      <c r="E55" s="551"/>
      <c r="F55" s="551"/>
      <c r="G55" s="551"/>
      <c r="H55" s="551"/>
      <c r="I55" s="660"/>
      <c r="J55" s="660"/>
      <c r="L55" s="46" t="s">
        <v>268</v>
      </c>
      <c r="M55" s="46">
        <v>1000000</v>
      </c>
      <c r="N55" s="46" t="s">
        <v>51</v>
      </c>
    </row>
    <row r="56" spans="2:15">
      <c r="B56" s="552" t="s">
        <v>119</v>
      </c>
      <c r="C56" s="86"/>
      <c r="D56" s="86"/>
      <c r="E56" s="86"/>
      <c r="F56" s="86"/>
      <c r="G56" s="86"/>
      <c r="H56" s="68">
        <v>0.255</v>
      </c>
      <c r="I56" s="654" t="s">
        <v>135</v>
      </c>
      <c r="J56" s="654"/>
      <c r="L56" s="565" t="s">
        <v>957</v>
      </c>
      <c r="M56" s="46">
        <v>1000</v>
      </c>
      <c r="N56" s="565" t="s">
        <v>958</v>
      </c>
      <c r="O56" s="498"/>
    </row>
    <row r="57" spans="2:15">
      <c r="B57" s="552" t="s">
        <v>120</v>
      </c>
      <c r="C57" s="86"/>
      <c r="D57" s="86"/>
      <c r="E57" s="86"/>
      <c r="F57" s="86"/>
      <c r="G57" s="86"/>
      <c r="H57" s="68">
        <v>0.155</v>
      </c>
      <c r="I57" s="654" t="s">
        <v>135</v>
      </c>
      <c r="J57" s="654"/>
    </row>
    <row r="58" spans="2:15">
      <c r="B58" s="552" t="s">
        <v>124</v>
      </c>
      <c r="C58" s="86"/>
      <c r="D58" s="86"/>
      <c r="E58" s="86"/>
      <c r="F58" s="86"/>
      <c r="G58" s="86"/>
      <c r="H58" s="68">
        <v>3.5599999999999998E-3</v>
      </c>
      <c r="I58" s="654" t="s">
        <v>135</v>
      </c>
      <c r="J58" s="654"/>
      <c r="L58" s="665" t="s">
        <v>104</v>
      </c>
      <c r="M58" s="666"/>
    </row>
    <row r="59" spans="2:15">
      <c r="B59" s="552" t="s">
        <v>960</v>
      </c>
      <c r="C59" s="86"/>
      <c r="D59" s="86"/>
      <c r="E59" s="86"/>
      <c r="F59" s="86"/>
      <c r="G59" s="86"/>
      <c r="H59" s="114">
        <v>366.39066426160798</v>
      </c>
      <c r="I59" s="654" t="s">
        <v>135</v>
      </c>
      <c r="J59" s="654"/>
      <c r="L59" s="51">
        <v>1</v>
      </c>
      <c r="M59" s="54" t="s">
        <v>97</v>
      </c>
    </row>
    <row r="60" spans="2:15">
      <c r="B60" s="48" t="s">
        <v>117</v>
      </c>
      <c r="C60" s="59"/>
      <c r="D60" s="59"/>
      <c r="E60" s="59"/>
      <c r="F60" s="59"/>
      <c r="G60" s="59"/>
      <c r="H60" s="59"/>
      <c r="I60" s="660"/>
      <c r="J60" s="660"/>
      <c r="L60" s="51">
        <v>25</v>
      </c>
      <c r="M60" s="54" t="s">
        <v>98</v>
      </c>
    </row>
    <row r="61" spans="2:15">
      <c r="B61" s="44" t="s">
        <v>107</v>
      </c>
      <c r="C61" s="85">
        <f>C46*$C$44</f>
        <v>0.48620000000000008</v>
      </c>
      <c r="D61" s="85">
        <f>D46*$D$44</f>
        <v>0.15300000000000002</v>
      </c>
      <c r="E61" s="85">
        <f>E46*$E$44</f>
        <v>0.71400000000000008</v>
      </c>
      <c r="F61" s="85">
        <f>F46*$F$44</f>
        <v>4079.4560000000001</v>
      </c>
      <c r="G61" s="85">
        <f>G46*$G$44</f>
        <v>953.36</v>
      </c>
      <c r="H61" s="85">
        <f>H46*$H$44+H56*$M$51/$H$43</f>
        <v>71.37166666666667</v>
      </c>
      <c r="I61" s="659"/>
      <c r="J61" s="659"/>
      <c r="L61" s="51">
        <v>298</v>
      </c>
      <c r="M61" s="54" t="s">
        <v>99</v>
      </c>
    </row>
    <row r="62" spans="2:15">
      <c r="B62" s="44" t="s">
        <v>108</v>
      </c>
      <c r="C62" s="85">
        <f>C47*$C$44</f>
        <v>2.2164999999999999</v>
      </c>
      <c r="D62" s="85">
        <f>D47*$D$44</f>
        <v>0.69750000000000001</v>
      </c>
      <c r="E62" s="85">
        <f>E47*$E$44</f>
        <v>3.2549999999999999</v>
      </c>
      <c r="F62" s="85">
        <f>F47*$F$44</f>
        <v>18597.52</v>
      </c>
      <c r="G62" s="85">
        <f>G47*$G$44</f>
        <v>4346.2</v>
      </c>
      <c r="H62" s="85">
        <f>H47*$H$44+H57*$M$51/$H$43</f>
        <v>311.37777777777779</v>
      </c>
      <c r="I62" s="659"/>
      <c r="J62" s="659"/>
    </row>
    <row r="63" spans="2:15">
      <c r="B63" s="44" t="s">
        <v>109</v>
      </c>
      <c r="C63" s="85">
        <f>C48*$C$44</f>
        <v>4.0754999999999999</v>
      </c>
      <c r="D63" s="85">
        <f>D48*$D$44</f>
        <v>1.2825</v>
      </c>
      <c r="E63" s="85">
        <f>E48*$E$44</f>
        <v>5.9849999999999994</v>
      </c>
      <c r="F63" s="85">
        <f>F48*$F$44</f>
        <v>34195.439999999995</v>
      </c>
      <c r="G63" s="85">
        <f>G48*$G$44</f>
        <v>7991.4</v>
      </c>
      <c r="H63" s="85">
        <f>H48*$H$44</f>
        <v>568.57499999999993</v>
      </c>
      <c r="I63" s="659"/>
      <c r="J63" s="659"/>
    </row>
    <row r="64" spans="2:15">
      <c r="B64" s="44" t="s">
        <v>110</v>
      </c>
      <c r="C64" s="85">
        <f>C49/$M$50/$M$42*C29</f>
        <v>0.20177377134856653</v>
      </c>
      <c r="D64" s="85">
        <f t="shared" ref="D64:H64" si="18">D49/$M$50/$M$42*D29</f>
        <v>6.3495242732066373E-2</v>
      </c>
      <c r="E64" s="85">
        <f t="shared" si="18"/>
        <v>0.29631113274964316</v>
      </c>
      <c r="F64" s="85">
        <f t="shared" si="18"/>
        <v>1692.9807119920563</v>
      </c>
      <c r="G64" s="85">
        <f t="shared" si="18"/>
        <v>395.64591249047584</v>
      </c>
      <c r="H64" s="85">
        <f t="shared" si="18"/>
        <v>28.149557611216096</v>
      </c>
      <c r="I64" s="659"/>
      <c r="J64" s="659"/>
    </row>
    <row r="65" spans="2:10">
      <c r="B65" s="44" t="s">
        <v>111</v>
      </c>
      <c r="C65" s="85">
        <f t="shared" ref="C65:H65" si="19">C50/$M$50/$M$42*C29</f>
        <v>0.20177377134856653</v>
      </c>
      <c r="D65" s="85">
        <f t="shared" si="19"/>
        <v>6.3495242732066373E-2</v>
      </c>
      <c r="E65" s="85">
        <f t="shared" si="19"/>
        <v>0.29631113274964316</v>
      </c>
      <c r="F65" s="85">
        <f t="shared" si="19"/>
        <v>1692.9807119920563</v>
      </c>
      <c r="G65" s="85">
        <f t="shared" si="19"/>
        <v>395.64591249047584</v>
      </c>
      <c r="H65" s="85">
        <f t="shared" si="19"/>
        <v>28.149557611216096</v>
      </c>
      <c r="I65" s="659"/>
      <c r="J65" s="659"/>
    </row>
    <row r="66" spans="2:10">
      <c r="B66" s="44" t="s">
        <v>378</v>
      </c>
      <c r="C66" s="95">
        <f>C19*('LNG Fuel'!$C$45/100)*'LNG Fuel'!$D$45</f>
        <v>1.7259853332981058E-2</v>
      </c>
      <c r="D66" s="95">
        <f>D19*('LNG Fuel'!$C$45/100)*'LNG Fuel'!$D$45</f>
        <v>5.6250926365293673E-3</v>
      </c>
      <c r="E66" s="95">
        <f>E19*('LNG Fuel'!$C$45/100)*'LNG Fuel'!$D$45</f>
        <v>5.046604534862216E-2</v>
      </c>
      <c r="F66" s="95">
        <f>F19*('LNG Fuel'!$C$45/100)*'LNG Fuel'!$D$45</f>
        <v>149.50178109172765</v>
      </c>
      <c r="G66" s="95">
        <f>G19*('LNG Fuel'!$C$45/100)*'LNG Fuel'!$D$45</f>
        <v>34.950452806383261</v>
      </c>
      <c r="H66" s="95">
        <f>H19*('LNG Fuel'!$C$45/100)*'LNG Fuel'!$D$45+H58*$M$51/$H$43</f>
        <v>2.7385352811059152</v>
      </c>
      <c r="I66" s="659"/>
      <c r="J66" s="659"/>
    </row>
    <row r="67" spans="2:10">
      <c r="B67" s="44" t="s">
        <v>113</v>
      </c>
      <c r="C67" s="85">
        <f>C52*C$44*$M$53</f>
        <v>836.37894340000014</v>
      </c>
      <c r="D67" s="85">
        <f t="shared" ref="D67:G67" si="20">D52*D$44*$M$53</f>
        <v>263.19617100000005</v>
      </c>
      <c r="E67" s="85">
        <f t="shared" si="20"/>
        <v>1228.2487980000001</v>
      </c>
      <c r="F67" s="85">
        <f t="shared" si="20"/>
        <v>7017628.7513920004</v>
      </c>
      <c r="G67" s="85">
        <f t="shared" si="20"/>
        <v>1640004.5855200002</v>
      </c>
      <c r="H67" s="85">
        <f>H52*H$44*$M$53+H59*$M$51/$H$43</f>
        <v>121772.39503585569</v>
      </c>
      <c r="I67" s="659"/>
      <c r="J67" s="659"/>
    </row>
    <row r="68" spans="2:10">
      <c r="B68" s="44" t="s">
        <v>114</v>
      </c>
      <c r="C68" s="85">
        <f t="shared" ref="C68:H69" si="21">C53*C$44*$M$53</f>
        <v>1.5762890000000002E-2</v>
      </c>
      <c r="D68" s="85">
        <f t="shared" si="21"/>
        <v>4.9603500000000005E-3</v>
      </c>
      <c r="E68" s="85">
        <f t="shared" si="21"/>
        <v>2.3148300000000004E-2</v>
      </c>
      <c r="F68" s="85">
        <f t="shared" si="21"/>
        <v>132.25836320000002</v>
      </c>
      <c r="G68" s="85">
        <f t="shared" si="21"/>
        <v>30.908491999999999</v>
      </c>
      <c r="H68" s="85">
        <f t="shared" si="21"/>
        <v>2.1990885000000002</v>
      </c>
      <c r="I68" s="659"/>
      <c r="J68" s="659"/>
    </row>
    <row r="69" spans="2:10">
      <c r="B69" s="44" t="s">
        <v>115</v>
      </c>
      <c r="C69" s="85">
        <f t="shared" si="21"/>
        <v>1.5762890000000002E-3</v>
      </c>
      <c r="D69" s="85">
        <f t="shared" si="21"/>
        <v>4.9603500000000003E-4</v>
      </c>
      <c r="E69" s="85">
        <f t="shared" si="21"/>
        <v>2.3148300000000004E-3</v>
      </c>
      <c r="F69" s="85">
        <f t="shared" si="21"/>
        <v>13.225836320000001</v>
      </c>
      <c r="G69" s="85">
        <f t="shared" si="21"/>
        <v>3.0908492000000005</v>
      </c>
      <c r="H69" s="85">
        <f t="shared" si="21"/>
        <v>0.21990885000000002</v>
      </c>
      <c r="I69" s="659"/>
      <c r="J69" s="659"/>
    </row>
    <row r="70" spans="2:10">
      <c r="B70" s="44" t="s">
        <v>116</v>
      </c>
      <c r="C70" s="85">
        <f t="shared" ref="C70:H70" si="22">C67*$L$59+C68*$L$60+C69*$L$61</f>
        <v>837.24274977200014</v>
      </c>
      <c r="D70" s="85">
        <f t="shared" si="22"/>
        <v>263.46799818</v>
      </c>
      <c r="E70" s="85">
        <f t="shared" si="22"/>
        <v>1229.5173248400001</v>
      </c>
      <c r="F70" s="85">
        <f t="shared" si="22"/>
        <v>7024876.5096953604</v>
      </c>
      <c r="G70" s="85">
        <f t="shared" si="22"/>
        <v>1641698.3708816003</v>
      </c>
      <c r="H70" s="85">
        <f t="shared" si="22"/>
        <v>121892.90508565569</v>
      </c>
      <c r="I70" s="659"/>
      <c r="J70" s="659"/>
    </row>
    <row r="71" spans="2:10">
      <c r="B71" s="48" t="s">
        <v>118</v>
      </c>
      <c r="C71" s="494"/>
      <c r="D71" s="494"/>
      <c r="E71" s="494"/>
      <c r="F71" s="494"/>
      <c r="G71" s="494"/>
      <c r="H71" s="494"/>
      <c r="I71" s="660"/>
      <c r="J71" s="660"/>
    </row>
    <row r="72" spans="2:10">
      <c r="B72" s="44" t="s">
        <v>119</v>
      </c>
      <c r="C72" s="85">
        <f t="shared" ref="C72:C77" si="23">C61*$C$43/$M$51</f>
        <v>2.1295560000000004</v>
      </c>
      <c r="D72" s="85">
        <f t="shared" ref="D72:D77" si="24">D61*$D$43/$M$51</f>
        <v>0.67014000000000007</v>
      </c>
      <c r="E72" s="85">
        <f t="shared" ref="E72:E77" si="25">E61*$E$43/$M$51</f>
        <v>3.1273200000000001</v>
      </c>
      <c r="F72" s="85">
        <f t="shared" ref="F72:F77" si="26">F61*$F$43/$M$51</f>
        <v>1019.864</v>
      </c>
      <c r="G72" s="85">
        <f t="shared" ref="G72:G77" si="27">G61*$G$43/$M$51</f>
        <v>238.34</v>
      </c>
      <c r="H72" s="85">
        <f>H61*$H$43/$M$51</f>
        <v>5.1387600000000004</v>
      </c>
      <c r="I72" s="659"/>
      <c r="J72" s="659"/>
    </row>
    <row r="73" spans="2:10">
      <c r="B73" s="44" t="s">
        <v>120</v>
      </c>
      <c r="C73" s="85">
        <f t="shared" si="23"/>
        <v>9.7082700000000006</v>
      </c>
      <c r="D73" s="85">
        <f t="shared" si="24"/>
        <v>3.05505</v>
      </c>
      <c r="E73" s="85">
        <f t="shared" si="25"/>
        <v>14.2569</v>
      </c>
      <c r="F73" s="85">
        <f t="shared" si="26"/>
        <v>4649.38</v>
      </c>
      <c r="G73" s="85">
        <f t="shared" si="27"/>
        <v>1086.55</v>
      </c>
      <c r="H73" s="85">
        <f>H62*$H$43/$M$51</f>
        <v>22.4192</v>
      </c>
      <c r="I73" s="659"/>
      <c r="J73" s="659"/>
    </row>
    <row r="74" spans="2:10">
      <c r="B74" s="44" t="s">
        <v>121</v>
      </c>
      <c r="C74" s="85">
        <f t="shared" si="23"/>
        <v>17.85069</v>
      </c>
      <c r="D74" s="85">
        <f t="shared" si="24"/>
        <v>5.6173499999999992</v>
      </c>
      <c r="E74" s="85">
        <f t="shared" si="25"/>
        <v>26.214299999999998</v>
      </c>
      <c r="F74" s="85">
        <f t="shared" si="26"/>
        <v>8548.8599999999988</v>
      </c>
      <c r="G74" s="85">
        <f t="shared" si="27"/>
        <v>1997.85</v>
      </c>
      <c r="H74" s="85">
        <f t="shared" ref="H74:H76" si="28">H63*$H$43/$M$51</f>
        <v>40.937399999999997</v>
      </c>
      <c r="I74" s="659"/>
      <c r="J74" s="659"/>
    </row>
    <row r="75" spans="2:10">
      <c r="B75" s="44" t="s">
        <v>122</v>
      </c>
      <c r="C75" s="85">
        <f t="shared" si="23"/>
        <v>0.88376911850672135</v>
      </c>
      <c r="D75" s="85">
        <f t="shared" si="24"/>
        <v>0.27810916316645073</v>
      </c>
      <c r="E75" s="85">
        <f t="shared" si="25"/>
        <v>1.2978427614434369</v>
      </c>
      <c r="F75" s="85">
        <f t="shared" si="26"/>
        <v>423.24517799801407</v>
      </c>
      <c r="G75" s="85">
        <f t="shared" si="27"/>
        <v>98.911478122618959</v>
      </c>
      <c r="H75" s="85">
        <f t="shared" si="28"/>
        <v>2.0267681480075588</v>
      </c>
      <c r="I75" s="659"/>
      <c r="J75" s="659"/>
    </row>
    <row r="76" spans="2:10">
      <c r="B76" s="44" t="s">
        <v>123</v>
      </c>
      <c r="C76" s="85">
        <f t="shared" si="23"/>
        <v>0.88376911850672135</v>
      </c>
      <c r="D76" s="85">
        <f t="shared" si="24"/>
        <v>0.27810916316645073</v>
      </c>
      <c r="E76" s="85">
        <f t="shared" si="25"/>
        <v>1.2978427614434369</v>
      </c>
      <c r="F76" s="85">
        <f t="shared" si="26"/>
        <v>423.24517799801407</v>
      </c>
      <c r="G76" s="85">
        <f t="shared" si="27"/>
        <v>98.911478122618959</v>
      </c>
      <c r="H76" s="85">
        <f t="shared" si="28"/>
        <v>2.0267681480075588</v>
      </c>
      <c r="I76" s="659"/>
      <c r="J76" s="659"/>
    </row>
    <row r="77" spans="2:10">
      <c r="B77" s="44" t="s">
        <v>379</v>
      </c>
      <c r="C77" s="85">
        <f t="shared" si="23"/>
        <v>7.5598157598457033E-2</v>
      </c>
      <c r="D77" s="85">
        <f t="shared" si="24"/>
        <v>2.463790574799863E-2</v>
      </c>
      <c r="E77" s="85">
        <f t="shared" si="25"/>
        <v>0.22104127862696507</v>
      </c>
      <c r="F77" s="85">
        <f t="shared" si="26"/>
        <v>37.375445272931913</v>
      </c>
      <c r="G77" s="85">
        <f t="shared" si="27"/>
        <v>8.7376132015958152</v>
      </c>
      <c r="H77" s="85">
        <f>H66*$H$43/$M$51</f>
        <v>0.19717454023962588</v>
      </c>
      <c r="I77" s="659"/>
      <c r="J77" s="659"/>
    </row>
    <row r="78" spans="2:10">
      <c r="B78" s="44" t="s">
        <v>920</v>
      </c>
      <c r="C78" s="85">
        <f t="shared" ref="C78:H80" si="29">C52*C$44/$M$56*C$43</f>
        <v>3323.36004</v>
      </c>
      <c r="D78" s="85">
        <f t="shared" si="29"/>
        <v>1045.8126</v>
      </c>
      <c r="E78" s="85">
        <f t="shared" si="29"/>
        <v>4880.4588000000003</v>
      </c>
      <c r="F78" s="85">
        <f t="shared" si="29"/>
        <v>1591587.76</v>
      </c>
      <c r="G78" s="85">
        <f t="shared" si="29"/>
        <v>371950.60000000003</v>
      </c>
      <c r="H78" s="85">
        <f t="shared" si="29"/>
        <v>7621.5384000000004</v>
      </c>
      <c r="I78" s="659"/>
      <c r="J78" s="659"/>
    </row>
    <row r="79" spans="2:10">
      <c r="B79" s="44" t="s">
        <v>921</v>
      </c>
      <c r="C79" s="85">
        <f t="shared" si="29"/>
        <v>6.2633999999999995E-2</v>
      </c>
      <c r="D79" s="85">
        <f t="shared" si="29"/>
        <v>1.9710000000000002E-2</v>
      </c>
      <c r="E79" s="85">
        <f t="shared" si="29"/>
        <v>9.1980000000000006E-2</v>
      </c>
      <c r="F79" s="85">
        <f t="shared" si="29"/>
        <v>29.996000000000002</v>
      </c>
      <c r="G79" s="85">
        <f t="shared" si="29"/>
        <v>7.01</v>
      </c>
      <c r="H79" s="85">
        <f t="shared" si="29"/>
        <v>0.14364000000000002</v>
      </c>
      <c r="I79" s="659"/>
      <c r="J79" s="659"/>
    </row>
    <row r="80" spans="2:10">
      <c r="B80" s="44" t="s">
        <v>922</v>
      </c>
      <c r="C80" s="85">
        <f t="shared" si="29"/>
        <v>6.2634000000000006E-3</v>
      </c>
      <c r="D80" s="85">
        <f t="shared" si="29"/>
        <v>1.9710000000000001E-3</v>
      </c>
      <c r="E80" s="85">
        <f t="shared" si="29"/>
        <v>9.1980000000000013E-3</v>
      </c>
      <c r="F80" s="85">
        <f t="shared" si="29"/>
        <v>2.9996</v>
      </c>
      <c r="G80" s="85">
        <f t="shared" si="29"/>
        <v>0.70100000000000007</v>
      </c>
      <c r="H80" s="85">
        <f t="shared" si="29"/>
        <v>1.4364E-2</v>
      </c>
      <c r="I80" s="659"/>
      <c r="J80" s="659"/>
    </row>
    <row r="81" spans="2:10">
      <c r="B81" s="44" t="s">
        <v>923</v>
      </c>
      <c r="C81" s="85">
        <f t="shared" ref="C81:G81" si="30">C78*$L$59+C79*$L$60+C80*$L$61</f>
        <v>3326.7923832000001</v>
      </c>
      <c r="D81" s="85">
        <f t="shared" si="30"/>
        <v>1046.8927079999999</v>
      </c>
      <c r="E81" s="85">
        <f t="shared" si="30"/>
        <v>4885.4993040000008</v>
      </c>
      <c r="F81" s="85">
        <f t="shared" si="30"/>
        <v>1593231.5407999998</v>
      </c>
      <c r="G81" s="85">
        <f t="shared" si="30"/>
        <v>372334.74800000002</v>
      </c>
      <c r="H81" s="85">
        <f>H78*$L$59+H79*$L$60+H80*$L$61</f>
        <v>7629.4098720000011</v>
      </c>
      <c r="I81" s="659"/>
      <c r="J81" s="659"/>
    </row>
    <row r="82" spans="2:10">
      <c r="B82" s="48" t="s">
        <v>139</v>
      </c>
      <c r="C82" s="59"/>
      <c r="D82" s="59"/>
      <c r="E82" s="59"/>
      <c r="F82" s="59"/>
      <c r="G82" s="59"/>
      <c r="H82" s="59"/>
      <c r="I82" s="660"/>
      <c r="J82" s="660"/>
    </row>
    <row r="83" spans="2:10">
      <c r="B83" s="66" t="s">
        <v>236</v>
      </c>
      <c r="C83" s="64">
        <f t="shared" ref="C83:H83" si="31">C35</f>
        <v>2.3029279589734992</v>
      </c>
      <c r="D83" s="64">
        <f t="shared" si="31"/>
        <v>1.3243881962741884</v>
      </c>
      <c r="E83" s="64">
        <f t="shared" si="31"/>
        <v>63.42321581084029</v>
      </c>
      <c r="F83" s="64">
        <f t="shared" si="31"/>
        <v>172.82265572658403</v>
      </c>
      <c r="G83" s="64">
        <f t="shared" si="31"/>
        <v>86.29957836265973</v>
      </c>
      <c r="H83" s="64">
        <f t="shared" si="31"/>
        <v>85.021409768171225</v>
      </c>
      <c r="I83" s="654"/>
      <c r="J83" s="654"/>
    </row>
    <row r="84" spans="2:10">
      <c r="B84" s="66" t="s">
        <v>235</v>
      </c>
      <c r="C84" s="20">
        <v>1273</v>
      </c>
      <c r="D84" s="20">
        <v>1273</v>
      </c>
      <c r="E84" s="20">
        <v>1273</v>
      </c>
      <c r="F84" s="20">
        <v>1273</v>
      </c>
      <c r="G84" s="20">
        <v>1273</v>
      </c>
      <c r="H84" s="20">
        <v>1273</v>
      </c>
      <c r="I84" s="654"/>
      <c r="J84" s="654"/>
    </row>
    <row r="85" spans="2:10">
      <c r="B85" s="66" t="s">
        <v>234</v>
      </c>
      <c r="C85" s="86">
        <v>20</v>
      </c>
      <c r="D85" s="86">
        <v>20</v>
      </c>
      <c r="E85" s="86">
        <v>20</v>
      </c>
      <c r="F85" s="86">
        <v>20</v>
      </c>
      <c r="G85" s="86">
        <v>20</v>
      </c>
      <c r="H85" s="86">
        <v>20</v>
      </c>
      <c r="I85" s="654"/>
      <c r="J85" s="654"/>
    </row>
    <row r="86" spans="2:10">
      <c r="B86" s="66" t="s">
        <v>237</v>
      </c>
      <c r="C86" s="64">
        <f t="shared" ref="C86:H86" si="32">C36</f>
        <v>0.44607859748471296</v>
      </c>
      <c r="D86" s="64">
        <f t="shared" si="32"/>
        <v>0.25008526938190806</v>
      </c>
      <c r="E86" s="64">
        <f t="shared" si="32"/>
        <v>0.54072501839206366</v>
      </c>
      <c r="F86" s="64">
        <f t="shared" si="32"/>
        <v>40.836030803819405</v>
      </c>
      <c r="G86" s="64">
        <f t="shared" si="32"/>
        <v>19.750164565717625</v>
      </c>
      <c r="H86" s="64">
        <f t="shared" si="32"/>
        <v>5.2610458124350652</v>
      </c>
      <c r="I86" s="654"/>
      <c r="J86" s="654"/>
    </row>
    <row r="87" spans="2:10">
      <c r="B87" s="66" t="s">
        <v>256</v>
      </c>
      <c r="C87" s="78">
        <v>0.5</v>
      </c>
      <c r="D87" s="78">
        <v>0.5</v>
      </c>
      <c r="E87" s="78">
        <v>0.5</v>
      </c>
      <c r="F87" s="78">
        <v>0.5</v>
      </c>
      <c r="G87" s="78">
        <v>0.5</v>
      </c>
      <c r="H87" s="78">
        <v>0.5</v>
      </c>
      <c r="I87" s="654" t="s">
        <v>257</v>
      </c>
      <c r="J87" s="654"/>
    </row>
  </sheetData>
  <mergeCells count="73">
    <mergeCell ref="I83:J83"/>
    <mergeCell ref="I84:J84"/>
    <mergeCell ref="I85:J85"/>
    <mergeCell ref="I86:J86"/>
    <mergeCell ref="I82:J82"/>
    <mergeCell ref="I30:J30"/>
    <mergeCell ref="I78:J78"/>
    <mergeCell ref="I79:J79"/>
    <mergeCell ref="I80:J80"/>
    <mergeCell ref="I81:J81"/>
    <mergeCell ref="I72:J72"/>
    <mergeCell ref="I73:J73"/>
    <mergeCell ref="I74:J74"/>
    <mergeCell ref="I75:J75"/>
    <mergeCell ref="I76:J76"/>
    <mergeCell ref="I77:J77"/>
    <mergeCell ref="I67:J67"/>
    <mergeCell ref="I68:J68"/>
    <mergeCell ref="I69:J69"/>
    <mergeCell ref="I70:J70"/>
    <mergeCell ref="I66:J66"/>
    <mergeCell ref="L58:M58"/>
    <mergeCell ref="I62:J62"/>
    <mergeCell ref="I63:J63"/>
    <mergeCell ref="I64:J64"/>
    <mergeCell ref="I65:J65"/>
    <mergeCell ref="I58:J58"/>
    <mergeCell ref="I59:J59"/>
    <mergeCell ref="I61:J61"/>
    <mergeCell ref="I52:J52"/>
    <mergeCell ref="I53:J53"/>
    <mergeCell ref="I54:J54"/>
    <mergeCell ref="I60:J60"/>
    <mergeCell ref="I55:J55"/>
    <mergeCell ref="I56:J56"/>
    <mergeCell ref="I57:J57"/>
    <mergeCell ref="L41:N41"/>
    <mergeCell ref="I42:J42"/>
    <mergeCell ref="I43:J43"/>
    <mergeCell ref="I44:J44"/>
    <mergeCell ref="I45:J45"/>
    <mergeCell ref="I87:J87"/>
    <mergeCell ref="B5:B6"/>
    <mergeCell ref="C5:D5"/>
    <mergeCell ref="I16:J16"/>
    <mergeCell ref="I17:J17"/>
    <mergeCell ref="I18:J18"/>
    <mergeCell ref="I20:J20"/>
    <mergeCell ref="I21:J21"/>
    <mergeCell ref="I22:J22"/>
    <mergeCell ref="I23:J23"/>
    <mergeCell ref="I24:J24"/>
    <mergeCell ref="I36:J36"/>
    <mergeCell ref="I25:J25"/>
    <mergeCell ref="I26:J26"/>
    <mergeCell ref="I27:J27"/>
    <mergeCell ref="I28:J28"/>
    <mergeCell ref="I71:J71"/>
    <mergeCell ref="I19:J19"/>
    <mergeCell ref="I29:J29"/>
    <mergeCell ref="I31:J31"/>
    <mergeCell ref="I32:J32"/>
    <mergeCell ref="I33:J33"/>
    <mergeCell ref="I34:J34"/>
    <mergeCell ref="I35:J35"/>
    <mergeCell ref="I50:J50"/>
    <mergeCell ref="I40:J40"/>
    <mergeCell ref="I41:J41"/>
    <mergeCell ref="I46:J46"/>
    <mergeCell ref="I47:J47"/>
    <mergeCell ref="I48:J48"/>
    <mergeCell ref="I49:J49"/>
    <mergeCell ref="I51:J5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60"/>
  <sheetViews>
    <sheetView workbookViewId="0">
      <selection activeCell="G32" sqref="G32:I32"/>
    </sheetView>
  </sheetViews>
  <sheetFormatPr defaultRowHeight="15"/>
  <cols>
    <col min="1" max="1" width="3.42578125" customWidth="1"/>
    <col min="2" max="2" width="29.42578125" customWidth="1"/>
    <col min="3" max="3" width="17.7109375" customWidth="1"/>
    <col min="4" max="4" width="16.7109375" customWidth="1"/>
    <col min="5" max="5" width="18" customWidth="1"/>
    <col min="6" max="6" width="20.28515625" customWidth="1"/>
    <col min="7" max="9" width="12" customWidth="1"/>
    <col min="10" max="11" width="20.28515625" customWidth="1"/>
  </cols>
  <sheetData>
    <row r="1" spans="1:8">
      <c r="A1" s="28" t="s">
        <v>153</v>
      </c>
      <c r="D1" s="63"/>
      <c r="E1" t="s">
        <v>253</v>
      </c>
    </row>
    <row r="2" spans="1:8">
      <c r="A2" s="28"/>
    </row>
    <row r="3" spans="1:8">
      <c r="A3" s="28"/>
      <c r="B3" s="676" t="s">
        <v>131</v>
      </c>
      <c r="C3" s="677" t="s">
        <v>203</v>
      </c>
      <c r="D3" s="678"/>
    </row>
    <row r="4" spans="1:8" ht="45">
      <c r="A4" s="28"/>
      <c r="B4" s="668"/>
      <c r="C4" s="57" t="s">
        <v>925</v>
      </c>
      <c r="D4" s="496" t="s">
        <v>145</v>
      </c>
    </row>
    <row r="5" spans="1:8">
      <c r="A5" s="28"/>
      <c r="B5" s="44" t="s">
        <v>149</v>
      </c>
      <c r="C5" s="86">
        <v>0.1</v>
      </c>
      <c r="D5" s="19"/>
    </row>
    <row r="6" spans="1:8">
      <c r="A6" s="28"/>
      <c r="B6" s="44" t="s">
        <v>150</v>
      </c>
      <c r="C6" s="506">
        <f>84*'LNG Fuel'!$C$56/1020/'LNG Fuel'!$C$56</f>
        <v>8.2352941176470587E-2</v>
      </c>
      <c r="D6" s="19"/>
    </row>
    <row r="7" spans="1:8">
      <c r="A7" s="28"/>
      <c r="B7" s="44" t="s">
        <v>151</v>
      </c>
      <c r="C7" s="506">
        <f>5.5*'LNG Fuel'!$C$56/1020/'LNG Fuel'!$C$56</f>
        <v>5.392156862745098E-3</v>
      </c>
      <c r="D7" s="19"/>
    </row>
    <row r="8" spans="1:8">
      <c r="A8" s="28"/>
      <c r="B8" s="44" t="s">
        <v>201</v>
      </c>
      <c r="C8" s="506">
        <f>7.6*'LNG Fuel'!$C$56/1020/'LNG Fuel'!$C$56</f>
        <v>7.4509803921568611E-3</v>
      </c>
      <c r="D8" s="19"/>
    </row>
    <row r="9" spans="1:8">
      <c r="A9" s="28"/>
      <c r="B9" s="44" t="s">
        <v>926</v>
      </c>
      <c r="C9" s="506">
        <f>7.6*'LNG Fuel'!$C$56/1020/'LNG Fuel'!$C$56</f>
        <v>7.4509803921568611E-3</v>
      </c>
      <c r="D9" s="19"/>
    </row>
    <row r="10" spans="1:8">
      <c r="A10" s="28"/>
      <c r="B10" s="44" t="s">
        <v>402</v>
      </c>
      <c r="C10" s="65"/>
      <c r="D10" s="50">
        <f>53.06</f>
        <v>53.06</v>
      </c>
    </row>
    <row r="11" spans="1:8">
      <c r="A11" s="28"/>
      <c r="B11" s="44" t="s">
        <v>403</v>
      </c>
      <c r="C11" s="19"/>
      <c r="D11" s="50">
        <f>0.001</f>
        <v>1E-3</v>
      </c>
    </row>
    <row r="12" spans="1:8">
      <c r="A12" s="28"/>
      <c r="B12" s="44" t="s">
        <v>404</v>
      </c>
      <c r="C12" s="19"/>
      <c r="D12" s="69">
        <f>0.0001</f>
        <v>1E-4</v>
      </c>
    </row>
    <row r="13" spans="1:8">
      <c r="A13" s="516"/>
      <c r="B13" s="70" t="s">
        <v>44</v>
      </c>
    </row>
    <row r="14" spans="1:8">
      <c r="B14" s="70" t="s">
        <v>959</v>
      </c>
    </row>
    <row r="15" spans="1:8">
      <c r="B15" s="70"/>
    </row>
    <row r="16" spans="1:8" ht="29.25" customHeight="1">
      <c r="A16" s="25"/>
      <c r="B16" s="79" t="s">
        <v>204</v>
      </c>
      <c r="C16" s="495" t="s">
        <v>369</v>
      </c>
      <c r="D16" s="679" t="s">
        <v>90</v>
      </c>
      <c r="E16" s="679"/>
      <c r="F16" s="25"/>
      <c r="G16" s="25"/>
      <c r="H16" s="25"/>
    </row>
    <row r="17" spans="1:9">
      <c r="A17" s="25"/>
      <c r="B17" s="44" t="s">
        <v>47</v>
      </c>
      <c r="C17" s="61">
        <v>1</v>
      </c>
      <c r="D17" s="654" t="s">
        <v>135</v>
      </c>
      <c r="E17" s="654"/>
      <c r="F17" s="25"/>
      <c r="G17" s="627" t="s">
        <v>64</v>
      </c>
      <c r="H17" s="628"/>
      <c r="I17" s="629"/>
    </row>
    <row r="18" spans="1:9">
      <c r="A18" s="25"/>
      <c r="B18" s="44" t="s">
        <v>48</v>
      </c>
      <c r="C18" s="62">
        <v>1</v>
      </c>
      <c r="D18" s="654" t="s">
        <v>135</v>
      </c>
      <c r="E18" s="654"/>
      <c r="F18" s="25"/>
      <c r="G18" s="45" t="s">
        <v>65</v>
      </c>
      <c r="H18" s="45">
        <v>453.59</v>
      </c>
      <c r="I18" s="45" t="s">
        <v>66</v>
      </c>
    </row>
    <row r="19" spans="1:9">
      <c r="A19" s="25"/>
      <c r="B19" s="44" t="s">
        <v>49</v>
      </c>
      <c r="C19" s="20">
        <v>8760</v>
      </c>
      <c r="D19" s="654"/>
      <c r="E19" s="654"/>
      <c r="F19" s="25"/>
      <c r="G19" s="45" t="s">
        <v>67</v>
      </c>
      <c r="H19" s="45">
        <v>378.49</v>
      </c>
      <c r="I19" s="45" t="s">
        <v>68</v>
      </c>
    </row>
    <row r="20" spans="1:9">
      <c r="A20" s="25"/>
      <c r="B20" s="44" t="s">
        <v>147</v>
      </c>
      <c r="C20" s="73">
        <v>5.55</v>
      </c>
      <c r="D20" s="654" t="s">
        <v>135</v>
      </c>
      <c r="E20" s="654"/>
      <c r="F20" s="25"/>
      <c r="G20" s="45" t="s">
        <v>69</v>
      </c>
      <c r="H20" s="45">
        <v>1000000</v>
      </c>
      <c r="I20" s="45" t="s">
        <v>70</v>
      </c>
    </row>
    <row r="21" spans="1:9">
      <c r="A21" s="25"/>
      <c r="B21" s="44" t="s">
        <v>148</v>
      </c>
      <c r="C21" s="73">
        <v>6.01</v>
      </c>
      <c r="D21" s="654" t="s">
        <v>135</v>
      </c>
      <c r="E21" s="654"/>
      <c r="F21" s="25"/>
      <c r="G21" s="46" t="s">
        <v>71</v>
      </c>
      <c r="H21" s="46">
        <v>60</v>
      </c>
      <c r="I21" s="46" t="s">
        <v>72</v>
      </c>
    </row>
    <row r="22" spans="1:9">
      <c r="A22" s="25"/>
      <c r="B22" s="44" t="s">
        <v>146</v>
      </c>
      <c r="C22" s="73">
        <v>16</v>
      </c>
      <c r="D22" s="654" t="s">
        <v>135</v>
      </c>
      <c r="E22" s="654"/>
      <c r="F22" s="25"/>
      <c r="G22" s="46" t="s">
        <v>73</v>
      </c>
      <c r="H22" s="45">
        <v>2.8316999999999998E-2</v>
      </c>
      <c r="I22" s="46" t="s">
        <v>74</v>
      </c>
    </row>
    <row r="23" spans="1:9">
      <c r="A23" s="25"/>
      <c r="B23" s="48" t="s">
        <v>91</v>
      </c>
      <c r="C23" s="18"/>
      <c r="D23" s="660"/>
      <c r="E23" s="660"/>
      <c r="F23" s="25"/>
      <c r="G23" s="45" t="s">
        <v>75</v>
      </c>
      <c r="H23" s="45">
        <v>60</v>
      </c>
      <c r="I23" s="45" t="s">
        <v>76</v>
      </c>
    </row>
    <row r="24" spans="1:9">
      <c r="A24" s="25"/>
      <c r="B24" s="44" t="s">
        <v>149</v>
      </c>
      <c r="C24" s="50">
        <f>$C$5</f>
        <v>0.1</v>
      </c>
      <c r="D24" s="654" t="s">
        <v>152</v>
      </c>
      <c r="E24" s="654"/>
      <c r="F24" s="25"/>
      <c r="G24" s="46" t="s">
        <v>77</v>
      </c>
      <c r="H24" s="46">
        <v>0.94781700000000002</v>
      </c>
      <c r="I24" s="46" t="s">
        <v>78</v>
      </c>
    </row>
    <row r="25" spans="1:9">
      <c r="A25" s="25"/>
      <c r="B25" s="44" t="s">
        <v>150</v>
      </c>
      <c r="C25" s="50">
        <f>$C$6</f>
        <v>8.2352941176470587E-2</v>
      </c>
      <c r="D25" s="654" t="s">
        <v>152</v>
      </c>
      <c r="E25" s="654"/>
      <c r="F25" s="25"/>
      <c r="G25" s="46" t="s">
        <v>79</v>
      </c>
      <c r="H25" s="46">
        <v>28.32</v>
      </c>
      <c r="I25" s="46" t="s">
        <v>80</v>
      </c>
    </row>
    <row r="26" spans="1:9">
      <c r="A26" s="25"/>
      <c r="B26" s="44" t="s">
        <v>151</v>
      </c>
      <c r="C26" s="50">
        <f>$C$7</f>
        <v>5.392156862745098E-3</v>
      </c>
      <c r="D26" s="654" t="s">
        <v>152</v>
      </c>
      <c r="E26" s="654"/>
      <c r="F26" s="25"/>
      <c r="G26" s="46" t="s">
        <v>81</v>
      </c>
      <c r="H26" s="46">
        <v>1000000</v>
      </c>
      <c r="I26" s="46" t="s">
        <v>82</v>
      </c>
    </row>
    <row r="27" spans="1:9">
      <c r="A27" s="25"/>
      <c r="B27" s="44" t="s">
        <v>201</v>
      </c>
      <c r="C27" s="50">
        <f>$C$8</f>
        <v>7.4509803921568611E-3</v>
      </c>
      <c r="D27" s="654" t="s">
        <v>152</v>
      </c>
      <c r="E27" s="654"/>
      <c r="F27" s="25"/>
      <c r="G27" s="46" t="s">
        <v>83</v>
      </c>
      <c r="H27" s="46">
        <v>2000</v>
      </c>
      <c r="I27" s="46" t="s">
        <v>84</v>
      </c>
    </row>
    <row r="28" spans="1:9">
      <c r="A28" s="25"/>
      <c r="B28" s="44" t="s">
        <v>926</v>
      </c>
      <c r="C28" s="50">
        <f>$C$9</f>
        <v>7.4509803921568611E-3</v>
      </c>
      <c r="D28" s="654" t="s">
        <v>152</v>
      </c>
      <c r="E28" s="654"/>
      <c r="F28" s="25"/>
      <c r="G28" s="46" t="s">
        <v>85</v>
      </c>
      <c r="H28" s="46">
        <v>0.74570000000000003</v>
      </c>
      <c r="I28" s="46" t="s">
        <v>86</v>
      </c>
    </row>
    <row r="29" spans="1:9">
      <c r="A29" s="25"/>
      <c r="B29" s="44" t="s">
        <v>96</v>
      </c>
      <c r="C29" s="50" t="s">
        <v>133</v>
      </c>
      <c r="D29" s="661" t="s">
        <v>953</v>
      </c>
      <c r="E29" s="662"/>
      <c r="F29" s="25"/>
      <c r="G29" s="46" t="s">
        <v>105</v>
      </c>
      <c r="H29" s="46">
        <v>2.2046000000000001</v>
      </c>
      <c r="I29" s="46" t="s">
        <v>84</v>
      </c>
    </row>
    <row r="30" spans="1:9">
      <c r="A30" s="25"/>
      <c r="B30" s="44" t="s">
        <v>402</v>
      </c>
      <c r="C30" s="50">
        <f>$D$10</f>
        <v>53.06</v>
      </c>
      <c r="D30" s="654" t="s">
        <v>152</v>
      </c>
      <c r="E30" s="654"/>
      <c r="G30" s="46" t="s">
        <v>232</v>
      </c>
      <c r="H30" s="46">
        <v>0.30480000000000002</v>
      </c>
      <c r="I30" s="46" t="s">
        <v>233</v>
      </c>
    </row>
    <row r="31" spans="1:9">
      <c r="A31" s="25"/>
      <c r="B31" s="44" t="s">
        <v>403</v>
      </c>
      <c r="C31" s="50">
        <f>$D$11</f>
        <v>1E-3</v>
      </c>
      <c r="D31" s="654" t="s">
        <v>152</v>
      </c>
      <c r="E31" s="654"/>
      <c r="F31" s="25"/>
      <c r="G31" s="46" t="s">
        <v>268</v>
      </c>
      <c r="H31" s="46">
        <v>1000000</v>
      </c>
      <c r="I31" s="46" t="s">
        <v>51</v>
      </c>
    </row>
    <row r="32" spans="1:9">
      <c r="A32" s="25"/>
      <c r="B32" s="44" t="s">
        <v>404</v>
      </c>
      <c r="C32" s="50">
        <f>$D$12</f>
        <v>1E-4</v>
      </c>
      <c r="D32" s="654" t="s">
        <v>152</v>
      </c>
      <c r="E32" s="654"/>
      <c r="F32" s="25"/>
      <c r="G32" s="565" t="s">
        <v>957</v>
      </c>
      <c r="H32" s="46">
        <v>1000</v>
      </c>
      <c r="I32" s="565" t="s">
        <v>958</v>
      </c>
    </row>
    <row r="33" spans="1:8">
      <c r="A33" s="25"/>
      <c r="B33" s="48" t="s">
        <v>117</v>
      </c>
      <c r="C33" s="59"/>
      <c r="D33" s="660"/>
      <c r="E33" s="660"/>
      <c r="F33" s="25"/>
    </row>
    <row r="34" spans="1:8">
      <c r="A34" s="25"/>
      <c r="B34" s="44" t="s">
        <v>107</v>
      </c>
      <c r="C34" s="43">
        <f>C24*$C$21</f>
        <v>0.60099999999999998</v>
      </c>
      <c r="D34" s="659"/>
      <c r="E34" s="659"/>
      <c r="F34" s="25"/>
      <c r="G34" s="665" t="s">
        <v>104</v>
      </c>
      <c r="H34" s="666"/>
    </row>
    <row r="35" spans="1:8">
      <c r="A35" s="25"/>
      <c r="B35" s="44" t="s">
        <v>108</v>
      </c>
      <c r="C35" s="43">
        <f>C25*$C$21</f>
        <v>0.49494117647058822</v>
      </c>
      <c r="D35" s="659"/>
      <c r="E35" s="659"/>
      <c r="F35" s="25"/>
      <c r="G35" s="51">
        <v>1</v>
      </c>
      <c r="H35" s="54" t="s">
        <v>97</v>
      </c>
    </row>
    <row r="36" spans="1:8">
      <c r="A36" s="25"/>
      <c r="B36" s="44" t="s">
        <v>109</v>
      </c>
      <c r="C36" s="43">
        <f>C26*$C$21</f>
        <v>3.240686274509804E-2</v>
      </c>
      <c r="D36" s="659"/>
      <c r="E36" s="659"/>
      <c r="F36" s="25"/>
      <c r="G36" s="51">
        <v>25</v>
      </c>
      <c r="H36" s="54" t="s">
        <v>98</v>
      </c>
    </row>
    <row r="37" spans="1:8">
      <c r="A37" s="25"/>
      <c r="B37" s="44" t="s">
        <v>110</v>
      </c>
      <c r="C37" s="43">
        <f t="shared" ref="C37:C38" si="0">C27*$C$21</f>
        <v>4.4780392156862733E-2</v>
      </c>
      <c r="D37" s="659"/>
      <c r="E37" s="659"/>
      <c r="F37" s="25"/>
      <c r="G37" s="51">
        <v>298</v>
      </c>
      <c r="H37" s="54" t="s">
        <v>99</v>
      </c>
    </row>
    <row r="38" spans="1:8">
      <c r="A38" s="25"/>
      <c r="B38" s="44" t="s">
        <v>111</v>
      </c>
      <c r="C38" s="43">
        <f t="shared" si="0"/>
        <v>4.4780392156862733E-2</v>
      </c>
      <c r="D38" s="659"/>
      <c r="E38" s="659"/>
      <c r="F38" s="25"/>
      <c r="G38" s="25"/>
      <c r="H38" s="25"/>
    </row>
    <row r="39" spans="1:8">
      <c r="A39" s="25"/>
      <c r="B39" s="66" t="s">
        <v>378</v>
      </c>
      <c r="C39" s="506">
        <f>C22*('LNG Fuel'!$C$45/100)*'LNG Fuel'!$D$45</f>
        <v>1.6400896000000002E-2</v>
      </c>
      <c r="D39" s="659"/>
      <c r="E39" s="659"/>
      <c r="F39" s="25"/>
      <c r="G39" s="25"/>
      <c r="H39" s="25"/>
    </row>
    <row r="40" spans="1:8">
      <c r="A40" s="25"/>
      <c r="B40" s="44" t="s">
        <v>113</v>
      </c>
      <c r="C40" s="67">
        <f>C30*C$21*$H$29</f>
        <v>703.02621676000001</v>
      </c>
      <c r="D40" s="659"/>
      <c r="E40" s="659"/>
      <c r="F40" s="25"/>
      <c r="G40" s="25"/>
      <c r="H40" s="25"/>
    </row>
    <row r="41" spans="1:8">
      <c r="B41" s="44" t="s">
        <v>114</v>
      </c>
      <c r="C41" s="67">
        <f t="shared" ref="C41:C42" si="1">C31*C$21*$H$29</f>
        <v>1.3249646E-2</v>
      </c>
      <c r="D41" s="659"/>
      <c r="E41" s="659"/>
      <c r="F41" s="25"/>
      <c r="G41" s="25"/>
      <c r="H41" s="25"/>
    </row>
    <row r="42" spans="1:8">
      <c r="B42" s="44" t="s">
        <v>115</v>
      </c>
      <c r="C42" s="67">
        <f t="shared" si="1"/>
        <v>1.3249646000000001E-3</v>
      </c>
      <c r="D42" s="659"/>
      <c r="E42" s="659"/>
      <c r="F42" s="25"/>
      <c r="G42" s="25"/>
      <c r="H42" s="25"/>
    </row>
    <row r="43" spans="1:8">
      <c r="B43" s="44" t="s">
        <v>116</v>
      </c>
      <c r="C43" s="67">
        <f>C40*$G$35+C41*$G$36+C42*$G$37</f>
        <v>703.75229736079996</v>
      </c>
      <c r="D43" s="659"/>
      <c r="E43" s="659"/>
      <c r="G43" s="25"/>
      <c r="H43" s="25"/>
    </row>
    <row r="44" spans="1:8">
      <c r="B44" s="48" t="s">
        <v>118</v>
      </c>
      <c r="C44" s="59"/>
      <c r="D44" s="660"/>
      <c r="E44" s="660"/>
      <c r="G44" s="25"/>
      <c r="H44" s="25"/>
    </row>
    <row r="45" spans="1:8">
      <c r="B45" s="44" t="s">
        <v>119</v>
      </c>
      <c r="C45" s="43">
        <f t="shared" ref="C45:C50" si="2">C34*$C$19/$H$27</f>
        <v>2.6323799999999999</v>
      </c>
      <c r="D45" s="659"/>
      <c r="E45" s="659"/>
      <c r="G45" s="25"/>
      <c r="H45" s="25"/>
    </row>
    <row r="46" spans="1:8">
      <c r="B46" s="44" t="s">
        <v>120</v>
      </c>
      <c r="C46" s="43">
        <f t="shared" si="2"/>
        <v>2.1678423529411766</v>
      </c>
      <c r="D46" s="659"/>
      <c r="E46" s="659"/>
      <c r="G46" s="25"/>
      <c r="H46" s="25"/>
    </row>
    <row r="47" spans="1:8">
      <c r="B47" s="44" t="s">
        <v>121</v>
      </c>
      <c r="C47" s="43">
        <f t="shared" si="2"/>
        <v>0.14194205882352942</v>
      </c>
      <c r="D47" s="659"/>
      <c r="E47" s="659"/>
      <c r="G47" s="25"/>
      <c r="H47" s="25"/>
    </row>
    <row r="48" spans="1:8">
      <c r="B48" s="44" t="s">
        <v>122</v>
      </c>
      <c r="C48" s="43">
        <f t="shared" si="2"/>
        <v>0.19613811764705877</v>
      </c>
      <c r="D48" s="659"/>
      <c r="E48" s="659"/>
    </row>
    <row r="49" spans="2:5">
      <c r="B49" s="44" t="s">
        <v>123</v>
      </c>
      <c r="C49" s="43">
        <f t="shared" si="2"/>
        <v>0.19613811764705877</v>
      </c>
      <c r="D49" s="659"/>
      <c r="E49" s="659"/>
    </row>
    <row r="50" spans="2:5">
      <c r="B50" s="44" t="s">
        <v>379</v>
      </c>
      <c r="C50" s="43">
        <f t="shared" si="2"/>
        <v>7.1835924480000007E-2</v>
      </c>
      <c r="D50" s="659"/>
      <c r="E50" s="659"/>
    </row>
    <row r="51" spans="2:5">
      <c r="B51" s="44" t="s">
        <v>920</v>
      </c>
      <c r="C51" s="43">
        <f>C30*C$21/$H$32*C$19</f>
        <v>2793.4816560000004</v>
      </c>
      <c r="D51" s="659"/>
      <c r="E51" s="659"/>
    </row>
    <row r="52" spans="2:5">
      <c r="B52" s="44" t="s">
        <v>921</v>
      </c>
      <c r="C52" s="43">
        <f>C31*C$21/$H$32*C$19</f>
        <v>5.2647600000000003E-2</v>
      </c>
      <c r="D52" s="659"/>
      <c r="E52" s="659"/>
    </row>
    <row r="53" spans="2:5">
      <c r="B53" s="44" t="s">
        <v>922</v>
      </c>
      <c r="C53" s="43">
        <f>C32*C$21/$H$32*C$19</f>
        <v>5.2647599999999994E-3</v>
      </c>
      <c r="D53" s="659"/>
      <c r="E53" s="659"/>
    </row>
    <row r="54" spans="2:5">
      <c r="B54" s="44" t="s">
        <v>923</v>
      </c>
      <c r="C54" s="67">
        <f>C51*$G$35+C52*$G$36+C53*$G$37</f>
        <v>2796.3667444800003</v>
      </c>
      <c r="D54" s="659"/>
      <c r="E54" s="659"/>
    </row>
    <row r="55" spans="2:5">
      <c r="B55" s="48" t="s">
        <v>139</v>
      </c>
      <c r="C55" s="59"/>
      <c r="D55" s="660"/>
      <c r="E55" s="660"/>
    </row>
    <row r="56" spans="2:5">
      <c r="B56" s="66" t="s">
        <v>140</v>
      </c>
      <c r="C56" s="68">
        <v>47</v>
      </c>
      <c r="D56" s="654" t="s">
        <v>135</v>
      </c>
      <c r="E56" s="654"/>
    </row>
    <row r="57" spans="2:5">
      <c r="B57" s="66" t="s">
        <v>141</v>
      </c>
      <c r="C57" s="68">
        <v>1800</v>
      </c>
      <c r="D57" s="654" t="s">
        <v>135</v>
      </c>
      <c r="E57" s="654"/>
    </row>
    <row r="58" spans="2:5">
      <c r="B58" s="66" t="s">
        <v>142</v>
      </c>
      <c r="C58" s="68">
        <v>8.9</v>
      </c>
      <c r="D58" s="654" t="s">
        <v>135</v>
      </c>
      <c r="E58" s="654"/>
    </row>
    <row r="59" spans="2:5">
      <c r="B59" s="66" t="s">
        <v>143</v>
      </c>
      <c r="C59" s="68">
        <f>60/12</f>
        <v>5</v>
      </c>
      <c r="D59" s="654" t="s">
        <v>135</v>
      </c>
      <c r="E59" s="654"/>
    </row>
    <row r="60" spans="2:5">
      <c r="B60" s="66" t="s">
        <v>256</v>
      </c>
      <c r="C60" s="78">
        <v>0.5</v>
      </c>
      <c r="D60" s="654" t="s">
        <v>257</v>
      </c>
      <c r="E60" s="654"/>
    </row>
  </sheetData>
  <mergeCells count="49">
    <mergeCell ref="D59:E59"/>
    <mergeCell ref="D53:E53"/>
    <mergeCell ref="D54:E54"/>
    <mergeCell ref="D55:E55"/>
    <mergeCell ref="D56:E56"/>
    <mergeCell ref="D57:E57"/>
    <mergeCell ref="D58:E58"/>
    <mergeCell ref="D36:E36"/>
    <mergeCell ref="D37:E37"/>
    <mergeCell ref="D38:E38"/>
    <mergeCell ref="D39:E39"/>
    <mergeCell ref="D52:E52"/>
    <mergeCell ref="D41:E41"/>
    <mergeCell ref="D42:E42"/>
    <mergeCell ref="D43:E43"/>
    <mergeCell ref="D44:E44"/>
    <mergeCell ref="D45:E45"/>
    <mergeCell ref="D46:E46"/>
    <mergeCell ref="D47:E47"/>
    <mergeCell ref="D48:E48"/>
    <mergeCell ref="D49:E49"/>
    <mergeCell ref="D50:E50"/>
    <mergeCell ref="D51:E51"/>
    <mergeCell ref="G34:H34"/>
    <mergeCell ref="D32:E32"/>
    <mergeCell ref="D33:E33"/>
    <mergeCell ref="D34:E34"/>
    <mergeCell ref="D35:E35"/>
    <mergeCell ref="D60:E60"/>
    <mergeCell ref="D29:E29"/>
    <mergeCell ref="D18:E18"/>
    <mergeCell ref="D19:E19"/>
    <mergeCell ref="D20:E20"/>
    <mergeCell ref="D21:E21"/>
    <mergeCell ref="D22:E22"/>
    <mergeCell ref="D23:E23"/>
    <mergeCell ref="D24:E24"/>
    <mergeCell ref="D25:E25"/>
    <mergeCell ref="D26:E26"/>
    <mergeCell ref="D27:E27"/>
    <mergeCell ref="D28:E28"/>
    <mergeCell ref="D40:E40"/>
    <mergeCell ref="D30:E30"/>
    <mergeCell ref="D31:E31"/>
    <mergeCell ref="C3:D3"/>
    <mergeCell ref="B3:B4"/>
    <mergeCell ref="D16:E16"/>
    <mergeCell ref="D17:E17"/>
    <mergeCell ref="G17:I1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7"/>
  <sheetViews>
    <sheetView workbookViewId="0">
      <selection activeCell="I21" sqref="I21:L23"/>
    </sheetView>
  </sheetViews>
  <sheetFormatPr defaultRowHeight="15"/>
  <cols>
    <col min="2" max="2" width="25.140625" bestFit="1" customWidth="1"/>
    <col min="3" max="3" width="13.85546875" customWidth="1"/>
    <col min="4" max="4" width="14.140625" customWidth="1"/>
    <col min="6" max="6" width="22.140625" customWidth="1"/>
  </cols>
  <sheetData>
    <row r="1" spans="1:11">
      <c r="A1" s="28" t="s">
        <v>906</v>
      </c>
      <c r="D1" s="63"/>
      <c r="E1" t="s">
        <v>907</v>
      </c>
    </row>
    <row r="2" spans="1:11">
      <c r="D2" s="63"/>
      <c r="E2" t="s">
        <v>908</v>
      </c>
    </row>
    <row r="4" spans="1:11" ht="29.25" customHeight="1">
      <c r="B4" s="174" t="s">
        <v>204</v>
      </c>
      <c r="C4" s="175" t="s">
        <v>900</v>
      </c>
      <c r="D4" s="175" t="s">
        <v>901</v>
      </c>
      <c r="E4" s="656" t="s">
        <v>90</v>
      </c>
      <c r="F4" s="679"/>
    </row>
    <row r="5" spans="1:11">
      <c r="B5" s="44" t="s">
        <v>902</v>
      </c>
      <c r="C5" s="491"/>
      <c r="D5" s="492">
        <v>24.4</v>
      </c>
      <c r="E5" s="654" t="s">
        <v>135</v>
      </c>
      <c r="F5" s="654"/>
    </row>
    <row r="6" spans="1:11">
      <c r="B6" s="44" t="s">
        <v>903</v>
      </c>
      <c r="C6" s="491"/>
      <c r="D6" s="493">
        <v>4.0999999999999996</v>
      </c>
      <c r="E6" s="654" t="s">
        <v>135</v>
      </c>
      <c r="F6" s="654"/>
    </row>
    <row r="7" spans="1:11">
      <c r="B7" s="520" t="s">
        <v>116</v>
      </c>
      <c r="C7" s="524"/>
      <c r="D7" s="525">
        <f>D5*$I$26</f>
        <v>610</v>
      </c>
      <c r="E7" s="657"/>
      <c r="F7" s="658"/>
    </row>
    <row r="8" spans="1:11">
      <c r="B8" s="100" t="s">
        <v>904</v>
      </c>
      <c r="C8" s="100"/>
      <c r="D8" s="100"/>
      <c r="E8" s="680"/>
      <c r="F8" s="681"/>
      <c r="I8" s="627" t="s">
        <v>64</v>
      </c>
      <c r="J8" s="628"/>
      <c r="K8" s="629"/>
    </row>
    <row r="9" spans="1:11">
      <c r="B9" s="44" t="s">
        <v>49</v>
      </c>
      <c r="C9" s="61">
        <v>8760</v>
      </c>
      <c r="D9" s="61">
        <v>8760</v>
      </c>
      <c r="E9" s="654" t="s">
        <v>135</v>
      </c>
      <c r="F9" s="654"/>
      <c r="I9" s="45" t="s">
        <v>65</v>
      </c>
      <c r="J9" s="45">
        <v>453.59</v>
      </c>
      <c r="K9" s="45" t="s">
        <v>66</v>
      </c>
    </row>
    <row r="10" spans="1:11">
      <c r="B10" s="44" t="s">
        <v>924</v>
      </c>
      <c r="C10" s="173"/>
      <c r="D10" s="43">
        <f>D5/$J$20*D9/$J$22</f>
        <v>96.953642384105947</v>
      </c>
      <c r="E10" s="659"/>
      <c r="F10" s="659"/>
      <c r="I10" s="45" t="s">
        <v>67</v>
      </c>
      <c r="J10" s="45">
        <v>378.49</v>
      </c>
      <c r="K10" s="45" t="s">
        <v>68</v>
      </c>
    </row>
    <row r="11" spans="1:11">
      <c r="B11" s="44" t="s">
        <v>923</v>
      </c>
      <c r="C11" s="173"/>
      <c r="D11" s="43">
        <f>I26*D10</f>
        <v>2423.8410596026488</v>
      </c>
      <c r="E11" s="659"/>
      <c r="F11" s="659"/>
      <c r="I11" s="45" t="s">
        <v>69</v>
      </c>
      <c r="J11" s="45">
        <v>1000000</v>
      </c>
      <c r="K11" s="45" t="s">
        <v>70</v>
      </c>
    </row>
    <row r="12" spans="1:11">
      <c r="B12" s="44" t="s">
        <v>905</v>
      </c>
      <c r="C12" s="490">
        <f>C6/$J$18*C9</f>
        <v>0</v>
      </c>
      <c r="D12" s="490">
        <f>D6/$J$18*D9</f>
        <v>17.957999999999998</v>
      </c>
      <c r="E12" s="659"/>
      <c r="F12" s="659"/>
      <c r="I12" s="46" t="s">
        <v>71</v>
      </c>
      <c r="J12" s="46">
        <v>60</v>
      </c>
      <c r="K12" s="46" t="s">
        <v>72</v>
      </c>
    </row>
    <row r="13" spans="1:11">
      <c r="I13" s="46" t="s">
        <v>73</v>
      </c>
      <c r="J13" s="45">
        <v>2.8316999999999998E-2</v>
      </c>
      <c r="K13" s="46" t="s">
        <v>74</v>
      </c>
    </row>
    <row r="14" spans="1:11">
      <c r="I14" s="45" t="s">
        <v>75</v>
      </c>
      <c r="J14" s="45">
        <v>60</v>
      </c>
      <c r="K14" s="45" t="s">
        <v>76</v>
      </c>
    </row>
    <row r="15" spans="1:11">
      <c r="I15" s="46" t="s">
        <v>77</v>
      </c>
      <c r="J15" s="46">
        <v>0.94781700000000002</v>
      </c>
      <c r="K15" s="46" t="s">
        <v>78</v>
      </c>
    </row>
    <row r="16" spans="1:11">
      <c r="I16" s="46" t="s">
        <v>79</v>
      </c>
      <c r="J16" s="46">
        <v>28.32</v>
      </c>
      <c r="K16" s="46" t="s">
        <v>80</v>
      </c>
    </row>
    <row r="17" spans="9:12">
      <c r="I17" s="46" t="s">
        <v>81</v>
      </c>
      <c r="J17" s="46">
        <v>1000000</v>
      </c>
      <c r="K17" s="46" t="s">
        <v>82</v>
      </c>
    </row>
    <row r="18" spans="9:12">
      <c r="I18" s="46" t="s">
        <v>83</v>
      </c>
      <c r="J18" s="46">
        <v>2000</v>
      </c>
      <c r="K18" s="46" t="s">
        <v>84</v>
      </c>
    </row>
    <row r="19" spans="9:12">
      <c r="I19" s="46" t="s">
        <v>85</v>
      </c>
      <c r="J19" s="46">
        <v>0.74570000000000003</v>
      </c>
      <c r="K19" s="46" t="s">
        <v>86</v>
      </c>
    </row>
    <row r="20" spans="9:12">
      <c r="I20" s="46" t="s">
        <v>105</v>
      </c>
      <c r="J20" s="46">
        <v>2.2046000000000001</v>
      </c>
      <c r="K20" s="46" t="s">
        <v>84</v>
      </c>
    </row>
    <row r="21" spans="9:12">
      <c r="I21" s="46" t="s">
        <v>268</v>
      </c>
      <c r="J21" s="46">
        <v>1000000</v>
      </c>
      <c r="K21" s="46" t="s">
        <v>51</v>
      </c>
      <c r="L21" s="498"/>
    </row>
    <row r="22" spans="9:12">
      <c r="I22" s="565" t="s">
        <v>957</v>
      </c>
      <c r="J22" s="46">
        <v>1000</v>
      </c>
      <c r="K22" s="565" t="s">
        <v>958</v>
      </c>
      <c r="L22" s="498"/>
    </row>
    <row r="23" spans="9:12">
      <c r="I23" s="498"/>
      <c r="J23" s="498"/>
      <c r="K23" s="498"/>
      <c r="L23" s="498"/>
    </row>
    <row r="24" spans="9:12">
      <c r="I24" s="665" t="s">
        <v>104</v>
      </c>
      <c r="J24" s="666"/>
    </row>
    <row r="25" spans="9:12">
      <c r="I25" s="51">
        <v>1</v>
      </c>
      <c r="J25" s="54" t="s">
        <v>97</v>
      </c>
    </row>
    <row r="26" spans="9:12">
      <c r="I26" s="51">
        <v>25</v>
      </c>
      <c r="J26" s="54" t="s">
        <v>98</v>
      </c>
    </row>
    <row r="27" spans="9:12">
      <c r="I27" s="51">
        <v>298</v>
      </c>
      <c r="J27" s="54" t="s">
        <v>99</v>
      </c>
    </row>
  </sheetData>
  <mergeCells count="11">
    <mergeCell ref="E10:F10"/>
    <mergeCell ref="E11:F11"/>
    <mergeCell ref="E12:F12"/>
    <mergeCell ref="I24:J24"/>
    <mergeCell ref="E4:F4"/>
    <mergeCell ref="E5:F5"/>
    <mergeCell ref="E6:F6"/>
    <mergeCell ref="E8:F8"/>
    <mergeCell ref="I8:K8"/>
    <mergeCell ref="E9:F9"/>
    <mergeCell ref="E7:F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U28"/>
  <sheetViews>
    <sheetView workbookViewId="0">
      <pane xSplit="2" ySplit="1" topLeftCell="C2" activePane="bottomRight" state="frozen"/>
      <selection activeCell="H1" sqref="H1"/>
      <selection pane="topRight" activeCell="H1" sqref="H1"/>
      <selection pane="bottomLeft" activeCell="H1" sqref="H1"/>
      <selection pane="bottomRight" activeCell="H28" sqref="H28"/>
    </sheetView>
  </sheetViews>
  <sheetFormatPr defaultRowHeight="12.75"/>
  <cols>
    <col min="1" max="1" width="11.5703125" style="413" customWidth="1"/>
    <col min="2" max="2" width="14.85546875" style="413" customWidth="1"/>
    <col min="3" max="3" width="74" style="416" customWidth="1"/>
    <col min="4" max="5" width="12" style="413" customWidth="1"/>
    <col min="6" max="6" width="11.5703125" style="413" customWidth="1"/>
    <col min="7" max="7" width="16.7109375" style="413" customWidth="1"/>
    <col min="8" max="9" width="14.85546875" style="413" customWidth="1"/>
    <col min="10" max="11" width="14.85546875" style="413" hidden="1" customWidth="1"/>
    <col min="12" max="12" width="8.5703125" style="413" customWidth="1"/>
    <col min="13" max="14" width="14.85546875" style="413" customWidth="1"/>
    <col min="15" max="15" width="9.140625" style="413"/>
    <col min="16" max="16" width="12.85546875" style="185" customWidth="1"/>
    <col min="17" max="255" width="9.140625" style="185"/>
    <col min="256" max="256" width="14.85546875" style="185" customWidth="1"/>
    <col min="257" max="257" width="11.5703125" style="185" customWidth="1"/>
    <col min="258" max="258" width="14.85546875" style="185" customWidth="1"/>
    <col min="259" max="259" width="51.7109375" style="185" customWidth="1"/>
    <col min="260" max="260" width="14.85546875" style="185" customWidth="1"/>
    <col min="261" max="261" width="17.85546875" style="185" customWidth="1"/>
    <col min="262" max="262" width="14.85546875" style="185" customWidth="1"/>
    <col min="263" max="263" width="16.7109375" style="185" customWidth="1"/>
    <col min="264" max="270" width="14.85546875" style="185" customWidth="1"/>
    <col min="271" max="271" width="9.140625" style="185"/>
    <col min="272" max="272" width="12.85546875" style="185" customWidth="1"/>
    <col min="273" max="511" width="9.140625" style="185"/>
    <col min="512" max="512" width="14.85546875" style="185" customWidth="1"/>
    <col min="513" max="513" width="11.5703125" style="185" customWidth="1"/>
    <col min="514" max="514" width="14.85546875" style="185" customWidth="1"/>
    <col min="515" max="515" width="51.7109375" style="185" customWidth="1"/>
    <col min="516" max="516" width="14.85546875" style="185" customWidth="1"/>
    <col min="517" max="517" width="17.85546875" style="185" customWidth="1"/>
    <col min="518" max="518" width="14.85546875" style="185" customWidth="1"/>
    <col min="519" max="519" width="16.7109375" style="185" customWidth="1"/>
    <col min="520" max="526" width="14.85546875" style="185" customWidth="1"/>
    <col min="527" max="527" width="9.140625" style="185"/>
    <col min="528" max="528" width="12.85546875" style="185" customWidth="1"/>
    <col min="529" max="767" width="9.140625" style="185"/>
    <col min="768" max="768" width="14.85546875" style="185" customWidth="1"/>
    <col min="769" max="769" width="11.5703125" style="185" customWidth="1"/>
    <col min="770" max="770" width="14.85546875" style="185" customWidth="1"/>
    <col min="771" max="771" width="51.7109375" style="185" customWidth="1"/>
    <col min="772" max="772" width="14.85546875" style="185" customWidth="1"/>
    <col min="773" max="773" width="17.85546875" style="185" customWidth="1"/>
    <col min="774" max="774" width="14.85546875" style="185" customWidth="1"/>
    <col min="775" max="775" width="16.7109375" style="185" customWidth="1"/>
    <col min="776" max="782" width="14.85546875" style="185" customWidth="1"/>
    <col min="783" max="783" width="9.140625" style="185"/>
    <col min="784" max="784" width="12.85546875" style="185" customWidth="1"/>
    <col min="785" max="1023" width="9.140625" style="185"/>
    <col min="1024" max="1024" width="14.85546875" style="185" customWidth="1"/>
    <col min="1025" max="1025" width="11.5703125" style="185" customWidth="1"/>
    <col min="1026" max="1026" width="14.85546875" style="185" customWidth="1"/>
    <col min="1027" max="1027" width="51.7109375" style="185" customWidth="1"/>
    <col min="1028" max="1028" width="14.85546875" style="185" customWidth="1"/>
    <col min="1029" max="1029" width="17.85546875" style="185" customWidth="1"/>
    <col min="1030" max="1030" width="14.85546875" style="185" customWidth="1"/>
    <col min="1031" max="1031" width="16.7109375" style="185" customWidth="1"/>
    <col min="1032" max="1038" width="14.85546875" style="185" customWidth="1"/>
    <col min="1039" max="1039" width="9.140625" style="185"/>
    <col min="1040" max="1040" width="12.85546875" style="185" customWidth="1"/>
    <col min="1041" max="1279" width="9.140625" style="185"/>
    <col min="1280" max="1280" width="14.85546875" style="185" customWidth="1"/>
    <col min="1281" max="1281" width="11.5703125" style="185" customWidth="1"/>
    <col min="1282" max="1282" width="14.85546875" style="185" customWidth="1"/>
    <col min="1283" max="1283" width="51.7109375" style="185" customWidth="1"/>
    <col min="1284" max="1284" width="14.85546875" style="185" customWidth="1"/>
    <col min="1285" max="1285" width="17.85546875" style="185" customWidth="1"/>
    <col min="1286" max="1286" width="14.85546875" style="185" customWidth="1"/>
    <col min="1287" max="1287" width="16.7109375" style="185" customWidth="1"/>
    <col min="1288" max="1294" width="14.85546875" style="185" customWidth="1"/>
    <col min="1295" max="1295" width="9.140625" style="185"/>
    <col min="1296" max="1296" width="12.85546875" style="185" customWidth="1"/>
    <col min="1297" max="1535" width="9.140625" style="185"/>
    <col min="1536" max="1536" width="14.85546875" style="185" customWidth="1"/>
    <col min="1537" max="1537" width="11.5703125" style="185" customWidth="1"/>
    <col min="1538" max="1538" width="14.85546875" style="185" customWidth="1"/>
    <col min="1539" max="1539" width="51.7109375" style="185" customWidth="1"/>
    <col min="1540" max="1540" width="14.85546875" style="185" customWidth="1"/>
    <col min="1541" max="1541" width="17.85546875" style="185" customWidth="1"/>
    <col min="1542" max="1542" width="14.85546875" style="185" customWidth="1"/>
    <col min="1543" max="1543" width="16.7109375" style="185" customWidth="1"/>
    <col min="1544" max="1550" width="14.85546875" style="185" customWidth="1"/>
    <col min="1551" max="1551" width="9.140625" style="185"/>
    <col min="1552" max="1552" width="12.85546875" style="185" customWidth="1"/>
    <col min="1553" max="1791" width="9.140625" style="185"/>
    <col min="1792" max="1792" width="14.85546875" style="185" customWidth="1"/>
    <col min="1793" max="1793" width="11.5703125" style="185" customWidth="1"/>
    <col min="1794" max="1794" width="14.85546875" style="185" customWidth="1"/>
    <col min="1795" max="1795" width="51.7109375" style="185" customWidth="1"/>
    <col min="1796" max="1796" width="14.85546875" style="185" customWidth="1"/>
    <col min="1797" max="1797" width="17.85546875" style="185" customWidth="1"/>
    <col min="1798" max="1798" width="14.85546875" style="185" customWidth="1"/>
    <col min="1799" max="1799" width="16.7109375" style="185" customWidth="1"/>
    <col min="1800" max="1806" width="14.85546875" style="185" customWidth="1"/>
    <col min="1807" max="1807" width="9.140625" style="185"/>
    <col min="1808" max="1808" width="12.85546875" style="185" customWidth="1"/>
    <col min="1809" max="2047" width="9.140625" style="185"/>
    <col min="2048" max="2048" width="14.85546875" style="185" customWidth="1"/>
    <col min="2049" max="2049" width="11.5703125" style="185" customWidth="1"/>
    <col min="2050" max="2050" width="14.85546875" style="185" customWidth="1"/>
    <col min="2051" max="2051" width="51.7109375" style="185" customWidth="1"/>
    <col min="2052" max="2052" width="14.85546875" style="185" customWidth="1"/>
    <col min="2053" max="2053" width="17.85546875" style="185" customWidth="1"/>
    <col min="2054" max="2054" width="14.85546875" style="185" customWidth="1"/>
    <col min="2055" max="2055" width="16.7109375" style="185" customWidth="1"/>
    <col min="2056" max="2062" width="14.85546875" style="185" customWidth="1"/>
    <col min="2063" max="2063" width="9.140625" style="185"/>
    <col min="2064" max="2064" width="12.85546875" style="185" customWidth="1"/>
    <col min="2065" max="2303" width="9.140625" style="185"/>
    <col min="2304" max="2304" width="14.85546875" style="185" customWidth="1"/>
    <col min="2305" max="2305" width="11.5703125" style="185" customWidth="1"/>
    <col min="2306" max="2306" width="14.85546875" style="185" customWidth="1"/>
    <col min="2307" max="2307" width="51.7109375" style="185" customWidth="1"/>
    <col min="2308" max="2308" width="14.85546875" style="185" customWidth="1"/>
    <col min="2309" max="2309" width="17.85546875" style="185" customWidth="1"/>
    <col min="2310" max="2310" width="14.85546875" style="185" customWidth="1"/>
    <col min="2311" max="2311" width="16.7109375" style="185" customWidth="1"/>
    <col min="2312" max="2318" width="14.85546875" style="185" customWidth="1"/>
    <col min="2319" max="2319" width="9.140625" style="185"/>
    <col min="2320" max="2320" width="12.85546875" style="185" customWidth="1"/>
    <col min="2321" max="2559" width="9.140625" style="185"/>
    <col min="2560" max="2560" width="14.85546875" style="185" customWidth="1"/>
    <col min="2561" max="2561" width="11.5703125" style="185" customWidth="1"/>
    <col min="2562" max="2562" width="14.85546875" style="185" customWidth="1"/>
    <col min="2563" max="2563" width="51.7109375" style="185" customWidth="1"/>
    <col min="2564" max="2564" width="14.85546875" style="185" customWidth="1"/>
    <col min="2565" max="2565" width="17.85546875" style="185" customWidth="1"/>
    <col min="2566" max="2566" width="14.85546875" style="185" customWidth="1"/>
    <col min="2567" max="2567" width="16.7109375" style="185" customWidth="1"/>
    <col min="2568" max="2574" width="14.85546875" style="185" customWidth="1"/>
    <col min="2575" max="2575" width="9.140625" style="185"/>
    <col min="2576" max="2576" width="12.85546875" style="185" customWidth="1"/>
    <col min="2577" max="2815" width="9.140625" style="185"/>
    <col min="2816" max="2816" width="14.85546875" style="185" customWidth="1"/>
    <col min="2817" max="2817" width="11.5703125" style="185" customWidth="1"/>
    <col min="2818" max="2818" width="14.85546875" style="185" customWidth="1"/>
    <col min="2819" max="2819" width="51.7109375" style="185" customWidth="1"/>
    <col min="2820" max="2820" width="14.85546875" style="185" customWidth="1"/>
    <col min="2821" max="2821" width="17.85546875" style="185" customWidth="1"/>
    <col min="2822" max="2822" width="14.85546875" style="185" customWidth="1"/>
    <col min="2823" max="2823" width="16.7109375" style="185" customWidth="1"/>
    <col min="2824" max="2830" width="14.85546875" style="185" customWidth="1"/>
    <col min="2831" max="2831" width="9.140625" style="185"/>
    <col min="2832" max="2832" width="12.85546875" style="185" customWidth="1"/>
    <col min="2833" max="3071" width="9.140625" style="185"/>
    <col min="3072" max="3072" width="14.85546875" style="185" customWidth="1"/>
    <col min="3073" max="3073" width="11.5703125" style="185" customWidth="1"/>
    <col min="3074" max="3074" width="14.85546875" style="185" customWidth="1"/>
    <col min="3075" max="3075" width="51.7109375" style="185" customWidth="1"/>
    <col min="3076" max="3076" width="14.85546875" style="185" customWidth="1"/>
    <col min="3077" max="3077" width="17.85546875" style="185" customWidth="1"/>
    <col min="3078" max="3078" width="14.85546875" style="185" customWidth="1"/>
    <col min="3079" max="3079" width="16.7109375" style="185" customWidth="1"/>
    <col min="3080" max="3086" width="14.85546875" style="185" customWidth="1"/>
    <col min="3087" max="3087" width="9.140625" style="185"/>
    <col min="3088" max="3088" width="12.85546875" style="185" customWidth="1"/>
    <col min="3089" max="3327" width="9.140625" style="185"/>
    <col min="3328" max="3328" width="14.85546875" style="185" customWidth="1"/>
    <col min="3329" max="3329" width="11.5703125" style="185" customWidth="1"/>
    <col min="3330" max="3330" width="14.85546875" style="185" customWidth="1"/>
    <col min="3331" max="3331" width="51.7109375" style="185" customWidth="1"/>
    <col min="3332" max="3332" width="14.85546875" style="185" customWidth="1"/>
    <col min="3333" max="3333" width="17.85546875" style="185" customWidth="1"/>
    <col min="3334" max="3334" width="14.85546875" style="185" customWidth="1"/>
    <col min="3335" max="3335" width="16.7109375" style="185" customWidth="1"/>
    <col min="3336" max="3342" width="14.85546875" style="185" customWidth="1"/>
    <col min="3343" max="3343" width="9.140625" style="185"/>
    <col min="3344" max="3344" width="12.85546875" style="185" customWidth="1"/>
    <col min="3345" max="3583" width="9.140625" style="185"/>
    <col min="3584" max="3584" width="14.85546875" style="185" customWidth="1"/>
    <col min="3585" max="3585" width="11.5703125" style="185" customWidth="1"/>
    <col min="3586" max="3586" width="14.85546875" style="185" customWidth="1"/>
    <col min="3587" max="3587" width="51.7109375" style="185" customWidth="1"/>
    <col min="3588" max="3588" width="14.85546875" style="185" customWidth="1"/>
    <col min="3589" max="3589" width="17.85546875" style="185" customWidth="1"/>
    <col min="3590" max="3590" width="14.85546875" style="185" customWidth="1"/>
    <col min="3591" max="3591" width="16.7109375" style="185" customWidth="1"/>
    <col min="3592" max="3598" width="14.85546875" style="185" customWidth="1"/>
    <col min="3599" max="3599" width="9.140625" style="185"/>
    <col min="3600" max="3600" width="12.85546875" style="185" customWidth="1"/>
    <col min="3601" max="3839" width="9.140625" style="185"/>
    <col min="3840" max="3840" width="14.85546875" style="185" customWidth="1"/>
    <col min="3841" max="3841" width="11.5703125" style="185" customWidth="1"/>
    <col min="3842" max="3842" width="14.85546875" style="185" customWidth="1"/>
    <col min="3843" max="3843" width="51.7109375" style="185" customWidth="1"/>
    <col min="3844" max="3844" width="14.85546875" style="185" customWidth="1"/>
    <col min="3845" max="3845" width="17.85546875" style="185" customWidth="1"/>
    <col min="3846" max="3846" width="14.85546875" style="185" customWidth="1"/>
    <col min="3847" max="3847" width="16.7109375" style="185" customWidth="1"/>
    <col min="3848" max="3854" width="14.85546875" style="185" customWidth="1"/>
    <col min="3855" max="3855" width="9.140625" style="185"/>
    <col min="3856" max="3856" width="12.85546875" style="185" customWidth="1"/>
    <col min="3857" max="4095" width="9.140625" style="185"/>
    <col min="4096" max="4096" width="14.85546875" style="185" customWidth="1"/>
    <col min="4097" max="4097" width="11.5703125" style="185" customWidth="1"/>
    <col min="4098" max="4098" width="14.85546875" style="185" customWidth="1"/>
    <col min="4099" max="4099" width="51.7109375" style="185" customWidth="1"/>
    <col min="4100" max="4100" width="14.85546875" style="185" customWidth="1"/>
    <col min="4101" max="4101" width="17.85546875" style="185" customWidth="1"/>
    <col min="4102" max="4102" width="14.85546875" style="185" customWidth="1"/>
    <col min="4103" max="4103" width="16.7109375" style="185" customWidth="1"/>
    <col min="4104" max="4110" width="14.85546875" style="185" customWidth="1"/>
    <col min="4111" max="4111" width="9.140625" style="185"/>
    <col min="4112" max="4112" width="12.85546875" style="185" customWidth="1"/>
    <col min="4113" max="4351" width="9.140625" style="185"/>
    <col min="4352" max="4352" width="14.85546875" style="185" customWidth="1"/>
    <col min="4353" max="4353" width="11.5703125" style="185" customWidth="1"/>
    <col min="4354" max="4354" width="14.85546875" style="185" customWidth="1"/>
    <col min="4355" max="4355" width="51.7109375" style="185" customWidth="1"/>
    <col min="4356" max="4356" width="14.85546875" style="185" customWidth="1"/>
    <col min="4357" max="4357" width="17.85546875" style="185" customWidth="1"/>
    <col min="4358" max="4358" width="14.85546875" style="185" customWidth="1"/>
    <col min="4359" max="4359" width="16.7109375" style="185" customWidth="1"/>
    <col min="4360" max="4366" width="14.85546875" style="185" customWidth="1"/>
    <col min="4367" max="4367" width="9.140625" style="185"/>
    <col min="4368" max="4368" width="12.85546875" style="185" customWidth="1"/>
    <col min="4369" max="4607" width="9.140625" style="185"/>
    <col min="4608" max="4608" width="14.85546875" style="185" customWidth="1"/>
    <col min="4609" max="4609" width="11.5703125" style="185" customWidth="1"/>
    <col min="4610" max="4610" width="14.85546875" style="185" customWidth="1"/>
    <col min="4611" max="4611" width="51.7109375" style="185" customWidth="1"/>
    <col min="4612" max="4612" width="14.85546875" style="185" customWidth="1"/>
    <col min="4613" max="4613" width="17.85546875" style="185" customWidth="1"/>
    <col min="4614" max="4614" width="14.85546875" style="185" customWidth="1"/>
    <col min="4615" max="4615" width="16.7109375" style="185" customWidth="1"/>
    <col min="4616" max="4622" width="14.85546875" style="185" customWidth="1"/>
    <col min="4623" max="4623" width="9.140625" style="185"/>
    <col min="4624" max="4624" width="12.85546875" style="185" customWidth="1"/>
    <col min="4625" max="4863" width="9.140625" style="185"/>
    <col min="4864" max="4864" width="14.85546875" style="185" customWidth="1"/>
    <col min="4865" max="4865" width="11.5703125" style="185" customWidth="1"/>
    <col min="4866" max="4866" width="14.85546875" style="185" customWidth="1"/>
    <col min="4867" max="4867" width="51.7109375" style="185" customWidth="1"/>
    <col min="4868" max="4868" width="14.85546875" style="185" customWidth="1"/>
    <col min="4869" max="4869" width="17.85546875" style="185" customWidth="1"/>
    <col min="4870" max="4870" width="14.85546875" style="185" customWidth="1"/>
    <col min="4871" max="4871" width="16.7109375" style="185" customWidth="1"/>
    <col min="4872" max="4878" width="14.85546875" style="185" customWidth="1"/>
    <col min="4879" max="4879" width="9.140625" style="185"/>
    <col min="4880" max="4880" width="12.85546875" style="185" customWidth="1"/>
    <col min="4881" max="5119" width="9.140625" style="185"/>
    <col min="5120" max="5120" width="14.85546875" style="185" customWidth="1"/>
    <col min="5121" max="5121" width="11.5703125" style="185" customWidth="1"/>
    <col min="5122" max="5122" width="14.85546875" style="185" customWidth="1"/>
    <col min="5123" max="5123" width="51.7109375" style="185" customWidth="1"/>
    <col min="5124" max="5124" width="14.85546875" style="185" customWidth="1"/>
    <col min="5125" max="5125" width="17.85546875" style="185" customWidth="1"/>
    <col min="5126" max="5126" width="14.85546875" style="185" customWidth="1"/>
    <col min="5127" max="5127" width="16.7109375" style="185" customWidth="1"/>
    <col min="5128" max="5134" width="14.85546875" style="185" customWidth="1"/>
    <col min="5135" max="5135" width="9.140625" style="185"/>
    <col min="5136" max="5136" width="12.85546875" style="185" customWidth="1"/>
    <col min="5137" max="5375" width="9.140625" style="185"/>
    <col min="5376" max="5376" width="14.85546875" style="185" customWidth="1"/>
    <col min="5377" max="5377" width="11.5703125" style="185" customWidth="1"/>
    <col min="5378" max="5378" width="14.85546875" style="185" customWidth="1"/>
    <col min="5379" max="5379" width="51.7109375" style="185" customWidth="1"/>
    <col min="5380" max="5380" width="14.85546875" style="185" customWidth="1"/>
    <col min="5381" max="5381" width="17.85546875" style="185" customWidth="1"/>
    <col min="5382" max="5382" width="14.85546875" style="185" customWidth="1"/>
    <col min="5383" max="5383" width="16.7109375" style="185" customWidth="1"/>
    <col min="5384" max="5390" width="14.85546875" style="185" customWidth="1"/>
    <col min="5391" max="5391" width="9.140625" style="185"/>
    <col min="5392" max="5392" width="12.85546875" style="185" customWidth="1"/>
    <col min="5393" max="5631" width="9.140625" style="185"/>
    <col min="5632" max="5632" width="14.85546875" style="185" customWidth="1"/>
    <col min="5633" max="5633" width="11.5703125" style="185" customWidth="1"/>
    <col min="5634" max="5634" width="14.85546875" style="185" customWidth="1"/>
    <col min="5635" max="5635" width="51.7109375" style="185" customWidth="1"/>
    <col min="5636" max="5636" width="14.85546875" style="185" customWidth="1"/>
    <col min="5637" max="5637" width="17.85546875" style="185" customWidth="1"/>
    <col min="5638" max="5638" width="14.85546875" style="185" customWidth="1"/>
    <col min="5639" max="5639" width="16.7109375" style="185" customWidth="1"/>
    <col min="5640" max="5646" width="14.85546875" style="185" customWidth="1"/>
    <col min="5647" max="5647" width="9.140625" style="185"/>
    <col min="5648" max="5648" width="12.85546875" style="185" customWidth="1"/>
    <col min="5649" max="5887" width="9.140625" style="185"/>
    <col min="5888" max="5888" width="14.85546875" style="185" customWidth="1"/>
    <col min="5889" max="5889" width="11.5703125" style="185" customWidth="1"/>
    <col min="5890" max="5890" width="14.85546875" style="185" customWidth="1"/>
    <col min="5891" max="5891" width="51.7109375" style="185" customWidth="1"/>
    <col min="5892" max="5892" width="14.85546875" style="185" customWidth="1"/>
    <col min="5893" max="5893" width="17.85546875" style="185" customWidth="1"/>
    <col min="5894" max="5894" width="14.85546875" style="185" customWidth="1"/>
    <col min="5895" max="5895" width="16.7109375" style="185" customWidth="1"/>
    <col min="5896" max="5902" width="14.85546875" style="185" customWidth="1"/>
    <col min="5903" max="5903" width="9.140625" style="185"/>
    <col min="5904" max="5904" width="12.85546875" style="185" customWidth="1"/>
    <col min="5905" max="6143" width="9.140625" style="185"/>
    <col min="6144" max="6144" width="14.85546875" style="185" customWidth="1"/>
    <col min="6145" max="6145" width="11.5703125" style="185" customWidth="1"/>
    <col min="6146" max="6146" width="14.85546875" style="185" customWidth="1"/>
    <col min="6147" max="6147" width="51.7109375" style="185" customWidth="1"/>
    <col min="6148" max="6148" width="14.85546875" style="185" customWidth="1"/>
    <col min="6149" max="6149" width="17.85546875" style="185" customWidth="1"/>
    <col min="6150" max="6150" width="14.85546875" style="185" customWidth="1"/>
    <col min="6151" max="6151" width="16.7109375" style="185" customWidth="1"/>
    <col min="6152" max="6158" width="14.85546875" style="185" customWidth="1"/>
    <col min="6159" max="6159" width="9.140625" style="185"/>
    <col min="6160" max="6160" width="12.85546875" style="185" customWidth="1"/>
    <col min="6161" max="6399" width="9.140625" style="185"/>
    <col min="6400" max="6400" width="14.85546875" style="185" customWidth="1"/>
    <col min="6401" max="6401" width="11.5703125" style="185" customWidth="1"/>
    <col min="6402" max="6402" width="14.85546875" style="185" customWidth="1"/>
    <col min="6403" max="6403" width="51.7109375" style="185" customWidth="1"/>
    <col min="6404" max="6404" width="14.85546875" style="185" customWidth="1"/>
    <col min="6405" max="6405" width="17.85546875" style="185" customWidth="1"/>
    <col min="6406" max="6406" width="14.85546875" style="185" customWidth="1"/>
    <col min="6407" max="6407" width="16.7109375" style="185" customWidth="1"/>
    <col min="6408" max="6414" width="14.85546875" style="185" customWidth="1"/>
    <col min="6415" max="6415" width="9.140625" style="185"/>
    <col min="6416" max="6416" width="12.85546875" style="185" customWidth="1"/>
    <col min="6417" max="6655" width="9.140625" style="185"/>
    <col min="6656" max="6656" width="14.85546875" style="185" customWidth="1"/>
    <col min="6657" max="6657" width="11.5703125" style="185" customWidth="1"/>
    <col min="6658" max="6658" width="14.85546875" style="185" customWidth="1"/>
    <col min="6659" max="6659" width="51.7109375" style="185" customWidth="1"/>
    <col min="6660" max="6660" width="14.85546875" style="185" customWidth="1"/>
    <col min="6661" max="6661" width="17.85546875" style="185" customWidth="1"/>
    <col min="6662" max="6662" width="14.85546875" style="185" customWidth="1"/>
    <col min="6663" max="6663" width="16.7109375" style="185" customWidth="1"/>
    <col min="6664" max="6670" width="14.85546875" style="185" customWidth="1"/>
    <col min="6671" max="6671" width="9.140625" style="185"/>
    <col min="6672" max="6672" width="12.85546875" style="185" customWidth="1"/>
    <col min="6673" max="6911" width="9.140625" style="185"/>
    <col min="6912" max="6912" width="14.85546875" style="185" customWidth="1"/>
    <col min="6913" max="6913" width="11.5703125" style="185" customWidth="1"/>
    <col min="6914" max="6914" width="14.85546875" style="185" customWidth="1"/>
    <col min="6915" max="6915" width="51.7109375" style="185" customWidth="1"/>
    <col min="6916" max="6916" width="14.85546875" style="185" customWidth="1"/>
    <col min="6917" max="6917" width="17.85546875" style="185" customWidth="1"/>
    <col min="6918" max="6918" width="14.85546875" style="185" customWidth="1"/>
    <col min="6919" max="6919" width="16.7109375" style="185" customWidth="1"/>
    <col min="6920" max="6926" width="14.85546875" style="185" customWidth="1"/>
    <col min="6927" max="6927" width="9.140625" style="185"/>
    <col min="6928" max="6928" width="12.85546875" style="185" customWidth="1"/>
    <col min="6929" max="7167" width="9.140625" style="185"/>
    <col min="7168" max="7168" width="14.85546875" style="185" customWidth="1"/>
    <col min="7169" max="7169" width="11.5703125" style="185" customWidth="1"/>
    <col min="7170" max="7170" width="14.85546875" style="185" customWidth="1"/>
    <col min="7171" max="7171" width="51.7109375" style="185" customWidth="1"/>
    <col min="7172" max="7172" width="14.85546875" style="185" customWidth="1"/>
    <col min="7173" max="7173" width="17.85546875" style="185" customWidth="1"/>
    <col min="7174" max="7174" width="14.85546875" style="185" customWidth="1"/>
    <col min="7175" max="7175" width="16.7109375" style="185" customWidth="1"/>
    <col min="7176" max="7182" width="14.85546875" style="185" customWidth="1"/>
    <col min="7183" max="7183" width="9.140625" style="185"/>
    <col min="7184" max="7184" width="12.85546875" style="185" customWidth="1"/>
    <col min="7185" max="7423" width="9.140625" style="185"/>
    <col min="7424" max="7424" width="14.85546875" style="185" customWidth="1"/>
    <col min="7425" max="7425" width="11.5703125" style="185" customWidth="1"/>
    <col min="7426" max="7426" width="14.85546875" style="185" customWidth="1"/>
    <col min="7427" max="7427" width="51.7109375" style="185" customWidth="1"/>
    <col min="7428" max="7428" width="14.85546875" style="185" customWidth="1"/>
    <col min="7429" max="7429" width="17.85546875" style="185" customWidth="1"/>
    <col min="7430" max="7430" width="14.85546875" style="185" customWidth="1"/>
    <col min="7431" max="7431" width="16.7109375" style="185" customWidth="1"/>
    <col min="7432" max="7438" width="14.85546875" style="185" customWidth="1"/>
    <col min="7439" max="7439" width="9.140625" style="185"/>
    <col min="7440" max="7440" width="12.85546875" style="185" customWidth="1"/>
    <col min="7441" max="7679" width="9.140625" style="185"/>
    <col min="7680" max="7680" width="14.85546875" style="185" customWidth="1"/>
    <col min="7681" max="7681" width="11.5703125" style="185" customWidth="1"/>
    <col min="7682" max="7682" width="14.85546875" style="185" customWidth="1"/>
    <col min="7683" max="7683" width="51.7109375" style="185" customWidth="1"/>
    <col min="7684" max="7684" width="14.85546875" style="185" customWidth="1"/>
    <col min="7685" max="7685" width="17.85546875" style="185" customWidth="1"/>
    <col min="7686" max="7686" width="14.85546875" style="185" customWidth="1"/>
    <col min="7687" max="7687" width="16.7109375" style="185" customWidth="1"/>
    <col min="7688" max="7694" width="14.85546875" style="185" customWidth="1"/>
    <col min="7695" max="7695" width="9.140625" style="185"/>
    <col min="7696" max="7696" width="12.85546875" style="185" customWidth="1"/>
    <col min="7697" max="7935" width="9.140625" style="185"/>
    <col min="7936" max="7936" width="14.85546875" style="185" customWidth="1"/>
    <col min="7937" max="7937" width="11.5703125" style="185" customWidth="1"/>
    <col min="7938" max="7938" width="14.85546875" style="185" customWidth="1"/>
    <col min="7939" max="7939" width="51.7109375" style="185" customWidth="1"/>
    <col min="7940" max="7940" width="14.85546875" style="185" customWidth="1"/>
    <col min="7941" max="7941" width="17.85546875" style="185" customWidth="1"/>
    <col min="7942" max="7942" width="14.85546875" style="185" customWidth="1"/>
    <col min="7943" max="7943" width="16.7109375" style="185" customWidth="1"/>
    <col min="7944" max="7950" width="14.85546875" style="185" customWidth="1"/>
    <col min="7951" max="7951" width="9.140625" style="185"/>
    <col min="7952" max="7952" width="12.85546875" style="185" customWidth="1"/>
    <col min="7953" max="8191" width="9.140625" style="185"/>
    <col min="8192" max="8192" width="14.85546875" style="185" customWidth="1"/>
    <col min="8193" max="8193" width="11.5703125" style="185" customWidth="1"/>
    <col min="8194" max="8194" width="14.85546875" style="185" customWidth="1"/>
    <col min="8195" max="8195" width="51.7109375" style="185" customWidth="1"/>
    <col min="8196" max="8196" width="14.85546875" style="185" customWidth="1"/>
    <col min="8197" max="8197" width="17.85546875" style="185" customWidth="1"/>
    <col min="8198" max="8198" width="14.85546875" style="185" customWidth="1"/>
    <col min="8199" max="8199" width="16.7109375" style="185" customWidth="1"/>
    <col min="8200" max="8206" width="14.85546875" style="185" customWidth="1"/>
    <col min="8207" max="8207" width="9.140625" style="185"/>
    <col min="8208" max="8208" width="12.85546875" style="185" customWidth="1"/>
    <col min="8209" max="8447" width="9.140625" style="185"/>
    <col min="8448" max="8448" width="14.85546875" style="185" customWidth="1"/>
    <col min="8449" max="8449" width="11.5703125" style="185" customWidth="1"/>
    <col min="8450" max="8450" width="14.85546875" style="185" customWidth="1"/>
    <col min="8451" max="8451" width="51.7109375" style="185" customWidth="1"/>
    <col min="8452" max="8452" width="14.85546875" style="185" customWidth="1"/>
    <col min="8453" max="8453" width="17.85546875" style="185" customWidth="1"/>
    <col min="8454" max="8454" width="14.85546875" style="185" customWidth="1"/>
    <col min="8455" max="8455" width="16.7109375" style="185" customWidth="1"/>
    <col min="8456" max="8462" width="14.85546875" style="185" customWidth="1"/>
    <col min="8463" max="8463" width="9.140625" style="185"/>
    <col min="8464" max="8464" width="12.85546875" style="185" customWidth="1"/>
    <col min="8465" max="8703" width="9.140625" style="185"/>
    <col min="8704" max="8704" width="14.85546875" style="185" customWidth="1"/>
    <col min="8705" max="8705" width="11.5703125" style="185" customWidth="1"/>
    <col min="8706" max="8706" width="14.85546875" style="185" customWidth="1"/>
    <col min="8707" max="8707" width="51.7109375" style="185" customWidth="1"/>
    <col min="8708" max="8708" width="14.85546875" style="185" customWidth="1"/>
    <col min="8709" max="8709" width="17.85546875" style="185" customWidth="1"/>
    <col min="8710" max="8710" width="14.85546875" style="185" customWidth="1"/>
    <col min="8711" max="8711" width="16.7109375" style="185" customWidth="1"/>
    <col min="8712" max="8718" width="14.85546875" style="185" customWidth="1"/>
    <col min="8719" max="8719" width="9.140625" style="185"/>
    <col min="8720" max="8720" width="12.85546875" style="185" customWidth="1"/>
    <col min="8721" max="8959" width="9.140625" style="185"/>
    <col min="8960" max="8960" width="14.85546875" style="185" customWidth="1"/>
    <col min="8961" max="8961" width="11.5703125" style="185" customWidth="1"/>
    <col min="8962" max="8962" width="14.85546875" style="185" customWidth="1"/>
    <col min="8963" max="8963" width="51.7109375" style="185" customWidth="1"/>
    <col min="8964" max="8964" width="14.85546875" style="185" customWidth="1"/>
    <col min="8965" max="8965" width="17.85546875" style="185" customWidth="1"/>
    <col min="8966" max="8966" width="14.85546875" style="185" customWidth="1"/>
    <col min="8967" max="8967" width="16.7109375" style="185" customWidth="1"/>
    <col min="8968" max="8974" width="14.85546875" style="185" customWidth="1"/>
    <col min="8975" max="8975" width="9.140625" style="185"/>
    <col min="8976" max="8976" width="12.85546875" style="185" customWidth="1"/>
    <col min="8977" max="9215" width="9.140625" style="185"/>
    <col min="9216" max="9216" width="14.85546875" style="185" customWidth="1"/>
    <col min="9217" max="9217" width="11.5703125" style="185" customWidth="1"/>
    <col min="9218" max="9218" width="14.85546875" style="185" customWidth="1"/>
    <col min="9219" max="9219" width="51.7109375" style="185" customWidth="1"/>
    <col min="9220" max="9220" width="14.85546875" style="185" customWidth="1"/>
    <col min="9221" max="9221" width="17.85546875" style="185" customWidth="1"/>
    <col min="9222" max="9222" width="14.85546875" style="185" customWidth="1"/>
    <col min="9223" max="9223" width="16.7109375" style="185" customWidth="1"/>
    <col min="9224" max="9230" width="14.85546875" style="185" customWidth="1"/>
    <col min="9231" max="9231" width="9.140625" style="185"/>
    <col min="9232" max="9232" width="12.85546875" style="185" customWidth="1"/>
    <col min="9233" max="9471" width="9.140625" style="185"/>
    <col min="9472" max="9472" width="14.85546875" style="185" customWidth="1"/>
    <col min="9473" max="9473" width="11.5703125" style="185" customWidth="1"/>
    <col min="9474" max="9474" width="14.85546875" style="185" customWidth="1"/>
    <col min="9475" max="9475" width="51.7109375" style="185" customWidth="1"/>
    <col min="9476" max="9476" width="14.85546875" style="185" customWidth="1"/>
    <col min="9477" max="9477" width="17.85546875" style="185" customWidth="1"/>
    <col min="9478" max="9478" width="14.85546875" style="185" customWidth="1"/>
    <col min="9479" max="9479" width="16.7109375" style="185" customWidth="1"/>
    <col min="9480" max="9486" width="14.85546875" style="185" customWidth="1"/>
    <col min="9487" max="9487" width="9.140625" style="185"/>
    <col min="9488" max="9488" width="12.85546875" style="185" customWidth="1"/>
    <col min="9489" max="9727" width="9.140625" style="185"/>
    <col min="9728" max="9728" width="14.85546875" style="185" customWidth="1"/>
    <col min="9729" max="9729" width="11.5703125" style="185" customWidth="1"/>
    <col min="9730" max="9730" width="14.85546875" style="185" customWidth="1"/>
    <col min="9731" max="9731" width="51.7109375" style="185" customWidth="1"/>
    <col min="9732" max="9732" width="14.85546875" style="185" customWidth="1"/>
    <col min="9733" max="9733" width="17.85546875" style="185" customWidth="1"/>
    <col min="9734" max="9734" width="14.85546875" style="185" customWidth="1"/>
    <col min="9735" max="9735" width="16.7109375" style="185" customWidth="1"/>
    <col min="9736" max="9742" width="14.85546875" style="185" customWidth="1"/>
    <col min="9743" max="9743" width="9.140625" style="185"/>
    <col min="9744" max="9744" width="12.85546875" style="185" customWidth="1"/>
    <col min="9745" max="9983" width="9.140625" style="185"/>
    <col min="9984" max="9984" width="14.85546875" style="185" customWidth="1"/>
    <col min="9985" max="9985" width="11.5703125" style="185" customWidth="1"/>
    <col min="9986" max="9986" width="14.85546875" style="185" customWidth="1"/>
    <col min="9987" max="9987" width="51.7109375" style="185" customWidth="1"/>
    <col min="9988" max="9988" width="14.85546875" style="185" customWidth="1"/>
    <col min="9989" max="9989" width="17.85546875" style="185" customWidth="1"/>
    <col min="9990" max="9990" width="14.85546875" style="185" customWidth="1"/>
    <col min="9991" max="9991" width="16.7109375" style="185" customWidth="1"/>
    <col min="9992" max="9998" width="14.85546875" style="185" customWidth="1"/>
    <col min="9999" max="9999" width="9.140625" style="185"/>
    <col min="10000" max="10000" width="12.85546875" style="185" customWidth="1"/>
    <col min="10001" max="10239" width="9.140625" style="185"/>
    <col min="10240" max="10240" width="14.85546875" style="185" customWidth="1"/>
    <col min="10241" max="10241" width="11.5703125" style="185" customWidth="1"/>
    <col min="10242" max="10242" width="14.85546875" style="185" customWidth="1"/>
    <col min="10243" max="10243" width="51.7109375" style="185" customWidth="1"/>
    <col min="10244" max="10244" width="14.85546875" style="185" customWidth="1"/>
    <col min="10245" max="10245" width="17.85546875" style="185" customWidth="1"/>
    <col min="10246" max="10246" width="14.85546875" style="185" customWidth="1"/>
    <col min="10247" max="10247" width="16.7109375" style="185" customWidth="1"/>
    <col min="10248" max="10254" width="14.85546875" style="185" customWidth="1"/>
    <col min="10255" max="10255" width="9.140625" style="185"/>
    <col min="10256" max="10256" width="12.85546875" style="185" customWidth="1"/>
    <col min="10257" max="10495" width="9.140625" style="185"/>
    <col min="10496" max="10496" width="14.85546875" style="185" customWidth="1"/>
    <col min="10497" max="10497" width="11.5703125" style="185" customWidth="1"/>
    <col min="10498" max="10498" width="14.85546875" style="185" customWidth="1"/>
    <col min="10499" max="10499" width="51.7109375" style="185" customWidth="1"/>
    <col min="10500" max="10500" width="14.85546875" style="185" customWidth="1"/>
    <col min="10501" max="10501" width="17.85546875" style="185" customWidth="1"/>
    <col min="10502" max="10502" width="14.85546875" style="185" customWidth="1"/>
    <col min="10503" max="10503" width="16.7109375" style="185" customWidth="1"/>
    <col min="10504" max="10510" width="14.85546875" style="185" customWidth="1"/>
    <col min="10511" max="10511" width="9.140625" style="185"/>
    <col min="10512" max="10512" width="12.85546875" style="185" customWidth="1"/>
    <col min="10513" max="10751" width="9.140625" style="185"/>
    <col min="10752" max="10752" width="14.85546875" style="185" customWidth="1"/>
    <col min="10753" max="10753" width="11.5703125" style="185" customWidth="1"/>
    <col min="10754" max="10754" width="14.85546875" style="185" customWidth="1"/>
    <col min="10755" max="10755" width="51.7109375" style="185" customWidth="1"/>
    <col min="10756" max="10756" width="14.85546875" style="185" customWidth="1"/>
    <col min="10757" max="10757" width="17.85546875" style="185" customWidth="1"/>
    <col min="10758" max="10758" width="14.85546875" style="185" customWidth="1"/>
    <col min="10759" max="10759" width="16.7109375" style="185" customWidth="1"/>
    <col min="10760" max="10766" width="14.85546875" style="185" customWidth="1"/>
    <col min="10767" max="10767" width="9.140625" style="185"/>
    <col min="10768" max="10768" width="12.85546875" style="185" customWidth="1"/>
    <col min="10769" max="11007" width="9.140625" style="185"/>
    <col min="11008" max="11008" width="14.85546875" style="185" customWidth="1"/>
    <col min="11009" max="11009" width="11.5703125" style="185" customWidth="1"/>
    <col min="11010" max="11010" width="14.85546875" style="185" customWidth="1"/>
    <col min="11011" max="11011" width="51.7109375" style="185" customWidth="1"/>
    <col min="11012" max="11012" width="14.85546875" style="185" customWidth="1"/>
    <col min="11013" max="11013" width="17.85546875" style="185" customWidth="1"/>
    <col min="11014" max="11014" width="14.85546875" style="185" customWidth="1"/>
    <col min="11015" max="11015" width="16.7109375" style="185" customWidth="1"/>
    <col min="11016" max="11022" width="14.85546875" style="185" customWidth="1"/>
    <col min="11023" max="11023" width="9.140625" style="185"/>
    <col min="11024" max="11024" width="12.85546875" style="185" customWidth="1"/>
    <col min="11025" max="11263" width="9.140625" style="185"/>
    <col min="11264" max="11264" width="14.85546875" style="185" customWidth="1"/>
    <col min="11265" max="11265" width="11.5703125" style="185" customWidth="1"/>
    <col min="11266" max="11266" width="14.85546875" style="185" customWidth="1"/>
    <col min="11267" max="11267" width="51.7109375" style="185" customWidth="1"/>
    <col min="11268" max="11268" width="14.85546875" style="185" customWidth="1"/>
    <col min="11269" max="11269" width="17.85546875" style="185" customWidth="1"/>
    <col min="11270" max="11270" width="14.85546875" style="185" customWidth="1"/>
    <col min="11271" max="11271" width="16.7109375" style="185" customWidth="1"/>
    <col min="11272" max="11278" width="14.85546875" style="185" customWidth="1"/>
    <col min="11279" max="11279" width="9.140625" style="185"/>
    <col min="11280" max="11280" width="12.85546875" style="185" customWidth="1"/>
    <col min="11281" max="11519" width="9.140625" style="185"/>
    <col min="11520" max="11520" width="14.85546875" style="185" customWidth="1"/>
    <col min="11521" max="11521" width="11.5703125" style="185" customWidth="1"/>
    <col min="11522" max="11522" width="14.85546875" style="185" customWidth="1"/>
    <col min="11523" max="11523" width="51.7109375" style="185" customWidth="1"/>
    <col min="11524" max="11524" width="14.85546875" style="185" customWidth="1"/>
    <col min="11525" max="11525" width="17.85546875" style="185" customWidth="1"/>
    <col min="11526" max="11526" width="14.85546875" style="185" customWidth="1"/>
    <col min="11527" max="11527" width="16.7109375" style="185" customWidth="1"/>
    <col min="11528" max="11534" width="14.85546875" style="185" customWidth="1"/>
    <col min="11535" max="11535" width="9.140625" style="185"/>
    <col min="11536" max="11536" width="12.85546875" style="185" customWidth="1"/>
    <col min="11537" max="11775" width="9.140625" style="185"/>
    <col min="11776" max="11776" width="14.85546875" style="185" customWidth="1"/>
    <col min="11777" max="11777" width="11.5703125" style="185" customWidth="1"/>
    <col min="11778" max="11778" width="14.85546875" style="185" customWidth="1"/>
    <col min="11779" max="11779" width="51.7109375" style="185" customWidth="1"/>
    <col min="11780" max="11780" width="14.85546875" style="185" customWidth="1"/>
    <col min="11781" max="11781" width="17.85546875" style="185" customWidth="1"/>
    <col min="11782" max="11782" width="14.85546875" style="185" customWidth="1"/>
    <col min="11783" max="11783" width="16.7109375" style="185" customWidth="1"/>
    <col min="11784" max="11790" width="14.85546875" style="185" customWidth="1"/>
    <col min="11791" max="11791" width="9.140625" style="185"/>
    <col min="11792" max="11792" width="12.85546875" style="185" customWidth="1"/>
    <col min="11793" max="12031" width="9.140625" style="185"/>
    <col min="12032" max="12032" width="14.85546875" style="185" customWidth="1"/>
    <col min="12033" max="12033" width="11.5703125" style="185" customWidth="1"/>
    <col min="12034" max="12034" width="14.85546875" style="185" customWidth="1"/>
    <col min="12035" max="12035" width="51.7109375" style="185" customWidth="1"/>
    <col min="12036" max="12036" width="14.85546875" style="185" customWidth="1"/>
    <col min="12037" max="12037" width="17.85546875" style="185" customWidth="1"/>
    <col min="12038" max="12038" width="14.85546875" style="185" customWidth="1"/>
    <col min="12039" max="12039" width="16.7109375" style="185" customWidth="1"/>
    <col min="12040" max="12046" width="14.85546875" style="185" customWidth="1"/>
    <col min="12047" max="12047" width="9.140625" style="185"/>
    <col min="12048" max="12048" width="12.85546875" style="185" customWidth="1"/>
    <col min="12049" max="12287" width="9.140625" style="185"/>
    <col min="12288" max="12288" width="14.85546875" style="185" customWidth="1"/>
    <col min="12289" max="12289" width="11.5703125" style="185" customWidth="1"/>
    <col min="12290" max="12290" width="14.85546875" style="185" customWidth="1"/>
    <col min="12291" max="12291" width="51.7109375" style="185" customWidth="1"/>
    <col min="12292" max="12292" width="14.85546875" style="185" customWidth="1"/>
    <col min="12293" max="12293" width="17.85546875" style="185" customWidth="1"/>
    <col min="12294" max="12294" width="14.85546875" style="185" customWidth="1"/>
    <col min="12295" max="12295" width="16.7109375" style="185" customWidth="1"/>
    <col min="12296" max="12302" width="14.85546875" style="185" customWidth="1"/>
    <col min="12303" max="12303" width="9.140625" style="185"/>
    <col min="12304" max="12304" width="12.85546875" style="185" customWidth="1"/>
    <col min="12305" max="12543" width="9.140625" style="185"/>
    <col min="12544" max="12544" width="14.85546875" style="185" customWidth="1"/>
    <col min="12545" max="12545" width="11.5703125" style="185" customWidth="1"/>
    <col min="12546" max="12546" width="14.85546875" style="185" customWidth="1"/>
    <col min="12547" max="12547" width="51.7109375" style="185" customWidth="1"/>
    <col min="12548" max="12548" width="14.85546875" style="185" customWidth="1"/>
    <col min="12549" max="12549" width="17.85546875" style="185" customWidth="1"/>
    <col min="12550" max="12550" width="14.85546875" style="185" customWidth="1"/>
    <col min="12551" max="12551" width="16.7109375" style="185" customWidth="1"/>
    <col min="12552" max="12558" width="14.85546875" style="185" customWidth="1"/>
    <col min="12559" max="12559" width="9.140625" style="185"/>
    <col min="12560" max="12560" width="12.85546875" style="185" customWidth="1"/>
    <col min="12561" max="12799" width="9.140625" style="185"/>
    <col min="12800" max="12800" width="14.85546875" style="185" customWidth="1"/>
    <col min="12801" max="12801" width="11.5703125" style="185" customWidth="1"/>
    <col min="12802" max="12802" width="14.85546875" style="185" customWidth="1"/>
    <col min="12803" max="12803" width="51.7109375" style="185" customWidth="1"/>
    <col min="12804" max="12804" width="14.85546875" style="185" customWidth="1"/>
    <col min="12805" max="12805" width="17.85546875" style="185" customWidth="1"/>
    <col min="12806" max="12806" width="14.85546875" style="185" customWidth="1"/>
    <col min="12807" max="12807" width="16.7109375" style="185" customWidth="1"/>
    <col min="12808" max="12814" width="14.85546875" style="185" customWidth="1"/>
    <col min="12815" max="12815" width="9.140625" style="185"/>
    <col min="12816" max="12816" width="12.85546875" style="185" customWidth="1"/>
    <col min="12817" max="13055" width="9.140625" style="185"/>
    <col min="13056" max="13056" width="14.85546875" style="185" customWidth="1"/>
    <col min="13057" max="13057" width="11.5703125" style="185" customWidth="1"/>
    <col min="13058" max="13058" width="14.85546875" style="185" customWidth="1"/>
    <col min="13059" max="13059" width="51.7109375" style="185" customWidth="1"/>
    <col min="13060" max="13060" width="14.85546875" style="185" customWidth="1"/>
    <col min="13061" max="13061" width="17.85546875" style="185" customWidth="1"/>
    <col min="13062" max="13062" width="14.85546875" style="185" customWidth="1"/>
    <col min="13063" max="13063" width="16.7109375" style="185" customWidth="1"/>
    <col min="13064" max="13070" width="14.85546875" style="185" customWidth="1"/>
    <col min="13071" max="13071" width="9.140625" style="185"/>
    <col min="13072" max="13072" width="12.85546875" style="185" customWidth="1"/>
    <col min="13073" max="13311" width="9.140625" style="185"/>
    <col min="13312" max="13312" width="14.85546875" style="185" customWidth="1"/>
    <col min="13313" max="13313" width="11.5703125" style="185" customWidth="1"/>
    <col min="13314" max="13314" width="14.85546875" style="185" customWidth="1"/>
    <col min="13315" max="13315" width="51.7109375" style="185" customWidth="1"/>
    <col min="13316" max="13316" width="14.85546875" style="185" customWidth="1"/>
    <col min="13317" max="13317" width="17.85546875" style="185" customWidth="1"/>
    <col min="13318" max="13318" width="14.85546875" style="185" customWidth="1"/>
    <col min="13319" max="13319" width="16.7109375" style="185" customWidth="1"/>
    <col min="13320" max="13326" width="14.85546875" style="185" customWidth="1"/>
    <col min="13327" max="13327" width="9.140625" style="185"/>
    <col min="13328" max="13328" width="12.85546875" style="185" customWidth="1"/>
    <col min="13329" max="13567" width="9.140625" style="185"/>
    <col min="13568" max="13568" width="14.85546875" style="185" customWidth="1"/>
    <col min="13569" max="13569" width="11.5703125" style="185" customWidth="1"/>
    <col min="13570" max="13570" width="14.85546875" style="185" customWidth="1"/>
    <col min="13571" max="13571" width="51.7109375" style="185" customWidth="1"/>
    <col min="13572" max="13572" width="14.85546875" style="185" customWidth="1"/>
    <col min="13573" max="13573" width="17.85546875" style="185" customWidth="1"/>
    <col min="13574" max="13574" width="14.85546875" style="185" customWidth="1"/>
    <col min="13575" max="13575" width="16.7109375" style="185" customWidth="1"/>
    <col min="13576" max="13582" width="14.85546875" style="185" customWidth="1"/>
    <col min="13583" max="13583" width="9.140625" style="185"/>
    <col min="13584" max="13584" width="12.85546875" style="185" customWidth="1"/>
    <col min="13585" max="13823" width="9.140625" style="185"/>
    <col min="13824" max="13824" width="14.85546875" style="185" customWidth="1"/>
    <col min="13825" max="13825" width="11.5703125" style="185" customWidth="1"/>
    <col min="13826" max="13826" width="14.85546875" style="185" customWidth="1"/>
    <col min="13827" max="13827" width="51.7109375" style="185" customWidth="1"/>
    <col min="13828" max="13828" width="14.85546875" style="185" customWidth="1"/>
    <col min="13829" max="13829" width="17.85546875" style="185" customWidth="1"/>
    <col min="13830" max="13830" width="14.85546875" style="185" customWidth="1"/>
    <col min="13831" max="13831" width="16.7109375" style="185" customWidth="1"/>
    <col min="13832" max="13838" width="14.85546875" style="185" customWidth="1"/>
    <col min="13839" max="13839" width="9.140625" style="185"/>
    <col min="13840" max="13840" width="12.85546875" style="185" customWidth="1"/>
    <col min="13841" max="14079" width="9.140625" style="185"/>
    <col min="14080" max="14080" width="14.85546875" style="185" customWidth="1"/>
    <col min="14081" max="14081" width="11.5703125" style="185" customWidth="1"/>
    <col min="14082" max="14082" width="14.85546875" style="185" customWidth="1"/>
    <col min="14083" max="14083" width="51.7109375" style="185" customWidth="1"/>
    <col min="14084" max="14084" width="14.85546875" style="185" customWidth="1"/>
    <col min="14085" max="14085" width="17.85546875" style="185" customWidth="1"/>
    <col min="14086" max="14086" width="14.85546875" style="185" customWidth="1"/>
    <col min="14087" max="14087" width="16.7109375" style="185" customWidth="1"/>
    <col min="14088" max="14094" width="14.85546875" style="185" customWidth="1"/>
    <col min="14095" max="14095" width="9.140625" style="185"/>
    <col min="14096" max="14096" width="12.85546875" style="185" customWidth="1"/>
    <col min="14097" max="14335" width="9.140625" style="185"/>
    <col min="14336" max="14336" width="14.85546875" style="185" customWidth="1"/>
    <col min="14337" max="14337" width="11.5703125" style="185" customWidth="1"/>
    <col min="14338" max="14338" width="14.85546875" style="185" customWidth="1"/>
    <col min="14339" max="14339" width="51.7109375" style="185" customWidth="1"/>
    <col min="14340" max="14340" width="14.85546875" style="185" customWidth="1"/>
    <col min="14341" max="14341" width="17.85546875" style="185" customWidth="1"/>
    <col min="14342" max="14342" width="14.85546875" style="185" customWidth="1"/>
    <col min="14343" max="14343" width="16.7109375" style="185" customWidth="1"/>
    <col min="14344" max="14350" width="14.85546875" style="185" customWidth="1"/>
    <col min="14351" max="14351" width="9.140625" style="185"/>
    <col min="14352" max="14352" width="12.85546875" style="185" customWidth="1"/>
    <col min="14353" max="14591" width="9.140625" style="185"/>
    <col min="14592" max="14592" width="14.85546875" style="185" customWidth="1"/>
    <col min="14593" max="14593" width="11.5703125" style="185" customWidth="1"/>
    <col min="14594" max="14594" width="14.85546875" style="185" customWidth="1"/>
    <col min="14595" max="14595" width="51.7109375" style="185" customWidth="1"/>
    <col min="14596" max="14596" width="14.85546875" style="185" customWidth="1"/>
    <col min="14597" max="14597" width="17.85546875" style="185" customWidth="1"/>
    <col min="14598" max="14598" width="14.85546875" style="185" customWidth="1"/>
    <col min="14599" max="14599" width="16.7109375" style="185" customWidth="1"/>
    <col min="14600" max="14606" width="14.85546875" style="185" customWidth="1"/>
    <col min="14607" max="14607" width="9.140625" style="185"/>
    <col min="14608" max="14608" width="12.85546875" style="185" customWidth="1"/>
    <col min="14609" max="14847" width="9.140625" style="185"/>
    <col min="14848" max="14848" width="14.85546875" style="185" customWidth="1"/>
    <col min="14849" max="14849" width="11.5703125" style="185" customWidth="1"/>
    <col min="14850" max="14850" width="14.85546875" style="185" customWidth="1"/>
    <col min="14851" max="14851" width="51.7109375" style="185" customWidth="1"/>
    <col min="14852" max="14852" width="14.85546875" style="185" customWidth="1"/>
    <col min="14853" max="14853" width="17.85546875" style="185" customWidth="1"/>
    <col min="14854" max="14854" width="14.85546875" style="185" customWidth="1"/>
    <col min="14855" max="14855" width="16.7109375" style="185" customWidth="1"/>
    <col min="14856" max="14862" width="14.85546875" style="185" customWidth="1"/>
    <col min="14863" max="14863" width="9.140625" style="185"/>
    <col min="14864" max="14864" width="12.85546875" style="185" customWidth="1"/>
    <col min="14865" max="15103" width="9.140625" style="185"/>
    <col min="15104" max="15104" width="14.85546875" style="185" customWidth="1"/>
    <col min="15105" max="15105" width="11.5703125" style="185" customWidth="1"/>
    <col min="15106" max="15106" width="14.85546875" style="185" customWidth="1"/>
    <col min="15107" max="15107" width="51.7109375" style="185" customWidth="1"/>
    <col min="15108" max="15108" width="14.85546875" style="185" customWidth="1"/>
    <col min="15109" max="15109" width="17.85546875" style="185" customWidth="1"/>
    <col min="15110" max="15110" width="14.85546875" style="185" customWidth="1"/>
    <col min="15111" max="15111" width="16.7109375" style="185" customWidth="1"/>
    <col min="15112" max="15118" width="14.85546875" style="185" customWidth="1"/>
    <col min="15119" max="15119" width="9.140625" style="185"/>
    <col min="15120" max="15120" width="12.85546875" style="185" customWidth="1"/>
    <col min="15121" max="15359" width="9.140625" style="185"/>
    <col min="15360" max="15360" width="14.85546875" style="185" customWidth="1"/>
    <col min="15361" max="15361" width="11.5703125" style="185" customWidth="1"/>
    <col min="15362" max="15362" width="14.85546875" style="185" customWidth="1"/>
    <col min="15363" max="15363" width="51.7109375" style="185" customWidth="1"/>
    <col min="15364" max="15364" width="14.85546875" style="185" customWidth="1"/>
    <col min="15365" max="15365" width="17.85546875" style="185" customWidth="1"/>
    <col min="15366" max="15366" width="14.85546875" style="185" customWidth="1"/>
    <col min="15367" max="15367" width="16.7109375" style="185" customWidth="1"/>
    <col min="15368" max="15374" width="14.85546875" style="185" customWidth="1"/>
    <col min="15375" max="15375" width="9.140625" style="185"/>
    <col min="15376" max="15376" width="12.85546875" style="185" customWidth="1"/>
    <col min="15377" max="15615" width="9.140625" style="185"/>
    <col min="15616" max="15616" width="14.85546875" style="185" customWidth="1"/>
    <col min="15617" max="15617" width="11.5703125" style="185" customWidth="1"/>
    <col min="15618" max="15618" width="14.85546875" style="185" customWidth="1"/>
    <col min="15619" max="15619" width="51.7109375" style="185" customWidth="1"/>
    <col min="15620" max="15620" width="14.85546875" style="185" customWidth="1"/>
    <col min="15621" max="15621" width="17.85546875" style="185" customWidth="1"/>
    <col min="15622" max="15622" width="14.85546875" style="185" customWidth="1"/>
    <col min="15623" max="15623" width="16.7109375" style="185" customWidth="1"/>
    <col min="15624" max="15630" width="14.85546875" style="185" customWidth="1"/>
    <col min="15631" max="15631" width="9.140625" style="185"/>
    <col min="15632" max="15632" width="12.85546875" style="185" customWidth="1"/>
    <col min="15633" max="15871" width="9.140625" style="185"/>
    <col min="15872" max="15872" width="14.85546875" style="185" customWidth="1"/>
    <col min="15873" max="15873" width="11.5703125" style="185" customWidth="1"/>
    <col min="15874" max="15874" width="14.85546875" style="185" customWidth="1"/>
    <col min="15875" max="15875" width="51.7109375" style="185" customWidth="1"/>
    <col min="15876" max="15876" width="14.85546875" style="185" customWidth="1"/>
    <col min="15877" max="15877" width="17.85546875" style="185" customWidth="1"/>
    <col min="15878" max="15878" width="14.85546875" style="185" customWidth="1"/>
    <col min="15879" max="15879" width="16.7109375" style="185" customWidth="1"/>
    <col min="15880" max="15886" width="14.85546875" style="185" customWidth="1"/>
    <col min="15887" max="15887" width="9.140625" style="185"/>
    <col min="15888" max="15888" width="12.85546875" style="185" customWidth="1"/>
    <col min="15889" max="16127" width="9.140625" style="185"/>
    <col min="16128" max="16128" width="14.85546875" style="185" customWidth="1"/>
    <col min="16129" max="16129" width="11.5703125" style="185" customWidth="1"/>
    <col min="16130" max="16130" width="14.85546875" style="185" customWidth="1"/>
    <col min="16131" max="16131" width="51.7109375" style="185" customWidth="1"/>
    <col min="16132" max="16132" width="14.85546875" style="185" customWidth="1"/>
    <col min="16133" max="16133" width="17.85546875" style="185" customWidth="1"/>
    <col min="16134" max="16134" width="14.85546875" style="185" customWidth="1"/>
    <col min="16135" max="16135" width="16.7109375" style="185" customWidth="1"/>
    <col min="16136" max="16142" width="14.85546875" style="185" customWidth="1"/>
    <col min="16143" max="16143" width="9.140625" style="185"/>
    <col min="16144" max="16144" width="12.85546875" style="185" customWidth="1"/>
    <col min="16145" max="16384" width="9.140625" style="185"/>
  </cols>
  <sheetData>
    <row r="1" spans="1:21" s="411" customFormat="1" ht="27.75" customHeight="1">
      <c r="A1" s="408" t="s">
        <v>739</v>
      </c>
      <c r="B1" s="408" t="s">
        <v>740</v>
      </c>
      <c r="C1" s="409" t="s">
        <v>741</v>
      </c>
      <c r="D1" s="408" t="s">
        <v>742</v>
      </c>
      <c r="E1" s="408" t="s">
        <v>743</v>
      </c>
      <c r="F1" s="408" t="s">
        <v>744</v>
      </c>
      <c r="G1" s="408" t="s">
        <v>745</v>
      </c>
      <c r="H1" s="408" t="s">
        <v>746</v>
      </c>
      <c r="I1" s="408" t="s">
        <v>747</v>
      </c>
      <c r="J1" s="408" t="s">
        <v>748</v>
      </c>
      <c r="K1" s="408" t="s">
        <v>749</v>
      </c>
      <c r="L1" s="408" t="s">
        <v>750</v>
      </c>
      <c r="M1" s="408" t="s">
        <v>751</v>
      </c>
      <c r="N1" s="408"/>
      <c r="O1" s="410"/>
    </row>
    <row r="2" spans="1:21">
      <c r="A2" s="412" t="s">
        <v>344</v>
      </c>
      <c r="B2" s="412"/>
      <c r="C2" s="412" t="s">
        <v>345</v>
      </c>
      <c r="D2" s="412" t="s">
        <v>752</v>
      </c>
      <c r="E2" s="412"/>
      <c r="F2" s="412"/>
      <c r="G2" s="582">
        <f>'LNG Turbines'!$D$25</f>
        <v>1113</v>
      </c>
      <c r="H2" s="412" t="s">
        <v>753</v>
      </c>
      <c r="I2" s="412" t="s">
        <v>754</v>
      </c>
      <c r="J2" s="412"/>
      <c r="K2" s="412"/>
      <c r="L2" s="412">
        <v>8760</v>
      </c>
      <c r="M2" s="412" t="s">
        <v>755</v>
      </c>
      <c r="N2" s="412"/>
    </row>
    <row r="3" spans="1:21">
      <c r="A3" s="412" t="s">
        <v>339</v>
      </c>
      <c r="B3" s="412"/>
      <c r="C3" s="412" t="s">
        <v>346</v>
      </c>
      <c r="D3" s="412" t="s">
        <v>752</v>
      </c>
      <c r="E3" s="412"/>
      <c r="F3" s="412"/>
      <c r="G3" s="582">
        <f>'LNG Turbines'!$D$25</f>
        <v>1113</v>
      </c>
      <c r="H3" s="412" t="s">
        <v>753</v>
      </c>
      <c r="I3" s="412" t="s">
        <v>754</v>
      </c>
      <c r="J3" s="412"/>
      <c r="K3" s="412"/>
      <c r="L3" s="412">
        <v>8760</v>
      </c>
      <c r="M3" s="412" t="s">
        <v>755</v>
      </c>
      <c r="N3" s="412"/>
    </row>
    <row r="4" spans="1:21">
      <c r="A4" s="412" t="s">
        <v>340</v>
      </c>
      <c r="B4" s="412"/>
      <c r="C4" s="412" t="s">
        <v>347</v>
      </c>
      <c r="D4" s="412" t="s">
        <v>752</v>
      </c>
      <c r="E4" s="412"/>
      <c r="F4" s="412"/>
      <c r="G4" s="582">
        <f>'LNG Turbines'!$D$25</f>
        <v>1113</v>
      </c>
      <c r="H4" s="412" t="s">
        <v>753</v>
      </c>
      <c r="I4" s="412" t="s">
        <v>754</v>
      </c>
      <c r="J4" s="412"/>
      <c r="K4" s="412"/>
      <c r="L4" s="412">
        <v>8760</v>
      </c>
      <c r="M4" s="412" t="s">
        <v>755</v>
      </c>
      <c r="N4" s="412"/>
    </row>
    <row r="5" spans="1:21">
      <c r="A5" s="412" t="s">
        <v>341</v>
      </c>
      <c r="B5" s="412"/>
      <c r="C5" s="412" t="s">
        <v>348</v>
      </c>
      <c r="D5" s="412" t="s">
        <v>752</v>
      </c>
      <c r="E5" s="412"/>
      <c r="F5" s="412"/>
      <c r="G5" s="582">
        <f>'LNG Turbines'!$D$25</f>
        <v>1113</v>
      </c>
      <c r="H5" s="412" t="s">
        <v>753</v>
      </c>
      <c r="I5" s="412" t="s">
        <v>754</v>
      </c>
      <c r="J5" s="412"/>
      <c r="K5" s="412"/>
      <c r="L5" s="412">
        <v>8760</v>
      </c>
      <c r="M5" s="412" t="s">
        <v>755</v>
      </c>
      <c r="N5" s="412"/>
    </row>
    <row r="6" spans="1:21">
      <c r="A6" s="412" t="s">
        <v>342</v>
      </c>
      <c r="B6" s="412"/>
      <c r="C6" s="412" t="s">
        <v>349</v>
      </c>
      <c r="D6" s="412" t="s">
        <v>752</v>
      </c>
      <c r="E6" s="412"/>
      <c r="F6" s="412"/>
      <c r="G6" s="582">
        <f>'LNG Turbines'!$D$25</f>
        <v>1113</v>
      </c>
      <c r="H6" s="412" t="s">
        <v>753</v>
      </c>
      <c r="I6" s="412" t="s">
        <v>754</v>
      </c>
      <c r="J6" s="412"/>
      <c r="K6" s="412"/>
      <c r="L6" s="412">
        <v>8760</v>
      </c>
      <c r="M6" s="412" t="s">
        <v>755</v>
      </c>
      <c r="N6" s="412"/>
    </row>
    <row r="7" spans="1:21">
      <c r="A7" s="412" t="s">
        <v>343</v>
      </c>
      <c r="B7" s="412"/>
      <c r="C7" s="412" t="s">
        <v>350</v>
      </c>
      <c r="D7" s="412" t="s">
        <v>752</v>
      </c>
      <c r="E7" s="412"/>
      <c r="F7" s="412"/>
      <c r="G7" s="582">
        <f>'LNG Turbines'!$D$25</f>
        <v>1113</v>
      </c>
      <c r="H7" s="412" t="s">
        <v>753</v>
      </c>
      <c r="I7" s="412" t="s">
        <v>754</v>
      </c>
      <c r="J7" s="412"/>
      <c r="K7" s="412"/>
      <c r="L7" s="412">
        <v>8760</v>
      </c>
      <c r="M7" s="412" t="s">
        <v>755</v>
      </c>
      <c r="N7" s="412"/>
    </row>
    <row r="8" spans="1:21">
      <c r="A8" s="412" t="s">
        <v>351</v>
      </c>
      <c r="B8" s="412"/>
      <c r="C8" s="412" t="s">
        <v>335</v>
      </c>
      <c r="D8" s="412" t="s">
        <v>752</v>
      </c>
      <c r="E8" s="412"/>
      <c r="F8" s="412"/>
      <c r="G8" s="412">
        <f>'LNG Turbines'!$F$25</f>
        <v>384</v>
      </c>
      <c r="H8" s="412" t="s">
        <v>753</v>
      </c>
      <c r="I8" s="412" t="s">
        <v>754</v>
      </c>
      <c r="J8" s="412"/>
      <c r="K8" s="412"/>
      <c r="L8" s="412">
        <v>8760</v>
      </c>
      <c r="M8" s="412" t="s">
        <v>755</v>
      </c>
      <c r="N8" s="412"/>
    </row>
    <row r="9" spans="1:21">
      <c r="A9" s="412" t="s">
        <v>352</v>
      </c>
      <c r="B9" s="412"/>
      <c r="C9" s="412" t="s">
        <v>335</v>
      </c>
      <c r="D9" s="412" t="s">
        <v>752</v>
      </c>
      <c r="E9" s="412"/>
      <c r="F9" s="412"/>
      <c r="G9" s="412">
        <f>'LNG Turbines'!$F$25</f>
        <v>384</v>
      </c>
      <c r="H9" s="412" t="s">
        <v>753</v>
      </c>
      <c r="I9" s="412" t="s">
        <v>754</v>
      </c>
      <c r="J9" s="412"/>
      <c r="K9" s="412"/>
      <c r="L9" s="412">
        <v>8760</v>
      </c>
      <c r="M9" s="412" t="s">
        <v>755</v>
      </c>
      <c r="N9" s="412"/>
    </row>
    <row r="10" spans="1:21">
      <c r="A10" s="412" t="s">
        <v>353</v>
      </c>
      <c r="B10" s="412"/>
      <c r="C10" s="412" t="s">
        <v>335</v>
      </c>
      <c r="D10" s="412" t="s">
        <v>752</v>
      </c>
      <c r="E10" s="412"/>
      <c r="F10" s="412"/>
      <c r="G10" s="412">
        <f>'LNG Turbines'!$F$25</f>
        <v>384</v>
      </c>
      <c r="H10" s="412" t="s">
        <v>753</v>
      </c>
      <c r="I10" s="412" t="s">
        <v>754</v>
      </c>
      <c r="J10" s="412"/>
      <c r="K10" s="412"/>
      <c r="L10" s="412">
        <v>8760</v>
      </c>
      <c r="M10" s="412" t="s">
        <v>755</v>
      </c>
      <c r="N10" s="412"/>
    </row>
    <row r="11" spans="1:21">
      <c r="A11" s="412" t="s">
        <v>354</v>
      </c>
      <c r="B11" s="412"/>
      <c r="C11" s="412" t="s">
        <v>335</v>
      </c>
      <c r="D11" s="412" t="s">
        <v>752</v>
      </c>
      <c r="E11" s="412"/>
      <c r="F11" s="412"/>
      <c r="G11" s="412">
        <f>'LNG Turbines'!$F$25</f>
        <v>384</v>
      </c>
      <c r="H11" s="412" t="s">
        <v>753</v>
      </c>
      <c r="I11" s="412" t="s">
        <v>754</v>
      </c>
      <c r="J11" s="412"/>
      <c r="K11" s="412"/>
      <c r="L11" s="412">
        <v>8760</v>
      </c>
      <c r="M11" s="412" t="s">
        <v>755</v>
      </c>
      <c r="N11" s="412"/>
    </row>
    <row r="12" spans="1:21">
      <c r="A12" s="412" t="s">
        <v>355</v>
      </c>
      <c r="B12" s="412"/>
      <c r="C12" s="412" t="s">
        <v>411</v>
      </c>
      <c r="D12" s="412" t="s">
        <v>756</v>
      </c>
      <c r="E12" s="412"/>
      <c r="F12" s="412"/>
      <c r="G12" s="488">
        <f>'LNG Diesel Equip'!$C$24</f>
        <v>2.1</v>
      </c>
      <c r="H12" s="412" t="s">
        <v>757</v>
      </c>
      <c r="I12" s="412" t="s">
        <v>507</v>
      </c>
      <c r="J12" s="412"/>
      <c r="K12" s="412"/>
      <c r="L12" s="412">
        <v>500</v>
      </c>
      <c r="M12" s="412" t="s">
        <v>755</v>
      </c>
      <c r="N12" s="412"/>
    </row>
    <row r="13" spans="1:21" s="414" customFormat="1">
      <c r="A13" s="412" t="s">
        <v>356</v>
      </c>
      <c r="B13" s="412"/>
      <c r="C13" s="412" t="s">
        <v>412</v>
      </c>
      <c r="D13" s="412" t="s">
        <v>756</v>
      </c>
      <c r="E13" s="412"/>
      <c r="F13" s="412"/>
      <c r="G13" s="488">
        <f>'LNG Diesel Equip'!$D$24</f>
        <v>4.0250000000000004</v>
      </c>
      <c r="H13" s="412" t="s">
        <v>757</v>
      </c>
      <c r="I13" s="412" t="s">
        <v>507</v>
      </c>
      <c r="J13" s="412"/>
      <c r="K13" s="412"/>
      <c r="L13" s="412">
        <v>500</v>
      </c>
      <c r="M13" s="412" t="s">
        <v>755</v>
      </c>
      <c r="N13" s="412"/>
      <c r="O13" s="413"/>
      <c r="P13" s="185"/>
      <c r="R13" s="185"/>
      <c r="T13" s="185"/>
      <c r="U13" s="185"/>
    </row>
    <row r="14" spans="1:21" s="413" customFormat="1">
      <c r="A14" s="412" t="s">
        <v>357</v>
      </c>
      <c r="B14" s="412"/>
      <c r="C14" s="412" t="s">
        <v>366</v>
      </c>
      <c r="D14" s="412" t="s">
        <v>330</v>
      </c>
      <c r="E14" s="412"/>
      <c r="F14" s="412"/>
      <c r="G14" s="488">
        <f>'LNG Flares'!$C$44</f>
        <v>7.15</v>
      </c>
      <c r="H14" s="412">
        <v>0</v>
      </c>
      <c r="I14" s="412" t="s">
        <v>754</v>
      </c>
      <c r="J14" s="412"/>
      <c r="K14" s="412"/>
      <c r="L14" s="412">
        <v>8760</v>
      </c>
      <c r="M14" s="412" t="s">
        <v>755</v>
      </c>
      <c r="N14" s="412"/>
      <c r="P14" s="185"/>
      <c r="R14" s="185"/>
      <c r="T14" s="185"/>
      <c r="U14" s="185"/>
    </row>
    <row r="15" spans="1:21" s="413" customFormat="1">
      <c r="A15" s="412" t="s">
        <v>360</v>
      </c>
      <c r="B15" s="412"/>
      <c r="C15" s="412" t="s">
        <v>366</v>
      </c>
      <c r="D15" s="412" t="s">
        <v>330</v>
      </c>
      <c r="E15" s="412"/>
      <c r="F15" s="412"/>
      <c r="G15" s="488">
        <f>'LNG Flares'!$C$44</f>
        <v>7.15</v>
      </c>
      <c r="H15" s="412">
        <v>0</v>
      </c>
      <c r="I15" s="412" t="s">
        <v>754</v>
      </c>
      <c r="J15" s="412"/>
      <c r="K15" s="412"/>
      <c r="L15" s="412">
        <v>8760</v>
      </c>
      <c r="M15" s="412" t="s">
        <v>755</v>
      </c>
      <c r="N15" s="412"/>
      <c r="P15" s="185"/>
      <c r="R15" s="185"/>
      <c r="T15" s="185"/>
      <c r="U15" s="185"/>
    </row>
    <row r="16" spans="1:21" s="413" customFormat="1">
      <c r="A16" s="412"/>
      <c r="B16" s="412"/>
      <c r="C16" s="412" t="s">
        <v>416</v>
      </c>
      <c r="D16" s="412" t="s">
        <v>330</v>
      </c>
      <c r="E16" s="412"/>
      <c r="F16" s="412"/>
      <c r="G16" s="488">
        <v>0</v>
      </c>
      <c r="H16" s="412">
        <v>0</v>
      </c>
      <c r="I16" s="412" t="s">
        <v>754</v>
      </c>
      <c r="J16" s="412"/>
      <c r="K16" s="412"/>
      <c r="L16" s="412">
        <v>0</v>
      </c>
      <c r="M16" s="412" t="s">
        <v>755</v>
      </c>
      <c r="N16" s="412"/>
      <c r="P16" s="185"/>
      <c r="T16" s="185"/>
      <c r="U16" s="185"/>
    </row>
    <row r="17" spans="1:21" s="413" customFormat="1">
      <c r="A17" s="412" t="s">
        <v>358</v>
      </c>
      <c r="B17" s="412"/>
      <c r="C17" s="412" t="s">
        <v>367</v>
      </c>
      <c r="D17" s="412" t="s">
        <v>330</v>
      </c>
      <c r="E17" s="412"/>
      <c r="F17" s="412"/>
      <c r="G17" s="488">
        <f>'LNG Flares'!$D$44</f>
        <v>2.25</v>
      </c>
      <c r="H17" s="412">
        <v>0</v>
      </c>
      <c r="I17" s="412" t="s">
        <v>754</v>
      </c>
      <c r="J17" s="412"/>
      <c r="K17" s="412"/>
      <c r="L17" s="412">
        <v>8760</v>
      </c>
      <c r="M17" s="412" t="s">
        <v>755</v>
      </c>
      <c r="N17" s="412"/>
      <c r="P17" s="185"/>
      <c r="T17" s="185"/>
      <c r="U17" s="185"/>
    </row>
    <row r="18" spans="1:21" s="413" customFormat="1">
      <c r="A18" s="412" t="s">
        <v>361</v>
      </c>
      <c r="B18" s="412"/>
      <c r="C18" s="412" t="s">
        <v>367</v>
      </c>
      <c r="D18" s="412" t="s">
        <v>330</v>
      </c>
      <c r="E18" s="412"/>
      <c r="F18" s="412"/>
      <c r="G18" s="488">
        <f>'LNG Flares'!$D$44</f>
        <v>2.25</v>
      </c>
      <c r="H18" s="412">
        <v>0</v>
      </c>
      <c r="I18" s="412" t="s">
        <v>754</v>
      </c>
      <c r="J18" s="412"/>
      <c r="K18" s="412"/>
      <c r="L18" s="412">
        <v>8760</v>
      </c>
      <c r="M18" s="412" t="s">
        <v>755</v>
      </c>
      <c r="N18" s="412"/>
      <c r="P18" s="185"/>
    </row>
    <row r="19" spans="1:21" s="413" customFormat="1">
      <c r="A19" s="412"/>
      <c r="B19" s="412"/>
      <c r="C19" s="412" t="s">
        <v>417</v>
      </c>
      <c r="D19" s="412" t="s">
        <v>330</v>
      </c>
      <c r="E19" s="412"/>
      <c r="F19" s="412"/>
      <c r="G19" s="488">
        <v>0</v>
      </c>
      <c r="H19" s="412">
        <v>0</v>
      </c>
      <c r="I19" s="412" t="s">
        <v>754</v>
      </c>
      <c r="J19" s="412"/>
      <c r="K19" s="412"/>
      <c r="L19" s="412">
        <v>0</v>
      </c>
      <c r="M19" s="412" t="s">
        <v>755</v>
      </c>
      <c r="N19" s="412"/>
      <c r="P19" s="185"/>
    </row>
    <row r="20" spans="1:21" s="413" customFormat="1">
      <c r="A20" s="412" t="s">
        <v>359</v>
      </c>
      <c r="B20" s="412"/>
      <c r="C20" s="412" t="s">
        <v>413</v>
      </c>
      <c r="D20" s="412" t="s">
        <v>330</v>
      </c>
      <c r="E20" s="412"/>
      <c r="F20" s="412"/>
      <c r="G20" s="488">
        <f>'LNG Flares'!$F$44</f>
        <v>59992</v>
      </c>
      <c r="H20" s="412">
        <v>0</v>
      </c>
      <c r="I20" s="412" t="s">
        <v>754</v>
      </c>
      <c r="J20" s="412"/>
      <c r="K20" s="412"/>
      <c r="L20" s="412">
        <v>500</v>
      </c>
      <c r="M20" s="412" t="s">
        <v>755</v>
      </c>
      <c r="N20" s="412"/>
      <c r="P20" s="185"/>
    </row>
    <row r="21" spans="1:21" s="413" customFormat="1">
      <c r="A21" s="412" t="s">
        <v>362</v>
      </c>
      <c r="B21" s="412"/>
      <c r="C21" s="412" t="s">
        <v>413</v>
      </c>
      <c r="D21" s="412" t="s">
        <v>330</v>
      </c>
      <c r="E21" s="412"/>
      <c r="F21" s="412"/>
      <c r="G21" s="488">
        <f>'LNG Flares'!$F$44</f>
        <v>59992</v>
      </c>
      <c r="H21" s="412">
        <v>0</v>
      </c>
      <c r="I21" s="412" t="s">
        <v>754</v>
      </c>
      <c r="J21" s="412"/>
      <c r="K21" s="412"/>
      <c r="L21" s="412">
        <v>500</v>
      </c>
      <c r="M21" s="412" t="s">
        <v>755</v>
      </c>
      <c r="N21" s="412"/>
      <c r="P21" s="185"/>
    </row>
    <row r="22" spans="1:21" s="413" customFormat="1">
      <c r="A22" s="412"/>
      <c r="B22" s="412"/>
      <c r="C22" s="412" t="s">
        <v>418</v>
      </c>
      <c r="D22" s="412" t="s">
        <v>330</v>
      </c>
      <c r="E22" s="412"/>
      <c r="F22" s="412"/>
      <c r="G22" s="488">
        <v>0</v>
      </c>
      <c r="H22" s="412">
        <v>0</v>
      </c>
      <c r="I22" s="412" t="s">
        <v>754</v>
      </c>
      <c r="J22" s="412"/>
      <c r="K22" s="412"/>
      <c r="L22" s="412">
        <v>0</v>
      </c>
      <c r="M22" s="412" t="s">
        <v>755</v>
      </c>
      <c r="N22" s="412"/>
      <c r="P22" s="185"/>
    </row>
    <row r="23" spans="1:21" s="413" customFormat="1">
      <c r="A23" s="412" t="s">
        <v>371</v>
      </c>
      <c r="B23" s="412"/>
      <c r="C23" s="412" t="s">
        <v>414</v>
      </c>
      <c r="D23" s="412" t="s">
        <v>330</v>
      </c>
      <c r="E23" s="412"/>
      <c r="F23" s="412"/>
      <c r="G23" s="488">
        <f>'LNG Flares'!$G$44</f>
        <v>14020</v>
      </c>
      <c r="H23" s="412">
        <v>0</v>
      </c>
      <c r="I23" s="412" t="s">
        <v>754</v>
      </c>
      <c r="J23" s="412"/>
      <c r="K23" s="412"/>
      <c r="L23" s="412">
        <v>500</v>
      </c>
      <c r="M23" s="412" t="s">
        <v>755</v>
      </c>
      <c r="N23" s="412"/>
      <c r="P23" s="185"/>
    </row>
    <row r="24" spans="1:21" s="413" customFormat="1">
      <c r="A24" s="412" t="s">
        <v>370</v>
      </c>
      <c r="B24" s="412"/>
      <c r="C24" s="412" t="s">
        <v>414</v>
      </c>
      <c r="D24" s="412" t="s">
        <v>330</v>
      </c>
      <c r="E24" s="412"/>
      <c r="F24" s="412"/>
      <c r="G24" s="488">
        <f>'LNG Flares'!$G$44</f>
        <v>14020</v>
      </c>
      <c r="H24" s="412">
        <v>0</v>
      </c>
      <c r="I24" s="412" t="s">
        <v>754</v>
      </c>
      <c r="J24" s="412"/>
      <c r="K24" s="412"/>
      <c r="L24" s="412">
        <v>500</v>
      </c>
      <c r="M24" s="412" t="s">
        <v>755</v>
      </c>
      <c r="N24" s="412"/>
      <c r="P24" s="185"/>
    </row>
    <row r="25" spans="1:21" s="413" customFormat="1">
      <c r="A25" s="412"/>
      <c r="B25" s="412"/>
      <c r="C25" s="412" t="s">
        <v>419</v>
      </c>
      <c r="D25" s="412" t="s">
        <v>330</v>
      </c>
      <c r="E25" s="412"/>
      <c r="F25" s="412"/>
      <c r="G25" s="488">
        <v>0</v>
      </c>
      <c r="H25" s="412">
        <v>0</v>
      </c>
      <c r="I25" s="412" t="s">
        <v>754</v>
      </c>
      <c r="J25" s="412"/>
      <c r="K25" s="412"/>
      <c r="L25" s="412">
        <v>0</v>
      </c>
      <c r="M25" s="412" t="s">
        <v>755</v>
      </c>
      <c r="N25" s="412"/>
      <c r="P25" s="185"/>
    </row>
    <row r="26" spans="1:21" s="413" customFormat="1">
      <c r="A26" s="412" t="s">
        <v>363</v>
      </c>
      <c r="B26" s="412"/>
      <c r="C26" s="412" t="s">
        <v>368</v>
      </c>
      <c r="D26" s="412" t="s">
        <v>330</v>
      </c>
      <c r="E26" s="412"/>
      <c r="F26" s="412"/>
      <c r="G26" s="415">
        <f>'LNG Flares'!$E$44</f>
        <v>10.5</v>
      </c>
      <c r="H26" s="412">
        <v>0</v>
      </c>
      <c r="I26" s="412" t="s">
        <v>754</v>
      </c>
      <c r="J26" s="412"/>
      <c r="K26" s="412"/>
      <c r="L26" s="412">
        <v>8760</v>
      </c>
      <c r="M26" s="412" t="s">
        <v>755</v>
      </c>
      <c r="N26" s="412"/>
      <c r="P26" s="185"/>
    </row>
    <row r="27" spans="1:21" s="413" customFormat="1">
      <c r="A27" s="412" t="s">
        <v>364</v>
      </c>
      <c r="B27" s="412"/>
      <c r="C27" s="412" t="s">
        <v>415</v>
      </c>
      <c r="D27" s="412" t="s">
        <v>330</v>
      </c>
      <c r="E27" s="412"/>
      <c r="F27" s="412"/>
      <c r="G27" s="415">
        <f>'LNG Flares'!$H$44</f>
        <v>997.5</v>
      </c>
      <c r="H27" s="412">
        <v>0</v>
      </c>
      <c r="I27" s="412" t="s">
        <v>754</v>
      </c>
      <c r="J27" s="412"/>
      <c r="K27" s="412"/>
      <c r="L27" s="412">
        <v>144</v>
      </c>
      <c r="M27" s="412" t="s">
        <v>755</v>
      </c>
      <c r="N27" s="412"/>
      <c r="P27" s="185"/>
    </row>
    <row r="28" spans="1:21" s="413" customFormat="1">
      <c r="A28" s="412" t="s">
        <v>365</v>
      </c>
      <c r="B28" s="412"/>
      <c r="C28" s="412" t="s">
        <v>369</v>
      </c>
      <c r="D28" s="505" t="s">
        <v>331</v>
      </c>
      <c r="E28" s="412"/>
      <c r="F28" s="412"/>
      <c r="G28" s="415">
        <f>'LNG Thermal Oxidizer'!$C$21</f>
        <v>6.01</v>
      </c>
      <c r="H28" s="412">
        <v>0</v>
      </c>
      <c r="I28" s="412" t="s">
        <v>754</v>
      </c>
      <c r="J28" s="412"/>
      <c r="K28" s="412"/>
      <c r="L28" s="412">
        <v>8760</v>
      </c>
      <c r="M28" s="412" t="s">
        <v>755</v>
      </c>
      <c r="N28" s="412"/>
    </row>
  </sheetData>
  <autoFilter ref="A1:M28"/>
  <printOptions horizontalCentered="1"/>
  <pageMargins left="0" right="0" top="0.5" bottom="0.5" header="0.25" footer="0.25"/>
  <pageSetup scale="68" fitToHeight="7" orientation="landscape" r:id="rId1"/>
  <headerFooter alignWithMargins="0">
    <oddHeader>&amp;C&amp;A - Case 1</oddHeader>
    <oddFooter>&amp;CPage &amp;P of &amp;N&amp;RUpdated January 2006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LNG Model Emissions</vt:lpstr>
      <vt:lpstr>LNG Potential to Emit</vt:lpstr>
      <vt:lpstr>LNG Fuel</vt:lpstr>
      <vt:lpstr>LNG Turbines</vt:lpstr>
      <vt:lpstr>LNG Diesel Equip</vt:lpstr>
      <vt:lpstr>LNG Flares</vt:lpstr>
      <vt:lpstr>LNG Thermal Oxidizer</vt:lpstr>
      <vt:lpstr>LNG Misc</vt:lpstr>
      <vt:lpstr>LNG HAP Emission Unit Inventory</vt:lpstr>
      <vt:lpstr>LNG HAPs Calc</vt:lpstr>
      <vt:lpstr>LNG Emission Factor Summary</vt:lpstr>
      <vt:lpstr>LNG Annual Fuel Consumption</vt:lpstr>
      <vt:lpstr>AQRV Speciation</vt:lpstr>
      <vt:lpstr>Mobile Equip Assumptions</vt:lpstr>
      <vt:lpstr>Onsite Opper. Eqt and Vehic</vt:lpstr>
      <vt:lpstr>Mobile Eqt and Vehic</vt:lpstr>
      <vt:lpstr>Mobile Trip Assumptions</vt:lpstr>
      <vt:lpstr>Mobile Emissions</vt:lpstr>
      <vt:lpstr>Non-Road Emissions</vt:lpstr>
      <vt:lpstr>Emission Factors</vt:lpstr>
      <vt:lpstr>Emission Factor Look Up</vt:lpstr>
      <vt:lpstr>'LNG HAP Emission Unit Inventory'!Print_Area</vt:lpstr>
      <vt:lpstr>'LNG HAPs Calc'!Print_Area</vt:lpstr>
      <vt:lpstr>'LNG Model Emissions'!Print_Area</vt:lpstr>
      <vt:lpstr>'Mobile Emissions'!Print_Area</vt:lpstr>
      <vt:lpstr>'Mobile Eqt and Vehic'!Print_Area</vt:lpstr>
      <vt:lpstr>'Mobile Equip Assumptions'!Print_Area</vt:lpstr>
      <vt:lpstr>'Non-Road Emissions'!Print_Area</vt:lpstr>
      <vt:lpstr>'Onsite Opper. Eqt and Vehic'!Print_Area</vt:lpstr>
      <vt:lpstr>'Emission Factors'!Print_Titles</vt:lpstr>
      <vt:lpstr>'LNG HAP Emission Unit Inventory'!Print_Titles</vt:lpstr>
      <vt:lpstr>'LNG HAPs Calc'!Print_Titles</vt:lpstr>
      <vt:lpstr>'Non-Road Emissions'!Print_Titles</vt:lpstr>
    </vt:vector>
  </TitlesOfParts>
  <Company>URS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 Deborah</dc:creator>
  <cp:lastModifiedBy>Jones, David</cp:lastModifiedBy>
  <cp:lastPrinted>2016-07-15T15:41:44Z</cp:lastPrinted>
  <dcterms:created xsi:type="dcterms:W3CDTF">2016-05-09T19:22:50Z</dcterms:created>
  <dcterms:modified xsi:type="dcterms:W3CDTF">2018-06-12T00:15:16Z</dcterms:modified>
</cp:coreProperties>
</file>