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125" windowWidth="10215" windowHeight="5820" tabRatio="789"/>
  </bookViews>
  <sheets>
    <sheet name="Tesoro_emis" sheetId="20" r:id="rId1"/>
    <sheet name="Agrium_HEA_emis" sheetId="21" r:id="rId2"/>
    <sheet name="Kenai_LNG_emis" sheetId="22" r:id="rId3"/>
    <sheet name="Other Offsite_emis" sheetId="23" r:id="rId4"/>
    <sheet name="VOL Sources_emis" sheetId="34" r:id="rId5"/>
    <sheet name="CALPUFF Tesoro ST" sheetId="19" state="hidden" r:id="rId6"/>
    <sheet name="CALPUFF Tesoro AN" sheetId="26" state="hidden" r:id="rId7"/>
    <sheet name="CALPUFF Agrium ST" sheetId="25" state="hidden" r:id="rId8"/>
    <sheet name="CALPUFF Agrium AN" sheetId="27" state="hidden" r:id="rId9"/>
    <sheet name="CALPUFF Kenai ST" sheetId="28" state="hidden" r:id="rId10"/>
    <sheet name="CALPUFF Kenai AN" sheetId="29" state="hidden" r:id="rId11"/>
    <sheet name="CALPUFF Other" sheetId="30" state="hidden" r:id="rId12"/>
    <sheet name="PSD Baseline Dates" sheetId="31" r:id="rId13"/>
    <sheet name="AQRV Speciation" sheetId="24" r:id="rId14"/>
    <sheet name="Sheet1" sheetId="35"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s>
  <definedNames>
    <definedName name="\" localSheetId="1">#REF!</definedName>
    <definedName name="\" localSheetId="8">#REF!</definedName>
    <definedName name="\" localSheetId="7">#REF!</definedName>
    <definedName name="\" localSheetId="10">#REF!</definedName>
    <definedName name="\" localSheetId="9">#REF!</definedName>
    <definedName name="\" localSheetId="11">#REF!</definedName>
    <definedName name="\" localSheetId="6">#REF!</definedName>
    <definedName name="\" localSheetId="2">#REF!</definedName>
    <definedName name="\" localSheetId="3">#REF!</definedName>
    <definedName name="\" localSheetId="0">#REF!</definedName>
    <definedName name="\">#REF!</definedName>
    <definedName name="\0" localSheetId="1">#REF!</definedName>
    <definedName name="\0" localSheetId="8">#REF!</definedName>
    <definedName name="\0" localSheetId="7">#REF!</definedName>
    <definedName name="\0" localSheetId="10">#REF!</definedName>
    <definedName name="\0" localSheetId="9">#REF!</definedName>
    <definedName name="\0" localSheetId="11">#REF!</definedName>
    <definedName name="\0" localSheetId="6">#REF!</definedName>
    <definedName name="\0" localSheetId="2">#REF!</definedName>
    <definedName name="\0" localSheetId="3">#REF!</definedName>
    <definedName name="\0" localSheetId="0">#REF!</definedName>
    <definedName name="\0">#REF!</definedName>
    <definedName name="\A" localSheetId="1">#REF!</definedName>
    <definedName name="\A" localSheetId="8">#REF!</definedName>
    <definedName name="\A" localSheetId="7">#REF!</definedName>
    <definedName name="\A" localSheetId="10">#REF!</definedName>
    <definedName name="\A" localSheetId="9">#REF!</definedName>
    <definedName name="\A" localSheetId="11">#REF!</definedName>
    <definedName name="\A" localSheetId="6">#REF!</definedName>
    <definedName name="\A" localSheetId="2">#REF!</definedName>
    <definedName name="\A" localSheetId="3">#REF!</definedName>
    <definedName name="\A" localSheetId="0">#REF!</definedName>
    <definedName name="\A">#REF!</definedName>
    <definedName name="\B" localSheetId="1">#REF!</definedName>
    <definedName name="\B" localSheetId="8">#REF!</definedName>
    <definedName name="\B" localSheetId="7">#REF!</definedName>
    <definedName name="\B" localSheetId="10">#REF!</definedName>
    <definedName name="\B" localSheetId="9">#REF!</definedName>
    <definedName name="\B" localSheetId="11">#REF!</definedName>
    <definedName name="\B" localSheetId="6">#REF!</definedName>
    <definedName name="\B" localSheetId="2">#REF!</definedName>
    <definedName name="\B" localSheetId="3">#REF!</definedName>
    <definedName name="\B" localSheetId="0">#REF!</definedName>
    <definedName name="\B">#REF!</definedName>
    <definedName name="\C" localSheetId="1">#REF!</definedName>
    <definedName name="\C" localSheetId="8">#REF!</definedName>
    <definedName name="\C" localSheetId="7">#REF!</definedName>
    <definedName name="\C" localSheetId="10">#REF!</definedName>
    <definedName name="\C" localSheetId="9">#REF!</definedName>
    <definedName name="\C" localSheetId="11">#REF!</definedName>
    <definedName name="\C" localSheetId="6">#REF!</definedName>
    <definedName name="\C" localSheetId="2">#REF!</definedName>
    <definedName name="\C" localSheetId="3">#REF!</definedName>
    <definedName name="\C" localSheetId="0">#REF!</definedName>
    <definedName name="\C">#REF!</definedName>
    <definedName name="\E" localSheetId="1">#REF!</definedName>
    <definedName name="\E" localSheetId="8">#REF!</definedName>
    <definedName name="\E" localSheetId="7">#REF!</definedName>
    <definedName name="\E" localSheetId="10">#REF!</definedName>
    <definedName name="\E" localSheetId="9">#REF!</definedName>
    <definedName name="\E" localSheetId="11">#REF!</definedName>
    <definedName name="\E" localSheetId="6">#REF!</definedName>
    <definedName name="\E" localSheetId="2">#REF!</definedName>
    <definedName name="\E" localSheetId="3">#REF!</definedName>
    <definedName name="\E" localSheetId="0">#REF!</definedName>
    <definedName name="\E">#REF!</definedName>
    <definedName name="\M" localSheetId="1">#REF!</definedName>
    <definedName name="\M" localSheetId="8">#REF!</definedName>
    <definedName name="\M" localSheetId="7">#REF!</definedName>
    <definedName name="\M" localSheetId="10">#REF!</definedName>
    <definedName name="\M" localSheetId="9">#REF!</definedName>
    <definedName name="\M" localSheetId="11">#REF!</definedName>
    <definedName name="\M" localSheetId="6">#REF!</definedName>
    <definedName name="\M" localSheetId="2">#REF!</definedName>
    <definedName name="\M" localSheetId="3">#REF!</definedName>
    <definedName name="\M" localSheetId="0">#REF!</definedName>
    <definedName name="\M">#REF!</definedName>
    <definedName name="\P" localSheetId="1">#REF!</definedName>
    <definedName name="\P" localSheetId="8">#REF!</definedName>
    <definedName name="\P" localSheetId="7">#REF!</definedName>
    <definedName name="\P" localSheetId="10">#REF!</definedName>
    <definedName name="\P" localSheetId="9">#REF!</definedName>
    <definedName name="\P" localSheetId="11">#REF!</definedName>
    <definedName name="\P" localSheetId="6">#REF!</definedName>
    <definedName name="\P" localSheetId="2">#REF!</definedName>
    <definedName name="\P" localSheetId="3">#REF!</definedName>
    <definedName name="\P" localSheetId="0">#REF!</definedName>
    <definedName name="\P">#REF!</definedName>
    <definedName name="\S" localSheetId="1">#REF!</definedName>
    <definedName name="\S" localSheetId="8">#REF!</definedName>
    <definedName name="\S" localSheetId="7">#REF!</definedName>
    <definedName name="\S" localSheetId="10">#REF!</definedName>
    <definedName name="\S" localSheetId="9">#REF!</definedName>
    <definedName name="\S" localSheetId="11">#REF!</definedName>
    <definedName name="\S" localSheetId="6">#REF!</definedName>
    <definedName name="\S" localSheetId="2">#REF!</definedName>
    <definedName name="\S" localSheetId="3">#REF!</definedName>
    <definedName name="\S" localSheetId="0">#REF!</definedName>
    <definedName name="\S">#REF!</definedName>
    <definedName name="\z" localSheetId="1">#REF!</definedName>
    <definedName name="\z" localSheetId="8">#REF!</definedName>
    <definedName name="\z" localSheetId="7">#REF!</definedName>
    <definedName name="\z" localSheetId="10">#REF!</definedName>
    <definedName name="\z" localSheetId="9">#REF!</definedName>
    <definedName name="\z" localSheetId="11">#REF!</definedName>
    <definedName name="\z" localSheetId="6">#REF!</definedName>
    <definedName name="\z" localSheetId="2">#REF!</definedName>
    <definedName name="\z" localSheetId="3">#REF!</definedName>
    <definedName name="\z" localSheetId="0">#REF!</definedName>
    <definedName name="\z">#REF!</definedName>
    <definedName name="___124graph_A" localSheetId="1" hidden="1">'[1]Page 1'!#REF!</definedName>
    <definedName name="___124graph_A" localSheetId="8" hidden="1">'[1]Page 1'!#REF!</definedName>
    <definedName name="___124graph_A" localSheetId="7" hidden="1">'[1]Page 1'!#REF!</definedName>
    <definedName name="___124graph_A" localSheetId="10" hidden="1">'[1]Page 1'!#REF!</definedName>
    <definedName name="___124graph_A" localSheetId="9" hidden="1">'[1]Page 1'!#REF!</definedName>
    <definedName name="___124graph_A" localSheetId="11" hidden="1">'[1]Page 1'!#REF!</definedName>
    <definedName name="___124graph_A" localSheetId="6" hidden="1">'[1]Page 1'!#REF!</definedName>
    <definedName name="___124graph_A" localSheetId="2" hidden="1">'[1]Page 1'!#REF!</definedName>
    <definedName name="___124graph_A" localSheetId="3" hidden="1">'[1]Page 1'!#REF!</definedName>
    <definedName name="___124graph_A" localSheetId="0" hidden="1">'[1]Page 1'!#REF!</definedName>
    <definedName name="___124graph_A" hidden="1">'[1]Page 1'!#REF!</definedName>
    <definedName name="__123Graph_A" localSheetId="1" hidden="1">'[1]Page 1'!#REF!</definedName>
    <definedName name="__123Graph_A" localSheetId="8" hidden="1">'[1]Page 1'!#REF!</definedName>
    <definedName name="__123Graph_A" localSheetId="7" hidden="1">'[1]Page 1'!#REF!</definedName>
    <definedName name="__123Graph_A" localSheetId="10" hidden="1">'[1]Page 1'!#REF!</definedName>
    <definedName name="__123Graph_A" localSheetId="9" hidden="1">'[1]Page 1'!#REF!</definedName>
    <definedName name="__123Graph_A" localSheetId="11" hidden="1">'[1]Page 1'!#REF!</definedName>
    <definedName name="__123Graph_A" localSheetId="6" hidden="1">'[1]Page 1'!#REF!</definedName>
    <definedName name="__123Graph_A" localSheetId="2" hidden="1">'[1]Page 1'!#REF!</definedName>
    <definedName name="__123Graph_A" localSheetId="3" hidden="1">'[1]Page 1'!#REF!</definedName>
    <definedName name="__123Graph_A" localSheetId="0" hidden="1">'[1]Page 1'!#REF!</definedName>
    <definedName name="__123Graph_A" hidden="1">'[1]Page 1'!#REF!</definedName>
    <definedName name="__123Graph_AGRAPH1" localSheetId="1" hidden="1">#REF!</definedName>
    <definedName name="__123Graph_AGRAPH1" localSheetId="8" hidden="1">#REF!</definedName>
    <definedName name="__123Graph_AGRAPH1" localSheetId="7" hidden="1">#REF!</definedName>
    <definedName name="__123Graph_AGRAPH1" localSheetId="10" hidden="1">#REF!</definedName>
    <definedName name="__123Graph_AGRAPH1" localSheetId="9" hidden="1">#REF!</definedName>
    <definedName name="__123Graph_AGRAPH1" localSheetId="11" hidden="1">#REF!</definedName>
    <definedName name="__123Graph_AGRAPH1" localSheetId="6" hidden="1">#REF!</definedName>
    <definedName name="__123Graph_AGRAPH1" localSheetId="2" hidden="1">#REF!</definedName>
    <definedName name="__123Graph_AGRAPH1" localSheetId="3" hidden="1">#REF!</definedName>
    <definedName name="__123Graph_AGRAPH1" localSheetId="0" hidden="1">#REF!</definedName>
    <definedName name="__123Graph_AGRAPH1" hidden="1">#REF!</definedName>
    <definedName name="__123Graph_AGRAPH2" localSheetId="1" hidden="1">#REF!</definedName>
    <definedName name="__123Graph_AGRAPH2" localSheetId="8" hidden="1">#REF!</definedName>
    <definedName name="__123Graph_AGRAPH2" localSheetId="7" hidden="1">#REF!</definedName>
    <definedName name="__123Graph_AGRAPH2" localSheetId="10" hidden="1">#REF!</definedName>
    <definedName name="__123Graph_AGRAPH2" localSheetId="9" hidden="1">#REF!</definedName>
    <definedName name="__123Graph_AGRAPH2" localSheetId="11" hidden="1">#REF!</definedName>
    <definedName name="__123Graph_AGRAPH2" localSheetId="6" hidden="1">#REF!</definedName>
    <definedName name="__123Graph_AGRAPH2" localSheetId="2" hidden="1">#REF!</definedName>
    <definedName name="__123Graph_AGRAPH2" localSheetId="3" hidden="1">#REF!</definedName>
    <definedName name="__123Graph_AGRAPH2" localSheetId="0" hidden="1">#REF!</definedName>
    <definedName name="__123Graph_AGRAPH2" hidden="1">#REF!</definedName>
    <definedName name="__123graph_B" localSheetId="1" hidden="1">'[1]Page 1'!#REF!</definedName>
    <definedName name="__123graph_B" localSheetId="8" hidden="1">'[1]Page 1'!#REF!</definedName>
    <definedName name="__123graph_B" localSheetId="7" hidden="1">'[1]Page 1'!#REF!</definedName>
    <definedName name="__123graph_B" localSheetId="10" hidden="1">'[1]Page 1'!#REF!</definedName>
    <definedName name="__123graph_B" localSheetId="9" hidden="1">'[1]Page 1'!#REF!</definedName>
    <definedName name="__123graph_B" localSheetId="11" hidden="1">'[1]Page 1'!#REF!</definedName>
    <definedName name="__123graph_B" localSheetId="6" hidden="1">'[1]Page 1'!#REF!</definedName>
    <definedName name="__123graph_B" localSheetId="2" hidden="1">'[1]Page 1'!#REF!</definedName>
    <definedName name="__123graph_B" localSheetId="3" hidden="1">'[1]Page 1'!#REF!</definedName>
    <definedName name="__123graph_B" localSheetId="0" hidden="1">'[1]Page 1'!#REF!</definedName>
    <definedName name="__123graph_B" hidden="1">'[1]Page 1'!#REF!</definedName>
    <definedName name="__123Graph_BGRAPH1" localSheetId="1" hidden="1">#REF!</definedName>
    <definedName name="__123Graph_BGRAPH1" localSheetId="8" hidden="1">#REF!</definedName>
    <definedName name="__123Graph_BGRAPH1" localSheetId="7" hidden="1">#REF!</definedName>
    <definedName name="__123Graph_BGRAPH1" localSheetId="10" hidden="1">#REF!</definedName>
    <definedName name="__123Graph_BGRAPH1" localSheetId="9" hidden="1">#REF!</definedName>
    <definedName name="__123Graph_BGRAPH1" localSheetId="11" hidden="1">#REF!</definedName>
    <definedName name="__123Graph_BGRAPH1" localSheetId="6" hidden="1">#REF!</definedName>
    <definedName name="__123Graph_BGRAPH1" localSheetId="2" hidden="1">#REF!</definedName>
    <definedName name="__123Graph_BGRAPH1" localSheetId="3" hidden="1">#REF!</definedName>
    <definedName name="__123Graph_BGRAPH1" localSheetId="0" hidden="1">#REF!</definedName>
    <definedName name="__123Graph_BGRAPH1" hidden="1">#REF!</definedName>
    <definedName name="__123Graph_BGRAPH2" localSheetId="1" hidden="1">#REF!</definedName>
    <definedName name="__123Graph_BGRAPH2" localSheetId="8" hidden="1">#REF!</definedName>
    <definedName name="__123Graph_BGRAPH2" localSheetId="7" hidden="1">#REF!</definedName>
    <definedName name="__123Graph_BGRAPH2" localSheetId="10" hidden="1">#REF!</definedName>
    <definedName name="__123Graph_BGRAPH2" localSheetId="9" hidden="1">#REF!</definedName>
    <definedName name="__123Graph_BGRAPH2" localSheetId="11" hidden="1">#REF!</definedName>
    <definedName name="__123Graph_BGRAPH2" localSheetId="6" hidden="1">#REF!</definedName>
    <definedName name="__123Graph_BGRAPH2" localSheetId="2" hidden="1">#REF!</definedName>
    <definedName name="__123Graph_BGRAPH2" localSheetId="3" hidden="1">#REF!</definedName>
    <definedName name="__123Graph_BGRAPH2" localSheetId="0" hidden="1">#REF!</definedName>
    <definedName name="__123Graph_BGRAPH2" hidden="1">#REF!</definedName>
    <definedName name="__123Graph_CGRAPH1" localSheetId="1" hidden="1">#REF!</definedName>
    <definedName name="__123Graph_CGRAPH1" localSheetId="8" hidden="1">#REF!</definedName>
    <definedName name="__123Graph_CGRAPH1" localSheetId="7" hidden="1">#REF!</definedName>
    <definedName name="__123Graph_CGRAPH1" localSheetId="10" hidden="1">#REF!</definedName>
    <definedName name="__123Graph_CGRAPH1" localSheetId="9" hidden="1">#REF!</definedName>
    <definedName name="__123Graph_CGRAPH1" localSheetId="11" hidden="1">#REF!</definedName>
    <definedName name="__123Graph_CGRAPH1" localSheetId="6" hidden="1">#REF!</definedName>
    <definedName name="__123Graph_CGRAPH1" localSheetId="2" hidden="1">#REF!</definedName>
    <definedName name="__123Graph_CGRAPH1" localSheetId="3" hidden="1">#REF!</definedName>
    <definedName name="__123Graph_CGRAPH1" localSheetId="0" hidden="1">#REF!</definedName>
    <definedName name="__123Graph_CGRAPH1" hidden="1">#REF!</definedName>
    <definedName name="__123Graph_CGRAPH2" localSheetId="1" hidden="1">#REF!</definedName>
    <definedName name="__123Graph_CGRAPH2" localSheetId="8" hidden="1">#REF!</definedName>
    <definedName name="__123Graph_CGRAPH2" localSheetId="7" hidden="1">#REF!</definedName>
    <definedName name="__123Graph_CGRAPH2" localSheetId="10" hidden="1">#REF!</definedName>
    <definedName name="__123Graph_CGRAPH2" localSheetId="9" hidden="1">#REF!</definedName>
    <definedName name="__123Graph_CGRAPH2" localSheetId="11" hidden="1">#REF!</definedName>
    <definedName name="__123Graph_CGRAPH2" localSheetId="6" hidden="1">#REF!</definedName>
    <definedName name="__123Graph_CGRAPH2" localSheetId="2" hidden="1">#REF!</definedName>
    <definedName name="__123Graph_CGRAPH2" localSheetId="3" hidden="1">#REF!</definedName>
    <definedName name="__123Graph_CGRAPH2" localSheetId="0" hidden="1">#REF!</definedName>
    <definedName name="__123Graph_CGRAPH2" hidden="1">#REF!</definedName>
    <definedName name="__123Graph_DGRAPH1" localSheetId="1" hidden="1">#REF!</definedName>
    <definedName name="__123Graph_DGRAPH1" localSheetId="8" hidden="1">#REF!</definedName>
    <definedName name="__123Graph_DGRAPH1" localSheetId="7" hidden="1">#REF!</definedName>
    <definedName name="__123Graph_DGRAPH1" localSheetId="10" hidden="1">#REF!</definedName>
    <definedName name="__123Graph_DGRAPH1" localSheetId="9" hidden="1">#REF!</definedName>
    <definedName name="__123Graph_DGRAPH1" localSheetId="11" hidden="1">#REF!</definedName>
    <definedName name="__123Graph_DGRAPH1" localSheetId="6" hidden="1">#REF!</definedName>
    <definedName name="__123Graph_DGRAPH1" localSheetId="2" hidden="1">#REF!</definedName>
    <definedName name="__123Graph_DGRAPH1" localSheetId="3" hidden="1">#REF!</definedName>
    <definedName name="__123Graph_DGRAPH1" localSheetId="0" hidden="1">#REF!</definedName>
    <definedName name="__123Graph_DGRAPH1" hidden="1">#REF!</definedName>
    <definedName name="__123Graph_DGRAPH2" localSheetId="1" hidden="1">#REF!</definedName>
    <definedName name="__123Graph_DGRAPH2" localSheetId="8" hidden="1">#REF!</definedName>
    <definedName name="__123Graph_DGRAPH2" localSheetId="7" hidden="1">#REF!</definedName>
    <definedName name="__123Graph_DGRAPH2" localSheetId="10" hidden="1">#REF!</definedName>
    <definedName name="__123Graph_DGRAPH2" localSheetId="9" hidden="1">#REF!</definedName>
    <definedName name="__123Graph_DGRAPH2" localSheetId="11" hidden="1">#REF!</definedName>
    <definedName name="__123Graph_DGRAPH2" localSheetId="6" hidden="1">#REF!</definedName>
    <definedName name="__123Graph_DGRAPH2" localSheetId="2" hidden="1">#REF!</definedName>
    <definedName name="__123Graph_DGRAPH2" localSheetId="3" hidden="1">#REF!</definedName>
    <definedName name="__123Graph_DGRAPH2" localSheetId="0" hidden="1">#REF!</definedName>
    <definedName name="__123Graph_DGRAPH2" hidden="1">#REF!</definedName>
    <definedName name="__123Graph_EGRAPH1" localSheetId="1" hidden="1">#REF!</definedName>
    <definedName name="__123Graph_EGRAPH1" localSheetId="8" hidden="1">#REF!</definedName>
    <definedName name="__123Graph_EGRAPH1" localSheetId="7" hidden="1">#REF!</definedName>
    <definedName name="__123Graph_EGRAPH1" localSheetId="10" hidden="1">#REF!</definedName>
    <definedName name="__123Graph_EGRAPH1" localSheetId="9" hidden="1">#REF!</definedName>
    <definedName name="__123Graph_EGRAPH1" localSheetId="11" hidden="1">#REF!</definedName>
    <definedName name="__123Graph_EGRAPH1" localSheetId="6" hidden="1">#REF!</definedName>
    <definedName name="__123Graph_EGRAPH1" localSheetId="2" hidden="1">#REF!</definedName>
    <definedName name="__123Graph_EGRAPH1" localSheetId="3" hidden="1">#REF!</definedName>
    <definedName name="__123Graph_EGRAPH1" localSheetId="0" hidden="1">#REF!</definedName>
    <definedName name="__123Graph_EGRAPH1" hidden="1">#REF!</definedName>
    <definedName name="__123Graph_EGRAPH2" localSheetId="1" hidden="1">#REF!</definedName>
    <definedName name="__123Graph_EGRAPH2" localSheetId="8" hidden="1">#REF!</definedName>
    <definedName name="__123Graph_EGRAPH2" localSheetId="7" hidden="1">#REF!</definedName>
    <definedName name="__123Graph_EGRAPH2" localSheetId="10" hidden="1">#REF!</definedName>
    <definedName name="__123Graph_EGRAPH2" localSheetId="9" hidden="1">#REF!</definedName>
    <definedName name="__123Graph_EGRAPH2" localSheetId="11" hidden="1">#REF!</definedName>
    <definedName name="__123Graph_EGRAPH2" localSheetId="6" hidden="1">#REF!</definedName>
    <definedName name="__123Graph_EGRAPH2" localSheetId="2" hidden="1">#REF!</definedName>
    <definedName name="__123Graph_EGRAPH2" localSheetId="3" hidden="1">#REF!</definedName>
    <definedName name="__123Graph_EGRAPH2" localSheetId="0" hidden="1">#REF!</definedName>
    <definedName name="__123Graph_EGRAPH2" hidden="1">#REF!</definedName>
    <definedName name="__123Graph_FGRAPH1" localSheetId="1" hidden="1">#REF!</definedName>
    <definedName name="__123Graph_FGRAPH1" localSheetId="8" hidden="1">#REF!</definedName>
    <definedName name="__123Graph_FGRAPH1" localSheetId="7" hidden="1">#REF!</definedName>
    <definedName name="__123Graph_FGRAPH1" localSheetId="10" hidden="1">#REF!</definedName>
    <definedName name="__123Graph_FGRAPH1" localSheetId="9" hidden="1">#REF!</definedName>
    <definedName name="__123Graph_FGRAPH1" localSheetId="11" hidden="1">#REF!</definedName>
    <definedName name="__123Graph_FGRAPH1" localSheetId="6" hidden="1">#REF!</definedName>
    <definedName name="__123Graph_FGRAPH1" localSheetId="2" hidden="1">#REF!</definedName>
    <definedName name="__123Graph_FGRAPH1" localSheetId="3" hidden="1">#REF!</definedName>
    <definedName name="__123Graph_FGRAPH1" localSheetId="0" hidden="1">#REF!</definedName>
    <definedName name="__123Graph_FGRAPH1" hidden="1">#REF!</definedName>
    <definedName name="__123Graph_FGRAPH2" localSheetId="1" hidden="1">#REF!</definedName>
    <definedName name="__123Graph_FGRAPH2" localSheetId="8" hidden="1">#REF!</definedName>
    <definedName name="__123Graph_FGRAPH2" localSheetId="7" hidden="1">#REF!</definedName>
    <definedName name="__123Graph_FGRAPH2" localSheetId="10" hidden="1">#REF!</definedName>
    <definedName name="__123Graph_FGRAPH2" localSheetId="9" hidden="1">#REF!</definedName>
    <definedName name="__123Graph_FGRAPH2" localSheetId="11" hidden="1">#REF!</definedName>
    <definedName name="__123Graph_FGRAPH2" localSheetId="6" hidden="1">#REF!</definedName>
    <definedName name="__123Graph_FGRAPH2" localSheetId="2" hidden="1">#REF!</definedName>
    <definedName name="__123Graph_FGRAPH2" localSheetId="3" hidden="1">#REF!</definedName>
    <definedName name="__123Graph_FGRAPH2" localSheetId="0" hidden="1">#REF!</definedName>
    <definedName name="__123Graph_FGRAPH2" hidden="1">#REF!</definedName>
    <definedName name="__123Graph_LBL_AGRAPH1" localSheetId="1" hidden="1">#REF!</definedName>
    <definedName name="__123Graph_LBL_AGRAPH1" localSheetId="8" hidden="1">#REF!</definedName>
    <definedName name="__123Graph_LBL_AGRAPH1" localSheetId="7" hidden="1">#REF!</definedName>
    <definedName name="__123Graph_LBL_AGRAPH1" localSheetId="10" hidden="1">#REF!</definedName>
    <definedName name="__123Graph_LBL_AGRAPH1" localSheetId="9" hidden="1">#REF!</definedName>
    <definedName name="__123Graph_LBL_AGRAPH1" localSheetId="11" hidden="1">#REF!</definedName>
    <definedName name="__123Graph_LBL_AGRAPH1" localSheetId="6" hidden="1">#REF!</definedName>
    <definedName name="__123Graph_LBL_AGRAPH1" localSheetId="2" hidden="1">#REF!</definedName>
    <definedName name="__123Graph_LBL_AGRAPH1" localSheetId="3" hidden="1">#REF!</definedName>
    <definedName name="__123Graph_LBL_AGRAPH1" localSheetId="0" hidden="1">#REF!</definedName>
    <definedName name="__123Graph_LBL_AGRAPH1" hidden="1">#REF!</definedName>
    <definedName name="__123Graph_LBL_AGRAPH2" localSheetId="1" hidden="1">#REF!</definedName>
    <definedName name="__123Graph_LBL_AGRAPH2" localSheetId="8" hidden="1">#REF!</definedName>
    <definedName name="__123Graph_LBL_AGRAPH2" localSheetId="7" hidden="1">#REF!</definedName>
    <definedName name="__123Graph_LBL_AGRAPH2" localSheetId="10" hidden="1">#REF!</definedName>
    <definedName name="__123Graph_LBL_AGRAPH2" localSheetId="9" hidden="1">#REF!</definedName>
    <definedName name="__123Graph_LBL_AGRAPH2" localSheetId="11" hidden="1">#REF!</definedName>
    <definedName name="__123Graph_LBL_AGRAPH2" localSheetId="6" hidden="1">#REF!</definedName>
    <definedName name="__123Graph_LBL_AGRAPH2" localSheetId="2" hidden="1">#REF!</definedName>
    <definedName name="__123Graph_LBL_AGRAPH2" localSheetId="3" hidden="1">#REF!</definedName>
    <definedName name="__123Graph_LBL_AGRAPH2" localSheetId="0" hidden="1">#REF!</definedName>
    <definedName name="__123Graph_LBL_AGRAPH2" hidden="1">#REF!</definedName>
    <definedName name="__123Graph_LBL_BGRAPH1" localSheetId="1" hidden="1">#REF!</definedName>
    <definedName name="__123Graph_LBL_BGRAPH1" localSheetId="8" hidden="1">#REF!</definedName>
    <definedName name="__123Graph_LBL_BGRAPH1" localSheetId="7" hidden="1">#REF!</definedName>
    <definedName name="__123Graph_LBL_BGRAPH1" localSheetId="10" hidden="1">#REF!</definedName>
    <definedName name="__123Graph_LBL_BGRAPH1" localSheetId="9" hidden="1">#REF!</definedName>
    <definedName name="__123Graph_LBL_BGRAPH1" localSheetId="11" hidden="1">#REF!</definedName>
    <definedName name="__123Graph_LBL_BGRAPH1" localSheetId="6" hidden="1">#REF!</definedName>
    <definedName name="__123Graph_LBL_BGRAPH1" localSheetId="2" hidden="1">#REF!</definedName>
    <definedName name="__123Graph_LBL_BGRAPH1" localSheetId="3" hidden="1">#REF!</definedName>
    <definedName name="__123Graph_LBL_BGRAPH1" localSheetId="0" hidden="1">#REF!</definedName>
    <definedName name="__123Graph_LBL_BGRAPH1" hidden="1">#REF!</definedName>
    <definedName name="__123Graph_LBL_BGRAPH2" localSheetId="1" hidden="1">#REF!</definedName>
    <definedName name="__123Graph_LBL_BGRAPH2" localSheetId="8" hidden="1">#REF!</definedName>
    <definedName name="__123Graph_LBL_BGRAPH2" localSheetId="7" hidden="1">#REF!</definedName>
    <definedName name="__123Graph_LBL_BGRAPH2" localSheetId="10" hidden="1">#REF!</definedName>
    <definedName name="__123Graph_LBL_BGRAPH2" localSheetId="9" hidden="1">#REF!</definedName>
    <definedName name="__123Graph_LBL_BGRAPH2" localSheetId="11" hidden="1">#REF!</definedName>
    <definedName name="__123Graph_LBL_BGRAPH2" localSheetId="6" hidden="1">#REF!</definedName>
    <definedName name="__123Graph_LBL_BGRAPH2" localSheetId="2" hidden="1">#REF!</definedName>
    <definedName name="__123Graph_LBL_BGRAPH2" localSheetId="3" hidden="1">#REF!</definedName>
    <definedName name="__123Graph_LBL_BGRAPH2" localSheetId="0" hidden="1">#REF!</definedName>
    <definedName name="__123Graph_LBL_BGRAPH2" hidden="1">#REF!</definedName>
    <definedName name="__123Graph_LBL_CGRAPH1" localSheetId="1" hidden="1">#REF!</definedName>
    <definedName name="__123Graph_LBL_CGRAPH1" localSheetId="8" hidden="1">#REF!</definedName>
    <definedName name="__123Graph_LBL_CGRAPH1" localSheetId="7" hidden="1">#REF!</definedName>
    <definedName name="__123Graph_LBL_CGRAPH1" localSheetId="10" hidden="1">#REF!</definedName>
    <definedName name="__123Graph_LBL_CGRAPH1" localSheetId="9" hidden="1">#REF!</definedName>
    <definedName name="__123Graph_LBL_CGRAPH1" localSheetId="11" hidden="1">#REF!</definedName>
    <definedName name="__123Graph_LBL_CGRAPH1" localSheetId="6" hidden="1">#REF!</definedName>
    <definedName name="__123Graph_LBL_CGRAPH1" localSheetId="2" hidden="1">#REF!</definedName>
    <definedName name="__123Graph_LBL_CGRAPH1" localSheetId="3" hidden="1">#REF!</definedName>
    <definedName name="__123Graph_LBL_CGRAPH1" localSheetId="0" hidden="1">#REF!</definedName>
    <definedName name="__123Graph_LBL_CGRAPH1" hidden="1">#REF!</definedName>
    <definedName name="__123Graph_LBL_CGRAPH2" localSheetId="1" hidden="1">#REF!</definedName>
    <definedName name="__123Graph_LBL_CGRAPH2" localSheetId="8" hidden="1">#REF!</definedName>
    <definedName name="__123Graph_LBL_CGRAPH2" localSheetId="7" hidden="1">#REF!</definedName>
    <definedName name="__123Graph_LBL_CGRAPH2" localSheetId="10" hidden="1">#REF!</definedName>
    <definedName name="__123Graph_LBL_CGRAPH2" localSheetId="9" hidden="1">#REF!</definedName>
    <definedName name="__123Graph_LBL_CGRAPH2" localSheetId="11" hidden="1">#REF!</definedName>
    <definedName name="__123Graph_LBL_CGRAPH2" localSheetId="6" hidden="1">#REF!</definedName>
    <definedName name="__123Graph_LBL_CGRAPH2" localSheetId="2" hidden="1">#REF!</definedName>
    <definedName name="__123Graph_LBL_CGRAPH2" localSheetId="3" hidden="1">#REF!</definedName>
    <definedName name="__123Graph_LBL_CGRAPH2" localSheetId="0" hidden="1">#REF!</definedName>
    <definedName name="__123Graph_LBL_CGRAPH2" hidden="1">#REF!</definedName>
    <definedName name="__123Graph_LBL_DGRAPH1" localSheetId="1" hidden="1">#REF!</definedName>
    <definedName name="__123Graph_LBL_DGRAPH1" localSheetId="8" hidden="1">#REF!</definedName>
    <definedName name="__123Graph_LBL_DGRAPH1" localSheetId="7" hidden="1">#REF!</definedName>
    <definedName name="__123Graph_LBL_DGRAPH1" localSheetId="10" hidden="1">#REF!</definedName>
    <definedName name="__123Graph_LBL_DGRAPH1" localSheetId="9" hidden="1">#REF!</definedName>
    <definedName name="__123Graph_LBL_DGRAPH1" localSheetId="11" hidden="1">#REF!</definedName>
    <definedName name="__123Graph_LBL_DGRAPH1" localSheetId="6" hidden="1">#REF!</definedName>
    <definedName name="__123Graph_LBL_DGRAPH1" localSheetId="2" hidden="1">#REF!</definedName>
    <definedName name="__123Graph_LBL_DGRAPH1" localSheetId="3" hidden="1">#REF!</definedName>
    <definedName name="__123Graph_LBL_DGRAPH1" localSheetId="0" hidden="1">#REF!</definedName>
    <definedName name="__123Graph_LBL_DGRAPH1" hidden="1">#REF!</definedName>
    <definedName name="__123Graph_LBL_DGRAPH2" localSheetId="1" hidden="1">#REF!</definedName>
    <definedName name="__123Graph_LBL_DGRAPH2" localSheetId="8" hidden="1">#REF!</definedName>
    <definedName name="__123Graph_LBL_DGRAPH2" localSheetId="7" hidden="1">#REF!</definedName>
    <definedName name="__123Graph_LBL_DGRAPH2" localSheetId="10" hidden="1">#REF!</definedName>
    <definedName name="__123Graph_LBL_DGRAPH2" localSheetId="9" hidden="1">#REF!</definedName>
    <definedName name="__123Graph_LBL_DGRAPH2" localSheetId="11" hidden="1">#REF!</definedName>
    <definedName name="__123Graph_LBL_DGRAPH2" localSheetId="6" hidden="1">#REF!</definedName>
    <definedName name="__123Graph_LBL_DGRAPH2" localSheetId="2" hidden="1">#REF!</definedName>
    <definedName name="__123Graph_LBL_DGRAPH2" localSheetId="3" hidden="1">#REF!</definedName>
    <definedName name="__123Graph_LBL_DGRAPH2" localSheetId="0" hidden="1">#REF!</definedName>
    <definedName name="__123Graph_LBL_DGRAPH2" hidden="1">#REF!</definedName>
    <definedName name="__123Graph_LBL_EGRAPH1" localSheetId="1" hidden="1">#REF!</definedName>
    <definedName name="__123Graph_LBL_EGRAPH1" localSheetId="8" hidden="1">#REF!</definedName>
    <definedName name="__123Graph_LBL_EGRAPH1" localSheetId="7" hidden="1">#REF!</definedName>
    <definedName name="__123Graph_LBL_EGRAPH1" localSheetId="10" hidden="1">#REF!</definedName>
    <definedName name="__123Graph_LBL_EGRAPH1" localSheetId="9" hidden="1">#REF!</definedName>
    <definedName name="__123Graph_LBL_EGRAPH1" localSheetId="11" hidden="1">#REF!</definedName>
    <definedName name="__123Graph_LBL_EGRAPH1" localSheetId="6" hidden="1">#REF!</definedName>
    <definedName name="__123Graph_LBL_EGRAPH1" localSheetId="2" hidden="1">#REF!</definedName>
    <definedName name="__123Graph_LBL_EGRAPH1" localSheetId="3" hidden="1">#REF!</definedName>
    <definedName name="__123Graph_LBL_EGRAPH1" localSheetId="0" hidden="1">#REF!</definedName>
    <definedName name="__123Graph_LBL_EGRAPH1" hidden="1">#REF!</definedName>
    <definedName name="__123Graph_LBL_EGRAPH2" localSheetId="1" hidden="1">#REF!</definedName>
    <definedName name="__123Graph_LBL_EGRAPH2" localSheetId="8" hidden="1">#REF!</definedName>
    <definedName name="__123Graph_LBL_EGRAPH2" localSheetId="7" hidden="1">#REF!</definedName>
    <definedName name="__123Graph_LBL_EGRAPH2" localSheetId="10" hidden="1">#REF!</definedName>
    <definedName name="__123Graph_LBL_EGRAPH2" localSheetId="9" hidden="1">#REF!</definedName>
    <definedName name="__123Graph_LBL_EGRAPH2" localSheetId="11" hidden="1">#REF!</definedName>
    <definedName name="__123Graph_LBL_EGRAPH2" localSheetId="6" hidden="1">#REF!</definedName>
    <definedName name="__123Graph_LBL_EGRAPH2" localSheetId="2" hidden="1">#REF!</definedName>
    <definedName name="__123Graph_LBL_EGRAPH2" localSheetId="3" hidden="1">#REF!</definedName>
    <definedName name="__123Graph_LBL_EGRAPH2" localSheetId="0" hidden="1">#REF!</definedName>
    <definedName name="__123Graph_LBL_EGRAPH2" hidden="1">#REF!</definedName>
    <definedName name="__123Graph_LBL_FGRAPH1" localSheetId="1" hidden="1">#REF!</definedName>
    <definedName name="__123Graph_LBL_FGRAPH1" localSheetId="8" hidden="1">#REF!</definedName>
    <definedName name="__123Graph_LBL_FGRAPH1" localSheetId="7" hidden="1">#REF!</definedName>
    <definedName name="__123Graph_LBL_FGRAPH1" localSheetId="10" hidden="1">#REF!</definedName>
    <definedName name="__123Graph_LBL_FGRAPH1" localSheetId="9" hidden="1">#REF!</definedName>
    <definedName name="__123Graph_LBL_FGRAPH1" localSheetId="11" hidden="1">#REF!</definedName>
    <definedName name="__123Graph_LBL_FGRAPH1" localSheetId="6" hidden="1">#REF!</definedName>
    <definedName name="__123Graph_LBL_FGRAPH1" localSheetId="2" hidden="1">#REF!</definedName>
    <definedName name="__123Graph_LBL_FGRAPH1" localSheetId="3" hidden="1">#REF!</definedName>
    <definedName name="__123Graph_LBL_FGRAPH1" localSheetId="0" hidden="1">#REF!</definedName>
    <definedName name="__123Graph_LBL_FGRAPH1" hidden="1">#REF!</definedName>
    <definedName name="__123Graph_LBL_FGRAPH2" localSheetId="1" hidden="1">#REF!</definedName>
    <definedName name="__123Graph_LBL_FGRAPH2" localSheetId="8" hidden="1">#REF!</definedName>
    <definedName name="__123Graph_LBL_FGRAPH2" localSheetId="7" hidden="1">#REF!</definedName>
    <definedName name="__123Graph_LBL_FGRAPH2" localSheetId="10" hidden="1">#REF!</definedName>
    <definedName name="__123Graph_LBL_FGRAPH2" localSheetId="9" hidden="1">#REF!</definedName>
    <definedName name="__123Graph_LBL_FGRAPH2" localSheetId="11" hidden="1">#REF!</definedName>
    <definedName name="__123Graph_LBL_FGRAPH2" localSheetId="6" hidden="1">#REF!</definedName>
    <definedName name="__123Graph_LBL_FGRAPH2" localSheetId="2" hidden="1">#REF!</definedName>
    <definedName name="__123Graph_LBL_FGRAPH2" localSheetId="3" hidden="1">#REF!</definedName>
    <definedName name="__123Graph_LBL_FGRAPH2" localSheetId="0" hidden="1">#REF!</definedName>
    <definedName name="__123Graph_LBL_FGRAPH2" hidden="1">#REF!</definedName>
    <definedName name="__123Graph_X" localSheetId="1" hidden="1">'[1]Page 1'!#REF!</definedName>
    <definedName name="__123Graph_X" localSheetId="8" hidden="1">'[1]Page 1'!#REF!</definedName>
    <definedName name="__123Graph_X" localSheetId="7" hidden="1">'[1]Page 1'!#REF!</definedName>
    <definedName name="__123Graph_X" localSheetId="10" hidden="1">'[1]Page 1'!#REF!</definedName>
    <definedName name="__123Graph_X" localSheetId="9" hidden="1">'[1]Page 1'!#REF!</definedName>
    <definedName name="__123Graph_X" localSheetId="11" hidden="1">'[1]Page 1'!#REF!</definedName>
    <definedName name="__123Graph_X" localSheetId="6" hidden="1">'[1]Page 1'!#REF!</definedName>
    <definedName name="__123Graph_X" localSheetId="2" hidden="1">'[1]Page 1'!#REF!</definedName>
    <definedName name="__123Graph_X" localSheetId="3" hidden="1">'[1]Page 1'!#REF!</definedName>
    <definedName name="__123Graph_X" localSheetId="0" hidden="1">'[1]Page 1'!#REF!</definedName>
    <definedName name="__123Graph_X" hidden="1">'[1]Page 1'!#REF!</definedName>
    <definedName name="__123Graph_XGRAPH1" localSheetId="1" hidden="1">#REF!</definedName>
    <definedName name="__123Graph_XGRAPH1" localSheetId="8" hidden="1">#REF!</definedName>
    <definedName name="__123Graph_XGRAPH1" localSheetId="7" hidden="1">#REF!</definedName>
    <definedName name="__123Graph_XGRAPH1" localSheetId="10" hidden="1">#REF!</definedName>
    <definedName name="__123Graph_XGRAPH1" localSheetId="9" hidden="1">#REF!</definedName>
    <definedName name="__123Graph_XGRAPH1" localSheetId="11" hidden="1">#REF!</definedName>
    <definedName name="__123Graph_XGRAPH1" localSheetId="6" hidden="1">#REF!</definedName>
    <definedName name="__123Graph_XGRAPH1" localSheetId="2" hidden="1">#REF!</definedName>
    <definedName name="__123Graph_XGRAPH1" localSheetId="3" hidden="1">#REF!</definedName>
    <definedName name="__123Graph_XGRAPH1" localSheetId="0" hidden="1">#REF!</definedName>
    <definedName name="__123Graph_XGRAPH1" hidden="1">#REF!</definedName>
    <definedName name="__123Graph_XGRAPH2" localSheetId="1" hidden="1">#REF!</definedName>
    <definedName name="__123Graph_XGRAPH2" localSheetId="8" hidden="1">#REF!</definedName>
    <definedName name="__123Graph_XGRAPH2" localSheetId="7" hidden="1">#REF!</definedName>
    <definedName name="__123Graph_XGRAPH2" localSheetId="10" hidden="1">#REF!</definedName>
    <definedName name="__123Graph_XGRAPH2" localSheetId="9" hidden="1">#REF!</definedName>
    <definedName name="__123Graph_XGRAPH2" localSheetId="11" hidden="1">#REF!</definedName>
    <definedName name="__123Graph_XGRAPH2" localSheetId="6" hidden="1">#REF!</definedName>
    <definedName name="__123Graph_XGRAPH2" localSheetId="2" hidden="1">#REF!</definedName>
    <definedName name="__123Graph_XGRAPH2" localSheetId="3" hidden="1">#REF!</definedName>
    <definedName name="__123Graph_XGRAPH2" localSheetId="0" hidden="1">#REF!</definedName>
    <definedName name="__123Graph_XGRAPH2" hidden="1">#REF!</definedName>
    <definedName name="_Dist_Values" localSheetId="1" hidden="1">#REF!</definedName>
    <definedName name="_Dist_Values" localSheetId="8" hidden="1">#REF!</definedName>
    <definedName name="_Dist_Values" localSheetId="7" hidden="1">#REF!</definedName>
    <definedName name="_Dist_Values" localSheetId="10" hidden="1">#REF!</definedName>
    <definedName name="_Dist_Values" localSheetId="9" hidden="1">#REF!</definedName>
    <definedName name="_Dist_Values" localSheetId="11" hidden="1">#REF!</definedName>
    <definedName name="_Dist_Values" localSheetId="6" hidden="1">#REF!</definedName>
    <definedName name="_Dist_Values" localSheetId="2" hidden="1">#REF!</definedName>
    <definedName name="_Dist_Values" localSheetId="3" hidden="1">#REF!</definedName>
    <definedName name="_Dist_Values" localSheetId="0" hidden="1">#REF!</definedName>
    <definedName name="_Dist_Values" hidden="1">#REF!</definedName>
    <definedName name="_Fig10">'[2]API - Case 1'!$C$83</definedName>
    <definedName name="_Fill" localSheetId="1" hidden="1">#REF!</definedName>
    <definedName name="_Fill" localSheetId="8" hidden="1">#REF!</definedName>
    <definedName name="_Fill" localSheetId="7" hidden="1">#REF!</definedName>
    <definedName name="_Fill" localSheetId="10" hidden="1">#REF!</definedName>
    <definedName name="_Fill" localSheetId="9" hidden="1">#REF!</definedName>
    <definedName name="_Fill" localSheetId="11" hidden="1">#REF!</definedName>
    <definedName name="_Fill" localSheetId="6" hidden="1">#REF!</definedName>
    <definedName name="_Fill" localSheetId="2" hidden="1">#REF!</definedName>
    <definedName name="_Fill" localSheetId="3" hidden="1">#REF!</definedName>
    <definedName name="_Fill" localSheetId="0" hidden="1">#REF!</definedName>
    <definedName name="_Fill" hidden="1">#REF!</definedName>
    <definedName name="_xlnm._FilterDatabase" localSheetId="0" hidden="1">Tesoro_emis!$B$3:$AE$46</definedName>
    <definedName name="_Order1" hidden="1">255</definedName>
    <definedName name="_Order2" hidden="1">255</definedName>
    <definedName name="_P2">'[3]Compressor performance'!$B$12</definedName>
    <definedName name="_Parse_Out" localSheetId="1" hidden="1">#REF!</definedName>
    <definedName name="_Parse_Out" localSheetId="8" hidden="1">#REF!</definedName>
    <definedName name="_Parse_Out" localSheetId="7" hidden="1">#REF!</definedName>
    <definedName name="_Parse_Out" localSheetId="10" hidden="1">#REF!</definedName>
    <definedName name="_Parse_Out" localSheetId="9" hidden="1">#REF!</definedName>
    <definedName name="_Parse_Out" localSheetId="11" hidden="1">#REF!</definedName>
    <definedName name="_Parse_Out" localSheetId="6" hidden="1">#REF!</definedName>
    <definedName name="_Parse_Out" localSheetId="2" hidden="1">#REF!</definedName>
    <definedName name="_Parse_Out" localSheetId="3" hidden="1">#REF!</definedName>
    <definedName name="_Parse_Out" localSheetId="0" hidden="1">#REF!</definedName>
    <definedName name="_Parse_Out" hidden="1">#REF!</definedName>
    <definedName name="_Regression_Out" localSheetId="1" hidden="1">#REF!</definedName>
    <definedName name="_Regression_Out" localSheetId="13" hidden="1">#REF!</definedName>
    <definedName name="_Regression_Out" localSheetId="8" hidden="1">#REF!</definedName>
    <definedName name="_Regression_Out" localSheetId="7" hidden="1">#REF!</definedName>
    <definedName name="_Regression_Out" localSheetId="10" hidden="1">#REF!</definedName>
    <definedName name="_Regression_Out" localSheetId="9" hidden="1">#REF!</definedName>
    <definedName name="_Regression_Out" localSheetId="11" hidden="1">#REF!</definedName>
    <definedName name="_Regression_Out" localSheetId="6" hidden="1">#REF!</definedName>
    <definedName name="_Regression_Out" localSheetId="5" hidden="1">#REF!</definedName>
    <definedName name="_Regression_Out" localSheetId="2" hidden="1">#REF!</definedName>
    <definedName name="_Regression_Out" localSheetId="3" hidden="1">#REF!</definedName>
    <definedName name="_Regression_Out" localSheetId="0" hidden="1">#REF!</definedName>
    <definedName name="_Regression_Out" hidden="1">#REF!</definedName>
    <definedName name="_Regression_X" localSheetId="1" hidden="1">#REF!</definedName>
    <definedName name="_Regression_X" localSheetId="8" hidden="1">#REF!</definedName>
    <definedName name="_Regression_X" localSheetId="7" hidden="1">#REF!</definedName>
    <definedName name="_Regression_X" localSheetId="10" hidden="1">#REF!</definedName>
    <definedName name="_Regression_X" localSheetId="9" hidden="1">#REF!</definedName>
    <definedName name="_Regression_X" localSheetId="11" hidden="1">#REF!</definedName>
    <definedName name="_Regression_X" localSheetId="6" hidden="1">#REF!</definedName>
    <definedName name="_Regression_X" localSheetId="2" hidden="1">#REF!</definedName>
    <definedName name="_Regression_X" localSheetId="3" hidden="1">#REF!</definedName>
    <definedName name="_Regression_X" localSheetId="0" hidden="1">#REF!</definedName>
    <definedName name="_Regression_X" hidden="1">#REF!</definedName>
    <definedName name="_Regression_Y" localSheetId="1" hidden="1">#REF!</definedName>
    <definedName name="_Regression_Y" localSheetId="8" hidden="1">#REF!</definedName>
    <definedName name="_Regression_Y" localSheetId="7" hidden="1">#REF!</definedName>
    <definedName name="_Regression_Y" localSheetId="10" hidden="1">#REF!</definedName>
    <definedName name="_Regression_Y" localSheetId="9" hidden="1">#REF!</definedName>
    <definedName name="_Regression_Y" localSheetId="11" hidden="1">#REF!</definedName>
    <definedName name="_Regression_Y" localSheetId="6" hidden="1">#REF!</definedName>
    <definedName name="_Regression_Y" localSheetId="2" hidden="1">#REF!</definedName>
    <definedName name="_Regression_Y" localSheetId="3" hidden="1">#REF!</definedName>
    <definedName name="_Regression_Y" localSheetId="0" hidden="1">#REF!</definedName>
    <definedName name="_Regression_Y" hidden="1">#REF!</definedName>
    <definedName name="_Rev1" localSheetId="1">#REF!</definedName>
    <definedName name="_Rev1" localSheetId="8">#REF!</definedName>
    <definedName name="_Rev1" localSheetId="7">#REF!</definedName>
    <definedName name="_Rev1" localSheetId="10">#REF!</definedName>
    <definedName name="_Rev1" localSheetId="9">#REF!</definedName>
    <definedName name="_Rev1" localSheetId="11">#REF!</definedName>
    <definedName name="_Rev1" localSheetId="6">#REF!</definedName>
    <definedName name="_Rev1" localSheetId="2">#REF!</definedName>
    <definedName name="_Rev1" localSheetId="3">#REF!</definedName>
    <definedName name="_Rev1" localSheetId="0">#REF!</definedName>
    <definedName name="_Rev1">#REF!</definedName>
    <definedName name="_Rev2" localSheetId="1">#REF!</definedName>
    <definedName name="_Rev2" localSheetId="8">#REF!</definedName>
    <definedName name="_Rev2" localSheetId="7">#REF!</definedName>
    <definedName name="_Rev2" localSheetId="10">#REF!</definedName>
    <definedName name="_Rev2" localSheetId="9">#REF!</definedName>
    <definedName name="_Rev2" localSheetId="11">#REF!</definedName>
    <definedName name="_Rev2" localSheetId="6">#REF!</definedName>
    <definedName name="_Rev2" localSheetId="2">#REF!</definedName>
    <definedName name="_Rev2" localSheetId="3">#REF!</definedName>
    <definedName name="_Rev2" localSheetId="0">#REF!</definedName>
    <definedName name="_Rev2">#REF!</definedName>
    <definedName name="_Rev3" localSheetId="1">#REF!</definedName>
    <definedName name="_Rev3" localSheetId="8">#REF!</definedName>
    <definedName name="_Rev3" localSheetId="7">#REF!</definedName>
    <definedName name="_Rev3" localSheetId="10">#REF!</definedName>
    <definedName name="_Rev3" localSheetId="9">#REF!</definedName>
    <definedName name="_Rev3" localSheetId="11">#REF!</definedName>
    <definedName name="_Rev3" localSheetId="6">#REF!</definedName>
    <definedName name="_Rev3" localSheetId="2">#REF!</definedName>
    <definedName name="_Rev3" localSheetId="3">#REF!</definedName>
    <definedName name="_Rev3" localSheetId="0">#REF!</definedName>
    <definedName name="_Rev3">#REF!</definedName>
    <definedName name="_Rev4" localSheetId="1">#REF!</definedName>
    <definedName name="_Rev4" localSheetId="8">#REF!</definedName>
    <definedName name="_Rev4" localSheetId="7">#REF!</definedName>
    <definedName name="_Rev4" localSheetId="10">#REF!</definedName>
    <definedName name="_Rev4" localSheetId="9">#REF!</definedName>
    <definedName name="_Rev4" localSheetId="11">#REF!</definedName>
    <definedName name="_Rev4" localSheetId="6">#REF!</definedName>
    <definedName name="_Rev4" localSheetId="2">#REF!</definedName>
    <definedName name="_Rev4" localSheetId="3">#REF!</definedName>
    <definedName name="_Rev4" localSheetId="0">#REF!</definedName>
    <definedName name="_Rev4">#REF!</definedName>
    <definedName name="_Rev5" localSheetId="1">#REF!</definedName>
    <definedName name="_Rev5" localSheetId="8">#REF!</definedName>
    <definedName name="_Rev5" localSheetId="7">#REF!</definedName>
    <definedName name="_Rev5" localSheetId="10">#REF!</definedName>
    <definedName name="_Rev5" localSheetId="9">#REF!</definedName>
    <definedName name="_Rev5" localSheetId="11">#REF!</definedName>
    <definedName name="_Rev5" localSheetId="6">#REF!</definedName>
    <definedName name="_Rev5" localSheetId="2">#REF!</definedName>
    <definedName name="_Rev5" localSheetId="3">#REF!</definedName>
    <definedName name="_Rev5" localSheetId="0">#REF!</definedName>
    <definedName name="_Rev5">#REF!</definedName>
    <definedName name="_Rev6" localSheetId="1">#REF!</definedName>
    <definedName name="_Rev6" localSheetId="8">#REF!</definedName>
    <definedName name="_Rev6" localSheetId="7">#REF!</definedName>
    <definedName name="_Rev6" localSheetId="10">#REF!</definedName>
    <definedName name="_Rev6" localSheetId="9">#REF!</definedName>
    <definedName name="_Rev6" localSheetId="11">#REF!</definedName>
    <definedName name="_Rev6" localSheetId="6">#REF!</definedName>
    <definedName name="_Rev6" localSheetId="2">#REF!</definedName>
    <definedName name="_Rev6" localSheetId="3">#REF!</definedName>
    <definedName name="_Rev6" localSheetId="0">#REF!</definedName>
    <definedName name="_Rev6">#REF!</definedName>
    <definedName name="_TAB2" localSheetId="1">#REF!:#REF!</definedName>
    <definedName name="_TAB2" localSheetId="8">#REF!:#REF!</definedName>
    <definedName name="_TAB2" localSheetId="7">#REF!:#REF!</definedName>
    <definedName name="_TAB2" localSheetId="10">#REF!:#REF!</definedName>
    <definedName name="_TAB2" localSheetId="9">#REF!:#REF!</definedName>
    <definedName name="_TAB2" localSheetId="11">#REF!:#REF!</definedName>
    <definedName name="_TAB2" localSheetId="6">#REF!:#REF!</definedName>
    <definedName name="_TAB2" localSheetId="2">#REF!:#REF!</definedName>
    <definedName name="_TAB2" localSheetId="3">#REF!:#REF!</definedName>
    <definedName name="_TAB2" localSheetId="0">#REF!:#REF!</definedName>
    <definedName name="_TAB2">#REF!:#REF!</definedName>
    <definedName name="_tp2" localSheetId="1">'[4]Main Tank'!#REF!</definedName>
    <definedName name="_tp2" localSheetId="13">'[4]Main Tank'!#REF!</definedName>
    <definedName name="_tp2" localSheetId="8">'[4]Main Tank'!#REF!</definedName>
    <definedName name="_tp2" localSheetId="7">'[4]Main Tank'!#REF!</definedName>
    <definedName name="_tp2" localSheetId="10">'[4]Main Tank'!#REF!</definedName>
    <definedName name="_tp2" localSheetId="9">'[4]Main Tank'!#REF!</definedName>
    <definedName name="_tp2" localSheetId="11">'[4]Main Tank'!#REF!</definedName>
    <definedName name="_tp2" localSheetId="6">'[4]Main Tank'!#REF!</definedName>
    <definedName name="_tp2" localSheetId="2">'[4]Main Tank'!#REF!</definedName>
    <definedName name="_tp2" localSheetId="3">'[4]Main Tank'!#REF!</definedName>
    <definedName name="_tp2" localSheetId="0">'[4]Main Tank'!#REF!</definedName>
    <definedName name="_tp2">'[4]Main Tank'!#REF!</definedName>
    <definedName name="_tp3" localSheetId="1">#REF!</definedName>
    <definedName name="_tp3" localSheetId="13">#REF!</definedName>
    <definedName name="_tp3" localSheetId="8">#REF!</definedName>
    <definedName name="_tp3" localSheetId="7">#REF!</definedName>
    <definedName name="_tp3" localSheetId="10">#REF!</definedName>
    <definedName name="_tp3" localSheetId="9">#REF!</definedName>
    <definedName name="_tp3" localSheetId="11">#REF!</definedName>
    <definedName name="_tp3" localSheetId="6">#REF!</definedName>
    <definedName name="_tp3" localSheetId="2">#REF!</definedName>
    <definedName name="_tp3" localSheetId="3">#REF!</definedName>
    <definedName name="_tp3" localSheetId="0">#REF!</definedName>
    <definedName name="_tp3">#REF!</definedName>
    <definedName name="_units" localSheetId="1">[5]Basis!#REF!</definedName>
    <definedName name="_units" localSheetId="8">[5]Basis!#REF!</definedName>
    <definedName name="_units" localSheetId="7">[5]Basis!#REF!</definedName>
    <definedName name="_units" localSheetId="10">[5]Basis!#REF!</definedName>
    <definedName name="_units" localSheetId="9">[5]Basis!#REF!</definedName>
    <definedName name="_units" localSheetId="11">[5]Basis!#REF!</definedName>
    <definedName name="_units" localSheetId="6">[5]Basis!#REF!</definedName>
    <definedName name="_units" localSheetId="2">[5]Basis!#REF!</definedName>
    <definedName name="_units" localSheetId="3">[5]Basis!#REF!</definedName>
    <definedName name="_units" localSheetId="0">[5]Basis!#REF!</definedName>
    <definedName name="_units">[5]Basis!#REF!</definedName>
    <definedName name="_Z1">'[3]Compressor performance'!$B$13</definedName>
    <definedName name="a" localSheetId="1" hidden="1">#REF!</definedName>
    <definedName name="a" localSheetId="13" hidden="1">'[6]Page 1'!#REF!</definedName>
    <definedName name="a" localSheetId="8" hidden="1">'[6]Page 1'!#REF!</definedName>
    <definedName name="a" localSheetId="7" hidden="1">'[6]Page 1'!#REF!</definedName>
    <definedName name="a" localSheetId="10" hidden="1">'[6]Page 1'!#REF!</definedName>
    <definedName name="a" localSheetId="9" hidden="1">'[6]Page 1'!#REF!</definedName>
    <definedName name="a" localSheetId="11" hidden="1">'[6]Page 1'!#REF!</definedName>
    <definedName name="a" localSheetId="6" hidden="1">'[6]Page 1'!#REF!</definedName>
    <definedName name="a" localSheetId="5" hidden="1">'[6]Page 1'!#REF!</definedName>
    <definedName name="a" localSheetId="2" hidden="1">#REF!</definedName>
    <definedName name="a" localSheetId="3" hidden="1">#REF!</definedName>
    <definedName name="a" localSheetId="0" hidden="1">#REF!</definedName>
    <definedName name="a" hidden="1">#REF!</definedName>
    <definedName name="a_params_range">[7]a_params!$C$5:$BA$65</definedName>
    <definedName name="actpage1" localSheetId="1">#REF!</definedName>
    <definedName name="actpage1" localSheetId="8">#REF!</definedName>
    <definedName name="actpage1" localSheetId="7">#REF!</definedName>
    <definedName name="actpage1" localSheetId="10">#REF!</definedName>
    <definedName name="actpage1" localSheetId="9">#REF!</definedName>
    <definedName name="actpage1" localSheetId="11">#REF!</definedName>
    <definedName name="actpage1" localSheetId="6">#REF!</definedName>
    <definedName name="actpage1" localSheetId="2">#REF!</definedName>
    <definedName name="actpage1" localSheetId="3">#REF!</definedName>
    <definedName name="actpage1" localSheetId="0">#REF!</definedName>
    <definedName name="actpage1">#REF!</definedName>
    <definedName name="actpage2" localSheetId="1">#REF!</definedName>
    <definedName name="actpage2" localSheetId="8">#REF!</definedName>
    <definedName name="actpage2" localSheetId="7">#REF!</definedName>
    <definedName name="actpage2" localSheetId="10">#REF!</definedName>
    <definedName name="actpage2" localSheetId="9">#REF!</definedName>
    <definedName name="actpage2" localSheetId="11">#REF!</definedName>
    <definedName name="actpage2" localSheetId="6">#REF!</definedName>
    <definedName name="actpage2" localSheetId="2">#REF!</definedName>
    <definedName name="actpage2" localSheetId="3">#REF!</definedName>
    <definedName name="actpage2" localSheetId="0">#REF!</definedName>
    <definedName name="actpage2">#REF!</definedName>
    <definedName name="actpage3" localSheetId="1">#REF!</definedName>
    <definedName name="actpage3" localSheetId="8">#REF!</definedName>
    <definedName name="actpage3" localSheetId="7">#REF!</definedName>
    <definedName name="actpage3" localSheetId="10">#REF!</definedName>
    <definedName name="actpage3" localSheetId="9">#REF!</definedName>
    <definedName name="actpage3" localSheetId="11">#REF!</definedName>
    <definedName name="actpage3" localSheetId="6">#REF!</definedName>
    <definedName name="actpage3" localSheetId="2">#REF!</definedName>
    <definedName name="actpage3" localSheetId="3">#REF!</definedName>
    <definedName name="actpage3" localSheetId="0">#REF!</definedName>
    <definedName name="actpage3">#REF!</definedName>
    <definedName name="actpage4" localSheetId="1">#REF!</definedName>
    <definedName name="actpage4" localSheetId="8">#REF!</definedName>
    <definedName name="actpage4" localSheetId="7">#REF!</definedName>
    <definedName name="actpage4" localSheetId="10">#REF!</definedName>
    <definedName name="actpage4" localSheetId="9">#REF!</definedName>
    <definedName name="actpage4" localSheetId="11">#REF!</definedName>
    <definedName name="actpage4" localSheetId="6">#REF!</definedName>
    <definedName name="actpage4" localSheetId="2">#REF!</definedName>
    <definedName name="actpage4" localSheetId="3">#REF!</definedName>
    <definedName name="actpage4" localSheetId="0">#REF!</definedName>
    <definedName name="actpage4">#REF!</definedName>
    <definedName name="actpage5" localSheetId="1">#REF!</definedName>
    <definedName name="actpage5" localSheetId="8">#REF!</definedName>
    <definedName name="actpage5" localSheetId="7">#REF!</definedName>
    <definedName name="actpage5" localSheetId="10">#REF!</definedName>
    <definedName name="actpage5" localSheetId="9">#REF!</definedName>
    <definedName name="actpage5" localSheetId="11">#REF!</definedName>
    <definedName name="actpage5" localSheetId="6">#REF!</definedName>
    <definedName name="actpage5" localSheetId="2">#REF!</definedName>
    <definedName name="actpage5" localSheetId="3">#REF!</definedName>
    <definedName name="actpage5" localSheetId="0">#REF!</definedName>
    <definedName name="actpage5">#REF!</definedName>
    <definedName name="actpage6" localSheetId="1">#REF!</definedName>
    <definedName name="actpage6" localSheetId="8">#REF!</definedName>
    <definedName name="actpage6" localSheetId="7">#REF!</definedName>
    <definedName name="actpage6" localSheetId="10">#REF!</definedName>
    <definedName name="actpage6" localSheetId="9">#REF!</definedName>
    <definedName name="actpage6" localSheetId="11">#REF!</definedName>
    <definedName name="actpage6" localSheetId="6">#REF!</definedName>
    <definedName name="actpage6" localSheetId="2">#REF!</definedName>
    <definedName name="actpage6" localSheetId="3">#REF!</definedName>
    <definedName name="actpage6" localSheetId="0">#REF!</definedName>
    <definedName name="actpage6">#REF!</definedName>
    <definedName name="ambgaspress" localSheetId="1">#REF!</definedName>
    <definedName name="ambgaspress" localSheetId="8">#REF!</definedName>
    <definedName name="ambgaspress" localSheetId="7">#REF!</definedName>
    <definedName name="ambgaspress" localSheetId="10">#REF!</definedName>
    <definedName name="ambgaspress" localSheetId="9">#REF!</definedName>
    <definedName name="ambgaspress" localSheetId="11">#REF!</definedName>
    <definedName name="ambgaspress" localSheetId="6">#REF!</definedName>
    <definedName name="ambgaspress" localSheetId="2">#REF!</definedName>
    <definedName name="ambgaspress" localSheetId="3">#REF!</definedName>
    <definedName name="ambgaspress" localSheetId="0">#REF!</definedName>
    <definedName name="ambgaspress">#REF!</definedName>
    <definedName name="area" localSheetId="1">#REF!</definedName>
    <definedName name="area" localSheetId="8">#REF!</definedName>
    <definedName name="area" localSheetId="7">#REF!</definedName>
    <definedName name="area" localSheetId="10">#REF!</definedName>
    <definedName name="area" localSheetId="9">#REF!</definedName>
    <definedName name="area" localSheetId="11">#REF!</definedName>
    <definedName name="area" localSheetId="6">#REF!</definedName>
    <definedName name="area" localSheetId="2">#REF!</definedName>
    <definedName name="area" localSheetId="3">#REF!</definedName>
    <definedName name="area" localSheetId="0">#REF!</definedName>
    <definedName name="area">#REF!</definedName>
    <definedName name="atm" localSheetId="1">#REF!</definedName>
    <definedName name="atm" localSheetId="8">#REF!</definedName>
    <definedName name="atm" localSheetId="7">#REF!</definedName>
    <definedName name="atm" localSheetId="10">#REF!</definedName>
    <definedName name="atm" localSheetId="9">#REF!</definedName>
    <definedName name="atm" localSheetId="11">#REF!</definedName>
    <definedName name="atm" localSheetId="6">#REF!</definedName>
    <definedName name="atm" localSheetId="2">#REF!</definedName>
    <definedName name="atm" localSheetId="3">#REF!</definedName>
    <definedName name="atm" localSheetId="0">#REF!</definedName>
    <definedName name="atm">#REF!</definedName>
    <definedName name="auxbop" localSheetId="1">#REF!</definedName>
    <definedName name="auxbop" localSheetId="8">#REF!</definedName>
    <definedName name="auxbop" localSheetId="7">#REF!</definedName>
    <definedName name="auxbop" localSheetId="10">#REF!</definedName>
    <definedName name="auxbop" localSheetId="9">#REF!</definedName>
    <definedName name="auxbop" localSheetId="11">#REF!</definedName>
    <definedName name="auxbop" localSheetId="6">#REF!</definedName>
    <definedName name="auxbop" localSheetId="2">#REF!</definedName>
    <definedName name="auxbop" localSheetId="3">#REF!</definedName>
    <definedName name="auxbop" localSheetId="0">#REF!</definedName>
    <definedName name="auxbop">#REF!</definedName>
    <definedName name="auxevap" localSheetId="1">#REF!</definedName>
    <definedName name="auxevap" localSheetId="8">#REF!</definedName>
    <definedName name="auxevap" localSheetId="7">#REF!</definedName>
    <definedName name="auxevap" localSheetId="10">#REF!</definedName>
    <definedName name="auxevap" localSheetId="9">#REF!</definedName>
    <definedName name="auxevap" localSheetId="11">#REF!</definedName>
    <definedName name="auxevap" localSheetId="6">#REF!</definedName>
    <definedName name="auxevap" localSheetId="2">#REF!</definedName>
    <definedName name="auxevap" localSheetId="3">#REF!</definedName>
    <definedName name="auxevap" localSheetId="0">#REF!</definedName>
    <definedName name="auxevap">#REF!</definedName>
    <definedName name="auxfog" localSheetId="1">#REF!</definedName>
    <definedName name="auxfog" localSheetId="8">#REF!</definedName>
    <definedName name="auxfog" localSheetId="7">#REF!</definedName>
    <definedName name="auxfog" localSheetId="10">#REF!</definedName>
    <definedName name="auxfog" localSheetId="9">#REF!</definedName>
    <definedName name="auxfog" localSheetId="11">#REF!</definedName>
    <definedName name="auxfog" localSheetId="6">#REF!</definedName>
    <definedName name="auxfog" localSheetId="2">#REF!</definedName>
    <definedName name="auxfog" localSheetId="3">#REF!</definedName>
    <definedName name="auxfog" localSheetId="0">#REF!</definedName>
    <definedName name="auxfog">#REF!</definedName>
    <definedName name="auxlqtp" localSheetId="1">#REF!</definedName>
    <definedName name="auxlqtp" localSheetId="8">#REF!</definedName>
    <definedName name="auxlqtp" localSheetId="7">#REF!</definedName>
    <definedName name="auxlqtp" localSheetId="10">#REF!</definedName>
    <definedName name="auxlqtp" localSheetId="9">#REF!</definedName>
    <definedName name="auxlqtp" localSheetId="11">#REF!</definedName>
    <definedName name="auxlqtp" localSheetId="6">#REF!</definedName>
    <definedName name="auxlqtp" localSheetId="2">#REF!</definedName>
    <definedName name="auxlqtp" localSheetId="3">#REF!</definedName>
    <definedName name="auxlqtp" localSheetId="0">#REF!</definedName>
    <definedName name="auxlqtp">#REF!</definedName>
    <definedName name="auxngtp" localSheetId="1">#REF!</definedName>
    <definedName name="auxngtp" localSheetId="8">#REF!</definedName>
    <definedName name="auxngtp" localSheetId="7">#REF!</definedName>
    <definedName name="auxngtp" localSheetId="10">#REF!</definedName>
    <definedName name="auxngtp" localSheetId="9">#REF!</definedName>
    <definedName name="auxngtp" localSheetId="11">#REF!</definedName>
    <definedName name="auxngtp" localSheetId="6">#REF!</definedName>
    <definedName name="auxngtp" localSheetId="2">#REF!</definedName>
    <definedName name="auxngtp" localSheetId="3">#REF!</definedName>
    <definedName name="auxngtp" localSheetId="0">#REF!</definedName>
    <definedName name="auxngtp">#REF!</definedName>
    <definedName name="auxscr" localSheetId="1">#REF!</definedName>
    <definedName name="auxscr" localSheetId="8">#REF!</definedName>
    <definedName name="auxscr" localSheetId="7">#REF!</definedName>
    <definedName name="auxscr" localSheetId="10">#REF!</definedName>
    <definedName name="auxscr" localSheetId="9">#REF!</definedName>
    <definedName name="auxscr" localSheetId="11">#REF!</definedName>
    <definedName name="auxscr" localSheetId="6">#REF!</definedName>
    <definedName name="auxscr" localSheetId="2">#REF!</definedName>
    <definedName name="auxscr" localSheetId="3">#REF!</definedName>
    <definedName name="auxscr" localSheetId="0">#REF!</definedName>
    <definedName name="auxscr">#REF!</definedName>
    <definedName name="b" hidden="1">'[8]Exhaust Flow Comparison'!$B$166:$B$168</definedName>
    <definedName name="Bellows" localSheetId="1">#REF!</definedName>
    <definedName name="Bellows" localSheetId="8">#REF!</definedName>
    <definedName name="Bellows" localSheetId="7">#REF!</definedName>
    <definedName name="Bellows" localSheetId="10">#REF!</definedName>
    <definedName name="Bellows" localSheetId="9">#REF!</definedName>
    <definedName name="Bellows" localSheetId="11">#REF!</definedName>
    <definedName name="Bellows" localSheetId="6">#REF!</definedName>
    <definedName name="Bellows" localSheetId="2">#REF!</definedName>
    <definedName name="Bellows" localSheetId="3">#REF!</definedName>
    <definedName name="Bellows" localSheetId="0">#REF!</definedName>
    <definedName name="Bellows">#REF!</definedName>
    <definedName name="Boolean">[9]TemplateSelectLists!$A$2:$A$3</definedName>
    <definedName name="BuiltIn_AutoFilter___1" localSheetId="1">#REF!</definedName>
    <definedName name="BuiltIn_AutoFilter___1" localSheetId="8">#REF!</definedName>
    <definedName name="BuiltIn_AutoFilter___1" localSheetId="7">#REF!</definedName>
    <definedName name="BuiltIn_AutoFilter___1" localSheetId="10">#REF!</definedName>
    <definedName name="BuiltIn_AutoFilter___1" localSheetId="9">#REF!</definedName>
    <definedName name="BuiltIn_AutoFilter___1" localSheetId="11">#REF!</definedName>
    <definedName name="BuiltIn_AutoFilter___1" localSheetId="6">#REF!</definedName>
    <definedName name="BuiltIn_AutoFilter___1" localSheetId="2">#REF!</definedName>
    <definedName name="BuiltIn_AutoFilter___1" localSheetId="3">#REF!</definedName>
    <definedName name="BuiltIn_AutoFilter___1" localSheetId="0">#REF!</definedName>
    <definedName name="BuiltIn_AutoFilter___1">#REF!</definedName>
    <definedName name="butterfly" localSheetId="1">#REF!</definedName>
    <definedName name="butterfly" localSheetId="8">#REF!</definedName>
    <definedName name="butterfly" localSheetId="7">#REF!</definedName>
    <definedName name="butterfly" localSheetId="10">#REF!</definedName>
    <definedName name="butterfly" localSheetId="9">#REF!</definedName>
    <definedName name="butterfly" localSheetId="11">#REF!</definedName>
    <definedName name="butterfly" localSheetId="6">#REF!</definedName>
    <definedName name="butterfly" localSheetId="2">#REF!</definedName>
    <definedName name="butterfly" localSheetId="3">#REF!</definedName>
    <definedName name="butterfly" localSheetId="0">#REF!</definedName>
    <definedName name="butterfly">#REF!</definedName>
    <definedName name="By_Reviewed0" localSheetId="1">#REF!</definedName>
    <definedName name="By_Reviewed0" localSheetId="8">#REF!</definedName>
    <definedName name="By_Reviewed0" localSheetId="7">#REF!</definedName>
    <definedName name="By_Reviewed0" localSheetId="10">#REF!</definedName>
    <definedName name="By_Reviewed0" localSheetId="9">#REF!</definedName>
    <definedName name="By_Reviewed0" localSheetId="11">#REF!</definedName>
    <definedName name="By_Reviewed0" localSheetId="6">#REF!</definedName>
    <definedName name="By_Reviewed0" localSheetId="2">#REF!</definedName>
    <definedName name="By_Reviewed0" localSheetId="3">#REF!</definedName>
    <definedName name="By_Reviewed0" localSheetId="0">#REF!</definedName>
    <definedName name="By_Reviewed0">#REF!</definedName>
    <definedName name="By_Reviewed1" localSheetId="1">#REF!</definedName>
    <definedName name="By_Reviewed1" localSheetId="8">#REF!</definedName>
    <definedName name="By_Reviewed1" localSheetId="7">#REF!</definedName>
    <definedName name="By_Reviewed1" localSheetId="10">#REF!</definedName>
    <definedName name="By_Reviewed1" localSheetId="9">#REF!</definedName>
    <definedName name="By_Reviewed1" localSheetId="11">#REF!</definedName>
    <definedName name="By_Reviewed1" localSheetId="6">#REF!</definedName>
    <definedName name="By_Reviewed1" localSheetId="2">#REF!</definedName>
    <definedName name="By_Reviewed1" localSheetId="3">#REF!</definedName>
    <definedName name="By_Reviewed1" localSheetId="0">#REF!</definedName>
    <definedName name="By_Reviewed1">#REF!</definedName>
    <definedName name="By_Reviewed2" localSheetId="1">#REF!</definedName>
    <definedName name="By_Reviewed2" localSheetId="8">#REF!</definedName>
    <definedName name="By_Reviewed2" localSheetId="7">#REF!</definedName>
    <definedName name="By_Reviewed2" localSheetId="10">#REF!</definedName>
    <definedName name="By_Reviewed2" localSheetId="9">#REF!</definedName>
    <definedName name="By_Reviewed2" localSheetId="11">#REF!</definedName>
    <definedName name="By_Reviewed2" localSheetId="6">#REF!</definedName>
    <definedName name="By_Reviewed2" localSheetId="2">#REF!</definedName>
    <definedName name="By_Reviewed2" localSheetId="3">#REF!</definedName>
    <definedName name="By_Reviewed2" localSheetId="0">#REF!</definedName>
    <definedName name="By_Reviewed2">#REF!</definedName>
    <definedName name="By_Reviewed3" localSheetId="1">#REF!</definedName>
    <definedName name="By_Reviewed3" localSheetId="8">#REF!</definedName>
    <definedName name="By_Reviewed3" localSheetId="7">#REF!</definedName>
    <definedName name="By_Reviewed3" localSheetId="10">#REF!</definedName>
    <definedName name="By_Reviewed3" localSheetId="9">#REF!</definedName>
    <definedName name="By_Reviewed3" localSheetId="11">#REF!</definedName>
    <definedName name="By_Reviewed3" localSheetId="6">#REF!</definedName>
    <definedName name="By_Reviewed3" localSheetId="2">#REF!</definedName>
    <definedName name="By_Reviewed3" localSheetId="3">#REF!</definedName>
    <definedName name="By_Reviewed3" localSheetId="0">#REF!</definedName>
    <definedName name="By_Reviewed3">#REF!</definedName>
    <definedName name="By_Reviewed4" localSheetId="1">#REF!</definedName>
    <definedName name="By_Reviewed4" localSheetId="8">#REF!</definedName>
    <definedName name="By_Reviewed4" localSheetId="7">#REF!</definedName>
    <definedName name="By_Reviewed4" localSheetId="10">#REF!</definedName>
    <definedName name="By_Reviewed4" localSheetId="9">#REF!</definedName>
    <definedName name="By_Reviewed4" localSheetId="11">#REF!</definedName>
    <definedName name="By_Reviewed4" localSheetId="6">#REF!</definedName>
    <definedName name="By_Reviewed4" localSheetId="2">#REF!</definedName>
    <definedName name="By_Reviewed4" localSheetId="3">#REF!</definedName>
    <definedName name="By_Reviewed4" localSheetId="0">#REF!</definedName>
    <definedName name="By_Reviewed4">#REF!</definedName>
    <definedName name="By_Reviewed5" localSheetId="1">#REF!</definedName>
    <definedName name="By_Reviewed5" localSheetId="8">#REF!</definedName>
    <definedName name="By_Reviewed5" localSheetId="7">#REF!</definedName>
    <definedName name="By_Reviewed5" localSheetId="10">#REF!</definedName>
    <definedName name="By_Reviewed5" localSheetId="9">#REF!</definedName>
    <definedName name="By_Reviewed5" localSheetId="11">#REF!</definedName>
    <definedName name="By_Reviewed5" localSheetId="6">#REF!</definedName>
    <definedName name="By_Reviewed5" localSheetId="2">#REF!</definedName>
    <definedName name="By_Reviewed5" localSheetId="3">#REF!</definedName>
    <definedName name="By_Reviewed5" localSheetId="0">#REF!</definedName>
    <definedName name="By_Reviewed5">#REF!</definedName>
    <definedName name="By_Reviewed6" localSheetId="1">#REF!</definedName>
    <definedName name="By_Reviewed6" localSheetId="8">#REF!</definedName>
    <definedName name="By_Reviewed6" localSheetId="7">#REF!</definedName>
    <definedName name="By_Reviewed6" localSheetId="10">#REF!</definedName>
    <definedName name="By_Reviewed6" localSheetId="9">#REF!</definedName>
    <definedName name="By_Reviewed6" localSheetId="11">#REF!</definedName>
    <definedName name="By_Reviewed6" localSheetId="6">#REF!</definedName>
    <definedName name="By_Reviewed6" localSheetId="2">#REF!</definedName>
    <definedName name="By_Reviewed6" localSheetId="3">#REF!</definedName>
    <definedName name="By_Reviewed6" localSheetId="0">#REF!</definedName>
    <definedName name="By_Reviewed6">#REF!</definedName>
    <definedName name="CA" localSheetId="1">#REF!</definedName>
    <definedName name="CA" localSheetId="8">#REF!</definedName>
    <definedName name="CA" localSheetId="7">#REF!</definedName>
    <definedName name="CA" localSheetId="10">#REF!</definedName>
    <definedName name="CA" localSheetId="9">#REF!</definedName>
    <definedName name="CA" localSheetId="11">#REF!</definedName>
    <definedName name="CA" localSheetId="6">#REF!</definedName>
    <definedName name="CA" localSheetId="2">#REF!</definedName>
    <definedName name="CA" localSheetId="3">#REF!</definedName>
    <definedName name="CA" localSheetId="0">#REF!</definedName>
    <definedName name="CA">#REF!</definedName>
    <definedName name="chilleraux" localSheetId="1">#REF!</definedName>
    <definedName name="chilleraux" localSheetId="8">#REF!</definedName>
    <definedName name="chilleraux" localSheetId="7">#REF!</definedName>
    <definedName name="chilleraux" localSheetId="10">#REF!</definedName>
    <definedName name="chilleraux" localSheetId="9">#REF!</definedName>
    <definedName name="chilleraux" localSheetId="11">#REF!</definedName>
    <definedName name="chilleraux" localSheetId="6">#REF!</definedName>
    <definedName name="chilleraux" localSheetId="2">#REF!</definedName>
    <definedName name="chilleraux" localSheetId="3">#REF!</definedName>
    <definedName name="chilleraux" localSheetId="0">#REF!</definedName>
    <definedName name="chilleraux">#REF!</definedName>
    <definedName name="Client" localSheetId="1">#REF!</definedName>
    <definedName name="Client" localSheetId="8">#REF!</definedName>
    <definedName name="Client" localSheetId="7">#REF!</definedName>
    <definedName name="Client" localSheetId="10">#REF!</definedName>
    <definedName name="Client" localSheetId="9">#REF!</definedName>
    <definedName name="Client" localSheetId="11">#REF!</definedName>
    <definedName name="Client" localSheetId="6">#REF!</definedName>
    <definedName name="Client" localSheetId="2">#REF!</definedName>
    <definedName name="Client" localSheetId="3">#REF!</definedName>
    <definedName name="Client" localSheetId="0">#REF!</definedName>
    <definedName name="Client">#REF!</definedName>
    <definedName name="coconvppm" localSheetId="1">#REF!</definedName>
    <definedName name="coconvppm" localSheetId="8">#REF!</definedName>
    <definedName name="coconvppm" localSheetId="7">#REF!</definedName>
    <definedName name="coconvppm" localSheetId="10">#REF!</definedName>
    <definedName name="coconvppm" localSheetId="9">#REF!</definedName>
    <definedName name="coconvppm" localSheetId="11">#REF!</definedName>
    <definedName name="coconvppm" localSheetId="6">#REF!</definedName>
    <definedName name="coconvppm" localSheetId="2">#REF!</definedName>
    <definedName name="coconvppm" localSheetId="3">#REF!</definedName>
    <definedName name="coconvppm" localSheetId="0">#REF!</definedName>
    <definedName name="coconvppm">#REF!</definedName>
    <definedName name="COEF">'[10]Comply Conditions'!$DB$71:$DN$83</definedName>
    <definedName name="COEmis">'[10]Comply Conditions'!$DA$14:$DM$46</definedName>
    <definedName name="Column1">[9]SelectList!$B$1:$CF$1</definedName>
    <definedName name="Column10">[9]SelectList!$B$10:$N$10</definedName>
    <definedName name="Column11">[9]SelectList!$B$11:$Q$11</definedName>
    <definedName name="Column6">[9]SelectList!$B$6:$AP$6</definedName>
    <definedName name="Column8">[9]SelectList!$B$8:$K$8</definedName>
    <definedName name="Composite" localSheetId="1">#REF!</definedName>
    <definedName name="Composite" localSheetId="8">#REF!</definedName>
    <definedName name="Composite" localSheetId="7">#REF!</definedName>
    <definedName name="Composite" localSheetId="10">#REF!</definedName>
    <definedName name="Composite" localSheetId="9">#REF!</definedName>
    <definedName name="Composite" localSheetId="11">#REF!</definedName>
    <definedName name="Composite" localSheetId="6">#REF!</definedName>
    <definedName name="Composite" localSheetId="2">#REF!</definedName>
    <definedName name="Composite" localSheetId="3">#REF!</definedName>
    <definedName name="Composite" localSheetId="0">#REF!</definedName>
    <definedName name="Composite">#REF!</definedName>
    <definedName name="cond" localSheetId="1">'[11]Corrib Haz'!#REF!</definedName>
    <definedName name="cond" localSheetId="8">'[11]Corrib Haz'!#REF!</definedName>
    <definedName name="cond" localSheetId="7">'[11]Corrib Haz'!#REF!</definedName>
    <definedName name="cond" localSheetId="10">'[11]Corrib Haz'!#REF!</definedName>
    <definedName name="cond" localSheetId="9">'[11]Corrib Haz'!#REF!</definedName>
    <definedName name="cond" localSheetId="11">'[11]Corrib Haz'!#REF!</definedName>
    <definedName name="cond" localSheetId="6">'[11]Corrib Haz'!#REF!</definedName>
    <definedName name="cond" localSheetId="2">'[11]Corrib Haz'!#REF!</definedName>
    <definedName name="cond" localSheetId="3">'[11]Corrib Haz'!#REF!</definedName>
    <definedName name="cond" localSheetId="0">'[11]Corrib Haz'!#REF!</definedName>
    <definedName name="cond">'[11]Corrib Haz'!#REF!</definedName>
    <definedName name="CONTRACTION" localSheetId="1">#REF!</definedName>
    <definedName name="CONTRACTION" localSheetId="8">#REF!</definedName>
    <definedName name="CONTRACTION" localSheetId="7">#REF!</definedName>
    <definedName name="CONTRACTION" localSheetId="10">#REF!</definedName>
    <definedName name="CONTRACTION" localSheetId="9">#REF!</definedName>
    <definedName name="CONTRACTION" localSheetId="11">#REF!</definedName>
    <definedName name="CONTRACTION" localSheetId="6">#REF!</definedName>
    <definedName name="CONTRACTION" localSheetId="2">#REF!</definedName>
    <definedName name="CONTRACTION" localSheetId="3">#REF!</definedName>
    <definedName name="CONTRACTION" localSheetId="0">#REF!</definedName>
    <definedName name="CONTRACTION">#REF!</definedName>
    <definedName name="corrosia" localSheetId="1">#REF!</definedName>
    <definedName name="corrosia" localSheetId="8">#REF!</definedName>
    <definedName name="corrosia" localSheetId="7">#REF!</definedName>
    <definedName name="corrosia" localSheetId="10">#REF!</definedName>
    <definedName name="corrosia" localSheetId="9">#REF!</definedName>
    <definedName name="corrosia" localSheetId="11">#REF!</definedName>
    <definedName name="corrosia" localSheetId="6">#REF!</definedName>
    <definedName name="corrosia" localSheetId="2">#REF!</definedName>
    <definedName name="corrosia" localSheetId="3">#REF!</definedName>
    <definedName name="corrosia" localSheetId="0">#REF!</definedName>
    <definedName name="corrosia">#REF!</definedName>
    <definedName name="COVER" localSheetId="1">#REF!</definedName>
    <definedName name="COVER" localSheetId="8">#REF!</definedName>
    <definedName name="COVER" localSheetId="7">#REF!</definedName>
    <definedName name="COVER" localSheetId="10">#REF!</definedName>
    <definedName name="COVER" localSheetId="9">#REF!</definedName>
    <definedName name="COVER" localSheetId="11">#REF!</definedName>
    <definedName name="COVER" localSheetId="6">#REF!</definedName>
    <definedName name="COVER" localSheetId="2">#REF!</definedName>
    <definedName name="COVER" localSheetId="3">#REF!</definedName>
    <definedName name="COVER" localSheetId="0">#REF!</definedName>
    <definedName name="COVER">#REF!</definedName>
    <definedName name="criticap" localSheetId="1">#REF!</definedName>
    <definedName name="criticap" localSheetId="8">#REF!</definedName>
    <definedName name="criticap" localSheetId="7">#REF!</definedName>
    <definedName name="criticap" localSheetId="10">#REF!</definedName>
    <definedName name="criticap" localSheetId="9">#REF!</definedName>
    <definedName name="criticap" localSheetId="11">#REF!</definedName>
    <definedName name="criticap" localSheetId="6">#REF!</definedName>
    <definedName name="criticap" localSheetId="2">#REF!</definedName>
    <definedName name="criticap" localSheetId="3">#REF!</definedName>
    <definedName name="criticap" localSheetId="0">#REF!</definedName>
    <definedName name="criticap">#REF!</definedName>
    <definedName name="criticat" localSheetId="1">#REF!</definedName>
    <definedName name="criticat" localSheetId="8">#REF!</definedName>
    <definedName name="criticat" localSheetId="7">#REF!</definedName>
    <definedName name="criticat" localSheetId="10">#REF!</definedName>
    <definedName name="criticat" localSheetId="9">#REF!</definedName>
    <definedName name="criticat" localSheetId="11">#REF!</definedName>
    <definedName name="criticat" localSheetId="6">#REF!</definedName>
    <definedName name="criticat" localSheetId="2">#REF!</definedName>
    <definedName name="criticat" localSheetId="3">#REF!</definedName>
    <definedName name="criticat" localSheetId="0">#REF!</definedName>
    <definedName name="criticat">#REF!</definedName>
    <definedName name="CT_Cover" localSheetId="1">#REF!</definedName>
    <definedName name="CT_Cover" localSheetId="8">#REF!</definedName>
    <definedName name="CT_Cover" localSheetId="7">#REF!</definedName>
    <definedName name="CT_Cover" localSheetId="10">#REF!</definedName>
    <definedName name="CT_Cover" localSheetId="9">#REF!</definedName>
    <definedName name="CT_Cover" localSheetId="11">#REF!</definedName>
    <definedName name="CT_Cover" localSheetId="6">#REF!</definedName>
    <definedName name="CT_Cover" localSheetId="2">#REF!</definedName>
    <definedName name="CT_Cover" localSheetId="3">#REF!</definedName>
    <definedName name="CT_Cover" localSheetId="0">#REF!</definedName>
    <definedName name="CT_Cover">#REF!</definedName>
    <definedName name="CURVE" localSheetId="1">#REF!</definedName>
    <definedName name="CURVE" localSheetId="8">#REF!</definedName>
    <definedName name="CURVE" localSheetId="7">#REF!</definedName>
    <definedName name="CURVE" localSheetId="10">#REF!</definedName>
    <definedName name="CURVE" localSheetId="9">#REF!</definedName>
    <definedName name="CURVE" localSheetId="11">#REF!</definedName>
    <definedName name="CURVE" localSheetId="6">#REF!</definedName>
    <definedName name="CURVE" localSheetId="2">#REF!</definedName>
    <definedName name="CURVE" localSheetId="3">#REF!</definedName>
    <definedName name="CURVE" localSheetId="0">#REF!</definedName>
    <definedName name="CURVE">#REF!</definedName>
    <definedName name="CURVE2" localSheetId="1">#REF!</definedName>
    <definedName name="CURVE2" localSheetId="8">#REF!</definedName>
    <definedName name="CURVE2" localSheetId="7">#REF!</definedName>
    <definedName name="CURVE2" localSheetId="10">#REF!</definedName>
    <definedName name="CURVE2" localSheetId="9">#REF!</definedName>
    <definedName name="CURVE2" localSheetId="11">#REF!</definedName>
    <definedName name="CURVE2" localSheetId="6">#REF!</definedName>
    <definedName name="CURVE2" localSheetId="2">#REF!</definedName>
    <definedName name="CURVE2" localSheetId="3">#REF!</definedName>
    <definedName name="CURVE2" localSheetId="0">#REF!</definedName>
    <definedName name="CURVE2">#REF!</definedName>
    <definedName name="CV" localSheetId="1">#REF!</definedName>
    <definedName name="CV" localSheetId="8">#REF!</definedName>
    <definedName name="CV" localSheetId="7">#REF!</definedName>
    <definedName name="CV" localSheetId="10">#REF!</definedName>
    <definedName name="CV" localSheetId="9">#REF!</definedName>
    <definedName name="CV" localSheetId="11">#REF!</definedName>
    <definedName name="CV" localSheetId="6">#REF!</definedName>
    <definedName name="CV" localSheetId="2">#REF!</definedName>
    <definedName name="CV" localSheetId="3">#REF!</definedName>
    <definedName name="CV" localSheetId="0">#REF!</definedName>
    <definedName name="CV">#REF!</definedName>
    <definedName name="DailyFuel">'[10]Comply Conditions'!$R$15:$AE$46</definedName>
    <definedName name="_xlnm.Database" localSheetId="1">#REF!</definedName>
    <definedName name="_xlnm.Database" localSheetId="13">#REF!</definedName>
    <definedName name="_xlnm.Database" localSheetId="8">#REF!</definedName>
    <definedName name="_xlnm.Database" localSheetId="7">#REF!</definedName>
    <definedName name="_xlnm.Database" localSheetId="10">#REF!</definedName>
    <definedName name="_xlnm.Database" localSheetId="9">#REF!</definedName>
    <definedName name="_xlnm.Database" localSheetId="11">#REF!</definedName>
    <definedName name="_xlnm.Database" localSheetId="6">#REF!</definedName>
    <definedName name="_xlnm.Database" localSheetId="2">#REF!</definedName>
    <definedName name="_xlnm.Database" localSheetId="3">#REF!</definedName>
    <definedName name="_xlnm.Database" localSheetId="0">#REF!</definedName>
    <definedName name="_xlnm.Database">#REF!</definedName>
    <definedName name="datarange1" localSheetId="1">#REF!</definedName>
    <definedName name="datarange1" localSheetId="8">#REF!</definedName>
    <definedName name="datarange1" localSheetId="7">#REF!</definedName>
    <definedName name="datarange1" localSheetId="10">#REF!</definedName>
    <definedName name="datarange1" localSheetId="9">#REF!</definedName>
    <definedName name="datarange1" localSheetId="11">#REF!</definedName>
    <definedName name="datarange1" localSheetId="6">#REF!</definedName>
    <definedName name="datarange1" localSheetId="2">#REF!</definedName>
    <definedName name="datarange1" localSheetId="3">#REF!</definedName>
    <definedName name="datarange1" localSheetId="0">#REF!</definedName>
    <definedName name="datarange1">#REF!</definedName>
    <definedName name="datarange2" localSheetId="1">#REF!</definedName>
    <definedName name="datarange2" localSheetId="8">#REF!</definedName>
    <definedName name="datarange2" localSheetId="7">#REF!</definedName>
    <definedName name="datarange2" localSheetId="10">#REF!</definedName>
    <definedName name="datarange2" localSheetId="9">#REF!</definedName>
    <definedName name="datarange2" localSheetId="11">#REF!</definedName>
    <definedName name="datarange2" localSheetId="6">#REF!</definedName>
    <definedName name="datarange2" localSheetId="2">#REF!</definedName>
    <definedName name="datarange2" localSheetId="3">#REF!</definedName>
    <definedName name="datarange2" localSheetId="0">#REF!</definedName>
    <definedName name="datarange2">#REF!</definedName>
    <definedName name="Date0" localSheetId="1">#REF!</definedName>
    <definedName name="Date0" localSheetId="8">#REF!</definedName>
    <definedName name="Date0" localSheetId="7">#REF!</definedName>
    <definedName name="Date0" localSheetId="10">#REF!</definedName>
    <definedName name="Date0" localSheetId="9">#REF!</definedName>
    <definedName name="Date0" localSheetId="11">#REF!</definedName>
    <definedName name="Date0" localSheetId="6">#REF!</definedName>
    <definedName name="Date0" localSheetId="2">#REF!</definedName>
    <definedName name="Date0" localSheetId="3">#REF!</definedName>
    <definedName name="Date0" localSheetId="0">#REF!</definedName>
    <definedName name="Date0">#REF!</definedName>
    <definedName name="Date1" localSheetId="1">#REF!</definedName>
    <definedName name="Date1" localSheetId="8">#REF!</definedName>
    <definedName name="Date1" localSheetId="7">#REF!</definedName>
    <definedName name="Date1" localSheetId="10">#REF!</definedName>
    <definedName name="Date1" localSheetId="9">#REF!</definedName>
    <definedName name="Date1" localSheetId="11">#REF!</definedName>
    <definedName name="Date1" localSheetId="6">#REF!</definedName>
    <definedName name="Date1" localSheetId="2">#REF!</definedName>
    <definedName name="Date1" localSheetId="3">#REF!</definedName>
    <definedName name="Date1" localSheetId="0">#REF!</definedName>
    <definedName name="Date1">#REF!</definedName>
    <definedName name="Date2" localSheetId="1">#REF!</definedName>
    <definedName name="Date2" localSheetId="8">#REF!</definedName>
    <definedName name="Date2" localSheetId="7">#REF!</definedName>
    <definedName name="Date2" localSheetId="10">#REF!</definedName>
    <definedName name="Date2" localSheetId="9">#REF!</definedName>
    <definedName name="Date2" localSheetId="11">#REF!</definedName>
    <definedName name="Date2" localSheetId="6">#REF!</definedName>
    <definedName name="Date2" localSheetId="2">#REF!</definedName>
    <definedName name="Date2" localSheetId="3">#REF!</definedName>
    <definedName name="Date2" localSheetId="0">#REF!</definedName>
    <definedName name="Date2">#REF!</definedName>
    <definedName name="Date3" localSheetId="1">#REF!</definedName>
    <definedName name="Date3" localSheetId="8">#REF!</definedName>
    <definedName name="Date3" localSheetId="7">#REF!</definedName>
    <definedName name="Date3" localSheetId="10">#REF!</definedName>
    <definedName name="Date3" localSheetId="9">#REF!</definedName>
    <definedName name="Date3" localSheetId="11">#REF!</definedName>
    <definedName name="Date3" localSheetId="6">#REF!</definedName>
    <definedName name="Date3" localSheetId="2">#REF!</definedName>
    <definedName name="Date3" localSheetId="3">#REF!</definedName>
    <definedName name="Date3" localSheetId="0">#REF!</definedName>
    <definedName name="Date3">#REF!</definedName>
    <definedName name="Date4" localSheetId="1">#REF!</definedName>
    <definedName name="Date4" localSheetId="8">#REF!</definedName>
    <definedName name="Date4" localSheetId="7">#REF!</definedName>
    <definedName name="Date4" localSheetId="10">#REF!</definedName>
    <definedName name="Date4" localSheetId="9">#REF!</definedName>
    <definedName name="Date4" localSheetId="11">#REF!</definedName>
    <definedName name="Date4" localSheetId="6">#REF!</definedName>
    <definedName name="Date4" localSheetId="2">#REF!</definedName>
    <definedName name="Date4" localSheetId="3">#REF!</definedName>
    <definedName name="Date4" localSheetId="0">#REF!</definedName>
    <definedName name="Date4">#REF!</definedName>
    <definedName name="Date5" localSheetId="1">#REF!</definedName>
    <definedName name="Date5" localSheetId="8">#REF!</definedName>
    <definedName name="Date5" localSheetId="7">#REF!</definedName>
    <definedName name="Date5" localSheetId="10">#REF!</definedName>
    <definedName name="Date5" localSheetId="9">#REF!</definedName>
    <definedName name="Date5" localSheetId="11">#REF!</definedName>
    <definedName name="Date5" localSheetId="6">#REF!</definedName>
    <definedName name="Date5" localSheetId="2">#REF!</definedName>
    <definedName name="Date5" localSheetId="3">#REF!</definedName>
    <definedName name="Date5" localSheetId="0">#REF!</definedName>
    <definedName name="Date5">#REF!</definedName>
    <definedName name="Date6" localSheetId="1">#REF!</definedName>
    <definedName name="Date6" localSheetId="8">#REF!</definedName>
    <definedName name="Date6" localSheetId="7">#REF!</definedName>
    <definedName name="Date6" localSheetId="10">#REF!</definedName>
    <definedName name="Date6" localSheetId="9">#REF!</definedName>
    <definedName name="Date6" localSheetId="11">#REF!</definedName>
    <definedName name="Date6" localSheetId="6">#REF!</definedName>
    <definedName name="Date6" localSheetId="2">#REF!</definedName>
    <definedName name="Date6" localSheetId="3">#REF!</definedName>
    <definedName name="Date6" localSheetId="0">#REF!</definedName>
    <definedName name="Date6">#REF!</definedName>
    <definedName name="DB" localSheetId="1">#REF!</definedName>
    <definedName name="DB" localSheetId="8">#REF!</definedName>
    <definedName name="DB" localSheetId="7">#REF!</definedName>
    <definedName name="DB" localSheetId="10">#REF!</definedName>
    <definedName name="DB" localSheetId="9">#REF!</definedName>
    <definedName name="DB" localSheetId="11">#REF!</definedName>
    <definedName name="DB" localSheetId="6">#REF!</definedName>
    <definedName name="DB" localSheetId="2">#REF!</definedName>
    <definedName name="DB" localSheetId="3">#REF!</definedName>
    <definedName name="DB" localSheetId="0">#REF!</definedName>
    <definedName name="DB">#REF!</definedName>
    <definedName name="DENS" localSheetId="1">#REF!</definedName>
    <definedName name="DENS" localSheetId="8">#REF!</definedName>
    <definedName name="DENS" localSheetId="7">#REF!</definedName>
    <definedName name="DENS" localSheetId="10">#REF!</definedName>
    <definedName name="DENS" localSheetId="9">#REF!</definedName>
    <definedName name="DENS" localSheetId="11">#REF!</definedName>
    <definedName name="DENS" localSheetId="6">#REF!</definedName>
    <definedName name="DENS" localSheetId="2">#REF!</definedName>
    <definedName name="DENS" localSheetId="3">#REF!</definedName>
    <definedName name="DENS" localSheetId="0">#REF!</definedName>
    <definedName name="DENS">#REF!</definedName>
    <definedName name="density" localSheetId="1">#REF!</definedName>
    <definedName name="density" localSheetId="8">#REF!</definedName>
    <definedName name="density" localSheetId="7">#REF!</definedName>
    <definedName name="density" localSheetId="10">#REF!</definedName>
    <definedName name="density" localSheetId="9">#REF!</definedName>
    <definedName name="density" localSheetId="11">#REF!</definedName>
    <definedName name="density" localSheetId="6">#REF!</definedName>
    <definedName name="density" localSheetId="2">#REF!</definedName>
    <definedName name="density" localSheetId="3">#REF!</definedName>
    <definedName name="density" localSheetId="0">#REF!</definedName>
    <definedName name="density">#REF!</definedName>
    <definedName name="Density_factor" localSheetId="1">#REF!</definedName>
    <definedName name="Density_factor" localSheetId="8">#REF!</definedName>
    <definedName name="Density_factor" localSheetId="7">#REF!</definedName>
    <definedName name="Density_factor" localSheetId="10">#REF!</definedName>
    <definedName name="Density_factor" localSheetId="9">#REF!</definedName>
    <definedName name="Density_factor" localSheetId="11">#REF!</definedName>
    <definedName name="Density_factor" localSheetId="6">#REF!</definedName>
    <definedName name="Density_factor" localSheetId="2">#REF!</definedName>
    <definedName name="Density_factor" localSheetId="3">#REF!</definedName>
    <definedName name="Density_factor" localSheetId="0">#REF!</definedName>
    <definedName name="Density_factor">#REF!</definedName>
    <definedName name="DensityUOM.10" localSheetId="1">#REF!</definedName>
    <definedName name="DensityUOM.10" localSheetId="8">#REF!</definedName>
    <definedName name="DensityUOM.10" localSheetId="7">#REF!</definedName>
    <definedName name="DensityUOM.10" localSheetId="10">#REF!</definedName>
    <definedName name="DensityUOM.10" localSheetId="9">#REF!</definedName>
    <definedName name="DensityUOM.10" localSheetId="11">#REF!</definedName>
    <definedName name="DensityUOM.10" localSheetId="6">#REF!</definedName>
    <definedName name="DensityUOM.10" localSheetId="2">#REF!</definedName>
    <definedName name="DensityUOM.10" localSheetId="3">#REF!</definedName>
    <definedName name="DensityUOM.10" localSheetId="0">#REF!</definedName>
    <definedName name="DensityUOM.10">#REF!</definedName>
    <definedName name="DensityUOM.11" localSheetId="1">#REF!</definedName>
    <definedName name="DensityUOM.11" localSheetId="8">#REF!</definedName>
    <definedName name="DensityUOM.11" localSheetId="7">#REF!</definedName>
    <definedName name="DensityUOM.11" localSheetId="10">#REF!</definedName>
    <definedName name="DensityUOM.11" localSheetId="9">#REF!</definedName>
    <definedName name="DensityUOM.11" localSheetId="11">#REF!</definedName>
    <definedName name="DensityUOM.11" localSheetId="6">#REF!</definedName>
    <definedName name="DensityUOM.11" localSheetId="2">#REF!</definedName>
    <definedName name="DensityUOM.11" localSheetId="3">#REF!</definedName>
    <definedName name="DensityUOM.11" localSheetId="0">#REF!</definedName>
    <definedName name="DensityUOM.11">#REF!</definedName>
    <definedName name="DensityUOM.2" localSheetId="1">#REF!</definedName>
    <definedName name="DensityUOM.2" localSheetId="8">#REF!</definedName>
    <definedName name="DensityUOM.2" localSheetId="7">#REF!</definedName>
    <definedName name="DensityUOM.2" localSheetId="10">#REF!</definedName>
    <definedName name="DensityUOM.2" localSheetId="9">#REF!</definedName>
    <definedName name="DensityUOM.2" localSheetId="11">#REF!</definedName>
    <definedName name="DensityUOM.2" localSheetId="6">#REF!</definedName>
    <definedName name="DensityUOM.2" localSheetId="2">#REF!</definedName>
    <definedName name="DensityUOM.2" localSheetId="3">#REF!</definedName>
    <definedName name="DensityUOM.2" localSheetId="0">#REF!</definedName>
    <definedName name="DensityUOM.2">#REF!</definedName>
    <definedName name="DensityUOM.3" localSheetId="1">#REF!</definedName>
    <definedName name="DensityUOM.3" localSheetId="8">#REF!</definedName>
    <definedName name="DensityUOM.3" localSheetId="7">#REF!</definedName>
    <definedName name="DensityUOM.3" localSheetId="10">#REF!</definedName>
    <definedName name="DensityUOM.3" localSheetId="9">#REF!</definedName>
    <definedName name="DensityUOM.3" localSheetId="11">#REF!</definedName>
    <definedName name="DensityUOM.3" localSheetId="6">#REF!</definedName>
    <definedName name="DensityUOM.3" localSheetId="2">#REF!</definedName>
    <definedName name="DensityUOM.3" localSheetId="3">#REF!</definedName>
    <definedName name="DensityUOM.3" localSheetId="0">#REF!</definedName>
    <definedName name="DensityUOM.3">#REF!</definedName>
    <definedName name="DensityUOM.4" localSheetId="1">#REF!</definedName>
    <definedName name="DensityUOM.4" localSheetId="8">#REF!</definedName>
    <definedName name="DensityUOM.4" localSheetId="7">#REF!</definedName>
    <definedName name="DensityUOM.4" localSheetId="10">#REF!</definedName>
    <definedName name="DensityUOM.4" localSheetId="9">#REF!</definedName>
    <definedName name="DensityUOM.4" localSheetId="11">#REF!</definedName>
    <definedName name="DensityUOM.4" localSheetId="6">#REF!</definedName>
    <definedName name="DensityUOM.4" localSheetId="2">#REF!</definedName>
    <definedName name="DensityUOM.4" localSheetId="3">#REF!</definedName>
    <definedName name="DensityUOM.4" localSheetId="0">#REF!</definedName>
    <definedName name="DensityUOM.4">#REF!</definedName>
    <definedName name="DensityUOM.5" localSheetId="1">#REF!</definedName>
    <definedName name="DensityUOM.5" localSheetId="8">#REF!</definedName>
    <definedName name="DensityUOM.5" localSheetId="7">#REF!</definedName>
    <definedName name="DensityUOM.5" localSheetId="10">#REF!</definedName>
    <definedName name="DensityUOM.5" localSheetId="9">#REF!</definedName>
    <definedName name="DensityUOM.5" localSheetId="11">#REF!</definedName>
    <definedName name="DensityUOM.5" localSheetId="6">#REF!</definedName>
    <definedName name="DensityUOM.5" localSheetId="2">#REF!</definedName>
    <definedName name="DensityUOM.5" localSheetId="3">#REF!</definedName>
    <definedName name="DensityUOM.5" localSheetId="0">#REF!</definedName>
    <definedName name="DensityUOM.5">#REF!</definedName>
    <definedName name="DensityUOM.6" localSheetId="1">#REF!</definedName>
    <definedName name="DensityUOM.6" localSheetId="8">#REF!</definedName>
    <definedName name="DensityUOM.6" localSheetId="7">#REF!</definedName>
    <definedName name="DensityUOM.6" localSheetId="10">#REF!</definedName>
    <definedName name="DensityUOM.6" localSheetId="9">#REF!</definedName>
    <definedName name="DensityUOM.6" localSheetId="11">#REF!</definedName>
    <definedName name="DensityUOM.6" localSheetId="6">#REF!</definedName>
    <definedName name="DensityUOM.6" localSheetId="2">#REF!</definedName>
    <definedName name="DensityUOM.6" localSheetId="3">#REF!</definedName>
    <definedName name="DensityUOM.6" localSheetId="0">#REF!</definedName>
    <definedName name="DensityUOM.6">#REF!</definedName>
    <definedName name="DensityUOM.7" localSheetId="1">#REF!</definedName>
    <definedName name="DensityUOM.7" localSheetId="8">#REF!</definedName>
    <definedName name="DensityUOM.7" localSheetId="7">#REF!</definedName>
    <definedName name="DensityUOM.7" localSheetId="10">#REF!</definedName>
    <definedName name="DensityUOM.7" localSheetId="9">#REF!</definedName>
    <definedName name="DensityUOM.7" localSheetId="11">#REF!</definedName>
    <definedName name="DensityUOM.7" localSheetId="6">#REF!</definedName>
    <definedName name="DensityUOM.7" localSheetId="2">#REF!</definedName>
    <definedName name="DensityUOM.7" localSheetId="3">#REF!</definedName>
    <definedName name="DensityUOM.7" localSheetId="0">#REF!</definedName>
    <definedName name="DensityUOM.7">#REF!</definedName>
    <definedName name="DensityUOM.8" localSheetId="1">#REF!</definedName>
    <definedName name="DensityUOM.8" localSheetId="8">#REF!</definedName>
    <definedName name="DensityUOM.8" localSheetId="7">#REF!</definedName>
    <definedName name="DensityUOM.8" localSheetId="10">#REF!</definedName>
    <definedName name="DensityUOM.8" localSheetId="9">#REF!</definedName>
    <definedName name="DensityUOM.8" localSheetId="11">#REF!</definedName>
    <definedName name="DensityUOM.8" localSheetId="6">#REF!</definedName>
    <definedName name="DensityUOM.8" localSheetId="2">#REF!</definedName>
    <definedName name="DensityUOM.8" localSheetId="3">#REF!</definedName>
    <definedName name="DensityUOM.8" localSheetId="0">#REF!</definedName>
    <definedName name="DensityUOM.8">#REF!</definedName>
    <definedName name="DensityUOM.9" localSheetId="1">#REF!</definedName>
    <definedName name="DensityUOM.9" localSheetId="8">#REF!</definedName>
    <definedName name="DensityUOM.9" localSheetId="7">#REF!</definedName>
    <definedName name="DensityUOM.9" localSheetId="10">#REF!</definedName>
    <definedName name="DensityUOM.9" localSheetId="9">#REF!</definedName>
    <definedName name="DensityUOM.9" localSheetId="11">#REF!</definedName>
    <definedName name="DensityUOM.9" localSheetId="6">#REF!</definedName>
    <definedName name="DensityUOM.9" localSheetId="2">#REF!</definedName>
    <definedName name="DensityUOM.9" localSheetId="3">#REF!</definedName>
    <definedName name="DensityUOM.9" localSheetId="0">#REF!</definedName>
    <definedName name="DensityUOM.9">#REF!</definedName>
    <definedName name="disclaim" localSheetId="1">[12]!disclaim</definedName>
    <definedName name="disclaim" localSheetId="8">[12]!disclaim</definedName>
    <definedName name="disclaim" localSheetId="7">[12]!disclaim</definedName>
    <definedName name="disclaim" localSheetId="10">[12]!disclaim</definedName>
    <definedName name="disclaim" localSheetId="9">[12]!disclaim</definedName>
    <definedName name="disclaim" localSheetId="11">[12]!disclaim</definedName>
    <definedName name="disclaim" localSheetId="6">[12]!disclaim</definedName>
    <definedName name="disclaim" localSheetId="2">[12]!disclaim</definedName>
    <definedName name="disclaim" localSheetId="3">[12]!disclaim</definedName>
    <definedName name="disclaim" localSheetId="0">[12]!disclaim</definedName>
    <definedName name="disclaim">[12]!disclaim</definedName>
    <definedName name="Discount_Rate" localSheetId="1">#REF!</definedName>
    <definedName name="Discount_Rate" localSheetId="8">#REF!</definedName>
    <definedName name="Discount_Rate" localSheetId="7">#REF!</definedName>
    <definedName name="Discount_Rate" localSheetId="10">#REF!</definedName>
    <definedName name="Discount_Rate" localSheetId="9">#REF!</definedName>
    <definedName name="Discount_Rate" localSheetId="11">#REF!</definedName>
    <definedName name="Discount_Rate" localSheetId="6">#REF!</definedName>
    <definedName name="Discount_Rate" localSheetId="2">#REF!</definedName>
    <definedName name="Discount_Rate" localSheetId="3">#REF!</definedName>
    <definedName name="Discount_Rate" localSheetId="0">#REF!</definedName>
    <definedName name="Discount_Rate">#REF!</definedName>
    <definedName name="DocNo" localSheetId="1">#REF!</definedName>
    <definedName name="DocNo" localSheetId="8">#REF!</definedName>
    <definedName name="DocNo" localSheetId="7">#REF!</definedName>
    <definedName name="DocNo" localSheetId="10">#REF!</definedName>
    <definedName name="DocNo" localSheetId="9">#REF!</definedName>
    <definedName name="DocNo" localSheetId="11">#REF!</definedName>
    <definedName name="DocNo" localSheetId="6">#REF!</definedName>
    <definedName name="DocNo" localSheetId="2">#REF!</definedName>
    <definedName name="DocNo" localSheetId="3">#REF!</definedName>
    <definedName name="DocNo" localSheetId="0">#REF!</definedName>
    <definedName name="DocNo">#REF!</definedName>
    <definedName name="draft" localSheetId="1">#REF!</definedName>
    <definedName name="draft" localSheetId="8">#REF!</definedName>
    <definedName name="draft" localSheetId="7">#REF!</definedName>
    <definedName name="draft" localSheetId="10">#REF!</definedName>
    <definedName name="draft" localSheetId="9">#REF!</definedName>
    <definedName name="draft" localSheetId="11">#REF!</definedName>
    <definedName name="draft" localSheetId="6">#REF!</definedName>
    <definedName name="draft" localSheetId="2">#REF!</definedName>
    <definedName name="draft" localSheetId="3">#REF!</definedName>
    <definedName name="draft" localSheetId="0">#REF!</definedName>
    <definedName name="draft">#REF!</definedName>
    <definedName name="DSTEMP" localSheetId="1">#REF!</definedName>
    <definedName name="DSTEMP" localSheetId="8">#REF!</definedName>
    <definedName name="DSTEMP" localSheetId="7">#REF!</definedName>
    <definedName name="DSTEMP" localSheetId="10">#REF!</definedName>
    <definedName name="DSTEMP" localSheetId="9">#REF!</definedName>
    <definedName name="DSTEMP" localSheetId="11">#REF!</definedName>
    <definedName name="DSTEMP" localSheetId="6">#REF!</definedName>
    <definedName name="DSTEMP" localSheetId="2">#REF!</definedName>
    <definedName name="DSTEMP" localSheetId="3">#REF!</definedName>
    <definedName name="DSTEMP" localSheetId="0">#REF!</definedName>
    <definedName name="DSTEMP">#REF!</definedName>
    <definedName name="DSUNIT" localSheetId="1">#REF!</definedName>
    <definedName name="DSUNIT" localSheetId="8">#REF!</definedName>
    <definedName name="DSUNIT" localSheetId="7">#REF!</definedName>
    <definedName name="DSUNIT" localSheetId="10">#REF!</definedName>
    <definedName name="DSUNIT" localSheetId="9">#REF!</definedName>
    <definedName name="DSUNIT" localSheetId="11">#REF!</definedName>
    <definedName name="DSUNIT" localSheetId="6">#REF!</definedName>
    <definedName name="DSUNIT" localSheetId="2">#REF!</definedName>
    <definedName name="DSUNIT" localSheetId="3">#REF!</definedName>
    <definedName name="DSUNIT" localSheetId="0">#REF!</definedName>
    <definedName name="DSUNIT">#REF!</definedName>
    <definedName name="duty" localSheetId="1">#REF!</definedName>
    <definedName name="duty" localSheetId="8">#REF!</definedName>
    <definedName name="duty" localSheetId="7">#REF!</definedName>
    <definedName name="duty" localSheetId="10">#REF!</definedName>
    <definedName name="duty" localSheetId="9">#REF!</definedName>
    <definedName name="duty" localSheetId="11">#REF!</definedName>
    <definedName name="duty" localSheetId="6">#REF!</definedName>
    <definedName name="duty" localSheetId="2">#REF!</definedName>
    <definedName name="duty" localSheetId="3">#REF!</definedName>
    <definedName name="duty" localSheetId="0">#REF!</definedName>
    <definedName name="duty">#REF!</definedName>
    <definedName name="Duty1UOM.1" localSheetId="1">#REF!</definedName>
    <definedName name="Duty1UOM.1" localSheetId="8">#REF!</definedName>
    <definedName name="Duty1UOM.1" localSheetId="7">#REF!</definedName>
    <definedName name="Duty1UOM.1" localSheetId="10">#REF!</definedName>
    <definedName name="Duty1UOM.1" localSheetId="9">#REF!</definedName>
    <definedName name="Duty1UOM.1" localSheetId="11">#REF!</definedName>
    <definedName name="Duty1UOM.1" localSheetId="6">#REF!</definedName>
    <definedName name="Duty1UOM.1" localSheetId="2">#REF!</definedName>
    <definedName name="Duty1UOM.1" localSheetId="3">#REF!</definedName>
    <definedName name="Duty1UOM.1" localSheetId="0">#REF!</definedName>
    <definedName name="Duty1UOM.1">#REF!</definedName>
    <definedName name="Duty1UOM.2" localSheetId="1">#REF!</definedName>
    <definedName name="Duty1UOM.2" localSheetId="8">#REF!</definedName>
    <definedName name="Duty1UOM.2" localSheetId="7">#REF!</definedName>
    <definedName name="Duty1UOM.2" localSheetId="10">#REF!</definedName>
    <definedName name="Duty1UOM.2" localSheetId="9">#REF!</definedName>
    <definedName name="Duty1UOM.2" localSheetId="11">#REF!</definedName>
    <definedName name="Duty1UOM.2" localSheetId="6">#REF!</definedName>
    <definedName name="Duty1UOM.2" localSheetId="2">#REF!</definedName>
    <definedName name="Duty1UOM.2" localSheetId="3">#REF!</definedName>
    <definedName name="Duty1UOM.2" localSheetId="0">#REF!</definedName>
    <definedName name="Duty1UOM.2">#REF!</definedName>
    <definedName name="Duty1UOM.3" localSheetId="1">#REF!</definedName>
    <definedName name="Duty1UOM.3" localSheetId="8">#REF!</definedName>
    <definedName name="Duty1UOM.3" localSheetId="7">#REF!</definedName>
    <definedName name="Duty1UOM.3" localSheetId="10">#REF!</definedName>
    <definedName name="Duty1UOM.3" localSheetId="9">#REF!</definedName>
    <definedName name="Duty1UOM.3" localSheetId="11">#REF!</definedName>
    <definedName name="Duty1UOM.3" localSheetId="6">#REF!</definedName>
    <definedName name="Duty1UOM.3" localSheetId="2">#REF!</definedName>
    <definedName name="Duty1UOM.3" localSheetId="3">#REF!</definedName>
    <definedName name="Duty1UOM.3" localSheetId="0">#REF!</definedName>
    <definedName name="Duty1UOM.3">#REF!</definedName>
    <definedName name="Duty1UOM.4" localSheetId="1">#REF!</definedName>
    <definedName name="Duty1UOM.4" localSheetId="8">#REF!</definedName>
    <definedName name="Duty1UOM.4" localSheetId="7">#REF!</definedName>
    <definedName name="Duty1UOM.4" localSheetId="10">#REF!</definedName>
    <definedName name="Duty1UOM.4" localSheetId="9">#REF!</definedName>
    <definedName name="Duty1UOM.4" localSheetId="11">#REF!</definedName>
    <definedName name="Duty1UOM.4" localSheetId="6">#REF!</definedName>
    <definedName name="Duty1UOM.4" localSheetId="2">#REF!</definedName>
    <definedName name="Duty1UOM.4" localSheetId="3">#REF!</definedName>
    <definedName name="Duty1UOM.4" localSheetId="0">#REF!</definedName>
    <definedName name="Duty1UOM.4">#REF!</definedName>
    <definedName name="Duty1UOM.5" localSheetId="1">#REF!</definedName>
    <definedName name="Duty1UOM.5" localSheetId="8">#REF!</definedName>
    <definedName name="Duty1UOM.5" localSheetId="7">#REF!</definedName>
    <definedName name="Duty1UOM.5" localSheetId="10">#REF!</definedName>
    <definedName name="Duty1UOM.5" localSheetId="9">#REF!</definedName>
    <definedName name="Duty1UOM.5" localSheetId="11">#REF!</definedName>
    <definedName name="Duty1UOM.5" localSheetId="6">#REF!</definedName>
    <definedName name="Duty1UOM.5" localSheetId="2">#REF!</definedName>
    <definedName name="Duty1UOM.5" localSheetId="3">#REF!</definedName>
    <definedName name="Duty1UOM.5" localSheetId="0">#REF!</definedName>
    <definedName name="Duty1UOM.5">#REF!</definedName>
    <definedName name="eDIVD" localSheetId="1">'[13]HP Bonilla 1'!#REF!</definedName>
    <definedName name="eDIVD" localSheetId="8">'[13]HP Bonilla 1'!#REF!</definedName>
    <definedName name="eDIVD" localSheetId="7">'[13]HP Bonilla 1'!#REF!</definedName>
    <definedName name="eDIVD" localSheetId="10">'[13]HP Bonilla 1'!#REF!</definedName>
    <definedName name="eDIVD" localSheetId="9">'[13]HP Bonilla 1'!#REF!</definedName>
    <definedName name="eDIVD" localSheetId="11">'[13]HP Bonilla 1'!#REF!</definedName>
    <definedName name="eDIVD" localSheetId="6">'[13]HP Bonilla 1'!#REF!</definedName>
    <definedName name="eDIVD" localSheetId="2">'[13]HP Bonilla 1'!#REF!</definedName>
    <definedName name="eDIVD" localSheetId="3">'[13]HP Bonilla 1'!#REF!</definedName>
    <definedName name="eDIVD" localSheetId="0">'[13]HP Bonilla 1'!#REF!</definedName>
    <definedName name="eDIVD">'[13]HP Bonilla 1'!#REF!</definedName>
    <definedName name="emission" localSheetId="1">'[4]Main Tank'!#REF!</definedName>
    <definedName name="emission" localSheetId="8">'[4]Main Tank'!#REF!</definedName>
    <definedName name="emission" localSheetId="7">'[4]Main Tank'!#REF!</definedName>
    <definedName name="emission" localSheetId="10">'[4]Main Tank'!#REF!</definedName>
    <definedName name="emission" localSheetId="9">'[4]Main Tank'!#REF!</definedName>
    <definedName name="emission" localSheetId="11">'[4]Main Tank'!#REF!</definedName>
    <definedName name="emission" localSheetId="6">'[4]Main Tank'!#REF!</definedName>
    <definedName name="emission" localSheetId="2">'[4]Main Tank'!#REF!</definedName>
    <definedName name="emission" localSheetId="3">'[4]Main Tank'!#REF!</definedName>
    <definedName name="emission" localSheetId="0">'[4]Main Tank'!#REF!</definedName>
    <definedName name="emission">'[4]Main Tank'!#REF!</definedName>
    <definedName name="emissions" localSheetId="1">#REF!</definedName>
    <definedName name="emissions" localSheetId="8">#REF!</definedName>
    <definedName name="emissions" localSheetId="7">#REF!</definedName>
    <definedName name="emissions" localSheetId="10">#REF!</definedName>
    <definedName name="emissions" localSheetId="9">#REF!</definedName>
    <definedName name="emissions" localSheetId="11">#REF!</definedName>
    <definedName name="emissions" localSheetId="6">#REF!</definedName>
    <definedName name="emissions" localSheetId="2">#REF!</definedName>
    <definedName name="emissions" localSheetId="3">#REF!</definedName>
    <definedName name="emissions" localSheetId="0">#REF!</definedName>
    <definedName name="emissions">#REF!</definedName>
    <definedName name="ENGLISH" localSheetId="1">#REF!</definedName>
    <definedName name="ENGLISH" localSheetId="8">#REF!</definedName>
    <definedName name="ENGLISH" localSheetId="7">#REF!</definedName>
    <definedName name="ENGLISH" localSheetId="10">#REF!</definedName>
    <definedName name="ENGLISH" localSheetId="9">#REF!</definedName>
    <definedName name="ENGLISH" localSheetId="11">#REF!</definedName>
    <definedName name="ENGLISH" localSheetId="6">#REF!</definedName>
    <definedName name="ENGLISH" localSheetId="2">#REF!</definedName>
    <definedName name="ENGLISH" localSheetId="3">#REF!</definedName>
    <definedName name="ENGLISH" localSheetId="0">#REF!</definedName>
    <definedName name="ENGLISH">#REF!</definedName>
    <definedName name="EnthalpyUOM" localSheetId="1">#REF!</definedName>
    <definedName name="EnthalpyUOM" localSheetId="8">#REF!</definedName>
    <definedName name="EnthalpyUOM" localSheetId="7">#REF!</definedName>
    <definedName name="EnthalpyUOM" localSheetId="10">#REF!</definedName>
    <definedName name="EnthalpyUOM" localSheetId="9">#REF!</definedName>
    <definedName name="EnthalpyUOM" localSheetId="11">#REF!</definedName>
    <definedName name="EnthalpyUOM" localSheetId="6">#REF!</definedName>
    <definedName name="EnthalpyUOM" localSheetId="2">#REF!</definedName>
    <definedName name="EnthalpyUOM" localSheetId="3">#REF!</definedName>
    <definedName name="EnthalpyUOM" localSheetId="0">#REF!</definedName>
    <definedName name="EnthalpyUOM">#REF!</definedName>
    <definedName name="EnthalpyUOM.1" localSheetId="1">#REF!</definedName>
    <definedName name="EnthalpyUOM.1" localSheetId="8">#REF!</definedName>
    <definedName name="EnthalpyUOM.1" localSheetId="7">#REF!</definedName>
    <definedName name="EnthalpyUOM.1" localSheetId="10">#REF!</definedName>
    <definedName name="EnthalpyUOM.1" localSheetId="9">#REF!</definedName>
    <definedName name="EnthalpyUOM.1" localSheetId="11">#REF!</definedName>
    <definedName name="EnthalpyUOM.1" localSheetId="6">#REF!</definedName>
    <definedName name="EnthalpyUOM.1" localSheetId="2">#REF!</definedName>
    <definedName name="EnthalpyUOM.1" localSheetId="3">#REF!</definedName>
    <definedName name="EnthalpyUOM.1" localSheetId="0">#REF!</definedName>
    <definedName name="EnthalpyUOM.1">#REF!</definedName>
    <definedName name="EnthalpyUOM.2" localSheetId="1">#REF!</definedName>
    <definedName name="EnthalpyUOM.2" localSheetId="8">#REF!</definedName>
    <definedName name="EnthalpyUOM.2" localSheetId="7">#REF!</definedName>
    <definedName name="EnthalpyUOM.2" localSheetId="10">#REF!</definedName>
    <definedName name="EnthalpyUOM.2" localSheetId="9">#REF!</definedName>
    <definedName name="EnthalpyUOM.2" localSheetId="11">#REF!</definedName>
    <definedName name="EnthalpyUOM.2" localSheetId="6">#REF!</definedName>
    <definedName name="EnthalpyUOM.2" localSheetId="2">#REF!</definedName>
    <definedName name="EnthalpyUOM.2" localSheetId="3">#REF!</definedName>
    <definedName name="EnthalpyUOM.2" localSheetId="0">#REF!</definedName>
    <definedName name="EnthalpyUOM.2">#REF!</definedName>
    <definedName name="EnthalpyUOM.3" localSheetId="1">#REF!</definedName>
    <definedName name="EnthalpyUOM.3" localSheetId="8">#REF!</definedName>
    <definedName name="EnthalpyUOM.3" localSheetId="7">#REF!</definedName>
    <definedName name="EnthalpyUOM.3" localSheetId="10">#REF!</definedName>
    <definedName name="EnthalpyUOM.3" localSheetId="9">#REF!</definedName>
    <definedName name="EnthalpyUOM.3" localSheetId="11">#REF!</definedName>
    <definedName name="EnthalpyUOM.3" localSheetId="6">#REF!</definedName>
    <definedName name="EnthalpyUOM.3" localSheetId="2">#REF!</definedName>
    <definedName name="EnthalpyUOM.3" localSheetId="3">#REF!</definedName>
    <definedName name="EnthalpyUOM.3" localSheetId="0">#REF!</definedName>
    <definedName name="EnthalpyUOM.3">#REF!</definedName>
    <definedName name="EPSON" localSheetId="1">'[12]Pump Suction'!#REF!</definedName>
    <definedName name="EPSON" localSheetId="8">'[12]Pump Suction'!#REF!</definedName>
    <definedName name="EPSON" localSheetId="7">'[12]Pump Suction'!#REF!</definedName>
    <definedName name="EPSON" localSheetId="10">'[12]Pump Suction'!#REF!</definedName>
    <definedName name="EPSON" localSheetId="9">'[12]Pump Suction'!#REF!</definedName>
    <definedName name="EPSON" localSheetId="11">'[12]Pump Suction'!#REF!</definedName>
    <definedName name="EPSON" localSheetId="6">'[12]Pump Suction'!#REF!</definedName>
    <definedName name="EPSON" localSheetId="2">'[12]Pump Suction'!#REF!</definedName>
    <definedName name="EPSON" localSheetId="3">'[12]Pump Suction'!#REF!</definedName>
    <definedName name="EPSON" localSheetId="0">'[12]Pump Suction'!#REF!</definedName>
    <definedName name="EPSON">'[12]Pump Suction'!#REF!</definedName>
    <definedName name="EXCH" localSheetId="1">#REF!</definedName>
    <definedName name="EXCH" localSheetId="8">#REF!</definedName>
    <definedName name="EXCH" localSheetId="7">#REF!</definedName>
    <definedName name="EXCH" localSheetId="10">#REF!</definedName>
    <definedName name="EXCH" localSheetId="9">#REF!</definedName>
    <definedName name="EXCH" localSheetId="11">#REF!</definedName>
    <definedName name="EXCH" localSheetId="6">#REF!</definedName>
    <definedName name="EXCH" localSheetId="2">#REF!</definedName>
    <definedName name="EXCH" localSheetId="3">#REF!</definedName>
    <definedName name="EXCH" localSheetId="0">#REF!</definedName>
    <definedName name="EXCH">#REF!</definedName>
    <definedName name="EXCH2" localSheetId="1">#REF!</definedName>
    <definedName name="EXCH2" localSheetId="8">#REF!</definedName>
    <definedName name="EXCH2" localSheetId="7">#REF!</definedName>
    <definedName name="EXCH2" localSheetId="10">#REF!</definedName>
    <definedName name="EXCH2" localSheetId="9">#REF!</definedName>
    <definedName name="EXCH2" localSheetId="11">#REF!</definedName>
    <definedName name="EXCH2" localSheetId="6">#REF!</definedName>
    <definedName name="EXCH2" localSheetId="2">#REF!</definedName>
    <definedName name="EXCH2" localSheetId="3">#REF!</definedName>
    <definedName name="EXCH2" localSheetId="0">#REF!</definedName>
    <definedName name="EXCH2">#REF!</definedName>
    <definedName name="Exchange_rate" localSheetId="1">#REF!</definedName>
    <definedName name="Exchange_rate" localSheetId="8">#REF!</definedName>
    <definedName name="Exchange_rate" localSheetId="7">#REF!</definedName>
    <definedName name="Exchange_rate" localSheetId="10">#REF!</definedName>
    <definedName name="Exchange_rate" localSheetId="9">#REF!</definedName>
    <definedName name="Exchange_rate" localSheetId="11">#REF!</definedName>
    <definedName name="Exchange_rate" localSheetId="6">#REF!</definedName>
    <definedName name="Exchange_rate" localSheetId="2">#REF!</definedName>
    <definedName name="Exchange_rate" localSheetId="3">#REF!</definedName>
    <definedName name="Exchange_rate" localSheetId="0">#REF!</definedName>
    <definedName name="Exchange_rate">#REF!</definedName>
    <definedName name="F_Mar_T200" localSheetId="1">#REF!</definedName>
    <definedName name="F_Mar_T200" localSheetId="8">#REF!</definedName>
    <definedName name="F_Mar_T200" localSheetId="7">#REF!</definedName>
    <definedName name="F_Mar_T200" localSheetId="10">#REF!</definedName>
    <definedName name="F_Mar_T200" localSheetId="9">#REF!</definedName>
    <definedName name="F_Mar_T200" localSheetId="11">#REF!</definedName>
    <definedName name="F_Mar_T200" localSheetId="6">#REF!</definedName>
    <definedName name="F_Mar_T200" localSheetId="2">#REF!</definedName>
    <definedName name="F_Mar_T200" localSheetId="3">#REF!</definedName>
    <definedName name="F_Mar_T200" localSheetId="0">#REF!</definedName>
    <definedName name="F_Mar_T200">#REF!</definedName>
    <definedName name="F_Mar_T300" localSheetId="1">#REF!</definedName>
    <definedName name="F_Mar_T300" localSheetId="8">#REF!</definedName>
    <definedName name="F_Mar_T300" localSheetId="7">#REF!</definedName>
    <definedName name="F_Mar_T300" localSheetId="10">#REF!</definedName>
    <definedName name="F_Mar_T300" localSheetId="9">#REF!</definedName>
    <definedName name="F_Mar_T300" localSheetId="11">#REF!</definedName>
    <definedName name="F_Mar_T300" localSheetId="6">#REF!</definedName>
    <definedName name="F_Mar_T300" localSheetId="2">#REF!</definedName>
    <definedName name="F_Mar_T300" localSheetId="3">#REF!</definedName>
    <definedName name="F_Mar_T300" localSheetId="0">#REF!</definedName>
    <definedName name="F_Mar_T300">#REF!</definedName>
    <definedName name="F_Mar_T400" localSheetId="1">#REF!</definedName>
    <definedName name="F_Mar_T400" localSheetId="8">#REF!</definedName>
    <definedName name="F_Mar_T400" localSheetId="7">#REF!</definedName>
    <definedName name="F_Mar_T400" localSheetId="10">#REF!</definedName>
    <definedName name="F_Mar_T400" localSheetId="9">#REF!</definedName>
    <definedName name="F_Mar_T400" localSheetId="11">#REF!</definedName>
    <definedName name="F_Mar_T400" localSheetId="6">#REF!</definedName>
    <definedName name="F_Mar_T400" localSheetId="2">#REF!</definedName>
    <definedName name="F_Mar_T400" localSheetId="3">#REF!</definedName>
    <definedName name="F_Mar_T400" localSheetId="0">#REF!</definedName>
    <definedName name="F_Mar_T400">#REF!</definedName>
    <definedName name="Factor" localSheetId="1">#REF!</definedName>
    <definedName name="Factor" localSheetId="8">#REF!</definedName>
    <definedName name="Factor" localSheetId="7">#REF!</definedName>
    <definedName name="Factor" localSheetId="10">#REF!</definedName>
    <definedName name="Factor" localSheetId="9">#REF!</definedName>
    <definedName name="Factor" localSheetId="11">#REF!</definedName>
    <definedName name="Factor" localSheetId="6">#REF!</definedName>
    <definedName name="Factor" localSheetId="2">#REF!</definedName>
    <definedName name="Factor" localSheetId="3">#REF!</definedName>
    <definedName name="Factor" localSheetId="0">#REF!</definedName>
    <definedName name="Factor">#REF!</definedName>
    <definedName name="FanMaterial" localSheetId="1">#REF!</definedName>
    <definedName name="FanMaterial" localSheetId="8">#REF!</definedName>
    <definedName name="FanMaterial" localSheetId="7">#REF!</definedName>
    <definedName name="FanMaterial" localSheetId="10">#REF!</definedName>
    <definedName name="FanMaterial" localSheetId="9">#REF!</definedName>
    <definedName name="FanMaterial" localSheetId="11">#REF!</definedName>
    <definedName name="FanMaterial" localSheetId="6">#REF!</definedName>
    <definedName name="FanMaterial" localSheetId="2">#REF!</definedName>
    <definedName name="FanMaterial" localSheetId="3">#REF!</definedName>
    <definedName name="FanMaterial" localSheetId="0">#REF!</definedName>
    <definedName name="FanMaterial">#REF!</definedName>
    <definedName name="fgas" localSheetId="1">'[11]Corrib Haz'!#REF!</definedName>
    <definedName name="fgas" localSheetId="8">'[11]Corrib Haz'!#REF!</definedName>
    <definedName name="fgas" localSheetId="7">'[11]Corrib Haz'!#REF!</definedName>
    <definedName name="fgas" localSheetId="10">'[11]Corrib Haz'!#REF!</definedName>
    <definedName name="fgas" localSheetId="9">'[11]Corrib Haz'!#REF!</definedName>
    <definedName name="fgas" localSheetId="11">'[11]Corrib Haz'!#REF!</definedName>
    <definedName name="fgas" localSheetId="6">'[11]Corrib Haz'!#REF!</definedName>
    <definedName name="fgas" localSheetId="2">'[11]Corrib Haz'!#REF!</definedName>
    <definedName name="fgas" localSheetId="3">'[11]Corrib Haz'!#REF!</definedName>
    <definedName name="fgas" localSheetId="0">'[11]Corrib Haz'!#REF!</definedName>
    <definedName name="fgas">'[11]Corrib Haz'!#REF!</definedName>
    <definedName name="FILENAME" localSheetId="1">#REF!</definedName>
    <definedName name="FILENAME" localSheetId="8">#REF!</definedName>
    <definedName name="FILENAME" localSheetId="7">#REF!</definedName>
    <definedName name="FILENAME" localSheetId="10">#REF!</definedName>
    <definedName name="FILENAME" localSheetId="9">#REF!</definedName>
    <definedName name="FILENAME" localSheetId="11">#REF!</definedName>
    <definedName name="FILENAME" localSheetId="6">#REF!</definedName>
    <definedName name="FILENAME" localSheetId="2">#REF!</definedName>
    <definedName name="FILENAME" localSheetId="3">#REF!</definedName>
    <definedName name="FILENAME" localSheetId="0">#REF!</definedName>
    <definedName name="FILENAME">#REF!</definedName>
    <definedName name="FilterTypes">[9]TemplateSelectLists!$C$2:$C$7</definedName>
    <definedName name="FLOW" localSheetId="1">#REF!</definedName>
    <definedName name="FLOW" localSheetId="8">#REF!</definedName>
    <definedName name="FLOW" localSheetId="7">#REF!</definedName>
    <definedName name="FLOW" localSheetId="10">#REF!</definedName>
    <definedName name="FLOW" localSheetId="9">#REF!</definedName>
    <definedName name="FLOW" localSheetId="11">#REF!</definedName>
    <definedName name="FLOW" localSheetId="6">#REF!</definedName>
    <definedName name="FLOW" localSheetId="2">#REF!</definedName>
    <definedName name="FLOW" localSheetId="3">#REF!</definedName>
    <definedName name="FLOW" localSheetId="0">#REF!</definedName>
    <definedName name="FLOW">#REF!</definedName>
    <definedName name="Flow_T200" localSheetId="1">#REF!</definedName>
    <definedName name="Flow_T200" localSheetId="8">#REF!</definedName>
    <definedName name="Flow_T200" localSheetId="7">#REF!</definedName>
    <definedName name="Flow_T200" localSheetId="10">#REF!</definedName>
    <definedName name="Flow_T200" localSheetId="9">#REF!</definedName>
    <definedName name="Flow_T200" localSheetId="11">#REF!</definedName>
    <definedName name="Flow_T200" localSheetId="6">#REF!</definedName>
    <definedName name="Flow_T200" localSheetId="2">#REF!</definedName>
    <definedName name="Flow_T200" localSheetId="3">#REF!</definedName>
    <definedName name="Flow_T200" localSheetId="0">#REF!</definedName>
    <definedName name="Flow_T200">#REF!</definedName>
    <definedName name="Flow_T300" localSheetId="1">#REF!</definedName>
    <definedName name="Flow_T300" localSheetId="8">#REF!</definedName>
    <definedName name="Flow_T300" localSheetId="7">#REF!</definedName>
    <definedName name="Flow_T300" localSheetId="10">#REF!</definedName>
    <definedName name="Flow_T300" localSheetId="9">#REF!</definedName>
    <definedName name="Flow_T300" localSheetId="11">#REF!</definedName>
    <definedName name="Flow_T300" localSheetId="6">#REF!</definedName>
    <definedName name="Flow_T300" localSheetId="2">#REF!</definedName>
    <definedName name="Flow_T300" localSheetId="3">#REF!</definedName>
    <definedName name="Flow_T300" localSheetId="0">#REF!</definedName>
    <definedName name="Flow_T300">#REF!</definedName>
    <definedName name="Flow_T400" localSheetId="1">#REF!</definedName>
    <definedName name="Flow_T400" localSheetId="8">#REF!</definedName>
    <definedName name="Flow_T400" localSheetId="7">#REF!</definedName>
    <definedName name="Flow_T400" localSheetId="10">#REF!</definedName>
    <definedName name="Flow_T400" localSheetId="9">#REF!</definedName>
    <definedName name="Flow_T400" localSheetId="11">#REF!</definedName>
    <definedName name="Flow_T400" localSheetId="6">#REF!</definedName>
    <definedName name="Flow_T400" localSheetId="2">#REF!</definedName>
    <definedName name="Flow_T400" localSheetId="3">#REF!</definedName>
    <definedName name="Flow_T400" localSheetId="0">#REF!</definedName>
    <definedName name="Flow_T400">#REF!</definedName>
    <definedName name="FLOW2k" localSheetId="1">#REF!</definedName>
    <definedName name="FLOW2k" localSheetId="8">#REF!</definedName>
    <definedName name="FLOW2k" localSheetId="7">#REF!</definedName>
    <definedName name="FLOW2k" localSheetId="10">#REF!</definedName>
    <definedName name="FLOW2k" localSheetId="9">#REF!</definedName>
    <definedName name="FLOW2k" localSheetId="11">#REF!</definedName>
    <definedName name="FLOW2k" localSheetId="6">#REF!</definedName>
    <definedName name="FLOW2k" localSheetId="2">#REF!</definedName>
    <definedName name="FLOW2k" localSheetId="3">#REF!</definedName>
    <definedName name="FLOW2k" localSheetId="0">#REF!</definedName>
    <definedName name="FLOW2k">#REF!</definedName>
    <definedName name="flowrate" localSheetId="1">#REF!</definedName>
    <definedName name="flowrate" localSheetId="8">#REF!</definedName>
    <definedName name="flowrate" localSheetId="7">#REF!</definedName>
    <definedName name="flowrate" localSheetId="10">#REF!</definedName>
    <definedName name="flowrate" localSheetId="9">#REF!</definedName>
    <definedName name="flowrate" localSheetId="11">#REF!</definedName>
    <definedName name="flowrate" localSheetId="6">#REF!</definedName>
    <definedName name="flowrate" localSheetId="2">#REF!</definedName>
    <definedName name="flowrate" localSheetId="3">#REF!</definedName>
    <definedName name="flowrate" localSheetId="0">#REF!</definedName>
    <definedName name="flowrate">#REF!</definedName>
    <definedName name="FLUID" localSheetId="1">'[12]Pump Suction'!#REF!</definedName>
    <definedName name="FLUID" localSheetId="8">'[12]Pump Suction'!#REF!</definedName>
    <definedName name="FLUID" localSheetId="7">'[12]Pump Suction'!#REF!</definedName>
    <definedName name="FLUID" localSheetId="10">'[12]Pump Suction'!#REF!</definedName>
    <definedName name="FLUID" localSheetId="9">'[12]Pump Suction'!#REF!</definedName>
    <definedName name="FLUID" localSheetId="11">'[12]Pump Suction'!#REF!</definedName>
    <definedName name="FLUID" localSheetId="6">'[12]Pump Suction'!#REF!</definedName>
    <definedName name="FLUID" localSheetId="2">'[12]Pump Suction'!#REF!</definedName>
    <definedName name="FLUID" localSheetId="3">'[12]Pump Suction'!#REF!</definedName>
    <definedName name="FLUID" localSheetId="0">'[12]Pump Suction'!#REF!</definedName>
    <definedName name="FLUID">'[12]Pump Suction'!#REF!</definedName>
    <definedName name="fluids2" localSheetId="1">'[11]Corrib Haz'!#REF!</definedName>
    <definedName name="fluids2" localSheetId="8">'[11]Corrib Haz'!#REF!</definedName>
    <definedName name="fluids2" localSheetId="7">'[11]Corrib Haz'!#REF!</definedName>
    <definedName name="fluids2" localSheetId="10">'[11]Corrib Haz'!#REF!</definedName>
    <definedName name="fluids2" localSheetId="9">'[11]Corrib Haz'!#REF!</definedName>
    <definedName name="fluids2" localSheetId="11">'[11]Corrib Haz'!#REF!</definedName>
    <definedName name="fluids2" localSheetId="6">'[11]Corrib Haz'!#REF!</definedName>
    <definedName name="fluids2" localSheetId="2">'[11]Corrib Haz'!#REF!</definedName>
    <definedName name="fluids2" localSheetId="3">'[11]Corrib Haz'!#REF!</definedName>
    <definedName name="fluids2" localSheetId="0">'[11]Corrib Haz'!#REF!</definedName>
    <definedName name="fluids2">'[11]Corrib Haz'!#REF!</definedName>
    <definedName name="fluids3" localSheetId="1">'[11]Corrib Haz'!#REF!</definedName>
    <definedName name="fluids3" localSheetId="8">'[11]Corrib Haz'!#REF!</definedName>
    <definedName name="fluids3" localSheetId="7">'[11]Corrib Haz'!#REF!</definedName>
    <definedName name="fluids3" localSheetId="10">'[11]Corrib Haz'!#REF!</definedName>
    <definedName name="fluids3" localSheetId="9">'[11]Corrib Haz'!#REF!</definedName>
    <definedName name="fluids3" localSheetId="11">'[11]Corrib Haz'!#REF!</definedName>
    <definedName name="fluids3" localSheetId="6">'[11]Corrib Haz'!#REF!</definedName>
    <definedName name="fluids3" localSheetId="2">'[11]Corrib Haz'!#REF!</definedName>
    <definedName name="fluids3" localSheetId="3">'[11]Corrib Haz'!#REF!</definedName>
    <definedName name="fluids3" localSheetId="0">'[11]Corrib Haz'!#REF!</definedName>
    <definedName name="fluids3">'[11]Corrib Haz'!#REF!</definedName>
    <definedName name="Foul_Factor" localSheetId="1">#REF!</definedName>
    <definedName name="Foul_Factor" localSheetId="8">#REF!</definedName>
    <definedName name="Foul_Factor" localSheetId="7">#REF!</definedName>
    <definedName name="Foul_Factor" localSheetId="10">#REF!</definedName>
    <definedName name="Foul_Factor" localSheetId="9">#REF!</definedName>
    <definedName name="Foul_Factor" localSheetId="11">#REF!</definedName>
    <definedName name="Foul_Factor" localSheetId="6">#REF!</definedName>
    <definedName name="Foul_Factor" localSheetId="2">#REF!</definedName>
    <definedName name="Foul_Factor" localSheetId="3">#REF!</definedName>
    <definedName name="Foul_Factor" localSheetId="0">#REF!</definedName>
    <definedName name="Foul_Factor">#REF!</definedName>
    <definedName name="fouling" localSheetId="1">#REF!</definedName>
    <definedName name="fouling" localSheetId="8">#REF!</definedName>
    <definedName name="fouling" localSheetId="7">#REF!</definedName>
    <definedName name="fouling" localSheetId="10">#REF!</definedName>
    <definedName name="fouling" localSheetId="9">#REF!</definedName>
    <definedName name="fouling" localSheetId="11">#REF!</definedName>
    <definedName name="fouling" localSheetId="6">#REF!</definedName>
    <definedName name="fouling" localSheetId="2">#REF!</definedName>
    <definedName name="fouling" localSheetId="3">#REF!</definedName>
    <definedName name="fouling" localSheetId="0">#REF!</definedName>
    <definedName name="fouling">#REF!</definedName>
    <definedName name="fuel" localSheetId="1">#REF!</definedName>
    <definedName name="fuel" localSheetId="8">#REF!</definedName>
    <definedName name="fuel" localSheetId="7">#REF!</definedName>
    <definedName name="fuel" localSheetId="10">#REF!</definedName>
    <definedName name="fuel" localSheetId="9">#REF!</definedName>
    <definedName name="fuel" localSheetId="11">#REF!</definedName>
    <definedName name="fuel" localSheetId="6">#REF!</definedName>
    <definedName name="fuel" localSheetId="2">#REF!</definedName>
    <definedName name="fuel" localSheetId="3">#REF!</definedName>
    <definedName name="fuel" localSheetId="0">#REF!</definedName>
    <definedName name="fuel">#REF!</definedName>
    <definedName name="gas" localSheetId="1">'[11]Corrib Haz'!#REF!</definedName>
    <definedName name="gas" localSheetId="8">'[11]Corrib Haz'!#REF!</definedName>
    <definedName name="gas" localSheetId="7">'[11]Corrib Haz'!#REF!</definedName>
    <definedName name="gas" localSheetId="10">'[11]Corrib Haz'!#REF!</definedName>
    <definedName name="gas" localSheetId="9">'[11]Corrib Haz'!#REF!</definedName>
    <definedName name="gas" localSheetId="11">'[11]Corrib Haz'!#REF!</definedName>
    <definedName name="gas" localSheetId="6">'[11]Corrib Haz'!#REF!</definedName>
    <definedName name="gas" localSheetId="2">'[11]Corrib Haz'!#REF!</definedName>
    <definedName name="gas" localSheetId="3">'[11]Corrib Haz'!#REF!</definedName>
    <definedName name="gas" localSheetId="0">'[11]Corrib Haz'!#REF!</definedName>
    <definedName name="gas">'[11]Corrib Haz'!#REF!</definedName>
    <definedName name="Gen_Eff" localSheetId="1">#REF!</definedName>
    <definedName name="Gen_Eff" localSheetId="13">#REF!</definedName>
    <definedName name="Gen_Eff" localSheetId="8">#REF!</definedName>
    <definedName name="Gen_Eff" localSheetId="7">#REF!</definedName>
    <definedName name="Gen_Eff" localSheetId="10">#REF!</definedName>
    <definedName name="Gen_Eff" localSheetId="9">#REF!</definedName>
    <definedName name="Gen_Eff" localSheetId="11">#REF!</definedName>
    <definedName name="Gen_Eff" localSheetId="6">#REF!</definedName>
    <definedName name="Gen_Eff" localSheetId="2">#REF!</definedName>
    <definedName name="Gen_Eff" localSheetId="3">#REF!</definedName>
    <definedName name="Gen_Eff" localSheetId="0">#REF!</definedName>
    <definedName name="Gen_Eff">#REF!</definedName>
    <definedName name="general" localSheetId="1">'[11]Corrib Haz'!#REF!</definedName>
    <definedName name="general" localSheetId="8">'[11]Corrib Haz'!#REF!</definedName>
    <definedName name="general" localSheetId="7">'[11]Corrib Haz'!#REF!</definedName>
    <definedName name="general" localSheetId="10">'[11]Corrib Haz'!#REF!</definedName>
    <definedName name="general" localSheetId="9">'[11]Corrib Haz'!#REF!</definedName>
    <definedName name="general" localSheetId="11">'[11]Corrib Haz'!#REF!</definedName>
    <definedName name="general" localSheetId="6">'[11]Corrib Haz'!#REF!</definedName>
    <definedName name="general" localSheetId="2">'[11]Corrib Haz'!#REF!</definedName>
    <definedName name="general" localSheetId="3">'[11]Corrib Haz'!#REF!</definedName>
    <definedName name="general" localSheetId="0">'[11]Corrib Haz'!#REF!</definedName>
    <definedName name="general">'[11]Corrib Haz'!#REF!</definedName>
    <definedName name="globe_values" localSheetId="1">#REF!</definedName>
    <definedName name="globe_values" localSheetId="8">#REF!</definedName>
    <definedName name="globe_values" localSheetId="7">#REF!</definedName>
    <definedName name="globe_values" localSheetId="10">#REF!</definedName>
    <definedName name="globe_values" localSheetId="9">#REF!</definedName>
    <definedName name="globe_values" localSheetId="11">#REF!</definedName>
    <definedName name="globe_values" localSheetId="6">#REF!</definedName>
    <definedName name="globe_values" localSheetId="2">#REF!</definedName>
    <definedName name="globe_values" localSheetId="3">#REF!</definedName>
    <definedName name="globe_values" localSheetId="0">#REF!</definedName>
    <definedName name="globe_values">#REF!</definedName>
    <definedName name="GOR" localSheetId="1">#REF!</definedName>
    <definedName name="GOR" localSheetId="8">#REF!</definedName>
    <definedName name="GOR" localSheetId="7">#REF!</definedName>
    <definedName name="GOR" localSheetId="10">#REF!</definedName>
    <definedName name="GOR" localSheetId="9">#REF!</definedName>
    <definedName name="GOR" localSheetId="11">#REF!</definedName>
    <definedName name="GOR" localSheetId="6">#REF!</definedName>
    <definedName name="GOR" localSheetId="2">#REF!</definedName>
    <definedName name="GOR" localSheetId="3">#REF!</definedName>
    <definedName name="GOR" localSheetId="0">#REF!</definedName>
    <definedName name="GOR">#REF!</definedName>
    <definedName name="GORw" localSheetId="1">#REF!</definedName>
    <definedName name="GORw" localSheetId="8">#REF!</definedName>
    <definedName name="GORw" localSheetId="7">#REF!</definedName>
    <definedName name="GORw" localSheetId="10">#REF!</definedName>
    <definedName name="GORw" localSheetId="9">#REF!</definedName>
    <definedName name="GORw" localSheetId="11">#REF!</definedName>
    <definedName name="GORw" localSheetId="6">#REF!</definedName>
    <definedName name="GORw" localSheetId="2">#REF!</definedName>
    <definedName name="GORw" localSheetId="3">#REF!</definedName>
    <definedName name="GORw" localSheetId="0">#REF!</definedName>
    <definedName name="GORw">#REF!</definedName>
    <definedName name="GREETING" localSheetId="1">'[12]Pump Suction'!#REF!</definedName>
    <definedName name="GREETING" localSheetId="8">'[12]Pump Suction'!#REF!</definedName>
    <definedName name="GREETING" localSheetId="7">'[12]Pump Suction'!#REF!</definedName>
    <definedName name="GREETING" localSheetId="10">'[12]Pump Suction'!#REF!</definedName>
    <definedName name="GREETING" localSheetId="9">'[12]Pump Suction'!#REF!</definedName>
    <definedName name="GREETING" localSheetId="11">'[12]Pump Suction'!#REF!</definedName>
    <definedName name="GREETING" localSheetId="6">'[12]Pump Suction'!#REF!</definedName>
    <definedName name="GREETING" localSheetId="2">'[12]Pump Suction'!#REF!</definedName>
    <definedName name="GREETING" localSheetId="3">'[12]Pump Suction'!#REF!</definedName>
    <definedName name="GREETING" localSheetId="0">'[12]Pump Suction'!#REF!</definedName>
    <definedName name="GREETING">'[12]Pump Suction'!#REF!</definedName>
    <definedName name="Group960">'[14]Shell&amp;Tube'!$AO$94</definedName>
    <definedName name="HeatTran_factor" localSheetId="1">#REF!</definedName>
    <definedName name="HeatTran_factor" localSheetId="8">#REF!</definedName>
    <definedName name="HeatTran_factor" localSheetId="7">#REF!</definedName>
    <definedName name="HeatTran_factor" localSheetId="10">#REF!</definedName>
    <definedName name="HeatTran_factor" localSheetId="9">#REF!</definedName>
    <definedName name="HeatTran_factor" localSheetId="11">#REF!</definedName>
    <definedName name="HeatTran_factor" localSheetId="6">#REF!</definedName>
    <definedName name="HeatTran_factor" localSheetId="2">#REF!</definedName>
    <definedName name="HeatTran_factor" localSheetId="3">#REF!</definedName>
    <definedName name="HeatTran_factor" localSheetId="0">#REF!</definedName>
    <definedName name="HeatTran_factor">#REF!</definedName>
    <definedName name="HeatTransCoefUOM.2" localSheetId="1">#REF!</definedName>
    <definedName name="HeatTransCoefUOM.2" localSheetId="8">#REF!</definedName>
    <definedName name="HeatTransCoefUOM.2" localSheetId="7">#REF!</definedName>
    <definedName name="HeatTransCoefUOM.2" localSheetId="10">#REF!</definedName>
    <definedName name="HeatTransCoefUOM.2" localSheetId="9">#REF!</definedName>
    <definedName name="HeatTransCoefUOM.2" localSheetId="11">#REF!</definedName>
    <definedName name="HeatTransCoefUOM.2" localSheetId="6">#REF!</definedName>
    <definedName name="HeatTransCoefUOM.2" localSheetId="2">#REF!</definedName>
    <definedName name="HeatTransCoefUOM.2" localSheetId="3">#REF!</definedName>
    <definedName name="HeatTransCoefUOM.2" localSheetId="0">#REF!</definedName>
    <definedName name="HeatTransCoefUOM.2">#REF!</definedName>
    <definedName name="HeatTransCoefUOM.3" localSheetId="1">#REF!</definedName>
    <definedName name="HeatTransCoefUOM.3" localSheetId="8">#REF!</definedName>
    <definedName name="HeatTransCoefUOM.3" localSheetId="7">#REF!</definedName>
    <definedName name="HeatTransCoefUOM.3" localSheetId="10">#REF!</definedName>
    <definedName name="HeatTransCoefUOM.3" localSheetId="9">#REF!</definedName>
    <definedName name="HeatTransCoefUOM.3" localSheetId="11">#REF!</definedName>
    <definedName name="HeatTransCoefUOM.3" localSheetId="6">#REF!</definedName>
    <definedName name="HeatTransCoefUOM.3" localSheetId="2">#REF!</definedName>
    <definedName name="HeatTransCoefUOM.3" localSheetId="3">#REF!</definedName>
    <definedName name="HeatTransCoefUOM.3" localSheetId="0">#REF!</definedName>
    <definedName name="HeatTransCoefUOM.3">#REF!</definedName>
    <definedName name="HHV" localSheetId="1">#REF!</definedName>
    <definedName name="HHV" localSheetId="8">#REF!</definedName>
    <definedName name="HHV" localSheetId="7">#REF!</definedName>
    <definedName name="HHV" localSheetId="10">#REF!</definedName>
    <definedName name="HHV" localSheetId="9">#REF!</definedName>
    <definedName name="HHV" localSheetId="11">#REF!</definedName>
    <definedName name="HHV" localSheetId="6">#REF!</definedName>
    <definedName name="HHV" localSheetId="2">#REF!</definedName>
    <definedName name="HHV" localSheetId="3">#REF!</definedName>
    <definedName name="HHV" localSheetId="0">#REF!</definedName>
    <definedName name="HHV">#REF!</definedName>
    <definedName name="HIGH_T" localSheetId="1">#REF!</definedName>
    <definedName name="HIGH_T" localSheetId="8">#REF!</definedName>
    <definedName name="HIGH_T" localSheetId="7">#REF!</definedName>
    <definedName name="HIGH_T" localSheetId="10">#REF!</definedName>
    <definedName name="HIGH_T" localSheetId="9">#REF!</definedName>
    <definedName name="HIGH_T" localSheetId="11">#REF!</definedName>
    <definedName name="HIGH_T" localSheetId="6">#REF!</definedName>
    <definedName name="HIGH_T" localSheetId="2">#REF!</definedName>
    <definedName name="HIGH_T" localSheetId="3">#REF!</definedName>
    <definedName name="HIGH_T" localSheetId="0">#REF!</definedName>
    <definedName name="HIGH_T">#REF!</definedName>
    <definedName name="htregmrgn" localSheetId="1">#REF!</definedName>
    <definedName name="htregmrgn" localSheetId="8">#REF!</definedName>
    <definedName name="htregmrgn" localSheetId="7">#REF!</definedName>
    <definedName name="htregmrgn" localSheetId="10">#REF!</definedName>
    <definedName name="htregmrgn" localSheetId="9">#REF!</definedName>
    <definedName name="htregmrgn" localSheetId="11">#REF!</definedName>
    <definedName name="htregmrgn" localSheetId="6">#REF!</definedName>
    <definedName name="htregmrgn" localSheetId="2">#REF!</definedName>
    <definedName name="htregmrgn" localSheetId="3">#REF!</definedName>
    <definedName name="htregmrgn" localSheetId="0">#REF!</definedName>
    <definedName name="htregmrgn">#REF!</definedName>
    <definedName name="Htt" localSheetId="1">[15]dimensions!#REF!</definedName>
    <definedName name="Htt" localSheetId="8">[15]dimensions!#REF!</definedName>
    <definedName name="Htt" localSheetId="7">[15]dimensions!#REF!</definedName>
    <definedName name="Htt" localSheetId="10">[15]dimensions!#REF!</definedName>
    <definedName name="Htt" localSheetId="9">[15]dimensions!#REF!</definedName>
    <definedName name="Htt" localSheetId="11">[15]dimensions!#REF!</definedName>
    <definedName name="Htt" localSheetId="6">[15]dimensions!#REF!</definedName>
    <definedName name="Htt" localSheetId="2">[15]dimensions!#REF!</definedName>
    <definedName name="Htt" localSheetId="3">[15]dimensions!#REF!</definedName>
    <definedName name="Htt" localSheetId="0">[15]dimensions!#REF!</definedName>
    <definedName name="Htt">[15]dimensions!#REF!</definedName>
    <definedName name="inches" localSheetId="1">#REF!</definedName>
    <definedName name="inches" localSheetId="8">#REF!</definedName>
    <definedName name="inches" localSheetId="7">#REF!</definedName>
    <definedName name="inches" localSheetId="10">#REF!</definedName>
    <definedName name="inches" localSheetId="9">#REF!</definedName>
    <definedName name="inches" localSheetId="11">#REF!</definedName>
    <definedName name="inches" localSheetId="6">#REF!</definedName>
    <definedName name="inches" localSheetId="2">#REF!</definedName>
    <definedName name="inches" localSheetId="3">#REF!</definedName>
    <definedName name="inches" localSheetId="0">#REF!</definedName>
    <definedName name="inches">#REF!</definedName>
    <definedName name="IncinCO">'[10]Comply Conditions'!$DB$57:$DN$62</definedName>
    <definedName name="IncinNH3">'[10]Comply Conditions'!$FA$54:$FL$62</definedName>
    <definedName name="IncinNOX">'[10]Comply Conditions'!$BC$57:$BO$62</definedName>
    <definedName name="IncinPM10">'[10]Comply Conditions'!$CK$57:$CV$62</definedName>
    <definedName name="IncinPM2.5">'[10]Comply Conditions'!$BT$57:$CG$63</definedName>
    <definedName name="IncinSO2">'[10]Comply Conditions'!$DS$57:$EE$62</definedName>
    <definedName name="IncinVOC">'[10]Comply Conditions'!$EJ$57:$EV$62</definedName>
    <definedName name="Index">'[16]DB email 28Apr'!$K$2:$T$2</definedName>
    <definedName name="Index2" localSheetId="1">#REF!</definedName>
    <definedName name="Index2" localSheetId="8">#REF!</definedName>
    <definedName name="Index2" localSheetId="7">#REF!</definedName>
    <definedName name="Index2" localSheetId="10">#REF!</definedName>
    <definedName name="Index2" localSheetId="9">#REF!</definedName>
    <definedName name="Index2" localSheetId="11">#REF!</definedName>
    <definedName name="Index2" localSheetId="6">#REF!</definedName>
    <definedName name="Index2" localSheetId="2">#REF!</definedName>
    <definedName name="Index2" localSheetId="3">#REF!</definedName>
    <definedName name="Index2" localSheetId="0">#REF!</definedName>
    <definedName name="Index2">#REF!</definedName>
    <definedName name="Index3">'[17]em (3)'!$K$2:$T$2</definedName>
    <definedName name="inflrate" localSheetId="1">#REF!</definedName>
    <definedName name="inflrate" localSheetId="8">#REF!</definedName>
    <definedName name="inflrate" localSheetId="7">#REF!</definedName>
    <definedName name="inflrate" localSheetId="10">#REF!</definedName>
    <definedName name="inflrate" localSheetId="9">#REF!</definedName>
    <definedName name="inflrate" localSheetId="11">#REF!</definedName>
    <definedName name="inflrate" localSheetId="6">#REF!</definedName>
    <definedName name="inflrate" localSheetId="2">#REF!</definedName>
    <definedName name="inflrate" localSheetId="3">#REF!</definedName>
    <definedName name="inflrate" localSheetId="0">#REF!</definedName>
    <definedName name="inflrate">#REF!</definedName>
    <definedName name="Input_kW" localSheetId="1">#REF!</definedName>
    <definedName name="Input_kW" localSheetId="8">#REF!</definedName>
    <definedName name="Input_kW" localSheetId="7">#REF!</definedName>
    <definedName name="Input_kW" localSheetId="10">#REF!</definedName>
    <definedName name="Input_kW" localSheetId="9">#REF!</definedName>
    <definedName name="Input_kW" localSheetId="11">#REF!</definedName>
    <definedName name="Input_kW" localSheetId="6">#REF!</definedName>
    <definedName name="Input_kW" localSheetId="2">#REF!</definedName>
    <definedName name="Input_kW" localSheetId="3">#REF!</definedName>
    <definedName name="Input_kW" localSheetId="0">#REF!</definedName>
    <definedName name="Input_kW">#REF!</definedName>
    <definedName name="INTEMP" localSheetId="1">#REF!</definedName>
    <definedName name="INTEMP" localSheetId="8">#REF!</definedName>
    <definedName name="INTEMP" localSheetId="7">#REF!</definedName>
    <definedName name="INTEMP" localSheetId="10">#REF!</definedName>
    <definedName name="INTEMP" localSheetId="9">#REF!</definedName>
    <definedName name="INTEMP" localSheetId="11">#REF!</definedName>
    <definedName name="INTEMP" localSheetId="6">#REF!</definedName>
    <definedName name="INTEMP" localSheetId="2">#REF!</definedName>
    <definedName name="INTEMP" localSheetId="3">#REF!</definedName>
    <definedName name="INTEMP" localSheetId="0">#REF!</definedName>
    <definedName name="INTEMP">#REF!</definedName>
    <definedName name="INUNIT" localSheetId="1">#REF!</definedName>
    <definedName name="INUNIT" localSheetId="8">#REF!</definedName>
    <definedName name="INUNIT" localSheetId="7">#REF!</definedName>
    <definedName name="INUNIT" localSheetId="10">#REF!</definedName>
    <definedName name="INUNIT" localSheetId="9">#REF!</definedName>
    <definedName name="INUNIT" localSheetId="11">#REF!</definedName>
    <definedName name="INUNIT" localSheetId="6">#REF!</definedName>
    <definedName name="INUNIT" localSheetId="2">#REF!</definedName>
    <definedName name="INUNIT" localSheetId="3">#REF!</definedName>
    <definedName name="INUNIT" localSheetId="0">#REF!</definedName>
    <definedName name="INUNIT">#REF!</definedName>
    <definedName name="ITEM" localSheetId="1">#REF!</definedName>
    <definedName name="ITEM" localSheetId="8">#REF!</definedName>
    <definedName name="ITEM" localSheetId="7">#REF!</definedName>
    <definedName name="ITEM" localSheetId="10">#REF!</definedName>
    <definedName name="ITEM" localSheetId="9">#REF!</definedName>
    <definedName name="ITEM" localSheetId="11">#REF!</definedName>
    <definedName name="ITEM" localSheetId="6">#REF!</definedName>
    <definedName name="ITEM" localSheetId="2">#REF!</definedName>
    <definedName name="ITEM" localSheetId="3">#REF!</definedName>
    <definedName name="ITEM" localSheetId="0">#REF!</definedName>
    <definedName name="ITEM">#REF!</definedName>
    <definedName name="ItemNo" localSheetId="1">#REF!</definedName>
    <definedName name="ItemNo" localSheetId="8">#REF!</definedName>
    <definedName name="ItemNo" localSheetId="7">#REF!</definedName>
    <definedName name="ItemNo" localSheetId="10">#REF!</definedName>
    <definedName name="ItemNo" localSheetId="9">#REF!</definedName>
    <definedName name="ItemNo" localSheetId="11">#REF!</definedName>
    <definedName name="ItemNo" localSheetId="6">#REF!</definedName>
    <definedName name="ItemNo" localSheetId="2">#REF!</definedName>
    <definedName name="ItemNo" localSheetId="3">#REF!</definedName>
    <definedName name="ItemNo" localSheetId="0">#REF!</definedName>
    <definedName name="ItemNo">#REF!</definedName>
    <definedName name="iv" localSheetId="1">#REF!</definedName>
    <definedName name="iv" localSheetId="8">#REF!</definedName>
    <definedName name="iv" localSheetId="7">#REF!</definedName>
    <definedName name="iv" localSheetId="10">#REF!</definedName>
    <definedName name="iv" localSheetId="9">#REF!</definedName>
    <definedName name="iv" localSheetId="11">#REF!</definedName>
    <definedName name="iv" localSheetId="6">#REF!</definedName>
    <definedName name="iv" localSheetId="2">#REF!</definedName>
    <definedName name="iv" localSheetId="3">#REF!</definedName>
    <definedName name="iv" localSheetId="0">#REF!</definedName>
    <definedName name="iv">#REF!</definedName>
    <definedName name="IVENTS" localSheetId="1">'[11]Corrib Haz'!#REF!</definedName>
    <definedName name="IVENTS" localSheetId="8">'[11]Corrib Haz'!#REF!</definedName>
    <definedName name="IVENTS" localSheetId="7">'[11]Corrib Haz'!#REF!</definedName>
    <definedName name="IVENTS" localSheetId="10">'[11]Corrib Haz'!#REF!</definedName>
    <definedName name="IVENTS" localSheetId="9">'[11]Corrib Haz'!#REF!</definedName>
    <definedName name="IVENTS" localSheetId="11">'[11]Corrib Haz'!#REF!</definedName>
    <definedName name="IVENTS" localSheetId="6">'[11]Corrib Haz'!#REF!</definedName>
    <definedName name="IVENTS" localSheetId="2">'[11]Corrib Haz'!#REF!</definedName>
    <definedName name="IVENTS" localSheetId="3">'[11]Corrib Haz'!#REF!</definedName>
    <definedName name="IVENTS" localSheetId="0">'[11]Corrib Haz'!#REF!</definedName>
    <definedName name="IVENTS">'[11]Corrib Haz'!#REF!</definedName>
    <definedName name="JOB" localSheetId="1">#REF!</definedName>
    <definedName name="JOB" localSheetId="8">#REF!</definedName>
    <definedName name="JOB" localSheetId="7">#REF!</definedName>
    <definedName name="JOB" localSheetId="10">#REF!</definedName>
    <definedName name="JOB" localSheetId="9">#REF!</definedName>
    <definedName name="JOB" localSheetId="11">#REF!</definedName>
    <definedName name="JOB" localSheetId="6">#REF!</definedName>
    <definedName name="JOB" localSheetId="2">#REF!</definedName>
    <definedName name="JOB" localSheetId="3">#REF!</definedName>
    <definedName name="JOB" localSheetId="0">#REF!</definedName>
    <definedName name="JOB">#REF!</definedName>
    <definedName name="JONo" localSheetId="1">#REF!</definedName>
    <definedName name="JONo" localSheetId="8">#REF!</definedName>
    <definedName name="JONo" localSheetId="7">#REF!</definedName>
    <definedName name="JONo" localSheetId="10">#REF!</definedName>
    <definedName name="JONo" localSheetId="9">#REF!</definedName>
    <definedName name="JONo" localSheetId="11">#REF!</definedName>
    <definedName name="JONo" localSheetId="6">#REF!</definedName>
    <definedName name="JONo" localSheetId="2">#REF!</definedName>
    <definedName name="JONo" localSheetId="3">#REF!</definedName>
    <definedName name="JONo" localSheetId="0">#REF!</definedName>
    <definedName name="JONo">#REF!</definedName>
    <definedName name="k">'[18]Compressor performance'!$B$19</definedName>
    <definedName name="LASER" localSheetId="1">'[12]Pump Suction'!#REF!</definedName>
    <definedName name="LASER" localSheetId="8">'[12]Pump Suction'!#REF!</definedName>
    <definedName name="LASER" localSheetId="7">'[12]Pump Suction'!#REF!</definedName>
    <definedName name="LASER" localSheetId="10">'[12]Pump Suction'!#REF!</definedName>
    <definedName name="LASER" localSheetId="9">'[12]Pump Suction'!#REF!</definedName>
    <definedName name="LASER" localSheetId="11">'[12]Pump Suction'!#REF!</definedName>
    <definedName name="LASER" localSheetId="6">'[12]Pump Suction'!#REF!</definedName>
    <definedName name="LASER" localSheetId="2">'[12]Pump Suction'!#REF!</definedName>
    <definedName name="LASER" localSheetId="3">'[12]Pump Suction'!#REF!</definedName>
    <definedName name="LASER" localSheetId="0">'[12]Pump Suction'!#REF!</definedName>
    <definedName name="LASER">'[12]Pump Suction'!#REF!</definedName>
    <definedName name="latent" localSheetId="1">#REF!</definedName>
    <definedName name="latent" localSheetId="8">#REF!</definedName>
    <definedName name="latent" localSheetId="7">#REF!</definedName>
    <definedName name="latent" localSheetId="10">#REF!</definedName>
    <definedName name="latent" localSheetId="9">#REF!</definedName>
    <definedName name="latent" localSheetId="11">#REF!</definedName>
    <definedName name="latent" localSheetId="6">#REF!</definedName>
    <definedName name="latent" localSheetId="2">#REF!</definedName>
    <definedName name="latent" localSheetId="3">#REF!</definedName>
    <definedName name="latent" localSheetId="0">#REF!</definedName>
    <definedName name="latent">#REF!</definedName>
    <definedName name="Latent_factor" localSheetId="1">#REF!</definedName>
    <definedName name="Latent_factor" localSheetId="8">#REF!</definedName>
    <definedName name="Latent_factor" localSheetId="7">#REF!</definedName>
    <definedName name="Latent_factor" localSheetId="10">#REF!</definedName>
    <definedName name="Latent_factor" localSheetId="9">#REF!</definedName>
    <definedName name="Latent_factor" localSheetId="11">#REF!</definedName>
    <definedName name="Latent_factor" localSheetId="6">#REF!</definedName>
    <definedName name="Latent_factor" localSheetId="2">#REF!</definedName>
    <definedName name="Latent_factor" localSheetId="3">#REF!</definedName>
    <definedName name="Latent_factor" localSheetId="0">#REF!</definedName>
    <definedName name="Latent_factor">#REF!</definedName>
    <definedName name="length" localSheetId="1">#REF!</definedName>
    <definedName name="length" localSheetId="8">#REF!</definedName>
    <definedName name="length" localSheetId="7">#REF!</definedName>
    <definedName name="length" localSheetId="10">#REF!</definedName>
    <definedName name="length" localSheetId="9">#REF!</definedName>
    <definedName name="length" localSheetId="11">#REF!</definedName>
    <definedName name="length" localSheetId="6">#REF!</definedName>
    <definedName name="length" localSheetId="2">#REF!</definedName>
    <definedName name="length" localSheetId="3">#REF!</definedName>
    <definedName name="length" localSheetId="0">#REF!</definedName>
    <definedName name="length">#REF!</definedName>
    <definedName name="LHV" localSheetId="1">#REF!</definedName>
    <definedName name="LHV" localSheetId="8">#REF!</definedName>
    <definedName name="LHV" localSheetId="7">#REF!</definedName>
    <definedName name="LHV" localSheetId="10">#REF!</definedName>
    <definedName name="LHV" localSheetId="9">#REF!</definedName>
    <definedName name="LHV" localSheetId="11">#REF!</definedName>
    <definedName name="LHV" localSheetId="6">#REF!</definedName>
    <definedName name="LHV" localSheetId="2">#REF!</definedName>
    <definedName name="LHV" localSheetId="3">#REF!</definedName>
    <definedName name="LHV" localSheetId="0">#REF!</definedName>
    <definedName name="LHV">#REF!</definedName>
    <definedName name="liq_2" localSheetId="1">'[12]Pump Suction'!#REF!</definedName>
    <definedName name="liq_2" localSheetId="8">'[12]Pump Suction'!#REF!</definedName>
    <definedName name="liq_2" localSheetId="7">'[12]Pump Suction'!#REF!</definedName>
    <definedName name="liq_2" localSheetId="10">'[12]Pump Suction'!#REF!</definedName>
    <definedName name="liq_2" localSheetId="9">'[12]Pump Suction'!#REF!</definedName>
    <definedName name="liq_2" localSheetId="11">'[12]Pump Suction'!#REF!</definedName>
    <definedName name="liq_2" localSheetId="6">'[12]Pump Suction'!#REF!</definedName>
    <definedName name="liq_2" localSheetId="2">'[12]Pump Suction'!#REF!</definedName>
    <definedName name="liq_2" localSheetId="3">'[12]Pump Suction'!#REF!</definedName>
    <definedName name="liq_2" localSheetId="0">'[12]Pump Suction'!#REF!</definedName>
    <definedName name="liq_2">'[12]Pump Suction'!#REF!</definedName>
    <definedName name="liq_3" localSheetId="1">'[12]Pump Suction'!#REF!</definedName>
    <definedName name="liq_3" localSheetId="8">'[12]Pump Suction'!#REF!</definedName>
    <definedName name="liq_3" localSheetId="7">'[12]Pump Suction'!#REF!</definedName>
    <definedName name="liq_3" localSheetId="10">'[12]Pump Suction'!#REF!</definedName>
    <definedName name="liq_3" localSheetId="9">'[12]Pump Suction'!#REF!</definedName>
    <definedName name="liq_3" localSheetId="11">'[12]Pump Suction'!#REF!</definedName>
    <definedName name="liq_3" localSheetId="6">'[12]Pump Suction'!#REF!</definedName>
    <definedName name="liq_3" localSheetId="2">'[12]Pump Suction'!#REF!</definedName>
    <definedName name="liq_3" localSheetId="3">'[12]Pump Suction'!#REF!</definedName>
    <definedName name="liq_3" localSheetId="0">'[12]Pump Suction'!#REF!</definedName>
    <definedName name="liq_3">'[12]Pump Suction'!#REF!</definedName>
    <definedName name="LIQUID" localSheetId="1">'[12]Pump Suction'!#REF!</definedName>
    <definedName name="LIQUID" localSheetId="8">'[12]Pump Suction'!#REF!</definedName>
    <definedName name="LIQUID" localSheetId="7">'[12]Pump Suction'!#REF!</definedName>
    <definedName name="LIQUID" localSheetId="10">'[12]Pump Suction'!#REF!</definedName>
    <definedName name="LIQUID" localSheetId="9">'[12]Pump Suction'!#REF!</definedName>
    <definedName name="LIQUID" localSheetId="11">'[12]Pump Suction'!#REF!</definedName>
    <definedName name="LIQUID" localSheetId="6">'[12]Pump Suction'!#REF!</definedName>
    <definedName name="LIQUID" localSheetId="2">'[12]Pump Suction'!#REF!</definedName>
    <definedName name="LIQUID" localSheetId="3">'[12]Pump Suction'!#REF!</definedName>
    <definedName name="LIQUID" localSheetId="0">'[12]Pump Suction'!#REF!</definedName>
    <definedName name="LIQUID">'[12]Pump Suction'!#REF!</definedName>
    <definedName name="Loc" localSheetId="1">#REF!</definedName>
    <definedName name="Loc" localSheetId="8">#REF!</definedName>
    <definedName name="Loc" localSheetId="7">#REF!</definedName>
    <definedName name="Loc" localSheetId="10">#REF!</definedName>
    <definedName name="Loc" localSheetId="9">#REF!</definedName>
    <definedName name="Loc" localSheetId="11">#REF!</definedName>
    <definedName name="Loc" localSheetId="6">#REF!</definedName>
    <definedName name="Loc" localSheetId="2">#REF!</definedName>
    <definedName name="Loc" localSheetId="3">#REF!</definedName>
    <definedName name="Loc" localSheetId="0">#REF!</definedName>
    <definedName name="Loc">#REF!</definedName>
    <definedName name="LOGO1" localSheetId="1">#REF!</definedName>
    <definedName name="LOGO1" localSheetId="8">#REF!</definedName>
    <definedName name="LOGO1" localSheetId="7">#REF!</definedName>
    <definedName name="LOGO1" localSheetId="10">#REF!</definedName>
    <definedName name="LOGO1" localSheetId="9">#REF!</definedName>
    <definedName name="LOGO1" localSheetId="11">#REF!</definedName>
    <definedName name="LOGO1" localSheetId="6">#REF!</definedName>
    <definedName name="LOGO1" localSheetId="2">#REF!</definedName>
    <definedName name="LOGO1" localSheetId="3">#REF!</definedName>
    <definedName name="LOGO1" localSheetId="0">#REF!</definedName>
    <definedName name="LOGO1">#REF!</definedName>
    <definedName name="LOGO2" localSheetId="1">#REF!</definedName>
    <definedName name="LOGO2" localSheetId="8">#REF!</definedName>
    <definedName name="LOGO2" localSheetId="7">#REF!</definedName>
    <definedName name="LOGO2" localSheetId="10">#REF!</definedName>
    <definedName name="LOGO2" localSheetId="9">#REF!</definedName>
    <definedName name="LOGO2" localSheetId="11">#REF!</definedName>
    <definedName name="LOGO2" localSheetId="6">#REF!</definedName>
    <definedName name="LOGO2" localSheetId="2">#REF!</definedName>
    <definedName name="LOGO2" localSheetId="3">#REF!</definedName>
    <definedName name="LOGO2" localSheetId="0">#REF!</definedName>
    <definedName name="LOGO2">#REF!</definedName>
    <definedName name="LOGO3" localSheetId="1">#REF!</definedName>
    <definedName name="LOGO3" localSheetId="8">#REF!</definedName>
    <definedName name="LOGO3" localSheetId="7">#REF!</definedName>
    <definedName name="LOGO3" localSheetId="10">#REF!</definedName>
    <definedName name="LOGO3" localSheetId="9">#REF!</definedName>
    <definedName name="LOGO3" localSheetId="11">#REF!</definedName>
    <definedName name="LOGO3" localSheetId="6">#REF!</definedName>
    <definedName name="LOGO3" localSheetId="2">#REF!</definedName>
    <definedName name="LOGO3" localSheetId="3">#REF!</definedName>
    <definedName name="LOGO3" localSheetId="0">#REF!</definedName>
    <definedName name="LOGO3">#REF!</definedName>
    <definedName name="LOGO4" localSheetId="1">#REF!</definedName>
    <definedName name="LOGO4" localSheetId="8">#REF!</definedName>
    <definedName name="LOGO4" localSheetId="7">#REF!</definedName>
    <definedName name="LOGO4" localSheetId="10">#REF!</definedName>
    <definedName name="LOGO4" localSheetId="9">#REF!</definedName>
    <definedName name="LOGO4" localSheetId="11">#REF!</definedName>
    <definedName name="LOGO4" localSheetId="6">#REF!</definedName>
    <definedName name="LOGO4" localSheetId="2">#REF!</definedName>
    <definedName name="LOGO4" localSheetId="3">#REF!</definedName>
    <definedName name="LOGO4" localSheetId="0">#REF!</definedName>
    <definedName name="LOGO4">#REF!</definedName>
    <definedName name="LOGO5" localSheetId="1">#REF!</definedName>
    <definedName name="LOGO5" localSheetId="8">#REF!</definedName>
    <definedName name="LOGO5" localSheetId="7">#REF!</definedName>
    <definedName name="LOGO5" localSheetId="10">#REF!</definedName>
    <definedName name="LOGO5" localSheetId="9">#REF!</definedName>
    <definedName name="LOGO5" localSheetId="11">#REF!</definedName>
    <definedName name="LOGO5" localSheetId="6">#REF!</definedName>
    <definedName name="LOGO5" localSheetId="2">#REF!</definedName>
    <definedName name="LOGO5" localSheetId="3">#REF!</definedName>
    <definedName name="LOGO5" localSheetId="0">#REF!</definedName>
    <definedName name="LOGO5">#REF!</definedName>
    <definedName name="lossgsu" localSheetId="1">#REF!</definedName>
    <definedName name="lossgsu" localSheetId="8">#REF!</definedName>
    <definedName name="lossgsu" localSheetId="7">#REF!</definedName>
    <definedName name="lossgsu" localSheetId="10">#REF!</definedName>
    <definedName name="lossgsu" localSheetId="9">#REF!</definedName>
    <definedName name="lossgsu" localSheetId="11">#REF!</definedName>
    <definedName name="lossgsu" localSheetId="6">#REF!</definedName>
    <definedName name="lossgsu" localSheetId="2">#REF!</definedName>
    <definedName name="lossgsu" localSheetId="3">#REF!</definedName>
    <definedName name="lossgsu" localSheetId="0">#REF!</definedName>
    <definedName name="lossgsu">#REF!</definedName>
    <definedName name="LOW_T" localSheetId="1">#REF!</definedName>
    <definedName name="LOW_T" localSheetId="8">#REF!</definedName>
    <definedName name="LOW_T" localSheetId="7">#REF!</definedName>
    <definedName name="LOW_T" localSheetId="10">#REF!</definedName>
    <definedName name="LOW_T" localSheetId="9">#REF!</definedName>
    <definedName name="LOW_T" localSheetId="11">#REF!</definedName>
    <definedName name="LOW_T" localSheetId="6">#REF!</definedName>
    <definedName name="LOW_T" localSheetId="2">#REF!</definedName>
    <definedName name="LOW_T" localSheetId="3">#REF!</definedName>
    <definedName name="LOW_T" localSheetId="0">#REF!</definedName>
    <definedName name="LOW_T">#REF!</definedName>
    <definedName name="lqcoconvppm" localSheetId="1">#REF!</definedName>
    <definedName name="lqcoconvppm" localSheetId="8">#REF!</definedName>
    <definedName name="lqcoconvppm" localSheetId="7">#REF!</definedName>
    <definedName name="lqcoconvppm" localSheetId="10">#REF!</definedName>
    <definedName name="lqcoconvppm" localSheetId="9">#REF!</definedName>
    <definedName name="lqcoconvppm" localSheetId="11">#REF!</definedName>
    <definedName name="lqcoconvppm" localSheetId="6">#REF!</definedName>
    <definedName name="lqcoconvppm" localSheetId="2">#REF!</definedName>
    <definedName name="lqcoconvppm" localSheetId="3">#REF!</definedName>
    <definedName name="lqcoconvppm" localSheetId="0">#REF!</definedName>
    <definedName name="lqcoconvppm">#REF!</definedName>
    <definedName name="lqhhvlb" localSheetId="1">#REF!</definedName>
    <definedName name="lqhhvlb" localSheetId="8">#REF!</definedName>
    <definedName name="lqhhvlb" localSheetId="7">#REF!</definedName>
    <definedName name="lqhhvlb" localSheetId="10">#REF!</definedName>
    <definedName name="lqhhvlb" localSheetId="9">#REF!</definedName>
    <definedName name="lqhhvlb" localSheetId="11">#REF!</definedName>
    <definedName name="lqhhvlb" localSheetId="6">#REF!</definedName>
    <definedName name="lqhhvlb" localSheetId="2">#REF!</definedName>
    <definedName name="lqhhvlb" localSheetId="3">#REF!</definedName>
    <definedName name="lqhhvlb" localSheetId="0">#REF!</definedName>
    <definedName name="lqhhvlb">#REF!</definedName>
    <definedName name="lqhhvlhvratio" localSheetId="1">#REF!</definedName>
    <definedName name="lqhhvlhvratio" localSheetId="8">#REF!</definedName>
    <definedName name="lqhhvlhvratio" localSheetId="7">#REF!</definedName>
    <definedName name="lqhhvlhvratio" localSheetId="10">#REF!</definedName>
    <definedName name="lqhhvlhvratio" localSheetId="9">#REF!</definedName>
    <definedName name="lqhhvlhvratio" localSheetId="11">#REF!</definedName>
    <definedName name="lqhhvlhvratio" localSheetId="6">#REF!</definedName>
    <definedName name="lqhhvlhvratio" localSheetId="2">#REF!</definedName>
    <definedName name="lqhhvlhvratio" localSheetId="3">#REF!</definedName>
    <definedName name="lqhhvlhvratio" localSheetId="0">#REF!</definedName>
    <definedName name="lqhhvlhvratio">#REF!</definedName>
    <definedName name="lqlhvlb" localSheetId="1">#REF!</definedName>
    <definedName name="lqlhvlb" localSheetId="8">#REF!</definedName>
    <definedName name="lqlhvlb" localSheetId="7">#REF!</definedName>
    <definedName name="lqlhvlb" localSheetId="10">#REF!</definedName>
    <definedName name="lqlhvlb" localSheetId="9">#REF!</definedName>
    <definedName name="lqlhvlb" localSheetId="11">#REF!</definedName>
    <definedName name="lqlhvlb" localSheetId="6">#REF!</definedName>
    <definedName name="lqlhvlb" localSheetId="2">#REF!</definedName>
    <definedName name="lqlhvlb" localSheetId="3">#REF!</definedName>
    <definedName name="lqlhvlb" localSheetId="0">#REF!</definedName>
    <definedName name="lqlhvlb">#REF!</definedName>
    <definedName name="lqnoxratio" localSheetId="1">#REF!</definedName>
    <definedName name="lqnoxratio" localSheetId="8">#REF!</definedName>
    <definedName name="lqnoxratio" localSheetId="7">#REF!</definedName>
    <definedName name="lqnoxratio" localSheetId="10">#REF!</definedName>
    <definedName name="lqnoxratio" localSheetId="9">#REF!</definedName>
    <definedName name="lqnoxratio" localSheetId="11">#REF!</definedName>
    <definedName name="lqnoxratio" localSheetId="6">#REF!</definedName>
    <definedName name="lqnoxratio" localSheetId="2">#REF!</definedName>
    <definedName name="lqnoxratio" localSheetId="3">#REF!</definedName>
    <definedName name="lqnoxratio" localSheetId="0">#REF!</definedName>
    <definedName name="lqnoxratio">#REF!</definedName>
    <definedName name="lqpm10gt" localSheetId="1">#REF!</definedName>
    <definedName name="lqpm10gt" localSheetId="8">#REF!</definedName>
    <definedName name="lqpm10gt" localSheetId="7">#REF!</definedName>
    <definedName name="lqpm10gt" localSheetId="10">#REF!</definedName>
    <definedName name="lqpm10gt" localSheetId="9">#REF!</definedName>
    <definedName name="lqpm10gt" localSheetId="11">#REF!</definedName>
    <definedName name="lqpm10gt" localSheetId="6">#REF!</definedName>
    <definedName name="lqpm10gt" localSheetId="2">#REF!</definedName>
    <definedName name="lqpm10gt" localSheetId="3">#REF!</definedName>
    <definedName name="lqpm10gt" localSheetId="0">#REF!</definedName>
    <definedName name="lqpm10gt">#REF!</definedName>
    <definedName name="lqpm10scr" localSheetId="1">#REF!</definedName>
    <definedName name="lqpm10scr" localSheetId="8">#REF!</definedName>
    <definedName name="lqpm10scr" localSheetId="7">#REF!</definedName>
    <definedName name="lqpm10scr" localSheetId="10">#REF!</definedName>
    <definedName name="lqpm10scr" localSheetId="9">#REF!</definedName>
    <definedName name="lqpm10scr" localSheetId="11">#REF!</definedName>
    <definedName name="lqpm10scr" localSheetId="6">#REF!</definedName>
    <definedName name="lqpm10scr" localSheetId="2">#REF!</definedName>
    <definedName name="lqpm10scr" localSheetId="3">#REF!</definedName>
    <definedName name="lqpm10scr" localSheetId="0">#REF!</definedName>
    <definedName name="lqpm10scr">#REF!</definedName>
    <definedName name="lqspcnt" localSheetId="1">#REF!</definedName>
    <definedName name="lqspcnt" localSheetId="8">#REF!</definedName>
    <definedName name="lqspcnt" localSheetId="7">#REF!</definedName>
    <definedName name="lqspcnt" localSheetId="10">#REF!</definedName>
    <definedName name="lqspcnt" localSheetId="9">#REF!</definedName>
    <definedName name="lqspcnt" localSheetId="11">#REF!</definedName>
    <definedName name="lqspcnt" localSheetId="6">#REF!</definedName>
    <definedName name="lqspcnt" localSheetId="2">#REF!</definedName>
    <definedName name="lqspcnt" localSheetId="3">#REF!</definedName>
    <definedName name="lqspcnt" localSheetId="0">#REF!</definedName>
    <definedName name="lqspcnt">#REF!</definedName>
    <definedName name="lqtspgt" localSheetId="1">#REF!</definedName>
    <definedName name="lqtspgt" localSheetId="8">#REF!</definedName>
    <definedName name="lqtspgt" localSheetId="7">#REF!</definedName>
    <definedName name="lqtspgt" localSheetId="10">#REF!</definedName>
    <definedName name="lqtspgt" localSheetId="9">#REF!</definedName>
    <definedName name="lqtspgt" localSheetId="11">#REF!</definedName>
    <definedName name="lqtspgt" localSheetId="6">#REF!</definedName>
    <definedName name="lqtspgt" localSheetId="2">#REF!</definedName>
    <definedName name="lqtspgt" localSheetId="3">#REF!</definedName>
    <definedName name="lqtspgt" localSheetId="0">#REF!</definedName>
    <definedName name="lqtspgt">#REF!</definedName>
    <definedName name="lqtspscr" localSheetId="1">#REF!</definedName>
    <definedName name="lqtspscr" localSheetId="8">#REF!</definedName>
    <definedName name="lqtspscr" localSheetId="7">#REF!</definedName>
    <definedName name="lqtspscr" localSheetId="10">#REF!</definedName>
    <definedName name="lqtspscr" localSheetId="9">#REF!</definedName>
    <definedName name="lqtspscr" localSheetId="11">#REF!</definedName>
    <definedName name="lqtspscr" localSheetId="6">#REF!</definedName>
    <definedName name="lqtspscr" localSheetId="2">#REF!</definedName>
    <definedName name="lqtspscr" localSheetId="3">#REF!</definedName>
    <definedName name="lqtspscr" localSheetId="0">#REF!</definedName>
    <definedName name="lqtspscr">#REF!</definedName>
    <definedName name="M">'[18]Compressor performance'!$B$21</definedName>
    <definedName name="M1122_" localSheetId="1">'[11]Corrib Haz'!#REF!</definedName>
    <definedName name="M1122_" localSheetId="8">'[11]Corrib Haz'!#REF!</definedName>
    <definedName name="M1122_" localSheetId="7">'[11]Corrib Haz'!#REF!</definedName>
    <definedName name="M1122_" localSheetId="10">'[11]Corrib Haz'!#REF!</definedName>
    <definedName name="M1122_" localSheetId="9">'[11]Corrib Haz'!#REF!</definedName>
    <definedName name="M1122_" localSheetId="11">'[11]Corrib Haz'!#REF!</definedName>
    <definedName name="M1122_" localSheetId="6">'[11]Corrib Haz'!#REF!</definedName>
    <definedName name="M1122_" localSheetId="2">'[11]Corrib Haz'!#REF!</definedName>
    <definedName name="M1122_" localSheetId="3">'[11]Corrib Haz'!#REF!</definedName>
    <definedName name="M1122_" localSheetId="0">'[11]Corrib Haz'!#REF!</definedName>
    <definedName name="M1122_">'[11]Corrib Haz'!#REF!</definedName>
    <definedName name="Macro1" localSheetId="13">'AQRV Speciation'!Macro1</definedName>
    <definedName name="Macro1">[0]!Macro1</definedName>
    <definedName name="Macro2" localSheetId="13">'AQRV Speciation'!Macro2</definedName>
    <definedName name="Macro2">[0]!Macro2</definedName>
    <definedName name="Macro3" localSheetId="13">'AQRV Speciation'!Macro3</definedName>
    <definedName name="Macro3">[0]!Macro3</definedName>
    <definedName name="MAINMENU" localSheetId="1">[19]!MAINMENU</definedName>
    <definedName name="MAINMENU" localSheetId="8">[19]!MAINMENU</definedName>
    <definedName name="MAINMENU" localSheetId="7">[19]!MAINMENU</definedName>
    <definedName name="MAINMENU" localSheetId="10">[19]!MAINMENU</definedName>
    <definedName name="MAINMENU" localSheetId="9">[19]!MAINMENU</definedName>
    <definedName name="MAINMENU" localSheetId="11">[19]!MAINMENU</definedName>
    <definedName name="MAINMENU" localSheetId="6">[19]!MAINMENU</definedName>
    <definedName name="MAINMENU" localSheetId="2">[19]!MAINMENU</definedName>
    <definedName name="MAINMENU" localSheetId="3">[19]!MAINMENU</definedName>
    <definedName name="MAINMENU" localSheetId="0">[19]!MAINMENU</definedName>
    <definedName name="MAINMENU">[19]!MAINMENU</definedName>
    <definedName name="massflow" localSheetId="1">#REF!</definedName>
    <definedName name="massflow" localSheetId="8">#REF!</definedName>
    <definedName name="massflow" localSheetId="7">#REF!</definedName>
    <definedName name="massflow" localSheetId="10">#REF!</definedName>
    <definedName name="massflow" localSheetId="9">#REF!</definedName>
    <definedName name="massflow" localSheetId="11">#REF!</definedName>
    <definedName name="massflow" localSheetId="6">#REF!</definedName>
    <definedName name="massflow" localSheetId="2">#REF!</definedName>
    <definedName name="massflow" localSheetId="3">#REF!</definedName>
    <definedName name="massflow" localSheetId="0">#REF!</definedName>
    <definedName name="massflow">#REF!</definedName>
    <definedName name="MassFlow_Factor" localSheetId="1">#REF!</definedName>
    <definedName name="MassFlow_Factor" localSheetId="8">#REF!</definedName>
    <definedName name="MassFlow_Factor" localSheetId="7">#REF!</definedName>
    <definedName name="MassFlow_Factor" localSheetId="10">#REF!</definedName>
    <definedName name="MassFlow_Factor" localSheetId="9">#REF!</definedName>
    <definedName name="MassFlow_Factor" localSheetId="11">#REF!</definedName>
    <definedName name="MassFlow_Factor" localSheetId="6">#REF!</definedName>
    <definedName name="MassFlow_Factor" localSheetId="2">#REF!</definedName>
    <definedName name="MassFlow_Factor" localSheetId="3">#REF!</definedName>
    <definedName name="MassFlow_Factor" localSheetId="0">#REF!</definedName>
    <definedName name="MassFlow_Factor">#REF!</definedName>
    <definedName name="Material" localSheetId="1">#REF!</definedName>
    <definedName name="Material" localSheetId="8">#REF!</definedName>
    <definedName name="Material" localSheetId="7">#REF!</definedName>
    <definedName name="Material" localSheetId="10">#REF!</definedName>
    <definedName name="Material" localSheetId="9">#REF!</definedName>
    <definedName name="Material" localSheetId="11">#REF!</definedName>
    <definedName name="Material" localSheetId="6">#REF!</definedName>
    <definedName name="Material" localSheetId="2">#REF!</definedName>
    <definedName name="Material" localSheetId="3">#REF!</definedName>
    <definedName name="Material" localSheetId="0">#REF!</definedName>
    <definedName name="Material">#REF!</definedName>
    <definedName name="maxtorqu" localSheetId="1">#REF!</definedName>
    <definedName name="maxtorqu" localSheetId="8">#REF!</definedName>
    <definedName name="maxtorqu" localSheetId="7">#REF!</definedName>
    <definedName name="maxtorqu" localSheetId="10">#REF!</definedName>
    <definedName name="maxtorqu" localSheetId="9">#REF!</definedName>
    <definedName name="maxtorqu" localSheetId="11">#REF!</definedName>
    <definedName name="maxtorqu" localSheetId="6">#REF!</definedName>
    <definedName name="maxtorqu" localSheetId="2">#REF!</definedName>
    <definedName name="maxtorqu" localSheetId="3">#REF!</definedName>
    <definedName name="maxtorqu" localSheetId="0">#REF!</definedName>
    <definedName name="maxtorqu">#REF!</definedName>
    <definedName name="METRIC" localSheetId="1">#REF!</definedName>
    <definedName name="METRIC" localSheetId="8">#REF!</definedName>
    <definedName name="METRIC" localSheetId="7">#REF!</definedName>
    <definedName name="METRIC" localSheetId="10">#REF!</definedName>
    <definedName name="METRIC" localSheetId="9">#REF!</definedName>
    <definedName name="METRIC" localSheetId="11">#REF!</definedName>
    <definedName name="METRIC" localSheetId="6">#REF!</definedName>
    <definedName name="METRIC" localSheetId="2">#REF!</definedName>
    <definedName name="METRIC" localSheetId="3">#REF!</definedName>
    <definedName name="METRIC" localSheetId="0">#REF!</definedName>
    <definedName name="METRIC">#REF!</definedName>
    <definedName name="mfmrgn" localSheetId="1">#REF!</definedName>
    <definedName name="mfmrgn" localSheetId="8">#REF!</definedName>
    <definedName name="mfmrgn" localSheetId="7">#REF!</definedName>
    <definedName name="mfmrgn" localSheetId="10">#REF!</definedName>
    <definedName name="mfmrgn" localSheetId="9">#REF!</definedName>
    <definedName name="mfmrgn" localSheetId="11">#REF!</definedName>
    <definedName name="mfmrgn" localSheetId="6">#REF!</definedName>
    <definedName name="mfmrgn" localSheetId="2">#REF!</definedName>
    <definedName name="mfmrgn" localSheetId="3">#REF!</definedName>
    <definedName name="mfmrgn" localSheetId="0">#REF!</definedName>
    <definedName name="mfmrgn">#REF!</definedName>
    <definedName name="MinVal" localSheetId="1">#REF!</definedName>
    <definedName name="MinVal" localSheetId="8">#REF!</definedName>
    <definedName name="MinVal" localSheetId="7">#REF!</definedName>
    <definedName name="MinVal" localSheetId="10">#REF!</definedName>
    <definedName name="MinVal" localSheetId="9">#REF!</definedName>
    <definedName name="MinVal" localSheetId="11">#REF!</definedName>
    <definedName name="MinVal" localSheetId="6">#REF!</definedName>
    <definedName name="MinVal" localSheetId="2">#REF!</definedName>
    <definedName name="MinVal" localSheetId="3">#REF!</definedName>
    <definedName name="MinVal" localSheetId="0">#REF!</definedName>
    <definedName name="MinVal">#REF!</definedName>
    <definedName name="MinValFormula" localSheetId="1">#REF!</definedName>
    <definedName name="MinValFormula" localSheetId="8">#REF!</definedName>
    <definedName name="MinValFormula" localSheetId="7">#REF!</definedName>
    <definedName name="MinValFormula" localSheetId="10">#REF!</definedName>
    <definedName name="MinValFormula" localSheetId="9">#REF!</definedName>
    <definedName name="MinValFormula" localSheetId="11">#REF!</definedName>
    <definedName name="MinValFormula" localSheetId="6">#REF!</definedName>
    <definedName name="MinValFormula" localSheetId="2">#REF!</definedName>
    <definedName name="MinValFormula" localSheetId="3">#REF!</definedName>
    <definedName name="MinValFormula" localSheetId="0">#REF!</definedName>
    <definedName name="MinValFormula">#REF!</definedName>
    <definedName name="Modeling" localSheetId="1" hidden="1">#REF!</definedName>
    <definedName name="Modeling" localSheetId="8" hidden="1">#REF!</definedName>
    <definedName name="Modeling" localSheetId="7" hidden="1">#REF!</definedName>
    <definedName name="Modeling" localSheetId="10" hidden="1">#REF!</definedName>
    <definedName name="Modeling" localSheetId="9" hidden="1">#REF!</definedName>
    <definedName name="Modeling" localSheetId="11" hidden="1">#REF!</definedName>
    <definedName name="Modeling" localSheetId="6" hidden="1">#REF!</definedName>
    <definedName name="Modeling" localSheetId="2" hidden="1">#REF!</definedName>
    <definedName name="Modeling" localSheetId="3" hidden="1">#REF!</definedName>
    <definedName name="Modeling" localSheetId="0" hidden="1">#REF!</definedName>
    <definedName name="Modeling" hidden="1">#REF!</definedName>
    <definedName name="Mol_Wt" localSheetId="1">#REF!</definedName>
    <definedName name="Mol_Wt" localSheetId="8">#REF!</definedName>
    <definedName name="Mol_Wt" localSheetId="7">#REF!</definedName>
    <definedName name="Mol_Wt" localSheetId="10">#REF!</definedName>
    <definedName name="Mol_Wt" localSheetId="9">#REF!</definedName>
    <definedName name="Mol_Wt" localSheetId="11">#REF!</definedName>
    <definedName name="Mol_Wt" localSheetId="6">#REF!</definedName>
    <definedName name="Mol_Wt" localSheetId="2">#REF!</definedName>
    <definedName name="Mol_Wt" localSheetId="3">#REF!</definedName>
    <definedName name="Mol_Wt" localSheetId="0">#REF!</definedName>
    <definedName name="Mol_Wt">#REF!</definedName>
    <definedName name="MolWt" localSheetId="1">#REF!</definedName>
    <definedName name="MolWt" localSheetId="8">#REF!</definedName>
    <definedName name="MolWt" localSheetId="7">#REF!</definedName>
    <definedName name="MolWt" localSheetId="10">#REF!</definedName>
    <definedName name="MolWt" localSheetId="9">#REF!</definedName>
    <definedName name="MolWt" localSheetId="11">#REF!</definedName>
    <definedName name="MolWt" localSheetId="6">#REF!</definedName>
    <definedName name="MolWt" localSheetId="2">#REF!</definedName>
    <definedName name="MolWt" localSheetId="3">#REF!</definedName>
    <definedName name="MolWt" localSheetId="0">#REF!</definedName>
    <definedName name="MolWt">#REF!</definedName>
    <definedName name="moment" localSheetId="1">#REF!</definedName>
    <definedName name="moment" localSheetId="8">#REF!</definedName>
    <definedName name="moment" localSheetId="7">#REF!</definedName>
    <definedName name="moment" localSheetId="10">#REF!</definedName>
    <definedName name="moment" localSheetId="9">#REF!</definedName>
    <definedName name="moment" localSheetId="11">#REF!</definedName>
    <definedName name="moment" localSheetId="6">#REF!</definedName>
    <definedName name="moment" localSheetId="2">#REF!</definedName>
    <definedName name="moment" localSheetId="3">#REF!</definedName>
    <definedName name="moment" localSheetId="0">#REF!</definedName>
    <definedName name="moment">#REF!</definedName>
    <definedName name="NB" localSheetId="1">#REF!</definedName>
    <definedName name="NB" localSheetId="8">#REF!</definedName>
    <definedName name="NB" localSheetId="7">#REF!</definedName>
    <definedName name="NB" localSheetId="10">#REF!</definedName>
    <definedName name="NB" localSheetId="9">#REF!</definedName>
    <definedName name="NB" localSheetId="11">#REF!</definedName>
    <definedName name="NB" localSheetId="6">#REF!</definedName>
    <definedName name="NB" localSheetId="2">#REF!</definedName>
    <definedName name="NB" localSheetId="3">#REF!</definedName>
    <definedName name="NB" localSheetId="0">#REF!</definedName>
    <definedName name="NB">#REF!</definedName>
    <definedName name="ngamnslip" localSheetId="1">#REF!</definedName>
    <definedName name="ngamnslip" localSheetId="8">#REF!</definedName>
    <definedName name="ngamnslip" localSheetId="7">#REF!</definedName>
    <definedName name="ngamnslip" localSheetId="10">#REF!</definedName>
    <definedName name="ngamnslip" localSheetId="9">#REF!</definedName>
    <definedName name="ngamnslip" localSheetId="11">#REF!</definedName>
    <definedName name="ngamnslip" localSheetId="6">#REF!</definedName>
    <definedName name="ngamnslip" localSheetId="2">#REF!</definedName>
    <definedName name="ngamnslip" localSheetId="3">#REF!</definedName>
    <definedName name="ngamnslip" localSheetId="0">#REF!</definedName>
    <definedName name="ngamnslip">#REF!</definedName>
    <definedName name="nghhvlb" localSheetId="1">#REF!</definedName>
    <definedName name="nghhvlb" localSheetId="8">#REF!</definedName>
    <definedName name="nghhvlb" localSheetId="7">#REF!</definedName>
    <definedName name="nghhvlb" localSheetId="10">#REF!</definedName>
    <definedName name="nghhvlb" localSheetId="9">#REF!</definedName>
    <definedName name="nghhvlb" localSheetId="11">#REF!</definedName>
    <definedName name="nghhvlb" localSheetId="6">#REF!</definedName>
    <definedName name="nghhvlb" localSheetId="2">#REF!</definedName>
    <definedName name="nghhvlb" localSheetId="3">#REF!</definedName>
    <definedName name="nghhvlb" localSheetId="0">#REF!</definedName>
    <definedName name="nghhvlb">#REF!</definedName>
    <definedName name="nghhvlhvratio" localSheetId="1">#REF!</definedName>
    <definedName name="nghhvlhvratio" localSheetId="8">#REF!</definedName>
    <definedName name="nghhvlhvratio" localSheetId="7">#REF!</definedName>
    <definedName name="nghhvlhvratio" localSheetId="10">#REF!</definedName>
    <definedName name="nghhvlhvratio" localSheetId="9">#REF!</definedName>
    <definedName name="nghhvlhvratio" localSheetId="11">#REF!</definedName>
    <definedName name="nghhvlhvratio" localSheetId="6">#REF!</definedName>
    <definedName name="nghhvlhvratio" localSheetId="2">#REF!</definedName>
    <definedName name="nghhvlhvratio" localSheetId="3">#REF!</definedName>
    <definedName name="nghhvlhvratio" localSheetId="0">#REF!</definedName>
    <definedName name="nghhvlhvratio">#REF!</definedName>
    <definedName name="nglhvlb" localSheetId="1">#REF!</definedName>
    <definedName name="nglhvlb" localSheetId="8">#REF!</definedName>
    <definedName name="nglhvlb" localSheetId="7">#REF!</definedName>
    <definedName name="nglhvlb" localSheetId="10">#REF!</definedName>
    <definedName name="nglhvlb" localSheetId="9">#REF!</definedName>
    <definedName name="nglhvlb" localSheetId="11">#REF!</definedName>
    <definedName name="nglhvlb" localSheetId="6">#REF!</definedName>
    <definedName name="nglhvlb" localSheetId="2">#REF!</definedName>
    <definedName name="nglhvlb" localSheetId="3">#REF!</definedName>
    <definedName name="nglhvlb" localSheetId="0">#REF!</definedName>
    <definedName name="nglhvlb">#REF!</definedName>
    <definedName name="nglhvscf" localSheetId="1">#REF!</definedName>
    <definedName name="nglhvscf" localSheetId="8">#REF!</definedName>
    <definedName name="nglhvscf" localSheetId="7">#REF!</definedName>
    <definedName name="nglhvscf" localSheetId="10">#REF!</definedName>
    <definedName name="nglhvscf" localSheetId="9">#REF!</definedName>
    <definedName name="nglhvscf" localSheetId="11">#REF!</definedName>
    <definedName name="nglhvscf" localSheetId="6">#REF!</definedName>
    <definedName name="nglhvscf" localSheetId="2">#REF!</definedName>
    <definedName name="nglhvscf" localSheetId="3">#REF!</definedName>
    <definedName name="nglhvscf" localSheetId="0">#REF!</definedName>
    <definedName name="nglhvscf">#REF!</definedName>
    <definedName name="ngnoxratio" localSheetId="1">#REF!</definedName>
    <definedName name="ngnoxratio" localSheetId="8">#REF!</definedName>
    <definedName name="ngnoxratio" localSheetId="7">#REF!</definedName>
    <definedName name="ngnoxratio" localSheetId="10">#REF!</definedName>
    <definedName name="ngnoxratio" localSheetId="9">#REF!</definedName>
    <definedName name="ngnoxratio" localSheetId="11">#REF!</definedName>
    <definedName name="ngnoxratio" localSheetId="6">#REF!</definedName>
    <definedName name="ngnoxratio" localSheetId="2">#REF!</definedName>
    <definedName name="ngnoxratio" localSheetId="3">#REF!</definedName>
    <definedName name="ngnoxratio" localSheetId="0">#REF!</definedName>
    <definedName name="ngnoxratio">#REF!</definedName>
    <definedName name="ngpm10gt" localSheetId="1">#REF!</definedName>
    <definedName name="ngpm10gt" localSheetId="8">#REF!</definedName>
    <definedName name="ngpm10gt" localSheetId="7">#REF!</definedName>
    <definedName name="ngpm10gt" localSheetId="10">#REF!</definedName>
    <definedName name="ngpm10gt" localSheetId="9">#REF!</definedName>
    <definedName name="ngpm10gt" localSheetId="11">#REF!</definedName>
    <definedName name="ngpm10gt" localSheetId="6">#REF!</definedName>
    <definedName name="ngpm10gt" localSheetId="2">#REF!</definedName>
    <definedName name="ngpm10gt" localSheetId="3">#REF!</definedName>
    <definedName name="ngpm10gt" localSheetId="0">#REF!</definedName>
    <definedName name="ngpm10gt">#REF!</definedName>
    <definedName name="ngpm10scr" localSheetId="1">#REF!</definedName>
    <definedName name="ngpm10scr" localSheetId="8">#REF!</definedName>
    <definedName name="ngpm10scr" localSheetId="7">#REF!</definedName>
    <definedName name="ngpm10scr" localSheetId="10">#REF!</definedName>
    <definedName name="ngpm10scr" localSheetId="9">#REF!</definedName>
    <definedName name="ngpm10scr" localSheetId="11">#REF!</definedName>
    <definedName name="ngpm10scr" localSheetId="6">#REF!</definedName>
    <definedName name="ngpm10scr" localSheetId="2">#REF!</definedName>
    <definedName name="ngpm10scr" localSheetId="3">#REF!</definedName>
    <definedName name="ngpm10scr" localSheetId="0">#REF!</definedName>
    <definedName name="ngpm10scr">#REF!</definedName>
    <definedName name="ngspcnt" localSheetId="1">#REF!</definedName>
    <definedName name="ngspcnt" localSheetId="8">#REF!</definedName>
    <definedName name="ngspcnt" localSheetId="7">#REF!</definedName>
    <definedName name="ngspcnt" localSheetId="10">#REF!</definedName>
    <definedName name="ngspcnt" localSheetId="9">#REF!</definedName>
    <definedName name="ngspcnt" localSheetId="11">#REF!</definedName>
    <definedName name="ngspcnt" localSheetId="6">#REF!</definedName>
    <definedName name="ngspcnt" localSheetId="2">#REF!</definedName>
    <definedName name="ngspcnt" localSheetId="3">#REF!</definedName>
    <definedName name="ngspcnt" localSheetId="0">#REF!</definedName>
    <definedName name="ngspcnt">#REF!</definedName>
    <definedName name="ngsulfate" localSheetId="1">#REF!</definedName>
    <definedName name="ngsulfate" localSheetId="8">#REF!</definedName>
    <definedName name="ngsulfate" localSheetId="7">#REF!</definedName>
    <definedName name="ngsulfate" localSheetId="10">#REF!</definedName>
    <definedName name="ngsulfate" localSheetId="9">#REF!</definedName>
    <definedName name="ngsulfate" localSheetId="11">#REF!</definedName>
    <definedName name="ngsulfate" localSheetId="6">#REF!</definedName>
    <definedName name="ngsulfate" localSheetId="2">#REF!</definedName>
    <definedName name="ngsulfate" localSheetId="3">#REF!</definedName>
    <definedName name="ngsulfate" localSheetId="0">#REF!</definedName>
    <definedName name="ngsulfate">#REF!</definedName>
    <definedName name="ngsulfur" localSheetId="1">#REF!</definedName>
    <definedName name="ngsulfur" localSheetId="8">#REF!</definedName>
    <definedName name="ngsulfur" localSheetId="7">#REF!</definedName>
    <definedName name="ngsulfur" localSheetId="10">#REF!</definedName>
    <definedName name="ngsulfur" localSheetId="9">#REF!</definedName>
    <definedName name="ngsulfur" localSheetId="11">#REF!</definedName>
    <definedName name="ngsulfur" localSheetId="6">#REF!</definedName>
    <definedName name="ngsulfur" localSheetId="2">#REF!</definedName>
    <definedName name="ngsulfur" localSheetId="3">#REF!</definedName>
    <definedName name="ngsulfur" localSheetId="0">#REF!</definedName>
    <definedName name="ngsulfur">#REF!</definedName>
    <definedName name="ngswtfract" localSheetId="1">#REF!</definedName>
    <definedName name="ngswtfract" localSheetId="8">#REF!</definedName>
    <definedName name="ngswtfract" localSheetId="7">#REF!</definedName>
    <definedName name="ngswtfract" localSheetId="10">#REF!</definedName>
    <definedName name="ngswtfract" localSheetId="9">#REF!</definedName>
    <definedName name="ngswtfract" localSheetId="11">#REF!</definedName>
    <definedName name="ngswtfract" localSheetId="6">#REF!</definedName>
    <definedName name="ngswtfract" localSheetId="2">#REF!</definedName>
    <definedName name="ngswtfract" localSheetId="3">#REF!</definedName>
    <definedName name="ngswtfract" localSheetId="0">#REF!</definedName>
    <definedName name="ngswtfract">#REF!</definedName>
    <definedName name="ngtsp" localSheetId="1">#REF!</definedName>
    <definedName name="ngtsp" localSheetId="8">#REF!</definedName>
    <definedName name="ngtsp" localSheetId="7">#REF!</definedName>
    <definedName name="ngtsp" localSheetId="10">#REF!</definedName>
    <definedName name="ngtsp" localSheetId="9">#REF!</definedName>
    <definedName name="ngtsp" localSheetId="11">#REF!</definedName>
    <definedName name="ngtsp" localSheetId="6">#REF!</definedName>
    <definedName name="ngtsp" localSheetId="2">#REF!</definedName>
    <definedName name="ngtsp" localSheetId="3">#REF!</definedName>
    <definedName name="ngtsp" localSheetId="0">#REF!</definedName>
    <definedName name="ngtsp">#REF!</definedName>
    <definedName name="ngtspgt" localSheetId="1">#REF!</definedName>
    <definedName name="ngtspgt" localSheetId="8">#REF!</definedName>
    <definedName name="ngtspgt" localSheetId="7">#REF!</definedName>
    <definedName name="ngtspgt" localSheetId="10">#REF!</definedName>
    <definedName name="ngtspgt" localSheetId="9">#REF!</definedName>
    <definedName name="ngtspgt" localSheetId="11">#REF!</definedName>
    <definedName name="ngtspgt" localSheetId="6">#REF!</definedName>
    <definedName name="ngtspgt" localSheetId="2">#REF!</definedName>
    <definedName name="ngtspgt" localSheetId="3">#REF!</definedName>
    <definedName name="ngtspgt" localSheetId="0">#REF!</definedName>
    <definedName name="ngtspgt">#REF!</definedName>
    <definedName name="ngtspscr" localSheetId="1">#REF!</definedName>
    <definedName name="ngtspscr" localSheetId="8">#REF!</definedName>
    <definedName name="ngtspscr" localSheetId="7">#REF!</definedName>
    <definedName name="ngtspscr" localSheetId="10">#REF!</definedName>
    <definedName name="ngtspscr" localSheetId="9">#REF!</definedName>
    <definedName name="ngtspscr" localSheetId="11">#REF!</definedName>
    <definedName name="ngtspscr" localSheetId="6">#REF!</definedName>
    <definedName name="ngtspscr" localSheetId="2">#REF!</definedName>
    <definedName name="ngtspscr" localSheetId="3">#REF!</definedName>
    <definedName name="ngtspscr" localSheetId="0">#REF!</definedName>
    <definedName name="ngtspscr">#REF!</definedName>
    <definedName name="ngvoc" localSheetId="1">#REF!</definedName>
    <definedName name="ngvoc" localSheetId="8">#REF!</definedName>
    <definedName name="ngvoc" localSheetId="7">#REF!</definedName>
    <definedName name="ngvoc" localSheetId="10">#REF!</definedName>
    <definedName name="ngvoc" localSheetId="9">#REF!</definedName>
    <definedName name="ngvoc" localSheetId="11">#REF!</definedName>
    <definedName name="ngvoc" localSheetId="6">#REF!</definedName>
    <definedName name="ngvoc" localSheetId="2">#REF!</definedName>
    <definedName name="ngvoc" localSheetId="3">#REF!</definedName>
    <definedName name="ngvoc" localSheetId="0">#REF!</definedName>
    <definedName name="ngvoc">#REF!</definedName>
    <definedName name="NH3Emis">'[10]Comply Conditions'!$EZ$13:$FL$46</definedName>
    <definedName name="nochange1" localSheetId="1">#REF!</definedName>
    <definedName name="nochange1" localSheetId="8">#REF!</definedName>
    <definedName name="nochange1" localSheetId="7">#REF!</definedName>
    <definedName name="nochange1" localSheetId="10">#REF!</definedName>
    <definedName name="nochange1" localSheetId="9">#REF!</definedName>
    <definedName name="nochange1" localSheetId="11">#REF!</definedName>
    <definedName name="nochange1" localSheetId="6">#REF!</definedName>
    <definedName name="nochange1" localSheetId="2">#REF!</definedName>
    <definedName name="nochange1" localSheetId="3">#REF!</definedName>
    <definedName name="nochange1" localSheetId="0">#REF!</definedName>
    <definedName name="nochange1">#REF!</definedName>
    <definedName name="nochange1a" localSheetId="1">#REF!</definedName>
    <definedName name="nochange1a" localSheetId="8">#REF!</definedName>
    <definedName name="nochange1a" localSheetId="7">#REF!</definedName>
    <definedName name="nochange1a" localSheetId="10">#REF!</definedName>
    <definedName name="nochange1a" localSheetId="9">#REF!</definedName>
    <definedName name="nochange1a" localSheetId="11">#REF!</definedName>
    <definedName name="nochange1a" localSheetId="6">#REF!</definedName>
    <definedName name="nochange1a" localSheetId="2">#REF!</definedName>
    <definedName name="nochange1a" localSheetId="3">#REF!</definedName>
    <definedName name="nochange1a" localSheetId="0">#REF!</definedName>
    <definedName name="nochange1a">#REF!</definedName>
    <definedName name="nochange2" localSheetId="1">#REF!</definedName>
    <definedName name="nochange2" localSheetId="8">#REF!</definedName>
    <definedName name="nochange2" localSheetId="7">#REF!</definedName>
    <definedName name="nochange2" localSheetId="10">#REF!</definedName>
    <definedName name="nochange2" localSheetId="9">#REF!</definedName>
    <definedName name="nochange2" localSheetId="11">#REF!</definedName>
    <definedName name="nochange2" localSheetId="6">#REF!</definedName>
    <definedName name="nochange2" localSheetId="2">#REF!</definedName>
    <definedName name="nochange2" localSheetId="3">#REF!</definedName>
    <definedName name="nochange2" localSheetId="0">#REF!</definedName>
    <definedName name="nochange2">#REF!</definedName>
    <definedName name="nochange2a" localSheetId="1">#REF!</definedName>
    <definedName name="nochange2a" localSheetId="8">#REF!</definedName>
    <definedName name="nochange2a" localSheetId="7">#REF!</definedName>
    <definedName name="nochange2a" localSheetId="10">#REF!</definedName>
    <definedName name="nochange2a" localSheetId="9">#REF!</definedName>
    <definedName name="nochange2a" localSheetId="11">#REF!</definedName>
    <definedName name="nochange2a" localSheetId="6">#REF!</definedName>
    <definedName name="nochange2a" localSheetId="2">#REF!</definedName>
    <definedName name="nochange2a" localSheetId="3">#REF!</definedName>
    <definedName name="nochange2a" localSheetId="0">#REF!</definedName>
    <definedName name="nochange2a">#REF!</definedName>
    <definedName name="nochange3" localSheetId="1">#REF!</definedName>
    <definedName name="nochange3" localSheetId="8">#REF!</definedName>
    <definedName name="nochange3" localSheetId="7">#REF!</definedName>
    <definedName name="nochange3" localSheetId="10">#REF!</definedName>
    <definedName name="nochange3" localSheetId="9">#REF!</definedName>
    <definedName name="nochange3" localSheetId="11">#REF!</definedName>
    <definedName name="nochange3" localSheetId="6">#REF!</definedName>
    <definedName name="nochange3" localSheetId="2">#REF!</definedName>
    <definedName name="nochange3" localSheetId="3">#REF!</definedName>
    <definedName name="nochange3" localSheetId="0">#REF!</definedName>
    <definedName name="nochange3">#REF!</definedName>
    <definedName name="nochange3a" localSheetId="1">#REF!</definedName>
    <definedName name="nochange3a" localSheetId="8">#REF!</definedName>
    <definedName name="nochange3a" localSheetId="7">#REF!</definedName>
    <definedName name="nochange3a" localSheetId="10">#REF!</definedName>
    <definedName name="nochange3a" localSheetId="9">#REF!</definedName>
    <definedName name="nochange3a" localSheetId="11">#REF!</definedName>
    <definedName name="nochange3a" localSheetId="6">#REF!</definedName>
    <definedName name="nochange3a" localSheetId="2">#REF!</definedName>
    <definedName name="nochange3a" localSheetId="3">#REF!</definedName>
    <definedName name="nochange3a" localSheetId="0">#REF!</definedName>
    <definedName name="nochange3a">#REF!</definedName>
    <definedName name="nochange4" localSheetId="1">#REF!</definedName>
    <definedName name="nochange4" localSheetId="8">#REF!</definedName>
    <definedName name="nochange4" localSheetId="7">#REF!</definedName>
    <definedName name="nochange4" localSheetId="10">#REF!</definedName>
    <definedName name="nochange4" localSheetId="9">#REF!</definedName>
    <definedName name="nochange4" localSheetId="11">#REF!</definedName>
    <definedName name="nochange4" localSheetId="6">#REF!</definedName>
    <definedName name="nochange4" localSheetId="2">#REF!</definedName>
    <definedName name="nochange4" localSheetId="3">#REF!</definedName>
    <definedName name="nochange4" localSheetId="0">#REF!</definedName>
    <definedName name="nochange4">#REF!</definedName>
    <definedName name="nochange4a" localSheetId="1">#REF!</definedName>
    <definedName name="nochange4a" localSheetId="8">#REF!</definedName>
    <definedName name="nochange4a" localSheetId="7">#REF!</definedName>
    <definedName name="nochange4a" localSheetId="10">#REF!</definedName>
    <definedName name="nochange4a" localSheetId="9">#REF!</definedName>
    <definedName name="nochange4a" localSheetId="11">#REF!</definedName>
    <definedName name="nochange4a" localSheetId="6">#REF!</definedName>
    <definedName name="nochange4a" localSheetId="2">#REF!</definedName>
    <definedName name="nochange4a" localSheetId="3">#REF!</definedName>
    <definedName name="nochange4a" localSheetId="0">#REF!</definedName>
    <definedName name="nochange4a">#REF!</definedName>
    <definedName name="nochange5" localSheetId="1">#REF!</definedName>
    <definedName name="nochange5" localSheetId="8">#REF!</definedName>
    <definedName name="nochange5" localSheetId="7">#REF!</definedName>
    <definedName name="nochange5" localSheetId="10">#REF!</definedName>
    <definedName name="nochange5" localSheetId="9">#REF!</definedName>
    <definedName name="nochange5" localSheetId="11">#REF!</definedName>
    <definedName name="nochange5" localSheetId="6">#REF!</definedName>
    <definedName name="nochange5" localSheetId="2">#REF!</definedName>
    <definedName name="nochange5" localSheetId="3">#REF!</definedName>
    <definedName name="nochange5" localSheetId="0">#REF!</definedName>
    <definedName name="nochange5">#REF!</definedName>
    <definedName name="nochange5a" localSheetId="1">#REF!</definedName>
    <definedName name="nochange5a" localSheetId="8">#REF!</definedName>
    <definedName name="nochange5a" localSheetId="7">#REF!</definedName>
    <definedName name="nochange5a" localSheetId="10">#REF!</definedName>
    <definedName name="nochange5a" localSheetId="9">#REF!</definedName>
    <definedName name="nochange5a" localSheetId="11">#REF!</definedName>
    <definedName name="nochange5a" localSheetId="6">#REF!</definedName>
    <definedName name="nochange5a" localSheetId="2">#REF!</definedName>
    <definedName name="nochange5a" localSheetId="3">#REF!</definedName>
    <definedName name="nochange5a" localSheetId="0">#REF!</definedName>
    <definedName name="nochange5a">#REF!</definedName>
    <definedName name="nochange6" localSheetId="1">#REF!</definedName>
    <definedName name="nochange6" localSheetId="8">#REF!</definedName>
    <definedName name="nochange6" localSheetId="7">#REF!</definedName>
    <definedName name="nochange6" localSheetId="10">#REF!</definedName>
    <definedName name="nochange6" localSheetId="9">#REF!</definedName>
    <definedName name="nochange6" localSheetId="11">#REF!</definedName>
    <definedName name="nochange6" localSheetId="6">#REF!</definedName>
    <definedName name="nochange6" localSheetId="2">#REF!</definedName>
    <definedName name="nochange6" localSheetId="3">#REF!</definedName>
    <definedName name="nochange6" localSheetId="0">#REF!</definedName>
    <definedName name="nochange6">#REF!</definedName>
    <definedName name="nochange6a" localSheetId="1">#REF!</definedName>
    <definedName name="nochange6a" localSheetId="8">#REF!</definedName>
    <definedName name="nochange6a" localSheetId="7">#REF!</definedName>
    <definedName name="nochange6a" localSheetId="10">#REF!</definedName>
    <definedName name="nochange6a" localSheetId="9">#REF!</definedName>
    <definedName name="nochange6a" localSheetId="11">#REF!</definedName>
    <definedName name="nochange6a" localSheetId="6">#REF!</definedName>
    <definedName name="nochange6a" localSheetId="2">#REF!</definedName>
    <definedName name="nochange6a" localSheetId="3">#REF!</definedName>
    <definedName name="nochange6a" localSheetId="0">#REF!</definedName>
    <definedName name="nochange6a">#REF!</definedName>
    <definedName name="Node1" localSheetId="1">#REF!</definedName>
    <definedName name="Node1" localSheetId="8">#REF!</definedName>
    <definedName name="Node1" localSheetId="7">#REF!</definedName>
    <definedName name="Node1" localSheetId="10">#REF!</definedName>
    <definedName name="Node1" localSheetId="9">#REF!</definedName>
    <definedName name="Node1" localSheetId="11">#REF!</definedName>
    <definedName name="Node1" localSheetId="6">#REF!</definedName>
    <definedName name="Node1" localSheetId="2">#REF!</definedName>
    <definedName name="Node1" localSheetId="3">#REF!</definedName>
    <definedName name="Node1" localSheetId="0">#REF!</definedName>
    <definedName name="Node1">#REF!</definedName>
    <definedName name="Node2" localSheetId="1">#REF!</definedName>
    <definedName name="Node2" localSheetId="8">#REF!</definedName>
    <definedName name="Node2" localSheetId="7">#REF!</definedName>
    <definedName name="Node2" localSheetId="10">#REF!</definedName>
    <definedName name="Node2" localSheetId="9">#REF!</definedName>
    <definedName name="Node2" localSheetId="11">#REF!</definedName>
    <definedName name="Node2" localSheetId="6">#REF!</definedName>
    <definedName name="Node2" localSheetId="2">#REF!</definedName>
    <definedName name="Node2" localSheetId="3">#REF!</definedName>
    <definedName name="Node2" localSheetId="0">#REF!</definedName>
    <definedName name="Node2">#REF!</definedName>
    <definedName name="Node3" localSheetId="1">#REF!</definedName>
    <definedName name="Node3" localSheetId="8">#REF!</definedName>
    <definedName name="Node3" localSheetId="7">#REF!</definedName>
    <definedName name="Node3" localSheetId="10">#REF!</definedName>
    <definedName name="Node3" localSheetId="9">#REF!</definedName>
    <definedName name="Node3" localSheetId="11">#REF!</definedName>
    <definedName name="Node3" localSheetId="6">#REF!</definedName>
    <definedName name="Node3" localSheetId="2">#REF!</definedName>
    <definedName name="Node3" localSheetId="3">#REF!</definedName>
    <definedName name="Node3" localSheetId="0">#REF!</definedName>
    <definedName name="Node3">#REF!</definedName>
    <definedName name="Node4" localSheetId="1">#REF!</definedName>
    <definedName name="Node4" localSheetId="8">#REF!</definedName>
    <definedName name="Node4" localSheetId="7">#REF!</definedName>
    <definedName name="Node4" localSheetId="10">#REF!</definedName>
    <definedName name="Node4" localSheetId="9">#REF!</definedName>
    <definedName name="Node4" localSheetId="11">#REF!</definedName>
    <definedName name="Node4" localSheetId="6">#REF!</definedName>
    <definedName name="Node4" localSheetId="2">#REF!</definedName>
    <definedName name="Node4" localSheetId="3">#REF!</definedName>
    <definedName name="Node4" localSheetId="0">#REF!</definedName>
    <definedName name="Node4">#REF!</definedName>
    <definedName name="NOTES" localSheetId="1">#REF!</definedName>
    <definedName name="NOTES" localSheetId="8">#REF!</definedName>
    <definedName name="NOTES" localSheetId="7">#REF!</definedName>
    <definedName name="NOTES" localSheetId="10">#REF!</definedName>
    <definedName name="NOTES" localSheetId="9">#REF!</definedName>
    <definedName name="NOTES" localSheetId="11">#REF!</definedName>
    <definedName name="NOTES" localSheetId="6">#REF!</definedName>
    <definedName name="NOTES" localSheetId="2">#REF!</definedName>
    <definedName name="NOTES" localSheetId="3">#REF!</definedName>
    <definedName name="NOTES" localSheetId="0">#REF!</definedName>
    <definedName name="NOTES">#REF!</definedName>
    <definedName name="NOxEF">'[10]Comply Conditions'!$BC$71:$BO$86</definedName>
    <definedName name="NOxEmis">'[10]Comply Conditions'!$BB$14:$BN$46</definedName>
    <definedName name="NozFace" localSheetId="1">#REF!</definedName>
    <definedName name="NozFace" localSheetId="8">#REF!</definedName>
    <definedName name="NozFace" localSheetId="7">#REF!</definedName>
    <definedName name="NozFace" localSheetId="10">#REF!</definedName>
    <definedName name="NozFace" localSheetId="9">#REF!</definedName>
    <definedName name="NozFace" localSheetId="11">#REF!</definedName>
    <definedName name="NozFace" localSheetId="6">#REF!</definedName>
    <definedName name="NozFace" localSheetId="2">#REF!</definedName>
    <definedName name="NozFace" localSheetId="3">#REF!</definedName>
    <definedName name="NozFace" localSheetId="0">#REF!</definedName>
    <definedName name="NozFace">#REF!</definedName>
    <definedName name="NozRating" localSheetId="1">#REF!</definedName>
    <definedName name="NozRating" localSheetId="8">#REF!</definedName>
    <definedName name="NozRating" localSheetId="7">#REF!</definedName>
    <definedName name="NozRating" localSheetId="10">#REF!</definedName>
    <definedName name="NozRating" localSheetId="9">#REF!</definedName>
    <definedName name="NozRating" localSheetId="11">#REF!</definedName>
    <definedName name="NozRating" localSheetId="6">#REF!</definedName>
    <definedName name="NozRating" localSheetId="2">#REF!</definedName>
    <definedName name="NozRating" localSheetId="3">#REF!</definedName>
    <definedName name="NozRating" localSheetId="0">#REF!</definedName>
    <definedName name="NozRating">#REF!</definedName>
    <definedName name="NozSize" localSheetId="1">#REF!</definedName>
    <definedName name="NozSize" localSheetId="8">#REF!</definedName>
    <definedName name="NozSize" localSheetId="7">#REF!</definedName>
    <definedName name="NozSize" localSheetId="10">#REF!</definedName>
    <definedName name="NozSize" localSheetId="9">#REF!</definedName>
    <definedName name="NozSize" localSheetId="11">#REF!</definedName>
    <definedName name="NozSize" localSheetId="6">#REF!</definedName>
    <definedName name="NozSize" localSheetId="2">#REF!</definedName>
    <definedName name="NozSize" localSheetId="3">#REF!</definedName>
    <definedName name="NozSize" localSheetId="0">#REF!</definedName>
    <definedName name="NozSize">#REF!</definedName>
    <definedName name="nozzface">'[20]AirCooler-Rich'!$T$111:$T$120</definedName>
    <definedName name="Nozzle" localSheetId="1">#REF!</definedName>
    <definedName name="Nozzle" localSheetId="8">#REF!</definedName>
    <definedName name="Nozzle" localSheetId="7">#REF!</definedName>
    <definedName name="Nozzle" localSheetId="10">#REF!</definedName>
    <definedName name="Nozzle" localSheetId="9">#REF!</definedName>
    <definedName name="Nozzle" localSheetId="11">#REF!</definedName>
    <definedName name="Nozzle" localSheetId="6">#REF!</definedName>
    <definedName name="Nozzle" localSheetId="2">#REF!</definedName>
    <definedName name="Nozzle" localSheetId="3">#REF!</definedName>
    <definedName name="Nozzle" localSheetId="0">#REF!</definedName>
    <definedName name="Nozzle">#REF!</definedName>
    <definedName name="NozzSize" localSheetId="1">'[21]AirCooler-Rich'!#REF!</definedName>
    <definedName name="NozzSize" localSheetId="8">'[21]AirCooler-Rich'!#REF!</definedName>
    <definedName name="NozzSize" localSheetId="7">'[21]AirCooler-Rich'!#REF!</definedName>
    <definedName name="NozzSize" localSheetId="10">'[21]AirCooler-Rich'!#REF!</definedName>
    <definedName name="NozzSize" localSheetId="9">'[21]AirCooler-Rich'!#REF!</definedName>
    <definedName name="NozzSize" localSheetId="11">'[21]AirCooler-Rich'!#REF!</definedName>
    <definedName name="NozzSize" localSheetId="6">'[21]AirCooler-Rich'!#REF!</definedName>
    <definedName name="NozzSize" localSheetId="2">'[21]AirCooler-Rich'!#REF!</definedName>
    <definedName name="NozzSize" localSheetId="3">'[21]AirCooler-Rich'!#REF!</definedName>
    <definedName name="NozzSize" localSheetId="0">'[21]AirCooler-Rich'!#REF!</definedName>
    <definedName name="NozzSize">'[21]AirCooler-Rich'!#REF!</definedName>
    <definedName name="NumNoz" localSheetId="1">#REF!</definedName>
    <definedName name="NumNoz" localSheetId="8">#REF!</definedName>
    <definedName name="NumNoz" localSheetId="7">#REF!</definedName>
    <definedName name="NumNoz" localSheetId="10">#REF!</definedName>
    <definedName name="NumNoz" localSheetId="9">#REF!</definedName>
    <definedName name="NumNoz" localSheetId="11">#REF!</definedName>
    <definedName name="NumNoz" localSheetId="6">#REF!</definedName>
    <definedName name="NumNoz" localSheetId="2">#REF!</definedName>
    <definedName name="NumNoz" localSheetId="3">#REF!</definedName>
    <definedName name="NumNoz" localSheetId="0">#REF!</definedName>
    <definedName name="NumNoz">#REF!</definedName>
    <definedName name="ObjectTypes">[9]TemplateSelectLists!$D$2:$D$15</definedName>
    <definedName name="OFFSITE" localSheetId="1">#REF!</definedName>
    <definedName name="OFFSITE" localSheetId="8">#REF!</definedName>
    <definedName name="OFFSITE" localSheetId="7">#REF!</definedName>
    <definedName name="OFFSITE" localSheetId="10">#REF!</definedName>
    <definedName name="OFFSITE" localSheetId="9">#REF!</definedName>
    <definedName name="OFFSITE" localSheetId="11">#REF!</definedName>
    <definedName name="OFFSITE" localSheetId="6">#REF!</definedName>
    <definedName name="OFFSITE" localSheetId="2">#REF!</definedName>
    <definedName name="OFFSITE" localSheetId="3">#REF!</definedName>
    <definedName name="OFFSITE" localSheetId="0">#REF!</definedName>
    <definedName name="OFFSITE">#REF!</definedName>
    <definedName name="OU_Pathway_YearToUse" localSheetId="1">#REF!</definedName>
    <definedName name="OU_Pathway_YearToUse" localSheetId="8">#REF!</definedName>
    <definedName name="OU_Pathway_YearToUse" localSheetId="7">#REF!</definedName>
    <definedName name="OU_Pathway_YearToUse" localSheetId="10">#REF!</definedName>
    <definedName name="OU_Pathway_YearToUse" localSheetId="9">#REF!</definedName>
    <definedName name="OU_Pathway_YearToUse" localSheetId="11">#REF!</definedName>
    <definedName name="OU_Pathway_YearToUse" localSheetId="6">#REF!</definedName>
    <definedName name="OU_Pathway_YearToUse" localSheetId="2">#REF!</definedName>
    <definedName name="OU_Pathway_YearToUse" localSheetId="3">#REF!</definedName>
    <definedName name="OU_Pathway_YearToUse" localSheetId="0">#REF!</definedName>
    <definedName name="OU_Pathway_YearToUse">#REF!</definedName>
    <definedName name="P_Mar_T200" localSheetId="1">#REF!</definedName>
    <definedName name="P_Mar_T200" localSheetId="8">#REF!</definedName>
    <definedName name="P_Mar_T200" localSheetId="7">#REF!</definedName>
    <definedName name="P_Mar_T200" localSheetId="10">#REF!</definedName>
    <definedName name="P_Mar_T200" localSheetId="9">#REF!</definedName>
    <definedName name="P_Mar_T200" localSheetId="11">#REF!</definedName>
    <definedName name="P_Mar_T200" localSheetId="6">#REF!</definedName>
    <definedName name="P_Mar_T200" localSheetId="2">#REF!</definedName>
    <definedName name="P_Mar_T200" localSheetId="3">#REF!</definedName>
    <definedName name="P_Mar_T200" localSheetId="0">#REF!</definedName>
    <definedName name="P_Mar_T200">#REF!</definedName>
    <definedName name="P_Mar_T300" localSheetId="1">#REF!</definedName>
    <definedName name="P_Mar_T300" localSheetId="8">#REF!</definedName>
    <definedName name="P_Mar_T300" localSheetId="7">#REF!</definedName>
    <definedName name="P_Mar_T300" localSheetId="10">#REF!</definedName>
    <definedName name="P_Mar_T300" localSheetId="9">#REF!</definedName>
    <definedName name="P_Mar_T300" localSheetId="11">#REF!</definedName>
    <definedName name="P_Mar_T300" localSheetId="6">#REF!</definedName>
    <definedName name="P_Mar_T300" localSheetId="2">#REF!</definedName>
    <definedName name="P_Mar_T300" localSheetId="3">#REF!</definedName>
    <definedName name="P_Mar_T300" localSheetId="0">#REF!</definedName>
    <definedName name="P_Mar_T300">#REF!</definedName>
    <definedName name="P_Mar_T400" localSheetId="1">#REF!</definedName>
    <definedName name="P_Mar_T400" localSheetId="8">#REF!</definedName>
    <definedName name="P_Mar_T400" localSheetId="7">#REF!</definedName>
    <definedName name="P_Mar_T400" localSheetId="10">#REF!</definedName>
    <definedName name="P_Mar_T400" localSheetId="9">#REF!</definedName>
    <definedName name="P_Mar_T400" localSheetId="11">#REF!</definedName>
    <definedName name="P_Mar_T400" localSheetId="6">#REF!</definedName>
    <definedName name="P_Mar_T400" localSheetId="2">#REF!</definedName>
    <definedName name="P_Mar_T400" localSheetId="3">#REF!</definedName>
    <definedName name="P_Mar_T400" localSheetId="0">#REF!</definedName>
    <definedName name="P_Mar_T400">#REF!</definedName>
    <definedName name="p_params_range">[7]p_params!$C$5:$BG$113</definedName>
    <definedName name="P1_">'[18]Compressor performance'!$B$12</definedName>
    <definedName name="P2_">'[18]Compressor performance'!$B$13</definedName>
    <definedName name="PAGE1" localSheetId="1">#REF!</definedName>
    <definedName name="PAGE1" localSheetId="8">#REF!</definedName>
    <definedName name="PAGE1" localSheetId="7">#REF!</definedName>
    <definedName name="PAGE1" localSheetId="10">#REF!</definedName>
    <definedName name="PAGE1" localSheetId="9">#REF!</definedName>
    <definedName name="PAGE1" localSheetId="11">#REF!</definedName>
    <definedName name="PAGE1" localSheetId="6">#REF!</definedName>
    <definedName name="PAGE1" localSheetId="2">#REF!</definedName>
    <definedName name="PAGE1" localSheetId="3">#REF!</definedName>
    <definedName name="PAGE1" localSheetId="0">#REF!</definedName>
    <definedName name="PAGE1">#REF!</definedName>
    <definedName name="page1note1" localSheetId="1">#REF!</definedName>
    <definedName name="page1note1" localSheetId="8">#REF!</definedName>
    <definedName name="page1note1" localSheetId="7">#REF!</definedName>
    <definedName name="page1note1" localSheetId="10">#REF!</definedName>
    <definedName name="page1note1" localSheetId="9">#REF!</definedName>
    <definedName name="page1note1" localSheetId="11">#REF!</definedName>
    <definedName name="page1note1" localSheetId="6">#REF!</definedName>
    <definedName name="page1note1" localSheetId="2">#REF!</definedName>
    <definedName name="page1note1" localSheetId="3">#REF!</definedName>
    <definedName name="page1note1" localSheetId="0">#REF!</definedName>
    <definedName name="page1note1">#REF!</definedName>
    <definedName name="page1note2" localSheetId="1">#REF!</definedName>
    <definedName name="page1note2" localSheetId="8">#REF!</definedName>
    <definedName name="page1note2" localSheetId="7">#REF!</definedName>
    <definedName name="page1note2" localSheetId="10">#REF!</definedName>
    <definedName name="page1note2" localSheetId="9">#REF!</definedName>
    <definedName name="page1note2" localSheetId="11">#REF!</definedName>
    <definedName name="page1note2" localSheetId="6">#REF!</definedName>
    <definedName name="page1note2" localSheetId="2">#REF!</definedName>
    <definedName name="page1note2" localSheetId="3">#REF!</definedName>
    <definedName name="page1note2" localSheetId="0">#REF!</definedName>
    <definedName name="page1note2">#REF!</definedName>
    <definedName name="page1note3" localSheetId="1">#REF!</definedName>
    <definedName name="page1note3" localSheetId="8">#REF!</definedName>
    <definedName name="page1note3" localSheetId="7">#REF!</definedName>
    <definedName name="page1note3" localSheetId="10">#REF!</definedName>
    <definedName name="page1note3" localSheetId="9">#REF!</definedName>
    <definedName name="page1note3" localSheetId="11">#REF!</definedName>
    <definedName name="page1note3" localSheetId="6">#REF!</definedName>
    <definedName name="page1note3" localSheetId="2">#REF!</definedName>
    <definedName name="page1note3" localSheetId="3">#REF!</definedName>
    <definedName name="page1note3" localSheetId="0">#REF!</definedName>
    <definedName name="page1note3">#REF!</definedName>
    <definedName name="page1note4" localSheetId="1">#REF!</definedName>
    <definedName name="page1note4" localSheetId="8">#REF!</definedName>
    <definedName name="page1note4" localSheetId="7">#REF!</definedName>
    <definedName name="page1note4" localSheetId="10">#REF!</definedName>
    <definedName name="page1note4" localSheetId="9">#REF!</definedName>
    <definedName name="page1note4" localSheetId="11">#REF!</definedName>
    <definedName name="page1note4" localSheetId="6">#REF!</definedName>
    <definedName name="page1note4" localSheetId="2">#REF!</definedName>
    <definedName name="page1note4" localSheetId="3">#REF!</definedName>
    <definedName name="page1note4" localSheetId="0">#REF!</definedName>
    <definedName name="page1note4">#REF!</definedName>
    <definedName name="page1note5" localSheetId="1">#REF!</definedName>
    <definedName name="page1note5" localSheetId="8">#REF!</definedName>
    <definedName name="page1note5" localSheetId="7">#REF!</definedName>
    <definedName name="page1note5" localSheetId="10">#REF!</definedName>
    <definedName name="page1note5" localSheetId="9">#REF!</definedName>
    <definedName name="page1note5" localSheetId="11">#REF!</definedName>
    <definedName name="page1note5" localSheetId="6">#REF!</definedName>
    <definedName name="page1note5" localSheetId="2">#REF!</definedName>
    <definedName name="page1note5" localSheetId="3">#REF!</definedName>
    <definedName name="page1note5" localSheetId="0">#REF!</definedName>
    <definedName name="page1note5">#REF!</definedName>
    <definedName name="page1note6" localSheetId="1">#REF!</definedName>
    <definedName name="page1note6" localSheetId="8">#REF!</definedName>
    <definedName name="page1note6" localSheetId="7">#REF!</definedName>
    <definedName name="page1note6" localSheetId="10">#REF!</definedName>
    <definedName name="page1note6" localSheetId="9">#REF!</definedName>
    <definedName name="page1note6" localSheetId="11">#REF!</definedName>
    <definedName name="page1note6" localSheetId="6">#REF!</definedName>
    <definedName name="page1note6" localSheetId="2">#REF!</definedName>
    <definedName name="page1note6" localSheetId="3">#REF!</definedName>
    <definedName name="page1note6" localSheetId="0">#REF!</definedName>
    <definedName name="page1note6">#REF!</definedName>
    <definedName name="page1notenum1" localSheetId="1">#REF!</definedName>
    <definedName name="page1notenum1" localSheetId="8">#REF!</definedName>
    <definedName name="page1notenum1" localSheetId="7">#REF!</definedName>
    <definedName name="page1notenum1" localSheetId="10">#REF!</definedName>
    <definedName name="page1notenum1" localSheetId="9">#REF!</definedName>
    <definedName name="page1notenum1" localSheetId="11">#REF!</definedName>
    <definedName name="page1notenum1" localSheetId="6">#REF!</definedName>
    <definedName name="page1notenum1" localSheetId="2">#REF!</definedName>
    <definedName name="page1notenum1" localSheetId="3">#REF!</definedName>
    <definedName name="page1notenum1" localSheetId="0">#REF!</definedName>
    <definedName name="page1notenum1">#REF!</definedName>
    <definedName name="page1notenum2" localSheetId="1">#REF!</definedName>
    <definedName name="page1notenum2" localSheetId="8">#REF!</definedName>
    <definedName name="page1notenum2" localSheetId="7">#REF!</definedName>
    <definedName name="page1notenum2" localSheetId="10">#REF!</definedName>
    <definedName name="page1notenum2" localSheetId="9">#REF!</definedName>
    <definedName name="page1notenum2" localSheetId="11">#REF!</definedName>
    <definedName name="page1notenum2" localSheetId="6">#REF!</definedName>
    <definedName name="page1notenum2" localSheetId="2">#REF!</definedName>
    <definedName name="page1notenum2" localSheetId="3">#REF!</definedName>
    <definedName name="page1notenum2" localSheetId="0">#REF!</definedName>
    <definedName name="page1notenum2">#REF!</definedName>
    <definedName name="page1notenum3" localSheetId="1">#REF!</definedName>
    <definedName name="page1notenum3" localSheetId="8">#REF!</definedName>
    <definedName name="page1notenum3" localSheetId="7">#REF!</definedName>
    <definedName name="page1notenum3" localSheetId="10">#REF!</definedName>
    <definedName name="page1notenum3" localSheetId="9">#REF!</definedName>
    <definedName name="page1notenum3" localSheetId="11">#REF!</definedName>
    <definedName name="page1notenum3" localSheetId="6">#REF!</definedName>
    <definedName name="page1notenum3" localSheetId="2">#REF!</definedName>
    <definedName name="page1notenum3" localSheetId="3">#REF!</definedName>
    <definedName name="page1notenum3" localSheetId="0">#REF!</definedName>
    <definedName name="page1notenum3">#REF!</definedName>
    <definedName name="page1notenum4" localSheetId="1">#REF!</definedName>
    <definedName name="page1notenum4" localSheetId="8">#REF!</definedName>
    <definedName name="page1notenum4" localSheetId="7">#REF!</definedName>
    <definedName name="page1notenum4" localSheetId="10">#REF!</definedName>
    <definedName name="page1notenum4" localSheetId="9">#REF!</definedName>
    <definedName name="page1notenum4" localSheetId="11">#REF!</definedName>
    <definedName name="page1notenum4" localSheetId="6">#REF!</definedName>
    <definedName name="page1notenum4" localSheetId="2">#REF!</definedName>
    <definedName name="page1notenum4" localSheetId="3">#REF!</definedName>
    <definedName name="page1notenum4" localSheetId="0">#REF!</definedName>
    <definedName name="page1notenum4">#REF!</definedName>
    <definedName name="page1notenum5" localSheetId="1">#REF!</definedName>
    <definedName name="page1notenum5" localSheetId="8">#REF!</definedName>
    <definedName name="page1notenum5" localSheetId="7">#REF!</definedName>
    <definedName name="page1notenum5" localSheetId="10">#REF!</definedName>
    <definedName name="page1notenum5" localSheetId="9">#REF!</definedName>
    <definedName name="page1notenum5" localSheetId="11">#REF!</definedName>
    <definedName name="page1notenum5" localSheetId="6">#REF!</definedName>
    <definedName name="page1notenum5" localSheetId="2">#REF!</definedName>
    <definedName name="page1notenum5" localSheetId="3">#REF!</definedName>
    <definedName name="page1notenum5" localSheetId="0">#REF!</definedName>
    <definedName name="page1notenum5">#REF!</definedName>
    <definedName name="page1notenum6" localSheetId="1">#REF!</definedName>
    <definedName name="page1notenum6" localSheetId="8">#REF!</definedName>
    <definedName name="page1notenum6" localSheetId="7">#REF!</definedName>
    <definedName name="page1notenum6" localSheetId="10">#REF!</definedName>
    <definedName name="page1notenum6" localSheetId="9">#REF!</definedName>
    <definedName name="page1notenum6" localSheetId="11">#REF!</definedName>
    <definedName name="page1notenum6" localSheetId="6">#REF!</definedName>
    <definedName name="page1notenum6" localSheetId="2">#REF!</definedName>
    <definedName name="page1notenum6" localSheetId="3">#REF!</definedName>
    <definedName name="page1notenum6" localSheetId="0">#REF!</definedName>
    <definedName name="page1notenum6">#REF!</definedName>
    <definedName name="page2note1" localSheetId="1">#REF!</definedName>
    <definedName name="page2note1" localSheetId="8">#REF!</definedName>
    <definedName name="page2note1" localSheetId="7">#REF!</definedName>
    <definedName name="page2note1" localSheetId="10">#REF!</definedName>
    <definedName name="page2note1" localSheetId="9">#REF!</definedName>
    <definedName name="page2note1" localSheetId="11">#REF!</definedName>
    <definedName name="page2note1" localSheetId="6">#REF!</definedName>
    <definedName name="page2note1" localSheetId="2">#REF!</definedName>
    <definedName name="page2note1" localSheetId="3">#REF!</definedName>
    <definedName name="page2note1" localSheetId="0">#REF!</definedName>
    <definedName name="page2note1">#REF!</definedName>
    <definedName name="page2note2" localSheetId="1">#REF!</definedName>
    <definedName name="page2note2" localSheetId="8">#REF!</definedName>
    <definedName name="page2note2" localSheetId="7">#REF!</definedName>
    <definedName name="page2note2" localSheetId="10">#REF!</definedName>
    <definedName name="page2note2" localSheetId="9">#REF!</definedName>
    <definedName name="page2note2" localSheetId="11">#REF!</definedName>
    <definedName name="page2note2" localSheetId="6">#REF!</definedName>
    <definedName name="page2note2" localSheetId="2">#REF!</definedName>
    <definedName name="page2note2" localSheetId="3">#REF!</definedName>
    <definedName name="page2note2" localSheetId="0">#REF!</definedName>
    <definedName name="page2note2">#REF!</definedName>
    <definedName name="page2note3" localSheetId="1">#REF!</definedName>
    <definedName name="page2note3" localSheetId="8">#REF!</definedName>
    <definedName name="page2note3" localSheetId="7">#REF!</definedName>
    <definedName name="page2note3" localSheetId="10">#REF!</definedName>
    <definedName name="page2note3" localSheetId="9">#REF!</definedName>
    <definedName name="page2note3" localSheetId="11">#REF!</definedName>
    <definedName name="page2note3" localSheetId="6">#REF!</definedName>
    <definedName name="page2note3" localSheetId="2">#REF!</definedName>
    <definedName name="page2note3" localSheetId="3">#REF!</definedName>
    <definedName name="page2note3" localSheetId="0">#REF!</definedName>
    <definedName name="page2note3">#REF!</definedName>
    <definedName name="page2note4" localSheetId="1">#REF!</definedName>
    <definedName name="page2note4" localSheetId="8">#REF!</definedName>
    <definedName name="page2note4" localSheetId="7">#REF!</definedName>
    <definedName name="page2note4" localSheetId="10">#REF!</definedName>
    <definedName name="page2note4" localSheetId="9">#REF!</definedName>
    <definedName name="page2note4" localSheetId="11">#REF!</definedName>
    <definedName name="page2note4" localSheetId="6">#REF!</definedName>
    <definedName name="page2note4" localSheetId="2">#REF!</definedName>
    <definedName name="page2note4" localSheetId="3">#REF!</definedName>
    <definedName name="page2note4" localSheetId="0">#REF!</definedName>
    <definedName name="page2note4">#REF!</definedName>
    <definedName name="page2note5" localSheetId="1">#REF!</definedName>
    <definedName name="page2note5" localSheetId="8">#REF!</definedName>
    <definedName name="page2note5" localSheetId="7">#REF!</definedName>
    <definedName name="page2note5" localSheetId="10">#REF!</definedName>
    <definedName name="page2note5" localSheetId="9">#REF!</definedName>
    <definedName name="page2note5" localSheetId="11">#REF!</definedName>
    <definedName name="page2note5" localSheetId="6">#REF!</definedName>
    <definedName name="page2note5" localSheetId="2">#REF!</definedName>
    <definedName name="page2note5" localSheetId="3">#REF!</definedName>
    <definedName name="page2note5" localSheetId="0">#REF!</definedName>
    <definedName name="page2note5">#REF!</definedName>
    <definedName name="page2note6" localSheetId="1">#REF!</definedName>
    <definedName name="page2note6" localSheetId="8">#REF!</definedName>
    <definedName name="page2note6" localSheetId="7">#REF!</definedName>
    <definedName name="page2note6" localSheetId="10">#REF!</definedName>
    <definedName name="page2note6" localSheetId="9">#REF!</definedName>
    <definedName name="page2note6" localSheetId="11">#REF!</definedName>
    <definedName name="page2note6" localSheetId="6">#REF!</definedName>
    <definedName name="page2note6" localSheetId="2">#REF!</definedName>
    <definedName name="page2note6" localSheetId="3">#REF!</definedName>
    <definedName name="page2note6" localSheetId="0">#REF!</definedName>
    <definedName name="page2note6">#REF!</definedName>
    <definedName name="page2notenum1" localSheetId="1">#REF!</definedName>
    <definedName name="page2notenum1" localSheetId="8">#REF!</definedName>
    <definedName name="page2notenum1" localSheetId="7">#REF!</definedName>
    <definedName name="page2notenum1" localSheetId="10">#REF!</definedName>
    <definedName name="page2notenum1" localSheetId="9">#REF!</definedName>
    <definedName name="page2notenum1" localSheetId="11">#REF!</definedName>
    <definedName name="page2notenum1" localSheetId="6">#REF!</definedName>
    <definedName name="page2notenum1" localSheetId="2">#REF!</definedName>
    <definedName name="page2notenum1" localSheetId="3">#REF!</definedName>
    <definedName name="page2notenum1" localSheetId="0">#REF!</definedName>
    <definedName name="page2notenum1">#REF!</definedName>
    <definedName name="page2notenum2" localSheetId="1">#REF!</definedName>
    <definedName name="page2notenum2" localSheetId="8">#REF!</definedName>
    <definedName name="page2notenum2" localSheetId="7">#REF!</definedName>
    <definedName name="page2notenum2" localSheetId="10">#REF!</definedName>
    <definedName name="page2notenum2" localSheetId="9">#REF!</definedName>
    <definedName name="page2notenum2" localSheetId="11">#REF!</definedName>
    <definedName name="page2notenum2" localSheetId="6">#REF!</definedName>
    <definedName name="page2notenum2" localSheetId="2">#REF!</definedName>
    <definedName name="page2notenum2" localSheetId="3">#REF!</definedName>
    <definedName name="page2notenum2" localSheetId="0">#REF!</definedName>
    <definedName name="page2notenum2">#REF!</definedName>
    <definedName name="page2notenum3" localSheetId="1">#REF!</definedName>
    <definedName name="page2notenum3" localSheetId="8">#REF!</definedName>
    <definedName name="page2notenum3" localSheetId="7">#REF!</definedName>
    <definedName name="page2notenum3" localSheetId="10">#REF!</definedName>
    <definedName name="page2notenum3" localSheetId="9">#REF!</definedName>
    <definedName name="page2notenum3" localSheetId="11">#REF!</definedName>
    <definedName name="page2notenum3" localSheetId="6">#REF!</definedName>
    <definedName name="page2notenum3" localSheetId="2">#REF!</definedName>
    <definedName name="page2notenum3" localSheetId="3">#REF!</definedName>
    <definedName name="page2notenum3" localSheetId="0">#REF!</definedName>
    <definedName name="page2notenum3">#REF!</definedName>
    <definedName name="page2notenum4" localSheetId="1">#REF!</definedName>
    <definedName name="page2notenum4" localSheetId="8">#REF!</definedName>
    <definedName name="page2notenum4" localSheetId="7">#REF!</definedName>
    <definedName name="page2notenum4" localSheetId="10">#REF!</definedName>
    <definedName name="page2notenum4" localSheetId="9">#REF!</definedName>
    <definedName name="page2notenum4" localSheetId="11">#REF!</definedName>
    <definedName name="page2notenum4" localSheetId="6">#REF!</definedName>
    <definedName name="page2notenum4" localSheetId="2">#REF!</definedName>
    <definedName name="page2notenum4" localSheetId="3">#REF!</definedName>
    <definedName name="page2notenum4" localSheetId="0">#REF!</definedName>
    <definedName name="page2notenum4">#REF!</definedName>
    <definedName name="page2notenum5" localSheetId="1">#REF!</definedName>
    <definedName name="page2notenum5" localSheetId="8">#REF!</definedName>
    <definedName name="page2notenum5" localSheetId="7">#REF!</definedName>
    <definedName name="page2notenum5" localSheetId="10">#REF!</definedName>
    <definedName name="page2notenum5" localSheetId="9">#REF!</definedName>
    <definedName name="page2notenum5" localSheetId="11">#REF!</definedName>
    <definedName name="page2notenum5" localSheetId="6">#REF!</definedName>
    <definedName name="page2notenum5" localSheetId="2">#REF!</definedName>
    <definedName name="page2notenum5" localSheetId="3">#REF!</definedName>
    <definedName name="page2notenum5" localSheetId="0">#REF!</definedName>
    <definedName name="page2notenum5">#REF!</definedName>
    <definedName name="page2notenum6" localSheetId="1">#REF!</definedName>
    <definedName name="page2notenum6" localSheetId="8">#REF!</definedName>
    <definedName name="page2notenum6" localSheetId="7">#REF!</definedName>
    <definedName name="page2notenum6" localSheetId="10">#REF!</definedName>
    <definedName name="page2notenum6" localSheetId="9">#REF!</definedName>
    <definedName name="page2notenum6" localSheetId="11">#REF!</definedName>
    <definedName name="page2notenum6" localSheetId="6">#REF!</definedName>
    <definedName name="page2notenum6" localSheetId="2">#REF!</definedName>
    <definedName name="page2notenum6" localSheetId="3">#REF!</definedName>
    <definedName name="page2notenum6" localSheetId="0">#REF!</definedName>
    <definedName name="page2notenum6">#REF!</definedName>
    <definedName name="page3note1" localSheetId="1">#REF!</definedName>
    <definedName name="page3note1" localSheetId="8">#REF!</definedName>
    <definedName name="page3note1" localSheetId="7">#REF!</definedName>
    <definedName name="page3note1" localSheetId="10">#REF!</definedName>
    <definedName name="page3note1" localSheetId="9">#REF!</definedName>
    <definedName name="page3note1" localSheetId="11">#REF!</definedName>
    <definedName name="page3note1" localSheetId="6">#REF!</definedName>
    <definedName name="page3note1" localSheetId="2">#REF!</definedName>
    <definedName name="page3note1" localSheetId="3">#REF!</definedName>
    <definedName name="page3note1" localSheetId="0">#REF!</definedName>
    <definedName name="page3note1">#REF!</definedName>
    <definedName name="page3note2" localSheetId="1">#REF!</definedName>
    <definedName name="page3note2" localSheetId="8">#REF!</definedName>
    <definedName name="page3note2" localSheetId="7">#REF!</definedName>
    <definedName name="page3note2" localSheetId="10">#REF!</definedName>
    <definedName name="page3note2" localSheetId="9">#REF!</definedName>
    <definedName name="page3note2" localSheetId="11">#REF!</definedName>
    <definedName name="page3note2" localSheetId="6">#REF!</definedName>
    <definedName name="page3note2" localSheetId="2">#REF!</definedName>
    <definedName name="page3note2" localSheetId="3">#REF!</definedName>
    <definedName name="page3note2" localSheetId="0">#REF!</definedName>
    <definedName name="page3note2">#REF!</definedName>
    <definedName name="page3note3" localSheetId="1">#REF!</definedName>
    <definedName name="page3note3" localSheetId="8">#REF!</definedName>
    <definedName name="page3note3" localSheetId="7">#REF!</definedName>
    <definedName name="page3note3" localSheetId="10">#REF!</definedName>
    <definedName name="page3note3" localSheetId="9">#REF!</definedName>
    <definedName name="page3note3" localSheetId="11">#REF!</definedName>
    <definedName name="page3note3" localSheetId="6">#REF!</definedName>
    <definedName name="page3note3" localSheetId="2">#REF!</definedName>
    <definedName name="page3note3" localSheetId="3">#REF!</definedName>
    <definedName name="page3note3" localSheetId="0">#REF!</definedName>
    <definedName name="page3note3">#REF!</definedName>
    <definedName name="page3note4" localSheetId="1">#REF!</definedName>
    <definedName name="page3note4" localSheetId="8">#REF!</definedName>
    <definedName name="page3note4" localSheetId="7">#REF!</definedName>
    <definedName name="page3note4" localSheetId="10">#REF!</definedName>
    <definedName name="page3note4" localSheetId="9">#REF!</definedName>
    <definedName name="page3note4" localSheetId="11">#REF!</definedName>
    <definedName name="page3note4" localSheetId="6">#REF!</definedName>
    <definedName name="page3note4" localSheetId="2">#REF!</definedName>
    <definedName name="page3note4" localSheetId="3">#REF!</definedName>
    <definedName name="page3note4" localSheetId="0">#REF!</definedName>
    <definedName name="page3note4">#REF!</definedName>
    <definedName name="page3note5" localSheetId="1">#REF!</definedName>
    <definedName name="page3note5" localSheetId="8">#REF!</definedName>
    <definedName name="page3note5" localSheetId="7">#REF!</definedName>
    <definedName name="page3note5" localSheetId="10">#REF!</definedName>
    <definedName name="page3note5" localSheetId="9">#REF!</definedName>
    <definedName name="page3note5" localSheetId="11">#REF!</definedName>
    <definedName name="page3note5" localSheetId="6">#REF!</definedName>
    <definedName name="page3note5" localSheetId="2">#REF!</definedName>
    <definedName name="page3note5" localSheetId="3">#REF!</definedName>
    <definedName name="page3note5" localSheetId="0">#REF!</definedName>
    <definedName name="page3note5">#REF!</definedName>
    <definedName name="page3note6" localSheetId="1">#REF!</definedName>
    <definedName name="page3note6" localSheetId="8">#REF!</definedName>
    <definedName name="page3note6" localSheetId="7">#REF!</definedName>
    <definedName name="page3note6" localSheetId="10">#REF!</definedName>
    <definedName name="page3note6" localSheetId="9">#REF!</definedName>
    <definedName name="page3note6" localSheetId="11">#REF!</definedName>
    <definedName name="page3note6" localSheetId="6">#REF!</definedName>
    <definedName name="page3note6" localSheetId="2">#REF!</definedName>
    <definedName name="page3note6" localSheetId="3">#REF!</definedName>
    <definedName name="page3note6" localSheetId="0">#REF!</definedName>
    <definedName name="page3note6">#REF!</definedName>
    <definedName name="page3notenum1" localSheetId="1">#REF!</definedName>
    <definedName name="page3notenum1" localSheetId="8">#REF!</definedName>
    <definedName name="page3notenum1" localSheetId="7">#REF!</definedName>
    <definedName name="page3notenum1" localSheetId="10">#REF!</definedName>
    <definedName name="page3notenum1" localSheetId="9">#REF!</definedName>
    <definedName name="page3notenum1" localSheetId="11">#REF!</definedName>
    <definedName name="page3notenum1" localSheetId="6">#REF!</definedName>
    <definedName name="page3notenum1" localSheetId="2">#REF!</definedName>
    <definedName name="page3notenum1" localSheetId="3">#REF!</definedName>
    <definedName name="page3notenum1" localSheetId="0">#REF!</definedName>
    <definedName name="page3notenum1">#REF!</definedName>
    <definedName name="page3notenum2" localSheetId="1">#REF!</definedName>
    <definedName name="page3notenum2" localSheetId="8">#REF!</definedName>
    <definedName name="page3notenum2" localSheetId="7">#REF!</definedName>
    <definedName name="page3notenum2" localSheetId="10">#REF!</definedName>
    <definedName name="page3notenum2" localSheetId="9">#REF!</definedName>
    <definedName name="page3notenum2" localSheetId="11">#REF!</definedName>
    <definedName name="page3notenum2" localSheetId="6">#REF!</definedName>
    <definedName name="page3notenum2" localSheetId="2">#REF!</definedName>
    <definedName name="page3notenum2" localSheetId="3">#REF!</definedName>
    <definedName name="page3notenum2" localSheetId="0">#REF!</definedName>
    <definedName name="page3notenum2">#REF!</definedName>
    <definedName name="page3notenum3" localSheetId="1">#REF!</definedName>
    <definedName name="page3notenum3" localSheetId="8">#REF!</definedName>
    <definedName name="page3notenum3" localSheetId="7">#REF!</definedName>
    <definedName name="page3notenum3" localSheetId="10">#REF!</definedName>
    <definedName name="page3notenum3" localSheetId="9">#REF!</definedName>
    <definedName name="page3notenum3" localSheetId="11">#REF!</definedName>
    <definedName name="page3notenum3" localSheetId="6">#REF!</definedName>
    <definedName name="page3notenum3" localSheetId="2">#REF!</definedName>
    <definedName name="page3notenum3" localSheetId="3">#REF!</definedName>
    <definedName name="page3notenum3" localSheetId="0">#REF!</definedName>
    <definedName name="page3notenum3">#REF!</definedName>
    <definedName name="page3notenum4" localSheetId="1">#REF!</definedName>
    <definedName name="page3notenum4" localSheetId="8">#REF!</definedName>
    <definedName name="page3notenum4" localSheetId="7">#REF!</definedName>
    <definedName name="page3notenum4" localSheetId="10">#REF!</definedName>
    <definedName name="page3notenum4" localSheetId="9">#REF!</definedName>
    <definedName name="page3notenum4" localSheetId="11">#REF!</definedName>
    <definedName name="page3notenum4" localSheetId="6">#REF!</definedName>
    <definedName name="page3notenum4" localSheetId="2">#REF!</definedName>
    <definedName name="page3notenum4" localSheetId="3">#REF!</definedName>
    <definedName name="page3notenum4" localSheetId="0">#REF!</definedName>
    <definedName name="page3notenum4">#REF!</definedName>
    <definedName name="page3notenum5" localSheetId="1">#REF!</definedName>
    <definedName name="page3notenum5" localSheetId="8">#REF!</definedName>
    <definedName name="page3notenum5" localSheetId="7">#REF!</definedName>
    <definedName name="page3notenum5" localSheetId="10">#REF!</definedName>
    <definedName name="page3notenum5" localSheetId="9">#REF!</definedName>
    <definedName name="page3notenum5" localSheetId="11">#REF!</definedName>
    <definedName name="page3notenum5" localSheetId="6">#REF!</definedName>
    <definedName name="page3notenum5" localSheetId="2">#REF!</definedName>
    <definedName name="page3notenum5" localSheetId="3">#REF!</definedName>
    <definedName name="page3notenum5" localSheetId="0">#REF!</definedName>
    <definedName name="page3notenum5">#REF!</definedName>
    <definedName name="page3notenum6" localSheetId="1">#REF!</definedName>
    <definedName name="page3notenum6" localSheetId="8">#REF!</definedName>
    <definedName name="page3notenum6" localSheetId="7">#REF!</definedName>
    <definedName name="page3notenum6" localSheetId="10">#REF!</definedName>
    <definedName name="page3notenum6" localSheetId="9">#REF!</definedName>
    <definedName name="page3notenum6" localSheetId="11">#REF!</definedName>
    <definedName name="page3notenum6" localSheetId="6">#REF!</definedName>
    <definedName name="page3notenum6" localSheetId="2">#REF!</definedName>
    <definedName name="page3notenum6" localSheetId="3">#REF!</definedName>
    <definedName name="page3notenum6" localSheetId="0">#REF!</definedName>
    <definedName name="page3notenum6">#REF!</definedName>
    <definedName name="page4note1" localSheetId="1">#REF!</definedName>
    <definedName name="page4note1" localSheetId="8">#REF!</definedName>
    <definedName name="page4note1" localSheetId="7">#REF!</definedName>
    <definedName name="page4note1" localSheetId="10">#REF!</definedName>
    <definedName name="page4note1" localSheetId="9">#REF!</definedName>
    <definedName name="page4note1" localSheetId="11">#REF!</definedName>
    <definedName name="page4note1" localSheetId="6">#REF!</definedName>
    <definedName name="page4note1" localSheetId="2">#REF!</definedName>
    <definedName name="page4note1" localSheetId="3">#REF!</definedName>
    <definedName name="page4note1" localSheetId="0">#REF!</definedName>
    <definedName name="page4note1">#REF!</definedName>
    <definedName name="page4note2" localSheetId="1">#REF!</definedName>
    <definedName name="page4note2" localSheetId="8">#REF!</definedName>
    <definedName name="page4note2" localSheetId="7">#REF!</definedName>
    <definedName name="page4note2" localSheetId="10">#REF!</definedName>
    <definedName name="page4note2" localSheetId="9">#REF!</definedName>
    <definedName name="page4note2" localSheetId="11">#REF!</definedName>
    <definedName name="page4note2" localSheetId="6">#REF!</definedName>
    <definedName name="page4note2" localSheetId="2">#REF!</definedName>
    <definedName name="page4note2" localSheetId="3">#REF!</definedName>
    <definedName name="page4note2" localSheetId="0">#REF!</definedName>
    <definedName name="page4note2">#REF!</definedName>
    <definedName name="page4note3" localSheetId="1">#REF!</definedName>
    <definedName name="page4note3" localSheetId="8">#REF!</definedName>
    <definedName name="page4note3" localSheetId="7">#REF!</definedName>
    <definedName name="page4note3" localSheetId="10">#REF!</definedName>
    <definedName name="page4note3" localSheetId="9">#REF!</definedName>
    <definedName name="page4note3" localSheetId="11">#REF!</definedName>
    <definedName name="page4note3" localSheetId="6">#REF!</definedName>
    <definedName name="page4note3" localSheetId="2">#REF!</definedName>
    <definedName name="page4note3" localSheetId="3">#REF!</definedName>
    <definedName name="page4note3" localSheetId="0">#REF!</definedName>
    <definedName name="page4note3">#REF!</definedName>
    <definedName name="page4note4" localSheetId="1">#REF!</definedName>
    <definedName name="page4note4" localSheetId="8">#REF!</definedName>
    <definedName name="page4note4" localSheetId="7">#REF!</definedName>
    <definedName name="page4note4" localSheetId="10">#REF!</definedName>
    <definedName name="page4note4" localSheetId="9">#REF!</definedName>
    <definedName name="page4note4" localSheetId="11">#REF!</definedName>
    <definedName name="page4note4" localSheetId="6">#REF!</definedName>
    <definedName name="page4note4" localSheetId="2">#REF!</definedName>
    <definedName name="page4note4" localSheetId="3">#REF!</definedName>
    <definedName name="page4note4" localSheetId="0">#REF!</definedName>
    <definedName name="page4note4">#REF!</definedName>
    <definedName name="page4note5" localSheetId="1">#REF!</definedName>
    <definedName name="page4note5" localSheetId="8">#REF!</definedName>
    <definedName name="page4note5" localSheetId="7">#REF!</definedName>
    <definedName name="page4note5" localSheetId="10">#REF!</definedName>
    <definedName name="page4note5" localSheetId="9">#REF!</definedName>
    <definedName name="page4note5" localSheetId="11">#REF!</definedName>
    <definedName name="page4note5" localSheetId="6">#REF!</definedName>
    <definedName name="page4note5" localSheetId="2">#REF!</definedName>
    <definedName name="page4note5" localSheetId="3">#REF!</definedName>
    <definedName name="page4note5" localSheetId="0">#REF!</definedName>
    <definedName name="page4note5">#REF!</definedName>
    <definedName name="page4note6" localSheetId="1">#REF!</definedName>
    <definedName name="page4note6" localSheetId="8">#REF!</definedName>
    <definedName name="page4note6" localSheetId="7">#REF!</definedName>
    <definedName name="page4note6" localSheetId="10">#REF!</definedName>
    <definedName name="page4note6" localSheetId="9">#REF!</definedName>
    <definedName name="page4note6" localSheetId="11">#REF!</definedName>
    <definedName name="page4note6" localSheetId="6">#REF!</definedName>
    <definedName name="page4note6" localSheetId="2">#REF!</definedName>
    <definedName name="page4note6" localSheetId="3">#REF!</definedName>
    <definedName name="page4note6" localSheetId="0">#REF!</definedName>
    <definedName name="page4note6">#REF!</definedName>
    <definedName name="page4notenum1" localSheetId="1">#REF!</definedName>
    <definedName name="page4notenum1" localSheetId="8">#REF!</definedName>
    <definedName name="page4notenum1" localSheetId="7">#REF!</definedName>
    <definedName name="page4notenum1" localSheetId="10">#REF!</definedName>
    <definedName name="page4notenum1" localSheetId="9">#REF!</definedName>
    <definedName name="page4notenum1" localSheetId="11">#REF!</definedName>
    <definedName name="page4notenum1" localSheetId="6">#REF!</definedName>
    <definedName name="page4notenum1" localSheetId="2">#REF!</definedName>
    <definedName name="page4notenum1" localSheetId="3">#REF!</definedName>
    <definedName name="page4notenum1" localSheetId="0">#REF!</definedName>
    <definedName name="page4notenum1">#REF!</definedName>
    <definedName name="page4notenum2" localSheetId="1">#REF!</definedName>
    <definedName name="page4notenum2" localSheetId="8">#REF!</definedName>
    <definedName name="page4notenum2" localSheetId="7">#REF!</definedName>
    <definedName name="page4notenum2" localSheetId="10">#REF!</definedName>
    <definedName name="page4notenum2" localSheetId="9">#REF!</definedName>
    <definedName name="page4notenum2" localSheetId="11">#REF!</definedName>
    <definedName name="page4notenum2" localSheetId="6">#REF!</definedName>
    <definedName name="page4notenum2" localSheetId="2">#REF!</definedName>
    <definedName name="page4notenum2" localSheetId="3">#REF!</definedName>
    <definedName name="page4notenum2" localSheetId="0">#REF!</definedName>
    <definedName name="page4notenum2">#REF!</definedName>
    <definedName name="page4notenum3" localSheetId="1">#REF!</definedName>
    <definedName name="page4notenum3" localSheetId="8">#REF!</definedName>
    <definedName name="page4notenum3" localSheetId="7">#REF!</definedName>
    <definedName name="page4notenum3" localSheetId="10">#REF!</definedName>
    <definedName name="page4notenum3" localSheetId="9">#REF!</definedName>
    <definedName name="page4notenum3" localSheetId="11">#REF!</definedName>
    <definedName name="page4notenum3" localSheetId="6">#REF!</definedName>
    <definedName name="page4notenum3" localSheetId="2">#REF!</definedName>
    <definedName name="page4notenum3" localSheetId="3">#REF!</definedName>
    <definedName name="page4notenum3" localSheetId="0">#REF!</definedName>
    <definedName name="page4notenum3">#REF!</definedName>
    <definedName name="page4notenum4" localSheetId="1">#REF!</definedName>
    <definedName name="page4notenum4" localSheetId="8">#REF!</definedName>
    <definedName name="page4notenum4" localSheetId="7">#REF!</definedName>
    <definedName name="page4notenum4" localSheetId="10">#REF!</definedName>
    <definedName name="page4notenum4" localSheetId="9">#REF!</definedName>
    <definedName name="page4notenum4" localSheetId="11">#REF!</definedName>
    <definedName name="page4notenum4" localSheetId="6">#REF!</definedName>
    <definedName name="page4notenum4" localSheetId="2">#REF!</definedName>
    <definedName name="page4notenum4" localSheetId="3">#REF!</definedName>
    <definedName name="page4notenum4" localSheetId="0">#REF!</definedName>
    <definedName name="page4notenum4">#REF!</definedName>
    <definedName name="page4notenum5" localSheetId="1">#REF!</definedName>
    <definedName name="page4notenum5" localSheetId="8">#REF!</definedName>
    <definedName name="page4notenum5" localSheetId="7">#REF!</definedName>
    <definedName name="page4notenum5" localSheetId="10">#REF!</definedName>
    <definedName name="page4notenum5" localSheetId="9">#REF!</definedName>
    <definedName name="page4notenum5" localSheetId="11">#REF!</definedName>
    <definedName name="page4notenum5" localSheetId="6">#REF!</definedName>
    <definedName name="page4notenum5" localSheetId="2">#REF!</definedName>
    <definedName name="page4notenum5" localSheetId="3">#REF!</definedName>
    <definedName name="page4notenum5" localSheetId="0">#REF!</definedName>
    <definedName name="page4notenum5">#REF!</definedName>
    <definedName name="page4notenum6" localSheetId="1">#REF!</definedName>
    <definedName name="page4notenum6" localSheetId="8">#REF!</definedName>
    <definedName name="page4notenum6" localSheetId="7">#REF!</definedName>
    <definedName name="page4notenum6" localSheetId="10">#REF!</definedName>
    <definedName name="page4notenum6" localSheetId="9">#REF!</definedName>
    <definedName name="page4notenum6" localSheetId="11">#REF!</definedName>
    <definedName name="page4notenum6" localSheetId="6">#REF!</definedName>
    <definedName name="page4notenum6" localSheetId="2">#REF!</definedName>
    <definedName name="page4notenum6" localSheetId="3">#REF!</definedName>
    <definedName name="page4notenum6" localSheetId="0">#REF!</definedName>
    <definedName name="page4notenum6">#REF!</definedName>
    <definedName name="page5note1" localSheetId="1">#REF!</definedName>
    <definedName name="page5note1" localSheetId="8">#REF!</definedName>
    <definedName name="page5note1" localSheetId="7">#REF!</definedName>
    <definedName name="page5note1" localSheetId="10">#REF!</definedName>
    <definedName name="page5note1" localSheetId="9">#REF!</definedName>
    <definedName name="page5note1" localSheetId="11">#REF!</definedName>
    <definedName name="page5note1" localSheetId="6">#REF!</definedName>
    <definedName name="page5note1" localSheetId="2">#REF!</definedName>
    <definedName name="page5note1" localSheetId="3">#REF!</definedName>
    <definedName name="page5note1" localSheetId="0">#REF!</definedName>
    <definedName name="page5note1">#REF!</definedName>
    <definedName name="page5note2" localSheetId="1">#REF!</definedName>
    <definedName name="page5note2" localSheetId="8">#REF!</definedName>
    <definedName name="page5note2" localSheetId="7">#REF!</definedName>
    <definedName name="page5note2" localSheetId="10">#REF!</definedName>
    <definedName name="page5note2" localSheetId="9">#REF!</definedName>
    <definedName name="page5note2" localSheetId="11">#REF!</definedName>
    <definedName name="page5note2" localSheetId="6">#REF!</definedName>
    <definedName name="page5note2" localSheetId="2">#REF!</definedName>
    <definedName name="page5note2" localSheetId="3">#REF!</definedName>
    <definedName name="page5note2" localSheetId="0">#REF!</definedName>
    <definedName name="page5note2">#REF!</definedName>
    <definedName name="page5note3" localSheetId="1">#REF!</definedName>
    <definedName name="page5note3" localSheetId="8">#REF!</definedName>
    <definedName name="page5note3" localSheetId="7">#REF!</definedName>
    <definedName name="page5note3" localSheetId="10">#REF!</definedName>
    <definedName name="page5note3" localSheetId="9">#REF!</definedName>
    <definedName name="page5note3" localSheetId="11">#REF!</definedName>
    <definedName name="page5note3" localSheetId="6">#REF!</definedName>
    <definedName name="page5note3" localSheetId="2">#REF!</definedName>
    <definedName name="page5note3" localSheetId="3">#REF!</definedName>
    <definedName name="page5note3" localSheetId="0">#REF!</definedName>
    <definedName name="page5note3">#REF!</definedName>
    <definedName name="page5note4" localSheetId="1">#REF!</definedName>
    <definedName name="page5note4" localSheetId="8">#REF!</definedName>
    <definedName name="page5note4" localSheetId="7">#REF!</definedName>
    <definedName name="page5note4" localSheetId="10">#REF!</definedName>
    <definedName name="page5note4" localSheetId="9">#REF!</definedName>
    <definedName name="page5note4" localSheetId="11">#REF!</definedName>
    <definedName name="page5note4" localSheetId="6">#REF!</definedName>
    <definedName name="page5note4" localSheetId="2">#REF!</definedName>
    <definedName name="page5note4" localSheetId="3">#REF!</definedName>
    <definedName name="page5note4" localSheetId="0">#REF!</definedName>
    <definedName name="page5note4">#REF!</definedName>
    <definedName name="page5note5" localSheetId="1">#REF!</definedName>
    <definedName name="page5note5" localSheetId="8">#REF!</definedName>
    <definedName name="page5note5" localSheetId="7">#REF!</definedName>
    <definedName name="page5note5" localSheetId="10">#REF!</definedName>
    <definedName name="page5note5" localSheetId="9">#REF!</definedName>
    <definedName name="page5note5" localSheetId="11">#REF!</definedName>
    <definedName name="page5note5" localSheetId="6">#REF!</definedName>
    <definedName name="page5note5" localSheetId="2">#REF!</definedName>
    <definedName name="page5note5" localSheetId="3">#REF!</definedName>
    <definedName name="page5note5" localSheetId="0">#REF!</definedName>
    <definedName name="page5note5">#REF!</definedName>
    <definedName name="page5note6" localSheetId="1">#REF!</definedName>
    <definedName name="page5note6" localSheetId="8">#REF!</definedName>
    <definedName name="page5note6" localSheetId="7">#REF!</definedName>
    <definedName name="page5note6" localSheetId="10">#REF!</definedName>
    <definedName name="page5note6" localSheetId="9">#REF!</definedName>
    <definedName name="page5note6" localSheetId="11">#REF!</definedName>
    <definedName name="page5note6" localSheetId="6">#REF!</definedName>
    <definedName name="page5note6" localSheetId="2">#REF!</definedName>
    <definedName name="page5note6" localSheetId="3">#REF!</definedName>
    <definedName name="page5note6" localSheetId="0">#REF!</definedName>
    <definedName name="page5note6">#REF!</definedName>
    <definedName name="page5notenum1" localSheetId="1">#REF!</definedName>
    <definedName name="page5notenum1" localSheetId="8">#REF!</definedName>
    <definedName name="page5notenum1" localSheetId="7">#REF!</definedName>
    <definedName name="page5notenum1" localSheetId="10">#REF!</definedName>
    <definedName name="page5notenum1" localSheetId="9">#REF!</definedName>
    <definedName name="page5notenum1" localSheetId="11">#REF!</definedName>
    <definedName name="page5notenum1" localSheetId="6">#REF!</definedName>
    <definedName name="page5notenum1" localSheetId="2">#REF!</definedName>
    <definedName name="page5notenum1" localSheetId="3">#REF!</definedName>
    <definedName name="page5notenum1" localSheetId="0">#REF!</definedName>
    <definedName name="page5notenum1">#REF!</definedName>
    <definedName name="page5notenum2" localSheetId="1">#REF!</definedName>
    <definedName name="page5notenum2" localSheetId="8">#REF!</definedName>
    <definedName name="page5notenum2" localSheetId="7">#REF!</definedName>
    <definedName name="page5notenum2" localSheetId="10">#REF!</definedName>
    <definedName name="page5notenum2" localSheetId="9">#REF!</definedName>
    <definedName name="page5notenum2" localSheetId="11">#REF!</definedName>
    <definedName name="page5notenum2" localSheetId="6">#REF!</definedName>
    <definedName name="page5notenum2" localSheetId="2">#REF!</definedName>
    <definedName name="page5notenum2" localSheetId="3">#REF!</definedName>
    <definedName name="page5notenum2" localSheetId="0">#REF!</definedName>
    <definedName name="page5notenum2">#REF!</definedName>
    <definedName name="page5notenum3" localSheetId="1">#REF!</definedName>
    <definedName name="page5notenum3" localSheetId="8">#REF!</definedName>
    <definedName name="page5notenum3" localSheetId="7">#REF!</definedName>
    <definedName name="page5notenum3" localSheetId="10">#REF!</definedName>
    <definedName name="page5notenum3" localSheetId="9">#REF!</definedName>
    <definedName name="page5notenum3" localSheetId="11">#REF!</definedName>
    <definedName name="page5notenum3" localSheetId="6">#REF!</definedName>
    <definedName name="page5notenum3" localSheetId="2">#REF!</definedName>
    <definedName name="page5notenum3" localSheetId="3">#REF!</definedName>
    <definedName name="page5notenum3" localSheetId="0">#REF!</definedName>
    <definedName name="page5notenum3">#REF!</definedName>
    <definedName name="page5notenum4" localSheetId="1">#REF!</definedName>
    <definedName name="page5notenum4" localSheetId="8">#REF!</definedName>
    <definedName name="page5notenum4" localSheetId="7">#REF!</definedName>
    <definedName name="page5notenum4" localSheetId="10">#REF!</definedName>
    <definedName name="page5notenum4" localSheetId="9">#REF!</definedName>
    <definedName name="page5notenum4" localSheetId="11">#REF!</definedName>
    <definedName name="page5notenum4" localSheetId="6">#REF!</definedName>
    <definedName name="page5notenum4" localSheetId="2">#REF!</definedName>
    <definedName name="page5notenum4" localSheetId="3">#REF!</definedName>
    <definedName name="page5notenum4" localSheetId="0">#REF!</definedName>
    <definedName name="page5notenum4">#REF!</definedName>
    <definedName name="page5notenum5" localSheetId="1">#REF!</definedName>
    <definedName name="page5notenum5" localSheetId="8">#REF!</definedName>
    <definedName name="page5notenum5" localSheetId="7">#REF!</definedName>
    <definedName name="page5notenum5" localSheetId="10">#REF!</definedName>
    <definedName name="page5notenum5" localSheetId="9">#REF!</definedName>
    <definedName name="page5notenum5" localSheetId="11">#REF!</definedName>
    <definedName name="page5notenum5" localSheetId="6">#REF!</definedName>
    <definedName name="page5notenum5" localSheetId="2">#REF!</definedName>
    <definedName name="page5notenum5" localSheetId="3">#REF!</definedName>
    <definedName name="page5notenum5" localSheetId="0">#REF!</definedName>
    <definedName name="page5notenum5">#REF!</definedName>
    <definedName name="page5notenum6" localSheetId="1">#REF!</definedName>
    <definedName name="page5notenum6" localSheetId="8">#REF!</definedName>
    <definedName name="page5notenum6" localSheetId="7">#REF!</definedName>
    <definedName name="page5notenum6" localSheetId="10">#REF!</definedName>
    <definedName name="page5notenum6" localSheetId="9">#REF!</definedName>
    <definedName name="page5notenum6" localSheetId="11">#REF!</definedName>
    <definedName name="page5notenum6" localSheetId="6">#REF!</definedName>
    <definedName name="page5notenum6" localSheetId="2">#REF!</definedName>
    <definedName name="page5notenum6" localSheetId="3">#REF!</definedName>
    <definedName name="page5notenum6" localSheetId="0">#REF!</definedName>
    <definedName name="page5notenum6">#REF!</definedName>
    <definedName name="page6note1" localSheetId="1">#REF!</definedName>
    <definedName name="page6note1" localSheetId="8">#REF!</definedName>
    <definedName name="page6note1" localSheetId="7">#REF!</definedName>
    <definedName name="page6note1" localSheetId="10">#REF!</definedName>
    <definedName name="page6note1" localSheetId="9">#REF!</definedName>
    <definedName name="page6note1" localSheetId="11">#REF!</definedName>
    <definedName name="page6note1" localSheetId="6">#REF!</definedName>
    <definedName name="page6note1" localSheetId="2">#REF!</definedName>
    <definedName name="page6note1" localSheetId="3">#REF!</definedName>
    <definedName name="page6note1" localSheetId="0">#REF!</definedName>
    <definedName name="page6note1">#REF!</definedName>
    <definedName name="page6note2" localSheetId="1">#REF!</definedName>
    <definedName name="page6note2" localSheetId="8">#REF!</definedName>
    <definedName name="page6note2" localSheetId="7">#REF!</definedName>
    <definedName name="page6note2" localSheetId="10">#REF!</definedName>
    <definedName name="page6note2" localSheetId="9">#REF!</definedName>
    <definedName name="page6note2" localSheetId="11">#REF!</definedName>
    <definedName name="page6note2" localSheetId="6">#REF!</definedName>
    <definedName name="page6note2" localSheetId="2">#REF!</definedName>
    <definedName name="page6note2" localSheetId="3">#REF!</definedName>
    <definedName name="page6note2" localSheetId="0">#REF!</definedName>
    <definedName name="page6note2">#REF!</definedName>
    <definedName name="page6note3" localSheetId="1">#REF!</definedName>
    <definedName name="page6note3" localSheetId="8">#REF!</definedName>
    <definedName name="page6note3" localSheetId="7">#REF!</definedName>
    <definedName name="page6note3" localSheetId="10">#REF!</definedName>
    <definedName name="page6note3" localSheetId="9">#REF!</definedName>
    <definedName name="page6note3" localSheetId="11">#REF!</definedName>
    <definedName name="page6note3" localSheetId="6">#REF!</definedName>
    <definedName name="page6note3" localSheetId="2">#REF!</definedName>
    <definedName name="page6note3" localSheetId="3">#REF!</definedName>
    <definedName name="page6note3" localSheetId="0">#REF!</definedName>
    <definedName name="page6note3">#REF!</definedName>
    <definedName name="page6note4" localSheetId="1">#REF!</definedName>
    <definedName name="page6note4" localSheetId="8">#REF!</definedName>
    <definedName name="page6note4" localSheetId="7">#REF!</definedName>
    <definedName name="page6note4" localSheetId="10">#REF!</definedName>
    <definedName name="page6note4" localSheetId="9">#REF!</definedName>
    <definedName name="page6note4" localSheetId="11">#REF!</definedName>
    <definedName name="page6note4" localSheetId="6">#REF!</definedName>
    <definedName name="page6note4" localSheetId="2">#REF!</definedName>
    <definedName name="page6note4" localSheetId="3">#REF!</definedName>
    <definedName name="page6note4" localSheetId="0">#REF!</definedName>
    <definedName name="page6note4">#REF!</definedName>
    <definedName name="page6note5" localSheetId="1">#REF!</definedName>
    <definedName name="page6note5" localSheetId="8">#REF!</definedName>
    <definedName name="page6note5" localSheetId="7">#REF!</definedName>
    <definedName name="page6note5" localSheetId="10">#REF!</definedName>
    <definedName name="page6note5" localSheetId="9">#REF!</definedName>
    <definedName name="page6note5" localSheetId="11">#REF!</definedName>
    <definedName name="page6note5" localSheetId="6">#REF!</definedName>
    <definedName name="page6note5" localSheetId="2">#REF!</definedName>
    <definedName name="page6note5" localSheetId="3">#REF!</definedName>
    <definedName name="page6note5" localSheetId="0">#REF!</definedName>
    <definedName name="page6note5">#REF!</definedName>
    <definedName name="page6note6" localSheetId="1">#REF!</definedName>
    <definedName name="page6note6" localSheetId="8">#REF!</definedName>
    <definedName name="page6note6" localSheetId="7">#REF!</definedName>
    <definedName name="page6note6" localSheetId="10">#REF!</definedName>
    <definedName name="page6note6" localSheetId="9">#REF!</definedName>
    <definedName name="page6note6" localSheetId="11">#REF!</definedName>
    <definedName name="page6note6" localSheetId="6">#REF!</definedName>
    <definedName name="page6note6" localSheetId="2">#REF!</definedName>
    <definedName name="page6note6" localSheetId="3">#REF!</definedName>
    <definedName name="page6note6" localSheetId="0">#REF!</definedName>
    <definedName name="page6note6">#REF!</definedName>
    <definedName name="page6notenum1" localSheetId="1">#REF!</definedName>
    <definedName name="page6notenum1" localSheetId="8">#REF!</definedName>
    <definedName name="page6notenum1" localSheetId="7">#REF!</definedName>
    <definedName name="page6notenum1" localSheetId="10">#REF!</definedName>
    <definedName name="page6notenum1" localSheetId="9">#REF!</definedName>
    <definedName name="page6notenum1" localSheetId="11">#REF!</definedName>
    <definedName name="page6notenum1" localSheetId="6">#REF!</definedName>
    <definedName name="page6notenum1" localSheetId="2">#REF!</definedName>
    <definedName name="page6notenum1" localSheetId="3">#REF!</definedName>
    <definedName name="page6notenum1" localSheetId="0">#REF!</definedName>
    <definedName name="page6notenum1">#REF!</definedName>
    <definedName name="page6notenum2" localSheetId="1">#REF!</definedName>
    <definedName name="page6notenum2" localSheetId="8">#REF!</definedName>
    <definedName name="page6notenum2" localSheetId="7">#REF!</definedName>
    <definedName name="page6notenum2" localSheetId="10">#REF!</definedName>
    <definedName name="page6notenum2" localSheetId="9">#REF!</definedName>
    <definedName name="page6notenum2" localSheetId="11">#REF!</definedName>
    <definedName name="page6notenum2" localSheetId="6">#REF!</definedName>
    <definedName name="page6notenum2" localSheetId="2">#REF!</definedName>
    <definedName name="page6notenum2" localSheetId="3">#REF!</definedName>
    <definedName name="page6notenum2" localSheetId="0">#REF!</definedName>
    <definedName name="page6notenum2">#REF!</definedName>
    <definedName name="page6notenum3" localSheetId="1">#REF!</definedName>
    <definedName name="page6notenum3" localSheetId="8">#REF!</definedName>
    <definedName name="page6notenum3" localSheetId="7">#REF!</definedName>
    <definedName name="page6notenum3" localSheetId="10">#REF!</definedName>
    <definedName name="page6notenum3" localSheetId="9">#REF!</definedName>
    <definedName name="page6notenum3" localSheetId="11">#REF!</definedName>
    <definedName name="page6notenum3" localSheetId="6">#REF!</definedName>
    <definedName name="page6notenum3" localSheetId="2">#REF!</definedName>
    <definedName name="page6notenum3" localSheetId="3">#REF!</definedName>
    <definedName name="page6notenum3" localSheetId="0">#REF!</definedName>
    <definedName name="page6notenum3">#REF!</definedName>
    <definedName name="page6notenum4" localSheetId="1">#REF!</definedName>
    <definedName name="page6notenum4" localSheetId="8">#REF!</definedName>
    <definedName name="page6notenum4" localSheetId="7">#REF!</definedName>
    <definedName name="page6notenum4" localSheetId="10">#REF!</definedName>
    <definedName name="page6notenum4" localSheetId="9">#REF!</definedName>
    <definedName name="page6notenum4" localSheetId="11">#REF!</definedName>
    <definedName name="page6notenum4" localSheetId="6">#REF!</definedName>
    <definedName name="page6notenum4" localSheetId="2">#REF!</definedName>
    <definedName name="page6notenum4" localSheetId="3">#REF!</definedName>
    <definedName name="page6notenum4" localSheetId="0">#REF!</definedName>
    <definedName name="page6notenum4">#REF!</definedName>
    <definedName name="page6notenum5" localSheetId="1">#REF!</definedName>
    <definedName name="page6notenum5" localSheetId="8">#REF!</definedName>
    <definedName name="page6notenum5" localSheetId="7">#REF!</definedName>
    <definedName name="page6notenum5" localSheetId="10">#REF!</definedName>
    <definedName name="page6notenum5" localSheetId="9">#REF!</definedName>
    <definedName name="page6notenum5" localSheetId="11">#REF!</definedName>
    <definedName name="page6notenum5" localSheetId="6">#REF!</definedName>
    <definedName name="page6notenum5" localSheetId="2">#REF!</definedName>
    <definedName name="page6notenum5" localSheetId="3">#REF!</definedName>
    <definedName name="page6notenum5" localSheetId="0">#REF!</definedName>
    <definedName name="page6notenum5">#REF!</definedName>
    <definedName name="page6notenum6" localSheetId="1">#REF!</definedName>
    <definedName name="page6notenum6" localSheetId="8">#REF!</definedName>
    <definedName name="page6notenum6" localSheetId="7">#REF!</definedName>
    <definedName name="page6notenum6" localSheetId="10">#REF!</definedName>
    <definedName name="page6notenum6" localSheetId="9">#REF!</definedName>
    <definedName name="page6notenum6" localSheetId="11">#REF!</definedName>
    <definedName name="page6notenum6" localSheetId="6">#REF!</definedName>
    <definedName name="page6notenum6" localSheetId="2">#REF!</definedName>
    <definedName name="page6notenum6" localSheetId="3">#REF!</definedName>
    <definedName name="page6notenum6" localSheetId="0">#REF!</definedName>
    <definedName name="page6notenum6">#REF!</definedName>
    <definedName name="pagelabel1" localSheetId="1">#REF!</definedName>
    <definedName name="pagelabel1" localSheetId="8">#REF!</definedName>
    <definedName name="pagelabel1" localSheetId="7">#REF!</definedName>
    <definedName name="pagelabel1" localSheetId="10">#REF!</definedName>
    <definedName name="pagelabel1" localSheetId="9">#REF!</definedName>
    <definedName name="pagelabel1" localSheetId="11">#REF!</definedName>
    <definedName name="pagelabel1" localSheetId="6">#REF!</definedName>
    <definedName name="pagelabel1" localSheetId="2">#REF!</definedName>
    <definedName name="pagelabel1" localSheetId="3">#REF!</definedName>
    <definedName name="pagelabel1" localSheetId="0">#REF!</definedName>
    <definedName name="pagelabel1">#REF!</definedName>
    <definedName name="pagelabel2" localSheetId="1">#REF!</definedName>
    <definedName name="pagelabel2" localSheetId="8">#REF!</definedName>
    <definedName name="pagelabel2" localSheetId="7">#REF!</definedName>
    <definedName name="pagelabel2" localSheetId="10">#REF!</definedName>
    <definedName name="pagelabel2" localSheetId="9">#REF!</definedName>
    <definedName name="pagelabel2" localSheetId="11">#REF!</definedName>
    <definedName name="pagelabel2" localSheetId="6">#REF!</definedName>
    <definedName name="pagelabel2" localSheetId="2">#REF!</definedName>
    <definedName name="pagelabel2" localSheetId="3">#REF!</definedName>
    <definedName name="pagelabel2" localSheetId="0">#REF!</definedName>
    <definedName name="pagelabel2">#REF!</definedName>
    <definedName name="pagelabel3" localSheetId="1">#REF!</definedName>
    <definedName name="pagelabel3" localSheetId="8">#REF!</definedName>
    <definedName name="pagelabel3" localSheetId="7">#REF!</definedName>
    <definedName name="pagelabel3" localSheetId="10">#REF!</definedName>
    <definedName name="pagelabel3" localSheetId="9">#REF!</definedName>
    <definedName name="pagelabel3" localSheetId="11">#REF!</definedName>
    <definedName name="pagelabel3" localSheetId="6">#REF!</definedName>
    <definedName name="pagelabel3" localSheetId="2">#REF!</definedName>
    <definedName name="pagelabel3" localSheetId="3">#REF!</definedName>
    <definedName name="pagelabel3" localSheetId="0">#REF!</definedName>
    <definedName name="pagelabel3">#REF!</definedName>
    <definedName name="pagelabel4" localSheetId="1">#REF!</definedName>
    <definedName name="pagelabel4" localSheetId="8">#REF!</definedName>
    <definedName name="pagelabel4" localSheetId="7">#REF!</definedName>
    <definedName name="pagelabel4" localSheetId="10">#REF!</definedName>
    <definedName name="pagelabel4" localSheetId="9">#REF!</definedName>
    <definedName name="pagelabel4" localSheetId="11">#REF!</definedName>
    <definedName name="pagelabel4" localSheetId="6">#REF!</definedName>
    <definedName name="pagelabel4" localSheetId="2">#REF!</definedName>
    <definedName name="pagelabel4" localSheetId="3">#REF!</definedName>
    <definedName name="pagelabel4" localSheetId="0">#REF!</definedName>
    <definedName name="pagelabel4">#REF!</definedName>
    <definedName name="pagelabel5" localSheetId="1">#REF!</definedName>
    <definedName name="pagelabel5" localSheetId="8">#REF!</definedName>
    <definedName name="pagelabel5" localSheetId="7">#REF!</definedName>
    <definedName name="pagelabel5" localSheetId="10">#REF!</definedName>
    <definedName name="pagelabel5" localSheetId="9">#REF!</definedName>
    <definedName name="pagelabel5" localSheetId="11">#REF!</definedName>
    <definedName name="pagelabel5" localSheetId="6">#REF!</definedName>
    <definedName name="pagelabel5" localSheetId="2">#REF!</definedName>
    <definedName name="pagelabel5" localSheetId="3">#REF!</definedName>
    <definedName name="pagelabel5" localSheetId="0">#REF!</definedName>
    <definedName name="pagelabel5">#REF!</definedName>
    <definedName name="pagelabel6" localSheetId="1">#REF!</definedName>
    <definedName name="pagelabel6" localSheetId="8">#REF!</definedName>
    <definedName name="pagelabel6" localSheetId="7">#REF!</definedName>
    <definedName name="pagelabel6" localSheetId="10">#REF!</definedName>
    <definedName name="pagelabel6" localSheetId="9">#REF!</definedName>
    <definedName name="pagelabel6" localSheetId="11">#REF!</definedName>
    <definedName name="pagelabel6" localSheetId="6">#REF!</definedName>
    <definedName name="pagelabel6" localSheetId="2">#REF!</definedName>
    <definedName name="pagelabel6" localSheetId="3">#REF!</definedName>
    <definedName name="pagelabel6" localSheetId="0">#REF!</definedName>
    <definedName name="pagelabel6">#REF!</definedName>
    <definedName name="PGLANDS" localSheetId="1">'[11]Corrib Haz'!#REF!</definedName>
    <definedName name="PGLANDS" localSheetId="8">'[11]Corrib Haz'!#REF!</definedName>
    <definedName name="PGLANDS" localSheetId="7">'[11]Corrib Haz'!#REF!</definedName>
    <definedName name="PGLANDS" localSheetId="10">'[11]Corrib Haz'!#REF!</definedName>
    <definedName name="PGLANDS" localSheetId="9">'[11]Corrib Haz'!#REF!</definedName>
    <definedName name="PGLANDS" localSheetId="11">'[11]Corrib Haz'!#REF!</definedName>
    <definedName name="PGLANDS" localSheetId="6">'[11]Corrib Haz'!#REF!</definedName>
    <definedName name="PGLANDS" localSheetId="2">'[11]Corrib Haz'!#REF!</definedName>
    <definedName name="PGLANDS" localSheetId="3">'[11]Corrib Haz'!#REF!</definedName>
    <definedName name="PGLANDS" localSheetId="0">'[11]Corrib Haz'!#REF!</definedName>
    <definedName name="PGLANDS">'[11]Corrib Haz'!#REF!</definedName>
    <definedName name="Pipe_ID" localSheetId="1">#REF!</definedName>
    <definedName name="Pipe_ID" localSheetId="8">#REF!</definedName>
    <definedName name="Pipe_ID" localSheetId="7">#REF!</definedName>
    <definedName name="Pipe_ID" localSheetId="10">#REF!</definedName>
    <definedName name="Pipe_ID" localSheetId="9">#REF!</definedName>
    <definedName name="Pipe_ID" localSheetId="11">#REF!</definedName>
    <definedName name="Pipe_ID" localSheetId="6">#REF!</definedName>
    <definedName name="Pipe_ID" localSheetId="2">#REF!</definedName>
    <definedName name="Pipe_ID" localSheetId="3">#REF!</definedName>
    <definedName name="Pipe_ID" localSheetId="0">#REF!</definedName>
    <definedName name="Pipe_ID">#REF!</definedName>
    <definedName name="Pipe_OD" localSheetId="1">#REF!</definedName>
    <definedName name="Pipe_OD" localSheetId="8">#REF!</definedName>
    <definedName name="Pipe_OD" localSheetId="7">#REF!</definedName>
    <definedName name="Pipe_OD" localSheetId="10">#REF!</definedName>
    <definedName name="Pipe_OD" localSheetId="9">#REF!</definedName>
    <definedName name="Pipe_OD" localSheetId="11">#REF!</definedName>
    <definedName name="Pipe_OD" localSheetId="6">#REF!</definedName>
    <definedName name="Pipe_OD" localSheetId="2">#REF!</definedName>
    <definedName name="Pipe_OD" localSheetId="3">#REF!</definedName>
    <definedName name="Pipe_OD" localSheetId="0">#REF!</definedName>
    <definedName name="Pipe_OD">#REF!</definedName>
    <definedName name="PipeType" localSheetId="1">#REF!</definedName>
    <definedName name="PipeType" localSheetId="8">#REF!</definedName>
    <definedName name="PipeType" localSheetId="7">#REF!</definedName>
    <definedName name="PipeType" localSheetId="10">#REF!</definedName>
    <definedName name="PipeType" localSheetId="9">#REF!</definedName>
    <definedName name="PipeType" localSheetId="11">#REF!</definedName>
    <definedName name="PipeType" localSheetId="6">#REF!</definedName>
    <definedName name="PipeType" localSheetId="2">#REF!</definedName>
    <definedName name="PipeType" localSheetId="3">#REF!</definedName>
    <definedName name="PipeType" localSheetId="0">#REF!</definedName>
    <definedName name="PipeType">#REF!</definedName>
    <definedName name="PM10EF">'[10]Comply Conditions'!$CK$71:$CW$85</definedName>
    <definedName name="PM10Emis">'[10]Comply Conditions'!$CJ$14:$CV$46</definedName>
    <definedName name="PM2.5EF">'[10]Comply Conditions'!$BT$71:$CF$85</definedName>
    <definedName name="PM25Emis">'[10]Comply Conditions'!$BS$14:$CE$46</definedName>
    <definedName name="PO" localSheetId="1">#REF!</definedName>
    <definedName name="PO" localSheetId="8">#REF!</definedName>
    <definedName name="PO" localSheetId="7">#REF!</definedName>
    <definedName name="PO" localSheetId="10">#REF!</definedName>
    <definedName name="PO" localSheetId="9">#REF!</definedName>
    <definedName name="PO" localSheetId="11">#REF!</definedName>
    <definedName name="PO" localSheetId="6">#REF!</definedName>
    <definedName name="PO" localSheetId="2">#REF!</definedName>
    <definedName name="PO" localSheetId="3">#REF!</definedName>
    <definedName name="PO" localSheetId="0">#REF!</definedName>
    <definedName name="PO">#REF!</definedName>
    <definedName name="polyrop" localSheetId="1">#REF!</definedName>
    <definedName name="polyrop" localSheetId="8">#REF!</definedName>
    <definedName name="polyrop" localSheetId="7">#REF!</definedName>
    <definedName name="polyrop" localSheetId="10">#REF!</definedName>
    <definedName name="polyrop" localSheetId="9">#REF!</definedName>
    <definedName name="polyrop" localSheetId="11">#REF!</definedName>
    <definedName name="polyrop" localSheetId="6">#REF!</definedName>
    <definedName name="polyrop" localSheetId="2">#REF!</definedName>
    <definedName name="polyrop" localSheetId="3">#REF!</definedName>
    <definedName name="polyrop" localSheetId="0">#REF!</definedName>
    <definedName name="polyrop">#REF!</definedName>
    <definedName name="power" localSheetId="1">#REF!</definedName>
    <definedName name="power" localSheetId="8">#REF!</definedName>
    <definedName name="power" localSheetId="7">#REF!</definedName>
    <definedName name="power" localSheetId="10">#REF!</definedName>
    <definedName name="power" localSheetId="9">#REF!</definedName>
    <definedName name="power" localSheetId="11">#REF!</definedName>
    <definedName name="power" localSheetId="6">#REF!</definedName>
    <definedName name="power" localSheetId="2">#REF!</definedName>
    <definedName name="power" localSheetId="3">#REF!</definedName>
    <definedName name="power" localSheetId="0">#REF!</definedName>
    <definedName name="power">#REF!</definedName>
    <definedName name="pRES_FACTOR" localSheetId="1">#REF!</definedName>
    <definedName name="pRES_FACTOR" localSheetId="8">#REF!</definedName>
    <definedName name="pRES_FACTOR" localSheetId="7">#REF!</definedName>
    <definedName name="pRES_FACTOR" localSheetId="10">#REF!</definedName>
    <definedName name="pRES_FACTOR" localSheetId="9">#REF!</definedName>
    <definedName name="pRES_FACTOR" localSheetId="11">#REF!</definedName>
    <definedName name="pRES_FACTOR" localSheetId="6">#REF!</definedName>
    <definedName name="pRES_FACTOR" localSheetId="2">#REF!</definedName>
    <definedName name="pRES_FACTOR" localSheetId="3">#REF!</definedName>
    <definedName name="pRES_FACTOR" localSheetId="0">#REF!</definedName>
    <definedName name="pRES_FACTOR">#REF!</definedName>
    <definedName name="Press1">#NAME?</definedName>
    <definedName name="PressAbsUOM.2" localSheetId="1">#REF!</definedName>
    <definedName name="PressAbsUOM.2" localSheetId="8">#REF!</definedName>
    <definedName name="PressAbsUOM.2" localSheetId="7">#REF!</definedName>
    <definedName name="PressAbsUOM.2" localSheetId="10">#REF!</definedName>
    <definedName name="PressAbsUOM.2" localSheetId="9">#REF!</definedName>
    <definedName name="PressAbsUOM.2" localSheetId="11">#REF!</definedName>
    <definedName name="PressAbsUOM.2" localSheetId="6">#REF!</definedName>
    <definedName name="PressAbsUOM.2" localSheetId="2">#REF!</definedName>
    <definedName name="PressAbsUOM.2" localSheetId="3">#REF!</definedName>
    <definedName name="PressAbsUOM.2" localSheetId="0">#REF!</definedName>
    <definedName name="PressAbsUOM.2">#REF!</definedName>
    <definedName name="PressAbsUOM.3" localSheetId="1">#REF!</definedName>
    <definedName name="PressAbsUOM.3" localSheetId="8">#REF!</definedName>
    <definedName name="PressAbsUOM.3" localSheetId="7">#REF!</definedName>
    <definedName name="PressAbsUOM.3" localSheetId="10">#REF!</definedName>
    <definedName name="PressAbsUOM.3" localSheetId="9">#REF!</definedName>
    <definedName name="PressAbsUOM.3" localSheetId="11">#REF!</definedName>
    <definedName name="PressAbsUOM.3" localSheetId="6">#REF!</definedName>
    <definedName name="PressAbsUOM.3" localSheetId="2">#REF!</definedName>
    <definedName name="PressAbsUOM.3" localSheetId="3">#REF!</definedName>
    <definedName name="PressAbsUOM.3" localSheetId="0">#REF!</definedName>
    <definedName name="PressAbsUOM.3">#REF!</definedName>
    <definedName name="PressAbsUOM.4" localSheetId="1">#REF!</definedName>
    <definedName name="PressAbsUOM.4" localSheetId="8">#REF!</definedName>
    <definedName name="PressAbsUOM.4" localSheetId="7">#REF!</definedName>
    <definedName name="PressAbsUOM.4" localSheetId="10">#REF!</definedName>
    <definedName name="PressAbsUOM.4" localSheetId="9">#REF!</definedName>
    <definedName name="PressAbsUOM.4" localSheetId="11">#REF!</definedName>
    <definedName name="PressAbsUOM.4" localSheetId="6">#REF!</definedName>
    <definedName name="PressAbsUOM.4" localSheetId="2">#REF!</definedName>
    <definedName name="PressAbsUOM.4" localSheetId="3">#REF!</definedName>
    <definedName name="PressAbsUOM.4" localSheetId="0">#REF!</definedName>
    <definedName name="PressAbsUOM.4">#REF!</definedName>
    <definedName name="PressAbsUOM.5" localSheetId="1">#REF!</definedName>
    <definedName name="PressAbsUOM.5" localSheetId="8">#REF!</definedName>
    <definedName name="PressAbsUOM.5" localSheetId="7">#REF!</definedName>
    <definedName name="PressAbsUOM.5" localSheetId="10">#REF!</definedName>
    <definedName name="PressAbsUOM.5" localSheetId="9">#REF!</definedName>
    <definedName name="PressAbsUOM.5" localSheetId="11">#REF!</definedName>
    <definedName name="PressAbsUOM.5" localSheetId="6">#REF!</definedName>
    <definedName name="PressAbsUOM.5" localSheetId="2">#REF!</definedName>
    <definedName name="PressAbsUOM.5" localSheetId="3">#REF!</definedName>
    <definedName name="PressAbsUOM.5" localSheetId="0">#REF!</definedName>
    <definedName name="PressAbsUOM.5">#REF!</definedName>
    <definedName name="PressAbsUOM.6" localSheetId="1">#REF!</definedName>
    <definedName name="PressAbsUOM.6" localSheetId="8">#REF!</definedName>
    <definedName name="PressAbsUOM.6" localSheetId="7">#REF!</definedName>
    <definedName name="PressAbsUOM.6" localSheetId="10">#REF!</definedName>
    <definedName name="PressAbsUOM.6" localSheetId="9">#REF!</definedName>
    <definedName name="PressAbsUOM.6" localSheetId="11">#REF!</definedName>
    <definedName name="PressAbsUOM.6" localSheetId="6">#REF!</definedName>
    <definedName name="PressAbsUOM.6" localSheetId="2">#REF!</definedName>
    <definedName name="PressAbsUOM.6" localSheetId="3">#REF!</definedName>
    <definedName name="PressAbsUOM.6" localSheetId="0">#REF!</definedName>
    <definedName name="PressAbsUOM.6">#REF!</definedName>
    <definedName name="PressAbsUOM.7" localSheetId="1">#REF!</definedName>
    <definedName name="PressAbsUOM.7" localSheetId="8">#REF!</definedName>
    <definedName name="PressAbsUOM.7" localSheetId="7">#REF!</definedName>
    <definedName name="PressAbsUOM.7" localSheetId="10">#REF!</definedName>
    <definedName name="PressAbsUOM.7" localSheetId="9">#REF!</definedName>
    <definedName name="PressAbsUOM.7" localSheetId="11">#REF!</definedName>
    <definedName name="PressAbsUOM.7" localSheetId="6">#REF!</definedName>
    <definedName name="PressAbsUOM.7" localSheetId="2">#REF!</definedName>
    <definedName name="PressAbsUOM.7" localSheetId="3">#REF!</definedName>
    <definedName name="PressAbsUOM.7" localSheetId="0">#REF!</definedName>
    <definedName name="PressAbsUOM.7">#REF!</definedName>
    <definedName name="pressdrop" localSheetId="1">#REF!</definedName>
    <definedName name="pressdrop" localSheetId="8">#REF!</definedName>
    <definedName name="pressdrop" localSheetId="7">#REF!</definedName>
    <definedName name="pressdrop" localSheetId="10">#REF!</definedName>
    <definedName name="pressdrop" localSheetId="9">#REF!</definedName>
    <definedName name="pressdrop" localSheetId="11">#REF!</definedName>
    <definedName name="pressdrop" localSheetId="6">#REF!</definedName>
    <definedName name="pressdrop" localSheetId="2">#REF!</definedName>
    <definedName name="pressdrop" localSheetId="3">#REF!</definedName>
    <definedName name="pressdrop" localSheetId="0">#REF!</definedName>
    <definedName name="pressdrop">#REF!</definedName>
    <definedName name="PressDropUOM.1" localSheetId="1">#REF!</definedName>
    <definedName name="PressDropUOM.1" localSheetId="8">#REF!</definedName>
    <definedName name="PressDropUOM.1" localSheetId="7">#REF!</definedName>
    <definedName name="PressDropUOM.1" localSheetId="10">#REF!</definedName>
    <definedName name="PressDropUOM.1" localSheetId="9">#REF!</definedName>
    <definedName name="PressDropUOM.1" localSheetId="11">#REF!</definedName>
    <definedName name="PressDropUOM.1" localSheetId="6">#REF!</definedName>
    <definedName name="PressDropUOM.1" localSheetId="2">#REF!</definedName>
    <definedName name="PressDropUOM.1" localSheetId="3">#REF!</definedName>
    <definedName name="PressDropUOM.1" localSheetId="0">#REF!</definedName>
    <definedName name="PressDropUOM.1">#REF!</definedName>
    <definedName name="pressure" localSheetId="1">#REF!</definedName>
    <definedName name="pressure" localSheetId="8">#REF!</definedName>
    <definedName name="pressure" localSheetId="7">#REF!</definedName>
    <definedName name="pressure" localSheetId="10">#REF!</definedName>
    <definedName name="pressure" localSheetId="9">#REF!</definedName>
    <definedName name="pressure" localSheetId="11">#REF!</definedName>
    <definedName name="pressure" localSheetId="6">#REF!</definedName>
    <definedName name="pressure" localSheetId="2">#REF!</definedName>
    <definedName name="pressure" localSheetId="3">#REF!</definedName>
    <definedName name="pressure" localSheetId="0">#REF!</definedName>
    <definedName name="pressure">#REF!</definedName>
    <definedName name="pressuregoal" localSheetId="1">#REF!</definedName>
    <definedName name="pressuregoal" localSheetId="8">#REF!</definedName>
    <definedName name="pressuregoal" localSheetId="7">#REF!</definedName>
    <definedName name="pressuregoal" localSheetId="10">#REF!</definedName>
    <definedName name="pressuregoal" localSheetId="9">#REF!</definedName>
    <definedName name="pressuregoal" localSheetId="11">#REF!</definedName>
    <definedName name="pressuregoal" localSheetId="6">#REF!</definedName>
    <definedName name="pressuregoal" localSheetId="2">#REF!</definedName>
    <definedName name="pressuregoal" localSheetId="3">#REF!</definedName>
    <definedName name="pressuregoal" localSheetId="0">#REF!</definedName>
    <definedName name="pressuregoal">#REF!</definedName>
    <definedName name="PressureUnitLabel">[22]Sheet1!$M$43</definedName>
    <definedName name="_xlnm.Print_Area" localSheetId="13">#REF!</definedName>
    <definedName name="_xlnm.Print_Area" localSheetId="8">#REF!</definedName>
    <definedName name="_xlnm.Print_Area" localSheetId="7">#REF!</definedName>
    <definedName name="_xlnm.Print_Area" localSheetId="10">#REF!</definedName>
    <definedName name="_xlnm.Print_Area" localSheetId="9">#REF!</definedName>
    <definedName name="_xlnm.Print_Area" localSheetId="11">#REF!</definedName>
    <definedName name="_xlnm.Print_Area" localSheetId="6">#REF!</definedName>
    <definedName name="_xlnm.Print_Area">#REF!</definedName>
    <definedName name="PRINT_AREA_MI" localSheetId="1">#REF!</definedName>
    <definedName name="PRINT_AREA_MI" localSheetId="8">#REF!</definedName>
    <definedName name="PRINT_AREA_MI" localSheetId="7">#REF!</definedName>
    <definedName name="PRINT_AREA_MI" localSheetId="10">#REF!</definedName>
    <definedName name="PRINT_AREA_MI" localSheetId="9">#REF!</definedName>
    <definedName name="PRINT_AREA_MI" localSheetId="11">#REF!</definedName>
    <definedName name="PRINT_AREA_MI" localSheetId="6">#REF!</definedName>
    <definedName name="PRINT_AREA_MI" localSheetId="2">#REF!</definedName>
    <definedName name="PRINT_AREA_MI" localSheetId="3">#REF!</definedName>
    <definedName name="PRINT_AREA_MI" localSheetId="0">#REF!</definedName>
    <definedName name="PRINT_AREA_MI">#REF!</definedName>
    <definedName name="_xlnm.Print_Titles" localSheetId="8">#REF!</definedName>
    <definedName name="_xlnm.Print_Titles" localSheetId="7">#REF!</definedName>
    <definedName name="_xlnm.Print_Titles" localSheetId="10">#REF!</definedName>
    <definedName name="_xlnm.Print_Titles" localSheetId="9">#REF!</definedName>
    <definedName name="_xlnm.Print_Titles" localSheetId="11">#REF!</definedName>
    <definedName name="_xlnm.Print_Titles" localSheetId="6">#REF!</definedName>
    <definedName name="_xlnm.Print_Titles">#REF!</definedName>
    <definedName name="PRINT_TITLES_MI" localSheetId="1">#REF!</definedName>
    <definedName name="PRINT_TITLES_MI" localSheetId="8">#REF!</definedName>
    <definedName name="PRINT_TITLES_MI" localSheetId="7">#REF!</definedName>
    <definedName name="PRINT_TITLES_MI" localSheetId="10">#REF!</definedName>
    <definedName name="PRINT_TITLES_MI" localSheetId="9">#REF!</definedName>
    <definedName name="PRINT_TITLES_MI" localSheetId="11">#REF!</definedName>
    <definedName name="PRINT_TITLES_MI" localSheetId="6">#REF!</definedName>
    <definedName name="PRINT_TITLES_MI" localSheetId="2">#REF!</definedName>
    <definedName name="PRINT_TITLES_MI" localSheetId="3">#REF!</definedName>
    <definedName name="PRINT_TITLES_MI" localSheetId="0">#REF!</definedName>
    <definedName name="PRINT_TITLES_MI">#REF!</definedName>
    <definedName name="PRINT_TYPE" localSheetId="1">'[12]Pump Suction'!#REF!</definedName>
    <definedName name="PRINT_TYPE" localSheetId="8">'[12]Pump Suction'!#REF!</definedName>
    <definedName name="PRINT_TYPE" localSheetId="7">'[12]Pump Suction'!#REF!</definedName>
    <definedName name="PRINT_TYPE" localSheetId="10">'[12]Pump Suction'!#REF!</definedName>
    <definedName name="PRINT_TYPE" localSheetId="9">'[12]Pump Suction'!#REF!</definedName>
    <definedName name="PRINT_TYPE" localSheetId="11">'[12]Pump Suction'!#REF!</definedName>
    <definedName name="PRINT_TYPE" localSheetId="6">'[12]Pump Suction'!#REF!</definedName>
    <definedName name="PRINT_TYPE" localSheetId="2">'[12]Pump Suction'!#REF!</definedName>
    <definedName name="PRINT_TYPE" localSheetId="3">'[12]Pump Suction'!#REF!</definedName>
    <definedName name="PRINT_TYPE" localSheetId="0">'[12]Pump Suction'!#REF!</definedName>
    <definedName name="PRINT_TYPE">'[12]Pump Suction'!#REF!</definedName>
    <definedName name="PrintPage" localSheetId="1">[23]!PrintPage</definedName>
    <definedName name="PrintPage" localSheetId="8">[23]!PrintPage</definedName>
    <definedName name="PrintPage" localSheetId="7">[23]!PrintPage</definedName>
    <definedName name="PrintPage" localSheetId="10">[23]!PrintPage</definedName>
    <definedName name="PrintPage" localSheetId="9">[23]!PrintPage</definedName>
    <definedName name="PrintPage" localSheetId="11">[23]!PrintPage</definedName>
    <definedName name="PrintPage" localSheetId="6">[23]!PrintPage</definedName>
    <definedName name="PrintPage" localSheetId="2">[23]!PrintPage</definedName>
    <definedName name="PrintPage" localSheetId="3">[23]!PrintPage</definedName>
    <definedName name="PrintPage" localSheetId="0">[23]!PrintPage</definedName>
    <definedName name="PrintPage">[23]!PrintPage</definedName>
    <definedName name="produnit" localSheetId="1">#REF!</definedName>
    <definedName name="produnit" localSheetId="8">#REF!</definedName>
    <definedName name="produnit" localSheetId="7">#REF!</definedName>
    <definedName name="produnit" localSheetId="10">#REF!</definedName>
    <definedName name="produnit" localSheetId="9">#REF!</definedName>
    <definedName name="produnit" localSheetId="11">#REF!</definedName>
    <definedName name="produnit" localSheetId="6">#REF!</definedName>
    <definedName name="produnit" localSheetId="2">#REF!</definedName>
    <definedName name="produnit" localSheetId="3">#REF!</definedName>
    <definedName name="produnit" localSheetId="0">#REF!</definedName>
    <definedName name="produnit">#REF!</definedName>
    <definedName name="proj" localSheetId="1">#REF!</definedName>
    <definedName name="proj" localSheetId="8">#REF!</definedName>
    <definedName name="proj" localSheetId="7">#REF!</definedName>
    <definedName name="proj" localSheetId="10">#REF!</definedName>
    <definedName name="proj" localSheetId="9">#REF!</definedName>
    <definedName name="proj" localSheetId="11">#REF!</definedName>
    <definedName name="proj" localSheetId="6">#REF!</definedName>
    <definedName name="proj" localSheetId="2">#REF!</definedName>
    <definedName name="proj" localSheetId="3">#REF!</definedName>
    <definedName name="proj" localSheetId="0">#REF!</definedName>
    <definedName name="proj">#REF!</definedName>
    <definedName name="PTECOEmis" localSheetId="1">[10]NoORL!#REF!</definedName>
    <definedName name="PTECOEmis" localSheetId="8">[10]NoORL!#REF!</definedName>
    <definedName name="PTECOEmis" localSheetId="7">[10]NoORL!#REF!</definedName>
    <definedName name="PTECOEmis" localSheetId="10">[10]NoORL!#REF!</definedName>
    <definedName name="PTECOEmis" localSheetId="9">[10]NoORL!#REF!</definedName>
    <definedName name="PTECOEmis" localSheetId="11">[10]NoORL!#REF!</definedName>
    <definedName name="PTECOEmis" localSheetId="6">[10]NoORL!#REF!</definedName>
    <definedName name="PTECOEmis" localSheetId="2">[10]NoORL!#REF!</definedName>
    <definedName name="PTECOEmis" localSheetId="3">[10]NoORL!#REF!</definedName>
    <definedName name="PTECOEmis" localSheetId="0">[10]NoORL!#REF!</definedName>
    <definedName name="PTECOEmis">[10]NoORL!#REF!</definedName>
    <definedName name="PTEIncinCO" localSheetId="1">[10]NoORL!#REF!</definedName>
    <definedName name="PTEIncinCO" localSheetId="8">[10]NoORL!#REF!</definedName>
    <definedName name="PTEIncinCO" localSheetId="7">[10]NoORL!#REF!</definedName>
    <definedName name="PTEIncinCO" localSheetId="10">[10]NoORL!#REF!</definedName>
    <definedName name="PTEIncinCO" localSheetId="9">[10]NoORL!#REF!</definedName>
    <definedName name="PTEIncinCO" localSheetId="11">[10]NoORL!#REF!</definedName>
    <definedName name="PTEIncinCO" localSheetId="6">[10]NoORL!#REF!</definedName>
    <definedName name="PTEIncinCO" localSheetId="2">[10]NoORL!#REF!</definedName>
    <definedName name="PTEIncinCO" localSheetId="3">[10]NoORL!#REF!</definedName>
    <definedName name="PTEIncinCO" localSheetId="0">[10]NoORL!#REF!</definedName>
    <definedName name="PTEIncinCO">[10]NoORL!#REF!</definedName>
    <definedName name="PTEIncinNH3" localSheetId="1">[10]NoORL!#REF!</definedName>
    <definedName name="PTEIncinNH3" localSheetId="8">[10]NoORL!#REF!</definedName>
    <definedName name="PTEIncinNH3" localSheetId="7">[10]NoORL!#REF!</definedName>
    <definedName name="PTEIncinNH3" localSheetId="10">[10]NoORL!#REF!</definedName>
    <definedName name="PTEIncinNH3" localSheetId="9">[10]NoORL!#REF!</definedName>
    <definedName name="PTEIncinNH3" localSheetId="11">[10]NoORL!#REF!</definedName>
    <definedName name="PTEIncinNH3" localSheetId="6">[10]NoORL!#REF!</definedName>
    <definedName name="PTEIncinNH3" localSheetId="2">[10]NoORL!#REF!</definedName>
    <definedName name="PTEIncinNH3" localSheetId="3">[10]NoORL!#REF!</definedName>
    <definedName name="PTEIncinNH3" localSheetId="0">[10]NoORL!#REF!</definedName>
    <definedName name="PTEIncinNH3">[10]NoORL!#REF!</definedName>
    <definedName name="PTEIncinNOx" localSheetId="1">[10]NoORL!#REF!</definedName>
    <definedName name="PTEIncinNOx" localSheetId="8">[10]NoORL!#REF!</definedName>
    <definedName name="PTEIncinNOx" localSheetId="7">[10]NoORL!#REF!</definedName>
    <definedName name="PTEIncinNOx" localSheetId="10">[10]NoORL!#REF!</definedName>
    <definedName name="PTEIncinNOx" localSheetId="9">[10]NoORL!#REF!</definedName>
    <definedName name="PTEIncinNOx" localSheetId="11">[10]NoORL!#REF!</definedName>
    <definedName name="PTEIncinNOx" localSheetId="6">[10]NoORL!#REF!</definedName>
    <definedName name="PTEIncinNOx" localSheetId="2">[10]NoORL!#REF!</definedName>
    <definedName name="PTEIncinNOx" localSheetId="3">[10]NoORL!#REF!</definedName>
    <definedName name="PTEIncinNOx" localSheetId="0">[10]NoORL!#REF!</definedName>
    <definedName name="PTEIncinNOx">[10]NoORL!#REF!</definedName>
    <definedName name="PTEIncinPM10" localSheetId="1">[10]NoORL!#REF!</definedName>
    <definedName name="PTEIncinPM10" localSheetId="8">[10]NoORL!#REF!</definedName>
    <definedName name="PTEIncinPM10" localSheetId="7">[10]NoORL!#REF!</definedName>
    <definedName name="PTEIncinPM10" localSheetId="10">[10]NoORL!#REF!</definedName>
    <definedName name="PTEIncinPM10" localSheetId="9">[10]NoORL!#REF!</definedName>
    <definedName name="PTEIncinPM10" localSheetId="11">[10]NoORL!#REF!</definedName>
    <definedName name="PTEIncinPM10" localSheetId="6">[10]NoORL!#REF!</definedName>
    <definedName name="PTEIncinPM10" localSheetId="2">[10]NoORL!#REF!</definedName>
    <definedName name="PTEIncinPM10" localSheetId="3">[10]NoORL!#REF!</definedName>
    <definedName name="PTEIncinPM10" localSheetId="0">[10]NoORL!#REF!</definedName>
    <definedName name="PTEIncinPM10">[10]NoORL!#REF!</definedName>
    <definedName name="PTEIncinPM2.5" localSheetId="1">[10]NoORL!#REF!</definedName>
    <definedName name="PTEIncinPM2.5" localSheetId="8">[10]NoORL!#REF!</definedName>
    <definedName name="PTEIncinPM2.5" localSheetId="7">[10]NoORL!#REF!</definedName>
    <definedName name="PTEIncinPM2.5" localSheetId="10">[10]NoORL!#REF!</definedName>
    <definedName name="PTEIncinPM2.5" localSheetId="9">[10]NoORL!#REF!</definedName>
    <definedName name="PTEIncinPM2.5" localSheetId="11">[10]NoORL!#REF!</definedName>
    <definedName name="PTEIncinPM2.5" localSheetId="6">[10]NoORL!#REF!</definedName>
    <definedName name="PTEIncinPM2.5" localSheetId="2">[10]NoORL!#REF!</definedName>
    <definedName name="PTEIncinPM2.5" localSheetId="3">[10]NoORL!#REF!</definedName>
    <definedName name="PTEIncinPM2.5" localSheetId="0">[10]NoORL!#REF!</definedName>
    <definedName name="PTEIncinPM2.5">[10]NoORL!#REF!</definedName>
    <definedName name="PTEIncinSO2" localSheetId="1">[10]NoORL!#REF!</definedName>
    <definedName name="PTEIncinSO2" localSheetId="8">[10]NoORL!#REF!</definedName>
    <definedName name="PTEIncinSO2" localSheetId="7">[10]NoORL!#REF!</definedName>
    <definedName name="PTEIncinSO2" localSheetId="10">[10]NoORL!#REF!</definedName>
    <definedName name="PTEIncinSO2" localSheetId="9">[10]NoORL!#REF!</definedName>
    <definedName name="PTEIncinSO2" localSheetId="11">[10]NoORL!#REF!</definedName>
    <definedName name="PTEIncinSO2" localSheetId="6">[10]NoORL!#REF!</definedName>
    <definedName name="PTEIncinSO2" localSheetId="2">[10]NoORL!#REF!</definedName>
    <definedName name="PTEIncinSO2" localSheetId="3">[10]NoORL!#REF!</definedName>
    <definedName name="PTEIncinSO2" localSheetId="0">[10]NoORL!#REF!</definedName>
    <definedName name="PTEIncinSO2">[10]NoORL!#REF!</definedName>
    <definedName name="PTEIncinVOC" localSheetId="1">[10]NoORL!#REF!</definedName>
    <definedName name="PTEIncinVOC" localSheetId="8">[10]NoORL!#REF!</definedName>
    <definedName name="PTEIncinVOC" localSheetId="7">[10]NoORL!#REF!</definedName>
    <definedName name="PTEIncinVOC" localSheetId="10">[10]NoORL!#REF!</definedName>
    <definedName name="PTEIncinVOC" localSheetId="9">[10]NoORL!#REF!</definedName>
    <definedName name="PTEIncinVOC" localSheetId="11">[10]NoORL!#REF!</definedName>
    <definedName name="PTEIncinVOC" localSheetId="6">[10]NoORL!#REF!</definedName>
    <definedName name="PTEIncinVOC" localSheetId="2">[10]NoORL!#REF!</definedName>
    <definedName name="PTEIncinVOC" localSheetId="3">[10]NoORL!#REF!</definedName>
    <definedName name="PTEIncinVOC" localSheetId="0">[10]NoORL!#REF!</definedName>
    <definedName name="PTEIncinVOC">[10]NoORL!#REF!</definedName>
    <definedName name="PTENH3Emis" localSheetId="1">[10]NoORL!#REF!</definedName>
    <definedName name="PTENH3Emis" localSheetId="8">[10]NoORL!#REF!</definedName>
    <definedName name="PTENH3Emis" localSheetId="7">[10]NoORL!#REF!</definedName>
    <definedName name="PTENH3Emis" localSheetId="10">[10]NoORL!#REF!</definedName>
    <definedName name="PTENH3Emis" localSheetId="9">[10]NoORL!#REF!</definedName>
    <definedName name="PTENH3Emis" localSheetId="11">[10]NoORL!#REF!</definedName>
    <definedName name="PTENH3Emis" localSheetId="6">[10]NoORL!#REF!</definedName>
    <definedName name="PTENH3Emis" localSheetId="2">[10]NoORL!#REF!</definedName>
    <definedName name="PTENH3Emis" localSheetId="3">[10]NoORL!#REF!</definedName>
    <definedName name="PTENH3Emis" localSheetId="0">[10]NoORL!#REF!</definedName>
    <definedName name="PTENH3Emis">[10]NoORL!#REF!</definedName>
    <definedName name="PTENOxEmis" localSheetId="1">[10]NoORL!#REF!</definedName>
    <definedName name="PTENOxEmis" localSheetId="8">[10]NoORL!#REF!</definedName>
    <definedName name="PTENOxEmis" localSheetId="7">[10]NoORL!#REF!</definedName>
    <definedName name="PTENOxEmis" localSheetId="10">[10]NoORL!#REF!</definedName>
    <definedName name="PTENOxEmis" localSheetId="9">[10]NoORL!#REF!</definedName>
    <definedName name="PTENOxEmis" localSheetId="11">[10]NoORL!#REF!</definedName>
    <definedName name="PTENOxEmis" localSheetId="6">[10]NoORL!#REF!</definedName>
    <definedName name="PTENOxEmis" localSheetId="2">[10]NoORL!#REF!</definedName>
    <definedName name="PTENOxEmis" localSheetId="3">[10]NoORL!#REF!</definedName>
    <definedName name="PTENOxEmis" localSheetId="0">[10]NoORL!#REF!</definedName>
    <definedName name="PTENOxEmis">[10]NoORL!#REF!</definedName>
    <definedName name="PTEPM10Emis" localSheetId="1">[10]NoORL!#REF!</definedName>
    <definedName name="PTEPM10Emis" localSheetId="8">[10]NoORL!#REF!</definedName>
    <definedName name="PTEPM10Emis" localSheetId="7">[10]NoORL!#REF!</definedName>
    <definedName name="PTEPM10Emis" localSheetId="10">[10]NoORL!#REF!</definedName>
    <definedName name="PTEPM10Emis" localSheetId="9">[10]NoORL!#REF!</definedName>
    <definedName name="PTEPM10Emis" localSheetId="11">[10]NoORL!#REF!</definedName>
    <definedName name="PTEPM10Emis" localSheetId="6">[10]NoORL!#REF!</definedName>
    <definedName name="PTEPM10Emis" localSheetId="2">[10]NoORL!#REF!</definedName>
    <definedName name="PTEPM10Emis" localSheetId="3">[10]NoORL!#REF!</definedName>
    <definedName name="PTEPM10Emis" localSheetId="0">[10]NoORL!#REF!</definedName>
    <definedName name="PTEPM10Emis">[10]NoORL!#REF!</definedName>
    <definedName name="PTEPM2.5Emis" localSheetId="1">[10]NoORL!#REF!</definedName>
    <definedName name="PTEPM2.5Emis" localSheetId="8">[10]NoORL!#REF!</definedName>
    <definedName name="PTEPM2.5Emis" localSheetId="7">[10]NoORL!#REF!</definedName>
    <definedName name="PTEPM2.5Emis" localSheetId="10">[10]NoORL!#REF!</definedName>
    <definedName name="PTEPM2.5Emis" localSheetId="9">[10]NoORL!#REF!</definedName>
    <definedName name="PTEPM2.5Emis" localSheetId="11">[10]NoORL!#REF!</definedName>
    <definedName name="PTEPM2.5Emis" localSheetId="6">[10]NoORL!#REF!</definedName>
    <definedName name="PTEPM2.5Emis" localSheetId="2">[10]NoORL!#REF!</definedName>
    <definedName name="PTEPM2.5Emis" localSheetId="3">[10]NoORL!#REF!</definedName>
    <definedName name="PTEPM2.5Emis" localSheetId="0">[10]NoORL!#REF!</definedName>
    <definedName name="PTEPM2.5Emis">[10]NoORL!#REF!</definedName>
    <definedName name="PTESO2Emis" localSheetId="1">[10]NoORL!#REF!</definedName>
    <definedName name="PTESO2Emis" localSheetId="8">[10]NoORL!#REF!</definedName>
    <definedName name="PTESO2Emis" localSheetId="7">[10]NoORL!#REF!</definedName>
    <definedName name="PTESO2Emis" localSheetId="10">[10]NoORL!#REF!</definedName>
    <definedName name="PTESO2Emis" localSheetId="9">[10]NoORL!#REF!</definedName>
    <definedName name="PTESO2Emis" localSheetId="11">[10]NoORL!#REF!</definedName>
    <definedName name="PTESO2Emis" localSheetId="6">[10]NoORL!#REF!</definedName>
    <definedName name="PTESO2Emis" localSheetId="2">[10]NoORL!#REF!</definedName>
    <definedName name="PTESO2Emis" localSheetId="3">[10]NoORL!#REF!</definedName>
    <definedName name="PTESO2Emis" localSheetId="0">[10]NoORL!#REF!</definedName>
    <definedName name="PTESO2Emis">[10]NoORL!#REF!</definedName>
    <definedName name="PTEVOCEmis" localSheetId="1">[10]NoORL!#REF!</definedName>
    <definedName name="PTEVOCEmis" localSheetId="8">[10]NoORL!#REF!</definedName>
    <definedName name="PTEVOCEmis" localSheetId="7">[10]NoORL!#REF!</definedName>
    <definedName name="PTEVOCEmis" localSheetId="10">[10]NoORL!#REF!</definedName>
    <definedName name="PTEVOCEmis" localSheetId="9">[10]NoORL!#REF!</definedName>
    <definedName name="PTEVOCEmis" localSheetId="11">[10]NoORL!#REF!</definedName>
    <definedName name="PTEVOCEmis" localSheetId="6">[10]NoORL!#REF!</definedName>
    <definedName name="PTEVOCEmis" localSheetId="2">[10]NoORL!#REF!</definedName>
    <definedName name="PTEVOCEmis" localSheetId="3">[10]NoORL!#REF!</definedName>
    <definedName name="PTEVOCEmis" localSheetId="0">[10]NoORL!#REF!</definedName>
    <definedName name="PTEVOCEmis">[10]NoORL!#REF!</definedName>
    <definedName name="ptgaspress" localSheetId="1">#REF!</definedName>
    <definedName name="ptgaspress" localSheetId="13">#REF!</definedName>
    <definedName name="ptgaspress" localSheetId="8">#REF!</definedName>
    <definedName name="ptgaspress" localSheetId="7">#REF!</definedName>
    <definedName name="ptgaspress" localSheetId="10">#REF!</definedName>
    <definedName name="ptgaspress" localSheetId="9">#REF!</definedName>
    <definedName name="ptgaspress" localSheetId="11">#REF!</definedName>
    <definedName name="ptgaspress" localSheetId="6">#REF!</definedName>
    <definedName name="ptgaspress" localSheetId="2">#REF!</definedName>
    <definedName name="ptgaspress" localSheetId="3">#REF!</definedName>
    <definedName name="ptgaspress" localSheetId="0">#REF!</definedName>
    <definedName name="ptgaspress">#REF!</definedName>
    <definedName name="R_">'[18]Compressor performance'!$B$20</definedName>
    <definedName name="Rail" localSheetId="1">#REF!</definedName>
    <definedName name="Rail" localSheetId="8">#REF!</definedName>
    <definedName name="Rail" localSheetId="7">#REF!</definedName>
    <definedName name="Rail" localSheetId="10">#REF!</definedName>
    <definedName name="Rail" localSheetId="9">#REF!</definedName>
    <definedName name="Rail" localSheetId="11">#REF!</definedName>
    <definedName name="Rail" localSheetId="6">#REF!</definedName>
    <definedName name="Rail" localSheetId="2">#REF!</definedName>
    <definedName name="Rail" localSheetId="3">#REF!</definedName>
    <definedName name="Rail" localSheetId="0">#REF!</definedName>
    <definedName name="Rail">#REF!</definedName>
    <definedName name="RANGE1" localSheetId="1">#REF!</definedName>
    <definedName name="RANGE1" localSheetId="8">#REF!</definedName>
    <definedName name="RANGE1" localSheetId="7">#REF!</definedName>
    <definedName name="RANGE1" localSheetId="10">#REF!</definedName>
    <definedName name="RANGE1" localSheetId="9">#REF!</definedName>
    <definedName name="RANGE1" localSheetId="11">#REF!</definedName>
    <definedName name="RANGE1" localSheetId="6">#REF!</definedName>
    <definedName name="RANGE1" localSheetId="2">#REF!</definedName>
    <definedName name="RANGE1" localSheetId="3">#REF!</definedName>
    <definedName name="RANGE1" localSheetId="0">#REF!</definedName>
    <definedName name="RANGE1">#REF!</definedName>
    <definedName name="RANGE2" localSheetId="1">#REF!</definedName>
    <definedName name="RANGE2" localSheetId="8">#REF!</definedName>
    <definedName name="RANGE2" localSheetId="7">#REF!</definedName>
    <definedName name="RANGE2" localSheetId="10">#REF!</definedName>
    <definedName name="RANGE2" localSheetId="9">#REF!</definedName>
    <definedName name="RANGE2" localSheetId="11">#REF!</definedName>
    <definedName name="RANGE2" localSheetId="6">#REF!</definedName>
    <definedName name="RANGE2" localSheetId="2">#REF!</definedName>
    <definedName name="RANGE2" localSheetId="3">#REF!</definedName>
    <definedName name="RANGE2" localSheetId="0">#REF!</definedName>
    <definedName name="RANGE2">#REF!</definedName>
    <definedName name="regres" localSheetId="1" hidden="1">#REF!</definedName>
    <definedName name="regres" localSheetId="8" hidden="1">#REF!</definedName>
    <definedName name="regres" localSheetId="7" hidden="1">#REF!</definedName>
    <definedName name="regres" localSheetId="10" hidden="1">#REF!</definedName>
    <definedName name="regres" localSheetId="9" hidden="1">#REF!</definedName>
    <definedName name="regres" localSheetId="11" hidden="1">#REF!</definedName>
    <definedName name="regres" localSheetId="6" hidden="1">#REF!</definedName>
    <definedName name="regres" localSheetId="2" hidden="1">#REF!</definedName>
    <definedName name="regres" localSheetId="3" hidden="1">#REF!</definedName>
    <definedName name="regres" localSheetId="0" hidden="1">#REF!</definedName>
    <definedName name="regres" hidden="1">#REF!</definedName>
    <definedName name="regressout" localSheetId="1" hidden="1">#REF!</definedName>
    <definedName name="regressout" localSheetId="8" hidden="1">#REF!</definedName>
    <definedName name="regressout" localSheetId="7" hidden="1">#REF!</definedName>
    <definedName name="regressout" localSheetId="10" hidden="1">#REF!</definedName>
    <definedName name="regressout" localSheetId="9" hidden="1">#REF!</definedName>
    <definedName name="regressout" localSheetId="11" hidden="1">#REF!</definedName>
    <definedName name="regressout" localSheetId="6" hidden="1">#REF!</definedName>
    <definedName name="regressout" localSheetId="2" hidden="1">#REF!</definedName>
    <definedName name="regressout" localSheetId="3" hidden="1">#REF!</definedName>
    <definedName name="regressout" localSheetId="0" hidden="1">#REF!</definedName>
    <definedName name="regressout" hidden="1">#REF!</definedName>
    <definedName name="regx" localSheetId="1" hidden="1">#REF!</definedName>
    <definedName name="regx" localSheetId="8" hidden="1">#REF!</definedName>
    <definedName name="regx" localSheetId="7" hidden="1">#REF!</definedName>
    <definedName name="regx" localSheetId="10" hidden="1">#REF!</definedName>
    <definedName name="regx" localSheetId="9" hidden="1">#REF!</definedName>
    <definedName name="regx" localSheetId="11" hidden="1">#REF!</definedName>
    <definedName name="regx" localSheetId="6" hidden="1">#REF!</definedName>
    <definedName name="regx" localSheetId="2" hidden="1">#REF!</definedName>
    <definedName name="regx" localSheetId="3" hidden="1">#REF!</definedName>
    <definedName name="regx" localSheetId="0" hidden="1">#REF!</definedName>
    <definedName name="regx" hidden="1">#REF!</definedName>
    <definedName name="regy" localSheetId="1" hidden="1">#REF!</definedName>
    <definedName name="regy" localSheetId="8" hidden="1">#REF!</definedName>
    <definedName name="regy" localSheetId="7" hidden="1">#REF!</definedName>
    <definedName name="regy" localSheetId="10" hidden="1">#REF!</definedName>
    <definedName name="regy" localSheetId="9" hidden="1">#REF!</definedName>
    <definedName name="regy" localSheetId="11" hidden="1">#REF!</definedName>
    <definedName name="regy" localSheetId="6" hidden="1">#REF!</definedName>
    <definedName name="regy" localSheetId="2" hidden="1">#REF!</definedName>
    <definedName name="regy" localSheetId="3" hidden="1">#REF!</definedName>
    <definedName name="regy" localSheetId="0" hidden="1">#REF!</definedName>
    <definedName name="regy" hidden="1">#REF!</definedName>
    <definedName name="ReqNo" localSheetId="1">#REF!</definedName>
    <definedName name="ReqNo" localSheetId="8">#REF!</definedName>
    <definedName name="ReqNo" localSheetId="7">#REF!</definedName>
    <definedName name="ReqNo" localSheetId="10">#REF!</definedName>
    <definedName name="ReqNo" localSheetId="9">#REF!</definedName>
    <definedName name="ReqNo" localSheetId="11">#REF!</definedName>
    <definedName name="ReqNo" localSheetId="6">#REF!</definedName>
    <definedName name="ReqNo" localSheetId="2">#REF!</definedName>
    <definedName name="ReqNo" localSheetId="3">#REF!</definedName>
    <definedName name="ReqNo" localSheetId="0">#REF!</definedName>
    <definedName name="ReqNo">#REF!</definedName>
    <definedName name="ReturnBend" localSheetId="1">#REF!</definedName>
    <definedName name="ReturnBend" localSheetId="8">#REF!</definedName>
    <definedName name="ReturnBend" localSheetId="7">#REF!</definedName>
    <definedName name="ReturnBend" localSheetId="10">#REF!</definedName>
    <definedName name="ReturnBend" localSheetId="9">#REF!</definedName>
    <definedName name="ReturnBend" localSheetId="11">#REF!</definedName>
    <definedName name="ReturnBend" localSheetId="6">#REF!</definedName>
    <definedName name="ReturnBend" localSheetId="2">#REF!</definedName>
    <definedName name="ReturnBend" localSheetId="3">#REF!</definedName>
    <definedName name="ReturnBend" localSheetId="0">#REF!</definedName>
    <definedName name="ReturnBend">#REF!</definedName>
    <definedName name="Rev0" localSheetId="1">#REF!</definedName>
    <definedName name="Rev0" localSheetId="8">#REF!</definedName>
    <definedName name="Rev0" localSheetId="7">#REF!</definedName>
    <definedName name="Rev0" localSheetId="10">#REF!</definedName>
    <definedName name="Rev0" localSheetId="9">#REF!</definedName>
    <definedName name="Rev0" localSheetId="11">#REF!</definedName>
    <definedName name="Rev0" localSheetId="6">#REF!</definedName>
    <definedName name="Rev0" localSheetId="2">#REF!</definedName>
    <definedName name="Rev0" localSheetId="3">#REF!</definedName>
    <definedName name="Rev0" localSheetId="0">#REF!</definedName>
    <definedName name="Rev0">#REF!</definedName>
    <definedName name="rotation" localSheetId="1">#REF!</definedName>
    <definedName name="rotation" localSheetId="8">#REF!</definedName>
    <definedName name="rotation" localSheetId="7">#REF!</definedName>
    <definedName name="rotation" localSheetId="10">#REF!</definedName>
    <definedName name="rotation" localSheetId="9">#REF!</definedName>
    <definedName name="rotation" localSheetId="11">#REF!</definedName>
    <definedName name="rotation" localSheetId="6">#REF!</definedName>
    <definedName name="rotation" localSheetId="2">#REF!</definedName>
    <definedName name="rotation" localSheetId="3">#REF!</definedName>
    <definedName name="rotation" localSheetId="0">#REF!</definedName>
    <definedName name="rotation">#REF!</definedName>
    <definedName name="RUF" localSheetId="1">#REF!</definedName>
    <definedName name="RUF" localSheetId="8">#REF!</definedName>
    <definedName name="RUF" localSheetId="7">#REF!</definedName>
    <definedName name="RUF" localSheetId="10">#REF!</definedName>
    <definedName name="RUF" localSheetId="9">#REF!</definedName>
    <definedName name="RUF" localSheetId="11">#REF!</definedName>
    <definedName name="RUF" localSheetId="6">#REF!</definedName>
    <definedName name="RUF" localSheetId="2">#REF!</definedName>
    <definedName name="RUF" localSheetId="3">#REF!</definedName>
    <definedName name="RUF" localSheetId="0">#REF!</definedName>
    <definedName name="RUF">#REF!</definedName>
    <definedName name="Sage117">'[14]Shell&amp;Tube'!$A$89:$IV$125</definedName>
    <definedName name="scalerag" localSheetId="1">#REF!</definedName>
    <definedName name="scalerag" localSheetId="8">#REF!</definedName>
    <definedName name="scalerag" localSheetId="7">#REF!</definedName>
    <definedName name="scalerag" localSheetId="10">#REF!</definedName>
    <definedName name="scalerag" localSheetId="9">#REF!</definedName>
    <definedName name="scalerag" localSheetId="11">#REF!</definedName>
    <definedName name="scalerag" localSheetId="6">#REF!</definedName>
    <definedName name="scalerag" localSheetId="2">#REF!</definedName>
    <definedName name="scalerag" localSheetId="3">#REF!</definedName>
    <definedName name="scalerag" localSheetId="0">#REF!</definedName>
    <definedName name="scalerag">#REF!</definedName>
    <definedName name="scales" localSheetId="1">#REF!</definedName>
    <definedName name="scales" localSheetId="8">#REF!</definedName>
    <definedName name="scales" localSheetId="7">#REF!</definedName>
    <definedName name="scales" localSheetId="10">#REF!</definedName>
    <definedName name="scales" localSheetId="9">#REF!</definedName>
    <definedName name="scales" localSheetId="11">#REF!</definedName>
    <definedName name="scales" localSheetId="6">#REF!</definedName>
    <definedName name="scales" localSheetId="2">#REF!</definedName>
    <definedName name="scales" localSheetId="3">#REF!</definedName>
    <definedName name="scales" localSheetId="0">#REF!</definedName>
    <definedName name="scales">#REF!</definedName>
    <definedName name="SCH_2" localSheetId="1">'[12]Pump Suction'!#REF!</definedName>
    <definedName name="SCH_2" localSheetId="8">'[12]Pump Suction'!#REF!</definedName>
    <definedName name="SCH_2" localSheetId="7">'[12]Pump Suction'!#REF!</definedName>
    <definedName name="SCH_2" localSheetId="10">'[12]Pump Suction'!#REF!</definedName>
    <definedName name="SCH_2" localSheetId="9">'[12]Pump Suction'!#REF!</definedName>
    <definedName name="SCH_2" localSheetId="11">'[12]Pump Suction'!#REF!</definedName>
    <definedName name="SCH_2" localSheetId="6">'[12]Pump Suction'!#REF!</definedName>
    <definedName name="SCH_2" localSheetId="2">'[12]Pump Suction'!#REF!</definedName>
    <definedName name="SCH_2" localSheetId="3">'[12]Pump Suction'!#REF!</definedName>
    <definedName name="SCH_2" localSheetId="0">'[12]Pump Suction'!#REF!</definedName>
    <definedName name="SCH_2">'[12]Pump Suction'!#REF!</definedName>
    <definedName name="SCH_3" localSheetId="1">'[12]Pump Suction'!#REF!</definedName>
    <definedName name="SCH_3" localSheetId="8">'[12]Pump Suction'!#REF!</definedName>
    <definedName name="SCH_3" localSheetId="7">'[12]Pump Suction'!#REF!</definedName>
    <definedName name="SCH_3" localSheetId="10">'[12]Pump Suction'!#REF!</definedName>
    <definedName name="SCH_3" localSheetId="9">'[12]Pump Suction'!#REF!</definedName>
    <definedName name="SCH_3" localSheetId="11">'[12]Pump Suction'!#REF!</definedName>
    <definedName name="SCH_3" localSheetId="6">'[12]Pump Suction'!#REF!</definedName>
    <definedName name="SCH_3" localSheetId="2">'[12]Pump Suction'!#REF!</definedName>
    <definedName name="SCH_3" localSheetId="3">'[12]Pump Suction'!#REF!</definedName>
    <definedName name="SCH_3" localSheetId="0">'[12]Pump Suction'!#REF!</definedName>
    <definedName name="SCH_3">'[12]Pump Suction'!#REF!</definedName>
    <definedName name="Sched" localSheetId="1">#REF!</definedName>
    <definedName name="Sched" localSheetId="8">#REF!</definedName>
    <definedName name="Sched" localSheetId="7">#REF!</definedName>
    <definedName name="Sched" localSheetId="10">#REF!</definedName>
    <definedName name="Sched" localSheetId="9">#REF!</definedName>
    <definedName name="Sched" localSheetId="11">#REF!</definedName>
    <definedName name="Sched" localSheetId="6">#REF!</definedName>
    <definedName name="Sched" localSheetId="2">#REF!</definedName>
    <definedName name="Sched" localSheetId="3">#REF!</definedName>
    <definedName name="Sched" localSheetId="0">#REF!</definedName>
    <definedName name="Sched">#REF!</definedName>
    <definedName name="Sched_No" localSheetId="1">#REF!</definedName>
    <definedName name="Sched_No" localSheetId="8">#REF!</definedName>
    <definedName name="Sched_No" localSheetId="7">#REF!</definedName>
    <definedName name="Sched_No" localSheetId="10">#REF!</definedName>
    <definedName name="Sched_No" localSheetId="9">#REF!</definedName>
    <definedName name="Sched_No" localSheetId="11">#REF!</definedName>
    <definedName name="Sched_No" localSheetId="6">#REF!</definedName>
    <definedName name="Sched_No" localSheetId="2">#REF!</definedName>
    <definedName name="Sched_No" localSheetId="3">#REF!</definedName>
    <definedName name="Sched_No" localSheetId="0">#REF!</definedName>
    <definedName name="Sched_No">#REF!</definedName>
    <definedName name="SCHED_TABLE" localSheetId="1">#REF!</definedName>
    <definedName name="SCHED_TABLE" localSheetId="8">#REF!</definedName>
    <definedName name="SCHED_TABLE" localSheetId="7">#REF!</definedName>
    <definedName name="SCHED_TABLE" localSheetId="10">#REF!</definedName>
    <definedName name="SCHED_TABLE" localSheetId="9">#REF!</definedName>
    <definedName name="SCHED_TABLE" localSheetId="11">#REF!</definedName>
    <definedName name="SCHED_TABLE" localSheetId="6">#REF!</definedName>
    <definedName name="SCHED_TABLE" localSheetId="2">#REF!</definedName>
    <definedName name="SCHED_TABLE" localSheetId="3">#REF!</definedName>
    <definedName name="SCHED_TABLE" localSheetId="0">#REF!</definedName>
    <definedName name="SCHED_TABLE">#REF!</definedName>
    <definedName name="scrdb3ft" localSheetId="1">#REF!</definedName>
    <definedName name="scrdb3ft" localSheetId="8">#REF!</definedName>
    <definedName name="scrdb3ft" localSheetId="7">#REF!</definedName>
    <definedName name="scrdb3ft" localSheetId="10">#REF!</definedName>
    <definedName name="scrdb3ft" localSheetId="9">#REF!</definedName>
    <definedName name="scrdb3ft" localSheetId="11">#REF!</definedName>
    <definedName name="scrdb3ft" localSheetId="6">#REF!</definedName>
    <definedName name="scrdb3ft" localSheetId="2">#REF!</definedName>
    <definedName name="scrdb3ft" localSheetId="3">#REF!</definedName>
    <definedName name="scrdb3ft" localSheetId="0">#REF!</definedName>
    <definedName name="scrdb3ft">#REF!</definedName>
    <definedName name="Service" localSheetId="1">#REF!</definedName>
    <definedName name="Service" localSheetId="8">#REF!</definedName>
    <definedName name="Service" localSheetId="7">#REF!</definedName>
    <definedName name="Service" localSheetId="10">#REF!</definedName>
    <definedName name="Service" localSheetId="9">#REF!</definedName>
    <definedName name="Service" localSheetId="11">#REF!</definedName>
    <definedName name="Service" localSheetId="6">#REF!</definedName>
    <definedName name="Service" localSheetId="2">#REF!</definedName>
    <definedName name="Service" localSheetId="3">#REF!</definedName>
    <definedName name="Service" localSheetId="0">#REF!</definedName>
    <definedName name="Service">#REF!</definedName>
    <definedName name="SO_Pathway_Modeling_Directory" localSheetId="0">[24]Input_Creator!$C$23</definedName>
    <definedName name="SO_Pathway_Modeling_Directory">[24]Input_Creator!$C$23</definedName>
    <definedName name="SO2Emis">'[10]Comply Conditions'!$DR$14:$ED$46</definedName>
    <definedName name="so2molwt" localSheetId="1">#REF!</definedName>
    <definedName name="so2molwt" localSheetId="13">#REF!</definedName>
    <definedName name="so2molwt" localSheetId="8">#REF!</definedName>
    <definedName name="so2molwt" localSheetId="7">#REF!</definedName>
    <definedName name="so2molwt" localSheetId="10">#REF!</definedName>
    <definedName name="so2molwt" localSheetId="9">#REF!</definedName>
    <definedName name="so2molwt" localSheetId="11">#REF!</definedName>
    <definedName name="so2molwt" localSheetId="6">#REF!</definedName>
    <definedName name="so2molwt" localSheetId="2">#REF!</definedName>
    <definedName name="so2molwt" localSheetId="3">#REF!</definedName>
    <definedName name="so2molwt" localSheetId="0">#REF!</definedName>
    <definedName name="so2molwt">#REF!</definedName>
    <definedName name="Sort">[9]TemplateSelectLists!$B$2:$B$4</definedName>
    <definedName name="Source_Specs">[7]!SourceSpecsTable[#All]</definedName>
    <definedName name="specgrav" localSheetId="1">#REF!</definedName>
    <definedName name="specgrav" localSheetId="8">#REF!</definedName>
    <definedName name="specgrav" localSheetId="7">#REF!</definedName>
    <definedName name="specgrav" localSheetId="10">#REF!</definedName>
    <definedName name="specgrav" localSheetId="9">#REF!</definedName>
    <definedName name="specgrav" localSheetId="11">#REF!</definedName>
    <definedName name="specgrav" localSheetId="6">#REF!</definedName>
    <definedName name="specgrav" localSheetId="2">#REF!</definedName>
    <definedName name="specgrav" localSheetId="3">#REF!</definedName>
    <definedName name="specgrav" localSheetId="0">#REF!</definedName>
    <definedName name="specgrav">#REF!</definedName>
    <definedName name="specific" localSheetId="1">#REF!</definedName>
    <definedName name="specific" localSheetId="8">#REF!</definedName>
    <definedName name="specific" localSheetId="7">#REF!</definedName>
    <definedName name="specific" localSheetId="10">#REF!</definedName>
    <definedName name="specific" localSheetId="9">#REF!</definedName>
    <definedName name="specific" localSheetId="11">#REF!</definedName>
    <definedName name="specific" localSheetId="6">#REF!</definedName>
    <definedName name="specific" localSheetId="2">#REF!</definedName>
    <definedName name="specific" localSheetId="3">#REF!</definedName>
    <definedName name="specific" localSheetId="0">#REF!</definedName>
    <definedName name="specific">#REF!</definedName>
    <definedName name="SpecificHeatUOM.10" localSheetId="1">#REF!</definedName>
    <definedName name="SpecificHeatUOM.10" localSheetId="8">#REF!</definedName>
    <definedName name="SpecificHeatUOM.10" localSheetId="7">#REF!</definedName>
    <definedName name="SpecificHeatUOM.10" localSheetId="10">#REF!</definedName>
    <definedName name="SpecificHeatUOM.10" localSheetId="9">#REF!</definedName>
    <definedName name="SpecificHeatUOM.10" localSheetId="11">#REF!</definedName>
    <definedName name="SpecificHeatUOM.10" localSheetId="6">#REF!</definedName>
    <definedName name="SpecificHeatUOM.10" localSheetId="2">#REF!</definedName>
    <definedName name="SpecificHeatUOM.10" localSheetId="3">#REF!</definedName>
    <definedName name="SpecificHeatUOM.10" localSheetId="0">#REF!</definedName>
    <definedName name="SpecificHeatUOM.10">#REF!</definedName>
    <definedName name="SpecificHeatUOM.11" localSheetId="1">#REF!</definedName>
    <definedName name="SpecificHeatUOM.11" localSheetId="8">#REF!</definedName>
    <definedName name="SpecificHeatUOM.11" localSheetId="7">#REF!</definedName>
    <definedName name="SpecificHeatUOM.11" localSheetId="10">#REF!</definedName>
    <definedName name="SpecificHeatUOM.11" localSheetId="9">#REF!</definedName>
    <definedName name="SpecificHeatUOM.11" localSheetId="11">#REF!</definedName>
    <definedName name="SpecificHeatUOM.11" localSheetId="6">#REF!</definedName>
    <definedName name="SpecificHeatUOM.11" localSheetId="2">#REF!</definedName>
    <definedName name="SpecificHeatUOM.11" localSheetId="3">#REF!</definedName>
    <definedName name="SpecificHeatUOM.11" localSheetId="0">#REF!</definedName>
    <definedName name="SpecificHeatUOM.11">#REF!</definedName>
    <definedName name="SpecificHeatUOM.2" localSheetId="1">#REF!</definedName>
    <definedName name="SpecificHeatUOM.2" localSheetId="8">#REF!</definedName>
    <definedName name="SpecificHeatUOM.2" localSheetId="7">#REF!</definedName>
    <definedName name="SpecificHeatUOM.2" localSheetId="10">#REF!</definedName>
    <definedName name="SpecificHeatUOM.2" localSheetId="9">#REF!</definedName>
    <definedName name="SpecificHeatUOM.2" localSheetId="11">#REF!</definedName>
    <definedName name="SpecificHeatUOM.2" localSheetId="6">#REF!</definedName>
    <definedName name="SpecificHeatUOM.2" localSheetId="2">#REF!</definedName>
    <definedName name="SpecificHeatUOM.2" localSheetId="3">#REF!</definedName>
    <definedName name="SpecificHeatUOM.2" localSheetId="0">#REF!</definedName>
    <definedName name="SpecificHeatUOM.2">#REF!</definedName>
    <definedName name="SpecificHeatUOM.3" localSheetId="1">#REF!</definedName>
    <definedName name="SpecificHeatUOM.3" localSheetId="8">#REF!</definedName>
    <definedName name="SpecificHeatUOM.3" localSheetId="7">#REF!</definedName>
    <definedName name="SpecificHeatUOM.3" localSheetId="10">#REF!</definedName>
    <definedName name="SpecificHeatUOM.3" localSheetId="9">#REF!</definedName>
    <definedName name="SpecificHeatUOM.3" localSheetId="11">#REF!</definedName>
    <definedName name="SpecificHeatUOM.3" localSheetId="6">#REF!</definedName>
    <definedName name="SpecificHeatUOM.3" localSheetId="2">#REF!</definedName>
    <definedName name="SpecificHeatUOM.3" localSheetId="3">#REF!</definedName>
    <definedName name="SpecificHeatUOM.3" localSheetId="0">#REF!</definedName>
    <definedName name="SpecificHeatUOM.3">#REF!</definedName>
    <definedName name="SpecificHeatUOM.4" localSheetId="1">#REF!</definedName>
    <definedName name="SpecificHeatUOM.4" localSheetId="8">#REF!</definedName>
    <definedName name="SpecificHeatUOM.4" localSheetId="7">#REF!</definedName>
    <definedName name="SpecificHeatUOM.4" localSheetId="10">#REF!</definedName>
    <definedName name="SpecificHeatUOM.4" localSheetId="9">#REF!</definedName>
    <definedName name="SpecificHeatUOM.4" localSheetId="11">#REF!</definedName>
    <definedName name="SpecificHeatUOM.4" localSheetId="6">#REF!</definedName>
    <definedName name="SpecificHeatUOM.4" localSheetId="2">#REF!</definedName>
    <definedName name="SpecificHeatUOM.4" localSheetId="3">#REF!</definedName>
    <definedName name="SpecificHeatUOM.4" localSheetId="0">#REF!</definedName>
    <definedName name="SpecificHeatUOM.4">#REF!</definedName>
    <definedName name="SpecificHeatUOM.5" localSheetId="1">#REF!</definedName>
    <definedName name="SpecificHeatUOM.5" localSheetId="8">#REF!</definedName>
    <definedName name="SpecificHeatUOM.5" localSheetId="7">#REF!</definedName>
    <definedName name="SpecificHeatUOM.5" localSheetId="10">#REF!</definedName>
    <definedName name="SpecificHeatUOM.5" localSheetId="9">#REF!</definedName>
    <definedName name="SpecificHeatUOM.5" localSheetId="11">#REF!</definedName>
    <definedName name="SpecificHeatUOM.5" localSheetId="6">#REF!</definedName>
    <definedName name="SpecificHeatUOM.5" localSheetId="2">#REF!</definedName>
    <definedName name="SpecificHeatUOM.5" localSheetId="3">#REF!</definedName>
    <definedName name="SpecificHeatUOM.5" localSheetId="0">#REF!</definedName>
    <definedName name="SpecificHeatUOM.5">#REF!</definedName>
    <definedName name="SpecificHeatUOM.6" localSheetId="1">#REF!</definedName>
    <definedName name="SpecificHeatUOM.6" localSheetId="8">#REF!</definedName>
    <definedName name="SpecificHeatUOM.6" localSheetId="7">#REF!</definedName>
    <definedName name="SpecificHeatUOM.6" localSheetId="10">#REF!</definedName>
    <definedName name="SpecificHeatUOM.6" localSheetId="9">#REF!</definedName>
    <definedName name="SpecificHeatUOM.6" localSheetId="11">#REF!</definedName>
    <definedName name="SpecificHeatUOM.6" localSheetId="6">#REF!</definedName>
    <definedName name="SpecificHeatUOM.6" localSheetId="2">#REF!</definedName>
    <definedName name="SpecificHeatUOM.6" localSheetId="3">#REF!</definedName>
    <definedName name="SpecificHeatUOM.6" localSheetId="0">#REF!</definedName>
    <definedName name="SpecificHeatUOM.6">#REF!</definedName>
    <definedName name="SpecificHeatUOM.7" localSheetId="1">#REF!</definedName>
    <definedName name="SpecificHeatUOM.7" localSheetId="8">#REF!</definedName>
    <definedName name="SpecificHeatUOM.7" localSheetId="7">#REF!</definedName>
    <definedName name="SpecificHeatUOM.7" localSheetId="10">#REF!</definedName>
    <definedName name="SpecificHeatUOM.7" localSheetId="9">#REF!</definedName>
    <definedName name="SpecificHeatUOM.7" localSheetId="11">#REF!</definedName>
    <definedName name="SpecificHeatUOM.7" localSheetId="6">#REF!</definedName>
    <definedName name="SpecificHeatUOM.7" localSheetId="2">#REF!</definedName>
    <definedName name="SpecificHeatUOM.7" localSheetId="3">#REF!</definedName>
    <definedName name="SpecificHeatUOM.7" localSheetId="0">#REF!</definedName>
    <definedName name="SpecificHeatUOM.7">#REF!</definedName>
    <definedName name="SpecificHeatUOM.8" localSheetId="1">#REF!</definedName>
    <definedName name="SpecificHeatUOM.8" localSheetId="8">#REF!</definedName>
    <definedName name="SpecificHeatUOM.8" localSheetId="7">#REF!</definedName>
    <definedName name="SpecificHeatUOM.8" localSheetId="10">#REF!</definedName>
    <definedName name="SpecificHeatUOM.8" localSheetId="9">#REF!</definedName>
    <definedName name="SpecificHeatUOM.8" localSheetId="11">#REF!</definedName>
    <definedName name="SpecificHeatUOM.8" localSheetId="6">#REF!</definedName>
    <definedName name="SpecificHeatUOM.8" localSheetId="2">#REF!</definedName>
    <definedName name="SpecificHeatUOM.8" localSheetId="3">#REF!</definedName>
    <definedName name="SpecificHeatUOM.8" localSheetId="0">#REF!</definedName>
    <definedName name="SpecificHeatUOM.8">#REF!</definedName>
    <definedName name="SpecificHeatUOM.9" localSheetId="1">#REF!</definedName>
    <definedName name="SpecificHeatUOM.9" localSheetId="8">#REF!</definedName>
    <definedName name="SpecificHeatUOM.9" localSheetId="7">#REF!</definedName>
    <definedName name="SpecificHeatUOM.9" localSheetId="10">#REF!</definedName>
    <definedName name="SpecificHeatUOM.9" localSheetId="9">#REF!</definedName>
    <definedName name="SpecificHeatUOM.9" localSheetId="11">#REF!</definedName>
    <definedName name="SpecificHeatUOM.9" localSheetId="6">#REF!</definedName>
    <definedName name="SpecificHeatUOM.9" localSheetId="2">#REF!</definedName>
    <definedName name="SpecificHeatUOM.9" localSheetId="3">#REF!</definedName>
    <definedName name="SpecificHeatUOM.9" localSheetId="0">#REF!</definedName>
    <definedName name="SpecificHeatUOM.9">#REF!</definedName>
    <definedName name="speed" localSheetId="1">#REF!</definedName>
    <definedName name="speed" localSheetId="8">#REF!</definedName>
    <definedName name="speed" localSheetId="7">#REF!</definedName>
    <definedName name="speed" localSheetId="10">#REF!</definedName>
    <definedName name="speed" localSheetId="9">#REF!</definedName>
    <definedName name="speed" localSheetId="11">#REF!</definedName>
    <definedName name="speed" localSheetId="6">#REF!</definedName>
    <definedName name="speed" localSheetId="2">#REF!</definedName>
    <definedName name="speed" localSheetId="3">#REF!</definedName>
    <definedName name="speed" localSheetId="0">#REF!</definedName>
    <definedName name="speed">#REF!</definedName>
    <definedName name="SpHeat_factor" localSheetId="1">#REF!</definedName>
    <definedName name="SpHeat_factor" localSheetId="8">#REF!</definedName>
    <definedName name="SpHeat_factor" localSheetId="7">#REF!</definedName>
    <definedName name="SpHeat_factor" localSheetId="10">#REF!</definedName>
    <definedName name="SpHeat_factor" localSheetId="9">#REF!</definedName>
    <definedName name="SpHeat_factor" localSheetId="11">#REF!</definedName>
    <definedName name="SpHeat_factor" localSheetId="6">#REF!</definedName>
    <definedName name="SpHeat_factor" localSheetId="2">#REF!</definedName>
    <definedName name="SpHeat_factor" localSheetId="3">#REF!</definedName>
    <definedName name="SpHeat_factor" localSheetId="0">#REF!</definedName>
    <definedName name="SpHeat_factor">#REF!</definedName>
    <definedName name="SPMaterialReports">[9]TemplateSelectLists!$F$2:$F$3</definedName>
    <definedName name="STEAM" localSheetId="1">'[12]Pump Suction'!#REF!</definedName>
    <definedName name="STEAM" localSheetId="8">'[12]Pump Suction'!#REF!</definedName>
    <definedName name="STEAM" localSheetId="7">'[12]Pump Suction'!#REF!</definedName>
    <definedName name="STEAM" localSheetId="10">'[12]Pump Suction'!#REF!</definedName>
    <definedName name="STEAM" localSheetId="9">'[12]Pump Suction'!#REF!</definedName>
    <definedName name="STEAM" localSheetId="11">'[12]Pump Suction'!#REF!</definedName>
    <definedName name="STEAM" localSheetId="6">'[12]Pump Suction'!#REF!</definedName>
    <definedName name="STEAM" localSheetId="2">'[12]Pump Suction'!#REF!</definedName>
    <definedName name="STEAM" localSheetId="3">'[12]Pump Suction'!#REF!</definedName>
    <definedName name="STEAM" localSheetId="0">'[12]Pump Suction'!#REF!</definedName>
    <definedName name="STEAM">'[12]Pump Suction'!#REF!</definedName>
    <definedName name="stm_2" localSheetId="1">'[12]Pump Suction'!#REF!</definedName>
    <definedName name="stm_2" localSheetId="8">'[12]Pump Suction'!#REF!</definedName>
    <definedName name="stm_2" localSheetId="7">'[12]Pump Suction'!#REF!</definedName>
    <definedName name="stm_2" localSheetId="10">'[12]Pump Suction'!#REF!</definedName>
    <definedName name="stm_2" localSheetId="9">'[12]Pump Suction'!#REF!</definedName>
    <definedName name="stm_2" localSheetId="11">'[12]Pump Suction'!#REF!</definedName>
    <definedName name="stm_2" localSheetId="6">'[12]Pump Suction'!#REF!</definedName>
    <definedName name="stm_2" localSheetId="2">'[12]Pump Suction'!#REF!</definedName>
    <definedName name="stm_2" localSheetId="3">'[12]Pump Suction'!#REF!</definedName>
    <definedName name="stm_2" localSheetId="0">'[12]Pump Suction'!#REF!</definedName>
    <definedName name="stm_2">'[12]Pump Suction'!#REF!</definedName>
    <definedName name="stmhf" localSheetId="1">#REF!</definedName>
    <definedName name="stmhf" localSheetId="8">#REF!</definedName>
    <definedName name="stmhf" localSheetId="7">#REF!</definedName>
    <definedName name="stmhf" localSheetId="10">#REF!</definedName>
    <definedName name="stmhf" localSheetId="9">#REF!</definedName>
    <definedName name="stmhf" localSheetId="11">#REF!</definedName>
    <definedName name="stmhf" localSheetId="6">#REF!</definedName>
    <definedName name="stmhf" localSheetId="2">#REF!</definedName>
    <definedName name="stmhf" localSheetId="3">#REF!</definedName>
    <definedName name="stmhf" localSheetId="0">#REF!</definedName>
    <definedName name="stmhf">#REF!</definedName>
    <definedName name="stmhfg" localSheetId="1">#REF!</definedName>
    <definedName name="stmhfg" localSheetId="8">#REF!</definedName>
    <definedName name="stmhfg" localSheetId="7">#REF!</definedName>
    <definedName name="stmhfg" localSheetId="10">#REF!</definedName>
    <definedName name="stmhfg" localSheetId="9">#REF!</definedName>
    <definedName name="stmhfg" localSheetId="11">#REF!</definedName>
    <definedName name="stmhfg" localSheetId="6">#REF!</definedName>
    <definedName name="stmhfg" localSheetId="2">#REF!</definedName>
    <definedName name="stmhfg" localSheetId="3">#REF!</definedName>
    <definedName name="stmhfg" localSheetId="0">#REF!</definedName>
    <definedName name="stmhfg">#REF!</definedName>
    <definedName name="stmhg" localSheetId="1">#REF!</definedName>
    <definedName name="stmhg" localSheetId="8">#REF!</definedName>
    <definedName name="stmhg" localSheetId="7">#REF!</definedName>
    <definedName name="stmhg" localSheetId="10">#REF!</definedName>
    <definedName name="stmhg" localSheetId="9">#REF!</definedName>
    <definedName name="stmhg" localSheetId="11">#REF!</definedName>
    <definedName name="stmhg" localSheetId="6">#REF!</definedName>
    <definedName name="stmhg" localSheetId="2">#REF!</definedName>
    <definedName name="stmhg" localSheetId="3">#REF!</definedName>
    <definedName name="stmhg" localSheetId="0">#REF!</definedName>
    <definedName name="stmhg">#REF!</definedName>
    <definedName name="stmPressure" localSheetId="1">#REF!</definedName>
    <definedName name="stmPressure" localSheetId="8">#REF!</definedName>
    <definedName name="stmPressure" localSheetId="7">#REF!</definedName>
    <definedName name="stmPressure" localSheetId="10">#REF!</definedName>
    <definedName name="stmPressure" localSheetId="9">#REF!</definedName>
    <definedName name="stmPressure" localSheetId="11">#REF!</definedName>
    <definedName name="stmPressure" localSheetId="6">#REF!</definedName>
    <definedName name="stmPressure" localSheetId="2">#REF!</definedName>
    <definedName name="stmPressure" localSheetId="3">#REF!</definedName>
    <definedName name="stmPressure" localSheetId="0">#REF!</definedName>
    <definedName name="stmPressure">#REF!</definedName>
    <definedName name="stmSuper_H" localSheetId="1">#REF!</definedName>
    <definedName name="stmSuper_H" localSheetId="8">#REF!</definedName>
    <definedName name="stmSuper_H" localSheetId="7">#REF!</definedName>
    <definedName name="stmSuper_H" localSheetId="10">#REF!</definedName>
    <definedName name="stmSuper_H" localSheetId="9">#REF!</definedName>
    <definedName name="stmSuper_H" localSheetId="11">#REF!</definedName>
    <definedName name="stmSuper_H" localSheetId="6">#REF!</definedName>
    <definedName name="stmSuper_H" localSheetId="2">#REF!</definedName>
    <definedName name="stmSuper_H" localSheetId="3">#REF!</definedName>
    <definedName name="stmSuper_H" localSheetId="0">#REF!</definedName>
    <definedName name="stmSuper_H">#REF!</definedName>
    <definedName name="stmTemperature" localSheetId="1">#REF!</definedName>
    <definedName name="stmTemperature" localSheetId="8">#REF!</definedName>
    <definedName name="stmTemperature" localSheetId="7">#REF!</definedName>
    <definedName name="stmTemperature" localSheetId="10">#REF!</definedName>
    <definedName name="stmTemperature" localSheetId="9">#REF!</definedName>
    <definedName name="stmTemperature" localSheetId="11">#REF!</definedName>
    <definedName name="stmTemperature" localSheetId="6">#REF!</definedName>
    <definedName name="stmTemperature" localSheetId="2">#REF!</definedName>
    <definedName name="stmTemperature" localSheetId="3">#REF!</definedName>
    <definedName name="stmTemperature" localSheetId="0">#REF!</definedName>
    <definedName name="stmTemperature">#REF!</definedName>
    <definedName name="stmvg" localSheetId="1">#REF!</definedName>
    <definedName name="stmvg" localSheetId="8">#REF!</definedName>
    <definedName name="stmvg" localSheetId="7">#REF!</definedName>
    <definedName name="stmvg" localSheetId="10">#REF!</definedName>
    <definedName name="stmvg" localSheetId="9">#REF!</definedName>
    <definedName name="stmvg" localSheetId="11">#REF!</definedName>
    <definedName name="stmvg" localSheetId="6">#REF!</definedName>
    <definedName name="stmvg" localSheetId="2">#REF!</definedName>
    <definedName name="stmvg" localSheetId="3">#REF!</definedName>
    <definedName name="stmvg" localSheetId="0">#REF!</definedName>
    <definedName name="stmvg">#REF!</definedName>
    <definedName name="StorageP" localSheetId="1">#REF!</definedName>
    <definedName name="StorageP" localSheetId="8">#REF!</definedName>
    <definedName name="StorageP" localSheetId="7">#REF!</definedName>
    <definedName name="StorageP" localSheetId="10">#REF!</definedName>
    <definedName name="StorageP" localSheetId="9">#REF!</definedName>
    <definedName name="StorageP" localSheetId="11">#REF!</definedName>
    <definedName name="StorageP" localSheetId="6">#REF!</definedName>
    <definedName name="StorageP" localSheetId="2">#REF!</definedName>
    <definedName name="StorageP" localSheetId="3">#REF!</definedName>
    <definedName name="StorageP" localSheetId="0">#REF!</definedName>
    <definedName name="StorageP">#REF!</definedName>
    <definedName name="Sums" localSheetId="1">#REF!</definedName>
    <definedName name="Sums" localSheetId="8">#REF!</definedName>
    <definedName name="Sums" localSheetId="7">#REF!</definedName>
    <definedName name="Sums" localSheetId="10">#REF!</definedName>
    <definedName name="Sums" localSheetId="9">#REF!</definedName>
    <definedName name="Sums" localSheetId="11">#REF!</definedName>
    <definedName name="Sums" localSheetId="6">#REF!</definedName>
    <definedName name="Sums" localSheetId="2">#REF!</definedName>
    <definedName name="Sums" localSheetId="3">#REF!</definedName>
    <definedName name="Sums" localSheetId="0">#REF!</definedName>
    <definedName name="Sums">#REF!</definedName>
    <definedName name="SumWeights" localSheetId="1">#REF!</definedName>
    <definedName name="SumWeights" localSheetId="8">#REF!</definedName>
    <definedName name="SumWeights" localSheetId="7">#REF!</definedName>
    <definedName name="SumWeights" localSheetId="10">#REF!</definedName>
    <definedName name="SumWeights" localSheetId="9">#REF!</definedName>
    <definedName name="SumWeights" localSheetId="11">#REF!</definedName>
    <definedName name="SumWeights" localSheetId="6">#REF!</definedName>
    <definedName name="SumWeights" localSheetId="2">#REF!</definedName>
    <definedName name="SumWeights" localSheetId="3">#REF!</definedName>
    <definedName name="SumWeights" localSheetId="0">#REF!</definedName>
    <definedName name="SumWeights">#REF!</definedName>
    <definedName name="surfacet" localSheetId="1">#REF!</definedName>
    <definedName name="surfacet" localSheetId="8">#REF!</definedName>
    <definedName name="surfacet" localSheetId="7">#REF!</definedName>
    <definedName name="surfacet" localSheetId="10">#REF!</definedName>
    <definedName name="surfacet" localSheetId="9">#REF!</definedName>
    <definedName name="surfacet" localSheetId="11">#REF!</definedName>
    <definedName name="surfacet" localSheetId="6">#REF!</definedName>
    <definedName name="surfacet" localSheetId="2">#REF!</definedName>
    <definedName name="surfacet" localSheetId="3">#REF!</definedName>
    <definedName name="surfacet" localSheetId="0">#REF!</definedName>
    <definedName name="surfacet">#REF!</definedName>
    <definedName name="SurfTensionUOM.1" localSheetId="1">#REF!</definedName>
    <definedName name="SurfTensionUOM.1" localSheetId="8">#REF!</definedName>
    <definedName name="SurfTensionUOM.1" localSheetId="7">#REF!</definedName>
    <definedName name="SurfTensionUOM.1" localSheetId="10">#REF!</definedName>
    <definedName name="SurfTensionUOM.1" localSheetId="9">#REF!</definedName>
    <definedName name="SurfTensionUOM.1" localSheetId="11">#REF!</definedName>
    <definedName name="SurfTensionUOM.1" localSheetId="6">#REF!</definedName>
    <definedName name="SurfTensionUOM.1" localSheetId="2">#REF!</definedName>
    <definedName name="SurfTensionUOM.1" localSheetId="3">#REF!</definedName>
    <definedName name="SurfTensionUOM.1" localSheetId="0">#REF!</definedName>
    <definedName name="SurfTensionUOM.1">#REF!</definedName>
    <definedName name="SWLoc" localSheetId="1">#REF!</definedName>
    <definedName name="SWLoc" localSheetId="8">#REF!</definedName>
    <definedName name="SWLoc" localSheetId="7">#REF!</definedName>
    <definedName name="SWLoc" localSheetId="10">#REF!</definedName>
    <definedName name="SWLoc" localSheetId="9">#REF!</definedName>
    <definedName name="SWLoc" localSheetId="11">#REF!</definedName>
    <definedName name="SWLoc" localSheetId="6">#REF!</definedName>
    <definedName name="SWLoc" localSheetId="2">#REF!</definedName>
    <definedName name="SWLoc" localSheetId="3">#REF!</definedName>
    <definedName name="SWLoc" localSheetId="0">#REF!</definedName>
    <definedName name="SWLoc">#REF!</definedName>
    <definedName name="T_300_Max_Flow" localSheetId="1">[25]calc!#REF!</definedName>
    <definedName name="T_300_Max_Flow" localSheetId="8">[25]calc!#REF!</definedName>
    <definedName name="T_300_Max_Flow" localSheetId="7">[25]calc!#REF!</definedName>
    <definedName name="T_300_Max_Flow" localSheetId="10">[25]calc!#REF!</definedName>
    <definedName name="T_300_Max_Flow" localSheetId="9">[25]calc!#REF!</definedName>
    <definedName name="T_300_Max_Flow" localSheetId="11">[25]calc!#REF!</definedName>
    <definedName name="T_300_Max_Flow" localSheetId="6">[25]calc!#REF!</definedName>
    <definedName name="T_300_Max_Flow" localSheetId="2">[25]calc!#REF!</definedName>
    <definedName name="T_300_Max_Flow" localSheetId="3">[25]calc!#REF!</definedName>
    <definedName name="T_300_Max_Flow" localSheetId="0">[25]calc!#REF!</definedName>
    <definedName name="T_300_Max_Flow">[25]calc!#REF!</definedName>
    <definedName name="T1_">'[18]Compressor performance'!$B$16</definedName>
    <definedName name="T2_">'[18]Compressor performance'!$B$32</definedName>
    <definedName name="T200_P" localSheetId="1">#REF!</definedName>
    <definedName name="T200_P" localSheetId="8">#REF!</definedName>
    <definedName name="T200_P" localSheetId="7">#REF!</definedName>
    <definedName name="T200_P" localSheetId="10">#REF!</definedName>
    <definedName name="T200_P" localSheetId="9">#REF!</definedName>
    <definedName name="T200_P" localSheetId="11">#REF!</definedName>
    <definedName name="T200_P" localSheetId="6">#REF!</definedName>
    <definedName name="T200_P" localSheetId="2">#REF!</definedName>
    <definedName name="T200_P" localSheetId="3">#REF!</definedName>
    <definedName name="T200_P" localSheetId="0">#REF!</definedName>
    <definedName name="T200_P">#REF!</definedName>
    <definedName name="T300_P" localSheetId="1">#REF!</definedName>
    <definedName name="T300_P" localSheetId="8">#REF!</definedName>
    <definedName name="T300_P" localSheetId="7">#REF!</definedName>
    <definedName name="T300_P" localSheetId="10">#REF!</definedName>
    <definedName name="T300_P" localSheetId="9">#REF!</definedName>
    <definedName name="T300_P" localSheetId="11">#REF!</definedName>
    <definedName name="T300_P" localSheetId="6">#REF!</definedName>
    <definedName name="T300_P" localSheetId="2">#REF!</definedName>
    <definedName name="T300_P" localSheetId="3">#REF!</definedName>
    <definedName name="T300_P" localSheetId="0">#REF!</definedName>
    <definedName name="T300_P">#REF!</definedName>
    <definedName name="T300_TopLeft" localSheetId="1">[25]calc!#REF!</definedName>
    <definedName name="T300_TopLeft" localSheetId="8">[25]calc!#REF!</definedName>
    <definedName name="T300_TopLeft" localSheetId="7">[25]calc!#REF!</definedName>
    <definedName name="T300_TopLeft" localSheetId="10">[25]calc!#REF!</definedName>
    <definedName name="T300_TopLeft" localSheetId="9">[25]calc!#REF!</definedName>
    <definedName name="T300_TopLeft" localSheetId="11">[25]calc!#REF!</definedName>
    <definedName name="T300_TopLeft" localSheetId="6">[25]calc!#REF!</definedName>
    <definedName name="T300_TopLeft" localSheetId="2">[25]calc!#REF!</definedName>
    <definedName name="T300_TopLeft" localSheetId="3">[25]calc!#REF!</definedName>
    <definedName name="T300_TopLeft" localSheetId="0">[25]calc!#REF!</definedName>
    <definedName name="T300_TopLeft">[25]calc!#REF!</definedName>
    <definedName name="T400_P" localSheetId="1">#REF!</definedName>
    <definedName name="T400_P" localSheetId="8">#REF!</definedName>
    <definedName name="T400_P" localSheetId="7">#REF!</definedName>
    <definedName name="T400_P" localSheetId="10">#REF!</definedName>
    <definedName name="T400_P" localSheetId="9">#REF!</definedName>
    <definedName name="T400_P" localSheetId="11">#REF!</definedName>
    <definedName name="T400_P" localSheetId="6">#REF!</definedName>
    <definedName name="T400_P" localSheetId="2">#REF!</definedName>
    <definedName name="T400_P" localSheetId="3">#REF!</definedName>
    <definedName name="T400_P" localSheetId="0">#REF!</definedName>
    <definedName name="T400_P">#REF!</definedName>
    <definedName name="Table">[9]TemplateSelectLists!$E$2:$E$47</definedName>
    <definedName name="Tax_Rate" localSheetId="1">#REF!</definedName>
    <definedName name="Tax_Rate" localSheetId="8">#REF!</definedName>
    <definedName name="Tax_Rate" localSheetId="7">#REF!</definedName>
    <definedName name="Tax_Rate" localSheetId="10">#REF!</definedName>
    <definedName name="Tax_Rate" localSheetId="9">#REF!</definedName>
    <definedName name="Tax_Rate" localSheetId="11">#REF!</definedName>
    <definedName name="Tax_Rate" localSheetId="6">#REF!</definedName>
    <definedName name="Tax_Rate" localSheetId="2">#REF!</definedName>
    <definedName name="Tax_Rate" localSheetId="3">#REF!</definedName>
    <definedName name="Tax_Rate" localSheetId="0">#REF!</definedName>
    <definedName name="Tax_Rate">#REF!</definedName>
    <definedName name="temp" localSheetId="1">#REF!</definedName>
    <definedName name="temp" localSheetId="8">#REF!</definedName>
    <definedName name="temp" localSheetId="7">#REF!</definedName>
    <definedName name="temp" localSheetId="10">#REF!</definedName>
    <definedName name="temp" localSheetId="9">#REF!</definedName>
    <definedName name="temp" localSheetId="11">#REF!</definedName>
    <definedName name="temp" localSheetId="6">#REF!</definedName>
    <definedName name="temp" localSheetId="2">#REF!</definedName>
    <definedName name="temp" localSheetId="3">#REF!</definedName>
    <definedName name="temp" localSheetId="0">#REF!</definedName>
    <definedName name="temp">#REF!</definedName>
    <definedName name="TEMP_FACTOR_1" localSheetId="1">#REF!</definedName>
    <definedName name="TEMP_FACTOR_1" localSheetId="8">#REF!</definedName>
    <definedName name="TEMP_FACTOR_1" localSheetId="7">#REF!</definedName>
    <definedName name="TEMP_FACTOR_1" localSheetId="10">#REF!</definedName>
    <definedName name="TEMP_FACTOR_1" localSheetId="9">#REF!</definedName>
    <definedName name="TEMP_FACTOR_1" localSheetId="11">#REF!</definedName>
    <definedName name="TEMP_FACTOR_1" localSheetId="6">#REF!</definedName>
    <definedName name="TEMP_FACTOR_1" localSheetId="2">#REF!</definedName>
    <definedName name="TEMP_FACTOR_1" localSheetId="3">#REF!</definedName>
    <definedName name="TEMP_FACTOR_1" localSheetId="0">#REF!</definedName>
    <definedName name="TEMP_FACTOR_1">#REF!</definedName>
    <definedName name="TEMP_FACTOR_2" localSheetId="1">#REF!</definedName>
    <definedName name="TEMP_FACTOR_2" localSheetId="8">#REF!</definedName>
    <definedName name="TEMP_FACTOR_2" localSheetId="7">#REF!</definedName>
    <definedName name="TEMP_FACTOR_2" localSheetId="10">#REF!</definedName>
    <definedName name="TEMP_FACTOR_2" localSheetId="9">#REF!</definedName>
    <definedName name="TEMP_FACTOR_2" localSheetId="11">#REF!</definedName>
    <definedName name="TEMP_FACTOR_2" localSheetId="6">#REF!</definedName>
    <definedName name="TEMP_FACTOR_2" localSheetId="2">#REF!</definedName>
    <definedName name="TEMP_FACTOR_2" localSheetId="3">#REF!</definedName>
    <definedName name="TEMP_FACTOR_2" localSheetId="0">#REF!</definedName>
    <definedName name="TEMP_FACTOR_2">#REF!</definedName>
    <definedName name="TemperatureUOM.8" localSheetId="1">#REF!</definedName>
    <definedName name="TemperatureUOM.8" localSheetId="8">#REF!</definedName>
    <definedName name="TemperatureUOM.8" localSheetId="7">#REF!</definedName>
    <definedName name="TemperatureUOM.8" localSheetId="10">#REF!</definedName>
    <definedName name="TemperatureUOM.8" localSheetId="9">#REF!</definedName>
    <definedName name="TemperatureUOM.8" localSheetId="11">#REF!</definedName>
    <definedName name="TemperatureUOM.8" localSheetId="6">#REF!</definedName>
    <definedName name="TemperatureUOM.8" localSheetId="2">#REF!</definedName>
    <definedName name="TemperatureUOM.8" localSheetId="3">#REF!</definedName>
    <definedName name="TemperatureUOM.8" localSheetId="0">#REF!</definedName>
    <definedName name="TemperatureUOM.8">#REF!</definedName>
    <definedName name="TemplateLabels">[9]Template!$D$2:$K$2,[9]Template!$A$3:$A$8,[9]Template!$A$16,[9]Template!$A$20:$A$22,[9]Template!$A$26:$A$28,[9]Template!$A$32:$A$34</definedName>
    <definedName name="TempUnit">[22]Sheet1!$I$20</definedName>
    <definedName name="thermal" localSheetId="1">#REF!</definedName>
    <definedName name="thermal" localSheetId="8">#REF!</definedName>
    <definedName name="thermal" localSheetId="7">#REF!</definedName>
    <definedName name="thermal" localSheetId="10">#REF!</definedName>
    <definedName name="thermal" localSheetId="9">#REF!</definedName>
    <definedName name="thermal" localSheetId="11">#REF!</definedName>
    <definedName name="thermal" localSheetId="6">#REF!</definedName>
    <definedName name="thermal" localSheetId="2">#REF!</definedName>
    <definedName name="thermal" localSheetId="3">#REF!</definedName>
    <definedName name="thermal" localSheetId="0">#REF!</definedName>
    <definedName name="thermal">#REF!</definedName>
    <definedName name="ThermCond_factor" localSheetId="1">#REF!</definedName>
    <definedName name="ThermCond_factor" localSheetId="8">#REF!</definedName>
    <definedName name="ThermCond_factor" localSheetId="7">#REF!</definedName>
    <definedName name="ThermCond_factor" localSheetId="10">#REF!</definedName>
    <definedName name="ThermCond_factor" localSheetId="9">#REF!</definedName>
    <definedName name="ThermCond_factor" localSheetId="11">#REF!</definedName>
    <definedName name="ThermCond_factor" localSheetId="6">#REF!</definedName>
    <definedName name="ThermCond_factor" localSheetId="2">#REF!</definedName>
    <definedName name="ThermCond_factor" localSheetId="3">#REF!</definedName>
    <definedName name="ThermCond_factor" localSheetId="0">#REF!</definedName>
    <definedName name="ThermCond_factor">#REF!</definedName>
    <definedName name="ThermCondUOM.10" localSheetId="1">#REF!</definedName>
    <definedName name="ThermCondUOM.10" localSheetId="8">#REF!</definedName>
    <definedName name="ThermCondUOM.10" localSheetId="7">#REF!</definedName>
    <definedName name="ThermCondUOM.10" localSheetId="10">#REF!</definedName>
    <definedName name="ThermCondUOM.10" localSheetId="9">#REF!</definedName>
    <definedName name="ThermCondUOM.10" localSheetId="11">#REF!</definedName>
    <definedName name="ThermCondUOM.10" localSheetId="6">#REF!</definedName>
    <definedName name="ThermCondUOM.10" localSheetId="2">#REF!</definedName>
    <definedName name="ThermCondUOM.10" localSheetId="3">#REF!</definedName>
    <definedName name="ThermCondUOM.10" localSheetId="0">#REF!</definedName>
    <definedName name="ThermCondUOM.10">#REF!</definedName>
    <definedName name="ThermCondUOM.11" localSheetId="1">#REF!</definedName>
    <definedName name="ThermCondUOM.11" localSheetId="8">#REF!</definedName>
    <definedName name="ThermCondUOM.11" localSheetId="7">#REF!</definedName>
    <definedName name="ThermCondUOM.11" localSheetId="10">#REF!</definedName>
    <definedName name="ThermCondUOM.11" localSheetId="9">#REF!</definedName>
    <definedName name="ThermCondUOM.11" localSheetId="11">#REF!</definedName>
    <definedName name="ThermCondUOM.11" localSheetId="6">#REF!</definedName>
    <definedName name="ThermCondUOM.11" localSheetId="2">#REF!</definedName>
    <definedName name="ThermCondUOM.11" localSheetId="3">#REF!</definedName>
    <definedName name="ThermCondUOM.11" localSheetId="0">#REF!</definedName>
    <definedName name="ThermCondUOM.11">#REF!</definedName>
    <definedName name="ThermCondUOM.2" localSheetId="1">#REF!</definedName>
    <definedName name="ThermCondUOM.2" localSheetId="8">#REF!</definedName>
    <definedName name="ThermCondUOM.2" localSheetId="7">#REF!</definedName>
    <definedName name="ThermCondUOM.2" localSheetId="10">#REF!</definedName>
    <definedName name="ThermCondUOM.2" localSheetId="9">#REF!</definedName>
    <definedName name="ThermCondUOM.2" localSheetId="11">#REF!</definedName>
    <definedName name="ThermCondUOM.2" localSheetId="6">#REF!</definedName>
    <definedName name="ThermCondUOM.2" localSheetId="2">#REF!</definedName>
    <definedName name="ThermCondUOM.2" localSheetId="3">#REF!</definedName>
    <definedName name="ThermCondUOM.2" localSheetId="0">#REF!</definedName>
    <definedName name="ThermCondUOM.2">#REF!</definedName>
    <definedName name="ThermCondUOM.3" localSheetId="1">#REF!</definedName>
    <definedName name="ThermCondUOM.3" localSheetId="8">#REF!</definedName>
    <definedName name="ThermCondUOM.3" localSheetId="7">#REF!</definedName>
    <definedName name="ThermCondUOM.3" localSheetId="10">#REF!</definedName>
    <definedName name="ThermCondUOM.3" localSheetId="9">#REF!</definedName>
    <definedName name="ThermCondUOM.3" localSheetId="11">#REF!</definedName>
    <definedName name="ThermCondUOM.3" localSheetId="6">#REF!</definedName>
    <definedName name="ThermCondUOM.3" localSheetId="2">#REF!</definedName>
    <definedName name="ThermCondUOM.3" localSheetId="3">#REF!</definedName>
    <definedName name="ThermCondUOM.3" localSheetId="0">#REF!</definedName>
    <definedName name="ThermCondUOM.3">#REF!</definedName>
    <definedName name="ThermCondUOM.4" localSheetId="1">#REF!</definedName>
    <definedName name="ThermCondUOM.4" localSheetId="8">#REF!</definedName>
    <definedName name="ThermCondUOM.4" localSheetId="7">#REF!</definedName>
    <definedName name="ThermCondUOM.4" localSheetId="10">#REF!</definedName>
    <definedName name="ThermCondUOM.4" localSheetId="9">#REF!</definedName>
    <definedName name="ThermCondUOM.4" localSheetId="11">#REF!</definedName>
    <definedName name="ThermCondUOM.4" localSheetId="6">#REF!</definedName>
    <definedName name="ThermCondUOM.4" localSheetId="2">#REF!</definedName>
    <definedName name="ThermCondUOM.4" localSheetId="3">#REF!</definedName>
    <definedName name="ThermCondUOM.4" localSheetId="0">#REF!</definedName>
    <definedName name="ThermCondUOM.4">#REF!</definedName>
    <definedName name="ThermCondUOM.5" localSheetId="1">#REF!</definedName>
    <definedName name="ThermCondUOM.5" localSheetId="8">#REF!</definedName>
    <definedName name="ThermCondUOM.5" localSheetId="7">#REF!</definedName>
    <definedName name="ThermCondUOM.5" localSheetId="10">#REF!</definedName>
    <definedName name="ThermCondUOM.5" localSheetId="9">#REF!</definedName>
    <definedName name="ThermCondUOM.5" localSheetId="11">#REF!</definedName>
    <definedName name="ThermCondUOM.5" localSheetId="6">#REF!</definedName>
    <definedName name="ThermCondUOM.5" localSheetId="2">#REF!</definedName>
    <definedName name="ThermCondUOM.5" localSheetId="3">#REF!</definedName>
    <definedName name="ThermCondUOM.5" localSheetId="0">#REF!</definedName>
    <definedName name="ThermCondUOM.5">#REF!</definedName>
    <definedName name="ThermCondUOM.6" localSheetId="1">#REF!</definedName>
    <definedName name="ThermCondUOM.6" localSheetId="8">#REF!</definedName>
    <definedName name="ThermCondUOM.6" localSheetId="7">#REF!</definedName>
    <definedName name="ThermCondUOM.6" localSheetId="10">#REF!</definedName>
    <definedName name="ThermCondUOM.6" localSheetId="9">#REF!</definedName>
    <definedName name="ThermCondUOM.6" localSheetId="11">#REF!</definedName>
    <definedName name="ThermCondUOM.6" localSheetId="6">#REF!</definedName>
    <definedName name="ThermCondUOM.6" localSheetId="2">#REF!</definedName>
    <definedName name="ThermCondUOM.6" localSheetId="3">#REF!</definedName>
    <definedName name="ThermCondUOM.6" localSheetId="0">#REF!</definedName>
    <definedName name="ThermCondUOM.6">#REF!</definedName>
    <definedName name="ThermCondUOM.7" localSheetId="1">#REF!</definedName>
    <definedName name="ThermCondUOM.7" localSheetId="8">#REF!</definedName>
    <definedName name="ThermCondUOM.7" localSheetId="7">#REF!</definedName>
    <definedName name="ThermCondUOM.7" localSheetId="10">#REF!</definedName>
    <definedName name="ThermCondUOM.7" localSheetId="9">#REF!</definedName>
    <definedName name="ThermCondUOM.7" localSheetId="11">#REF!</definedName>
    <definedName name="ThermCondUOM.7" localSheetId="6">#REF!</definedName>
    <definedName name="ThermCondUOM.7" localSheetId="2">#REF!</definedName>
    <definedName name="ThermCondUOM.7" localSheetId="3">#REF!</definedName>
    <definedName name="ThermCondUOM.7" localSheetId="0">#REF!</definedName>
    <definedName name="ThermCondUOM.7">#REF!</definedName>
    <definedName name="ThermCondUOM.8" localSheetId="1">#REF!</definedName>
    <definedName name="ThermCondUOM.8" localSheetId="8">#REF!</definedName>
    <definedName name="ThermCondUOM.8" localSheetId="7">#REF!</definedName>
    <definedName name="ThermCondUOM.8" localSheetId="10">#REF!</definedName>
    <definedName name="ThermCondUOM.8" localSheetId="9">#REF!</definedName>
    <definedName name="ThermCondUOM.8" localSheetId="11">#REF!</definedName>
    <definedName name="ThermCondUOM.8" localSheetId="6">#REF!</definedName>
    <definedName name="ThermCondUOM.8" localSheetId="2">#REF!</definedName>
    <definedName name="ThermCondUOM.8" localSheetId="3">#REF!</definedName>
    <definedName name="ThermCondUOM.8" localSheetId="0">#REF!</definedName>
    <definedName name="ThermCondUOM.8">#REF!</definedName>
    <definedName name="ThermCondUOM.9" localSheetId="1">#REF!</definedName>
    <definedName name="ThermCondUOM.9" localSheetId="8">#REF!</definedName>
    <definedName name="ThermCondUOM.9" localSheetId="7">#REF!</definedName>
    <definedName name="ThermCondUOM.9" localSheetId="10">#REF!</definedName>
    <definedName name="ThermCondUOM.9" localSheetId="9">#REF!</definedName>
    <definedName name="ThermCondUOM.9" localSheetId="11">#REF!</definedName>
    <definedName name="ThermCondUOM.9" localSheetId="6">#REF!</definedName>
    <definedName name="ThermCondUOM.9" localSheetId="2">#REF!</definedName>
    <definedName name="ThermCondUOM.9" localSheetId="3">#REF!</definedName>
    <definedName name="ThermCondUOM.9" localSheetId="0">#REF!</definedName>
    <definedName name="ThermCondUOM.9">#REF!</definedName>
    <definedName name="Thickness_Size" localSheetId="1">#REF!</definedName>
    <definedName name="Thickness_Size" localSheetId="8">#REF!</definedName>
    <definedName name="Thickness_Size" localSheetId="7">#REF!</definedName>
    <definedName name="Thickness_Size" localSheetId="10">#REF!</definedName>
    <definedName name="Thickness_Size" localSheetId="9">#REF!</definedName>
    <definedName name="Thickness_Size" localSheetId="11">#REF!</definedName>
    <definedName name="Thickness_Size" localSheetId="6">#REF!</definedName>
    <definedName name="Thickness_Size" localSheetId="2">#REF!</definedName>
    <definedName name="Thickness_Size" localSheetId="3">#REF!</definedName>
    <definedName name="Thickness_Size" localSheetId="0">#REF!</definedName>
    <definedName name="Thickness_Size">#REF!</definedName>
    <definedName name="thispage1" localSheetId="1">#REF!</definedName>
    <definedName name="thispage1" localSheetId="8">#REF!</definedName>
    <definedName name="thispage1" localSheetId="7">#REF!</definedName>
    <definedName name="thispage1" localSheetId="10">#REF!</definedName>
    <definedName name="thispage1" localSheetId="9">#REF!</definedName>
    <definedName name="thispage1" localSheetId="11">#REF!</definedName>
    <definedName name="thispage1" localSheetId="6">#REF!</definedName>
    <definedName name="thispage1" localSheetId="2">#REF!</definedName>
    <definedName name="thispage1" localSheetId="3">#REF!</definedName>
    <definedName name="thispage1" localSheetId="0">#REF!</definedName>
    <definedName name="thispage1">#REF!</definedName>
    <definedName name="thispage2" localSheetId="1">#REF!</definedName>
    <definedName name="thispage2" localSheetId="8">#REF!</definedName>
    <definedName name="thispage2" localSheetId="7">#REF!</definedName>
    <definedName name="thispage2" localSheetId="10">#REF!</definedName>
    <definedName name="thispage2" localSheetId="9">#REF!</definedName>
    <definedName name="thispage2" localSheetId="11">#REF!</definedName>
    <definedName name="thispage2" localSheetId="6">#REF!</definedName>
    <definedName name="thispage2" localSheetId="2">#REF!</definedName>
    <definedName name="thispage2" localSheetId="3">#REF!</definedName>
    <definedName name="thispage2" localSheetId="0">#REF!</definedName>
    <definedName name="thispage2">#REF!</definedName>
    <definedName name="thispage3" localSheetId="1">#REF!</definedName>
    <definedName name="thispage3" localSheetId="8">#REF!</definedName>
    <definedName name="thispage3" localSheetId="7">#REF!</definedName>
    <definedName name="thispage3" localSheetId="10">#REF!</definedName>
    <definedName name="thispage3" localSheetId="9">#REF!</definedName>
    <definedName name="thispage3" localSheetId="11">#REF!</definedName>
    <definedName name="thispage3" localSheetId="6">#REF!</definedName>
    <definedName name="thispage3" localSheetId="2">#REF!</definedName>
    <definedName name="thispage3" localSheetId="3">#REF!</definedName>
    <definedName name="thispage3" localSheetId="0">#REF!</definedName>
    <definedName name="thispage3">#REF!</definedName>
    <definedName name="thispage4" localSheetId="1">#REF!</definedName>
    <definedName name="thispage4" localSheetId="8">#REF!</definedName>
    <definedName name="thispage4" localSheetId="7">#REF!</definedName>
    <definedName name="thispage4" localSheetId="10">#REF!</definedName>
    <definedName name="thispage4" localSheetId="9">#REF!</definedName>
    <definedName name="thispage4" localSheetId="11">#REF!</definedName>
    <definedName name="thispage4" localSheetId="6">#REF!</definedName>
    <definedName name="thispage4" localSheetId="2">#REF!</definedName>
    <definedName name="thispage4" localSheetId="3">#REF!</definedName>
    <definedName name="thispage4" localSheetId="0">#REF!</definedName>
    <definedName name="thispage4">#REF!</definedName>
    <definedName name="thispage5" localSheetId="1">#REF!</definedName>
    <definedName name="thispage5" localSheetId="8">#REF!</definedName>
    <definedName name="thispage5" localSheetId="7">#REF!</definedName>
    <definedName name="thispage5" localSheetId="10">#REF!</definedName>
    <definedName name="thispage5" localSheetId="9">#REF!</definedName>
    <definedName name="thispage5" localSheetId="11">#REF!</definedName>
    <definedName name="thispage5" localSheetId="6">#REF!</definedName>
    <definedName name="thispage5" localSheetId="2">#REF!</definedName>
    <definedName name="thispage5" localSheetId="3">#REF!</definedName>
    <definedName name="thispage5" localSheetId="0">#REF!</definedName>
    <definedName name="thispage5">#REF!</definedName>
    <definedName name="thispage6" localSheetId="1">#REF!</definedName>
    <definedName name="thispage6" localSheetId="8">#REF!</definedName>
    <definedName name="thispage6" localSheetId="7">#REF!</definedName>
    <definedName name="thispage6" localSheetId="10">#REF!</definedName>
    <definedName name="thispage6" localSheetId="9">#REF!</definedName>
    <definedName name="thispage6" localSheetId="11">#REF!</definedName>
    <definedName name="thispage6" localSheetId="6">#REF!</definedName>
    <definedName name="thispage6" localSheetId="2">#REF!</definedName>
    <definedName name="thispage6" localSheetId="3">#REF!</definedName>
    <definedName name="thispage6" localSheetId="0">#REF!</definedName>
    <definedName name="thispage6">#REF!</definedName>
    <definedName name="Tier">[26]Scenario1_ST!$E$3</definedName>
    <definedName name="Totalpages" localSheetId="1">#REF!</definedName>
    <definedName name="Totalpages" localSheetId="8">#REF!</definedName>
    <definedName name="Totalpages" localSheetId="7">#REF!</definedName>
    <definedName name="Totalpages" localSheetId="10">#REF!</definedName>
    <definedName name="Totalpages" localSheetId="9">#REF!</definedName>
    <definedName name="Totalpages" localSheetId="11">#REF!</definedName>
    <definedName name="Totalpages" localSheetId="6">#REF!</definedName>
    <definedName name="Totalpages" localSheetId="2">#REF!</definedName>
    <definedName name="Totalpages" localSheetId="3">#REF!</definedName>
    <definedName name="Totalpages" localSheetId="0">#REF!</definedName>
    <definedName name="Totalpages">#REF!</definedName>
    <definedName name="tp" localSheetId="1">#REF!</definedName>
    <definedName name="tp" localSheetId="8">#REF!</definedName>
    <definedName name="tp" localSheetId="7">#REF!</definedName>
    <definedName name="tp" localSheetId="10">#REF!</definedName>
    <definedName name="tp" localSheetId="9">#REF!</definedName>
    <definedName name="tp" localSheetId="11">#REF!</definedName>
    <definedName name="tp" localSheetId="6">#REF!</definedName>
    <definedName name="tp" localSheetId="2">#REF!</definedName>
    <definedName name="tp" localSheetId="3">#REF!</definedName>
    <definedName name="tp" localSheetId="0">#REF!</definedName>
    <definedName name="tp">#REF!</definedName>
    <definedName name="transfer" localSheetId="1">#REF!</definedName>
    <definedName name="transfer" localSheetId="8">#REF!</definedName>
    <definedName name="transfer" localSheetId="7">#REF!</definedName>
    <definedName name="transfer" localSheetId="10">#REF!</definedName>
    <definedName name="transfer" localSheetId="9">#REF!</definedName>
    <definedName name="transfer" localSheetId="11">#REF!</definedName>
    <definedName name="transfer" localSheetId="6">#REF!</definedName>
    <definedName name="transfer" localSheetId="2">#REF!</definedName>
    <definedName name="transfer" localSheetId="3">#REF!</definedName>
    <definedName name="transfer" localSheetId="0">#REF!</definedName>
    <definedName name="transfer">#REF!</definedName>
    <definedName name="TubeJoint" localSheetId="1">#REF!</definedName>
    <definedName name="TubeJoint" localSheetId="8">#REF!</definedName>
    <definedName name="TubeJoint" localSheetId="7">#REF!</definedName>
    <definedName name="TubeJoint" localSheetId="10">#REF!</definedName>
    <definedName name="TubeJoint" localSheetId="9">#REF!</definedName>
    <definedName name="TubeJoint" localSheetId="11">#REF!</definedName>
    <definedName name="TubeJoint" localSheetId="6">#REF!</definedName>
    <definedName name="TubeJoint" localSheetId="2">#REF!</definedName>
    <definedName name="TubeJoint" localSheetId="3">#REF!</definedName>
    <definedName name="TubeJoint" localSheetId="0">#REF!</definedName>
    <definedName name="TubeJoint">#REF!</definedName>
    <definedName name="TubeOD" localSheetId="1">#REF!</definedName>
    <definedName name="TubeOD" localSheetId="8">#REF!</definedName>
    <definedName name="TubeOD" localSheetId="7">#REF!</definedName>
    <definedName name="TubeOD" localSheetId="10">#REF!</definedName>
    <definedName name="TubeOD" localSheetId="9">#REF!</definedName>
    <definedName name="TubeOD" localSheetId="11">#REF!</definedName>
    <definedName name="TubeOD" localSheetId="6">#REF!</definedName>
    <definedName name="TubeOD" localSheetId="2">#REF!</definedName>
    <definedName name="TubeOD" localSheetId="3">#REF!</definedName>
    <definedName name="TubeOD" localSheetId="0">#REF!</definedName>
    <definedName name="TubeOD">#REF!</definedName>
    <definedName name="TubePitch" localSheetId="1">#REF!</definedName>
    <definedName name="TubePitch" localSheetId="8">#REF!</definedName>
    <definedName name="TubePitch" localSheetId="7">#REF!</definedName>
    <definedName name="TubePitch" localSheetId="10">#REF!</definedName>
    <definedName name="TubePitch" localSheetId="9">#REF!</definedName>
    <definedName name="TubePitch" localSheetId="11">#REF!</definedName>
    <definedName name="TubePitch" localSheetId="6">#REF!</definedName>
    <definedName name="TubePitch" localSheetId="2">#REF!</definedName>
    <definedName name="TubePitch" localSheetId="3">#REF!</definedName>
    <definedName name="TubePitch" localSheetId="0">#REF!</definedName>
    <definedName name="TubePitch">#REF!</definedName>
    <definedName name="TubeThk" localSheetId="1">#REF!</definedName>
    <definedName name="TubeThk" localSheetId="8">#REF!</definedName>
    <definedName name="TubeThk" localSheetId="7">#REF!</definedName>
    <definedName name="TubeThk" localSheetId="10">#REF!</definedName>
    <definedName name="TubeThk" localSheetId="9">#REF!</definedName>
    <definedName name="TubeThk" localSheetId="11">#REF!</definedName>
    <definedName name="TubeThk" localSheetId="6">#REF!</definedName>
    <definedName name="TubeThk" localSheetId="2">#REF!</definedName>
    <definedName name="TubeThk" localSheetId="3">#REF!</definedName>
    <definedName name="TubeThk" localSheetId="0">#REF!</definedName>
    <definedName name="TubeThk">#REF!</definedName>
    <definedName name="TubeWall" localSheetId="1">#REF!</definedName>
    <definedName name="TubeWall" localSheetId="8">#REF!</definedName>
    <definedName name="TubeWall" localSheetId="7">#REF!</definedName>
    <definedName name="TubeWall" localSheetId="10">#REF!</definedName>
    <definedName name="TubeWall" localSheetId="9">#REF!</definedName>
    <definedName name="TubeWall" localSheetId="11">#REF!</definedName>
    <definedName name="TubeWall" localSheetId="6">#REF!</definedName>
    <definedName name="TubeWall" localSheetId="2">#REF!</definedName>
    <definedName name="TubeWall" localSheetId="3">#REF!</definedName>
    <definedName name="TubeWall" localSheetId="0">#REF!</definedName>
    <definedName name="TubeWall">#REF!</definedName>
    <definedName name="u" localSheetId="1">#REF!</definedName>
    <definedName name="u" localSheetId="8">#REF!</definedName>
    <definedName name="u" localSheetId="7">#REF!</definedName>
    <definedName name="u" localSheetId="10">#REF!</definedName>
    <definedName name="u" localSheetId="9">#REF!</definedName>
    <definedName name="u" localSheetId="11">#REF!</definedName>
    <definedName name="u" localSheetId="6">#REF!</definedName>
    <definedName name="u" localSheetId="2">#REF!</definedName>
    <definedName name="u" localSheetId="3">#REF!</definedName>
    <definedName name="u" localSheetId="0">#REF!</definedName>
    <definedName name="u">#REF!</definedName>
    <definedName name="ugasconst" localSheetId="1">#REF!</definedName>
    <definedName name="ugasconst" localSheetId="8">#REF!</definedName>
    <definedName name="ugasconst" localSheetId="7">#REF!</definedName>
    <definedName name="ugasconst" localSheetId="10">#REF!</definedName>
    <definedName name="ugasconst" localSheetId="9">#REF!</definedName>
    <definedName name="ugasconst" localSheetId="11">#REF!</definedName>
    <definedName name="ugasconst" localSheetId="6">#REF!</definedName>
    <definedName name="ugasconst" localSheetId="2">#REF!</definedName>
    <definedName name="ugasconst" localSheetId="3">#REF!</definedName>
    <definedName name="ugasconst" localSheetId="0">#REF!</definedName>
    <definedName name="ugasconst">#REF!</definedName>
    <definedName name="UNIT" localSheetId="1">#REF!</definedName>
    <definedName name="UNIT" localSheetId="8">#REF!</definedName>
    <definedName name="UNIT" localSheetId="7">#REF!</definedName>
    <definedName name="UNIT" localSheetId="10">#REF!</definedName>
    <definedName name="UNIT" localSheetId="9">#REF!</definedName>
    <definedName name="UNIT" localSheetId="11">#REF!</definedName>
    <definedName name="UNIT" localSheetId="6">#REF!</definedName>
    <definedName name="UNIT" localSheetId="2">#REF!</definedName>
    <definedName name="UNIT" localSheetId="3">#REF!</definedName>
    <definedName name="UNIT" localSheetId="0">#REF!</definedName>
    <definedName name="UNIT">#REF!</definedName>
    <definedName name="unit_sht">"unit_sht"</definedName>
    <definedName name="UNITS" localSheetId="1">#REF!</definedName>
    <definedName name="UNITS" localSheetId="8">#REF!</definedName>
    <definedName name="UNITS" localSheetId="7">#REF!</definedName>
    <definedName name="UNITS" localSheetId="10">#REF!</definedName>
    <definedName name="UNITS" localSheetId="9">#REF!</definedName>
    <definedName name="UNITS" localSheetId="11">#REF!</definedName>
    <definedName name="UNITS" localSheetId="6">#REF!</definedName>
    <definedName name="UNITS" localSheetId="2">#REF!</definedName>
    <definedName name="UNITS" localSheetId="3">#REF!</definedName>
    <definedName name="UNITS" localSheetId="0">#REF!</definedName>
    <definedName name="UNITS">#REF!</definedName>
    <definedName name="v_params_range">[7]v_params!$C$5:$BB$116</definedName>
    <definedName name="ValBafCut">'[14]Shell&amp;Tube'!$B$90:$B$92</definedName>
    <definedName name="ValBaffleOrient">'[14]Shell&amp;Tube'!$M$102:$M$106</definedName>
    <definedName name="ValBaffleType">'[14]Shell&amp;Tube'!$P$102:$P$109</definedName>
    <definedName name="ValClass">'[14]Shell&amp;Tube'!$AA$99:$AA$101</definedName>
    <definedName name="ValCorrosion">'[14]Shell&amp;Tube'!$AA$90:$AA$97</definedName>
    <definedName name="ValFlowAngle">'[14]Shell&amp;Tube'!$A$122:$A$125</definedName>
    <definedName name="ValGasket">'[14]Shell&amp;Tube'!$B$112:$B$117</definedName>
    <definedName name="ValMatl">'[14]Shell&amp;Tube'!$AS$90:$AS$128</definedName>
    <definedName name="ValNoz">'[14]Shell&amp;Tube'!$J$90:$J$101</definedName>
    <definedName name="ValNozFace">'[14]Shell&amp;Tube'!$M$112:$M$120</definedName>
    <definedName name="ValNozRating">'[14]Shell&amp;Tube'!$X$99:$X$112</definedName>
    <definedName name="ValNozSize">'[14]Shell&amp;Tube'!$S$90:$S$112</definedName>
    <definedName name="ValNumNoz">'[14]Shell&amp;Tube'!$M$96:$M$100</definedName>
    <definedName name="ValOrientation">'[14]Shell&amp;Tube'!$B$97:$B$99</definedName>
    <definedName name="ValShellPass">'[14]Shell&amp;Tube'!$E$90:$E$97</definedName>
    <definedName name="ValStamp">'[14]Shell&amp;Tube'!$M$90:$M$91</definedName>
    <definedName name="ValTubeJoint">'[14]Shell&amp;Tube'!$B$101:$B$110</definedName>
    <definedName name="ValTubeOD">'[14]Shell&amp;Tube'!$H$90:$H$97</definedName>
    <definedName name="ValTubePitch">'[14]Shell&amp;Tube'!$Q$90:$Q$98</definedName>
    <definedName name="ValTubeTk">'[14]Shell&amp;Tube'!$O$90:$O$99</definedName>
    <definedName name="ValTubeType">'[14]Shell&amp;Tube'!$AA$107:$AA$108</definedName>
    <definedName name="ValTubeWall">'[14]Shell&amp;Tube'!$B$94:$B$95</definedName>
    <definedName name="ValveCV" localSheetId="1">#REF!</definedName>
    <definedName name="ValveCV" localSheetId="8">#REF!</definedName>
    <definedName name="ValveCV" localSheetId="7">#REF!</definedName>
    <definedName name="ValveCV" localSheetId="10">#REF!</definedName>
    <definedName name="ValveCV" localSheetId="9">#REF!</definedName>
    <definedName name="ValveCV" localSheetId="11">#REF!</definedName>
    <definedName name="ValveCV" localSheetId="6">#REF!</definedName>
    <definedName name="ValveCV" localSheetId="2">#REF!</definedName>
    <definedName name="ValveCV" localSheetId="3">#REF!</definedName>
    <definedName name="ValveCV" localSheetId="0">#REF!</definedName>
    <definedName name="ValveCV">#REF!</definedName>
    <definedName name="vap_2" localSheetId="1">'[12]Pump Suction'!#REF!</definedName>
    <definedName name="vap_2" localSheetId="8">'[12]Pump Suction'!#REF!</definedName>
    <definedName name="vap_2" localSheetId="7">'[12]Pump Suction'!#REF!</definedName>
    <definedName name="vap_2" localSheetId="10">'[12]Pump Suction'!#REF!</definedName>
    <definedName name="vap_2" localSheetId="9">'[12]Pump Suction'!#REF!</definedName>
    <definedName name="vap_2" localSheetId="11">'[12]Pump Suction'!#REF!</definedName>
    <definedName name="vap_2" localSheetId="6">'[12]Pump Suction'!#REF!</definedName>
    <definedName name="vap_2" localSheetId="2">'[12]Pump Suction'!#REF!</definedName>
    <definedName name="vap_2" localSheetId="3">'[12]Pump Suction'!#REF!</definedName>
    <definedName name="vap_2" localSheetId="0">'[12]Pump Suction'!#REF!</definedName>
    <definedName name="vap_2">'[12]Pump Suction'!#REF!</definedName>
    <definedName name="vap_3" localSheetId="1">'[12]Pump Suction'!#REF!</definedName>
    <definedName name="vap_3" localSheetId="8">'[12]Pump Suction'!#REF!</definedName>
    <definedName name="vap_3" localSheetId="7">'[12]Pump Suction'!#REF!</definedName>
    <definedName name="vap_3" localSheetId="10">'[12]Pump Suction'!#REF!</definedName>
    <definedName name="vap_3" localSheetId="9">'[12]Pump Suction'!#REF!</definedName>
    <definedName name="vap_3" localSheetId="11">'[12]Pump Suction'!#REF!</definedName>
    <definedName name="vap_3" localSheetId="6">'[12]Pump Suction'!#REF!</definedName>
    <definedName name="vap_3" localSheetId="2">'[12]Pump Suction'!#REF!</definedName>
    <definedName name="vap_3" localSheetId="3">'[12]Pump Suction'!#REF!</definedName>
    <definedName name="vap_3" localSheetId="0">'[12]Pump Suction'!#REF!</definedName>
    <definedName name="vap_3">'[12]Pump Suction'!#REF!</definedName>
    <definedName name="VAPOR" localSheetId="1">'[12]Pump Suction'!#REF!</definedName>
    <definedName name="VAPOR" localSheetId="8">'[12]Pump Suction'!#REF!</definedName>
    <definedName name="VAPOR" localSheetId="7">'[12]Pump Suction'!#REF!</definedName>
    <definedName name="VAPOR" localSheetId="10">'[12]Pump Suction'!#REF!</definedName>
    <definedName name="VAPOR" localSheetId="9">'[12]Pump Suction'!#REF!</definedName>
    <definedName name="VAPOR" localSheetId="11">'[12]Pump Suction'!#REF!</definedName>
    <definedName name="VAPOR" localSheetId="6">'[12]Pump Suction'!#REF!</definedName>
    <definedName name="VAPOR" localSheetId="2">'[12]Pump Suction'!#REF!</definedName>
    <definedName name="VAPOR" localSheetId="3">'[12]Pump Suction'!#REF!</definedName>
    <definedName name="VAPOR" localSheetId="0">'[12]Pump Suction'!#REF!</definedName>
    <definedName name="VAPOR">'[12]Pump Suction'!#REF!</definedName>
    <definedName name="vappres" localSheetId="1">#REF!</definedName>
    <definedName name="vappres" localSheetId="8">#REF!</definedName>
    <definedName name="vappres" localSheetId="7">#REF!</definedName>
    <definedName name="vappres" localSheetId="10">#REF!</definedName>
    <definedName name="vappres" localSheetId="9">#REF!</definedName>
    <definedName name="vappres" localSheetId="11">#REF!</definedName>
    <definedName name="vappres" localSheetId="6">#REF!</definedName>
    <definedName name="vappres" localSheetId="2">#REF!</definedName>
    <definedName name="vappres" localSheetId="3">#REF!</definedName>
    <definedName name="vappres" localSheetId="0">#REF!</definedName>
    <definedName name="vappres">#REF!</definedName>
    <definedName name="vassvelo" localSheetId="1">#REF!</definedName>
    <definedName name="vassvelo" localSheetId="8">#REF!</definedName>
    <definedName name="vassvelo" localSheetId="7">#REF!</definedName>
    <definedName name="vassvelo" localSheetId="10">#REF!</definedName>
    <definedName name="vassvelo" localSheetId="9">#REF!</definedName>
    <definedName name="vassvelo" localSheetId="11">#REF!</definedName>
    <definedName name="vassvelo" localSheetId="6">#REF!</definedName>
    <definedName name="vassvelo" localSheetId="2">#REF!</definedName>
    <definedName name="vassvelo" localSheetId="3">#REF!</definedName>
    <definedName name="vassvelo" localSheetId="0">#REF!</definedName>
    <definedName name="vassvelo">#REF!</definedName>
    <definedName name="vball" localSheetId="1">#REF!</definedName>
    <definedName name="vball" localSheetId="8">#REF!</definedName>
    <definedName name="vball" localSheetId="7">#REF!</definedName>
    <definedName name="vball" localSheetId="10">#REF!</definedName>
    <definedName name="vball" localSheetId="9">#REF!</definedName>
    <definedName name="vball" localSheetId="11">#REF!</definedName>
    <definedName name="vball" localSheetId="6">#REF!</definedName>
    <definedName name="vball" localSheetId="2">#REF!</definedName>
    <definedName name="vball" localSheetId="3">#REF!</definedName>
    <definedName name="vball" localSheetId="0">#REF!</definedName>
    <definedName name="vball">#REF!</definedName>
    <definedName name="velcoity" localSheetId="1">#REF!</definedName>
    <definedName name="velcoity" localSheetId="8">#REF!</definedName>
    <definedName name="velcoity" localSheetId="7">#REF!</definedName>
    <definedName name="velcoity" localSheetId="10">#REF!</definedName>
    <definedName name="velcoity" localSheetId="9">#REF!</definedName>
    <definedName name="velcoity" localSheetId="11">#REF!</definedName>
    <definedName name="velcoity" localSheetId="6">#REF!</definedName>
    <definedName name="velcoity" localSheetId="2">#REF!</definedName>
    <definedName name="velcoity" localSheetId="3">#REF!</definedName>
    <definedName name="velcoity" localSheetId="0">#REF!</definedName>
    <definedName name="velcoity">#REF!</definedName>
    <definedName name="vess" localSheetId="1">'[11]Corrib Haz'!#REF!</definedName>
    <definedName name="vess" localSheetId="8">'[11]Corrib Haz'!#REF!</definedName>
    <definedName name="vess" localSheetId="7">'[11]Corrib Haz'!#REF!</definedName>
    <definedName name="vess" localSheetId="10">'[11]Corrib Haz'!#REF!</definedName>
    <definedName name="vess" localSheetId="9">'[11]Corrib Haz'!#REF!</definedName>
    <definedName name="vess" localSheetId="11">'[11]Corrib Haz'!#REF!</definedName>
    <definedName name="vess" localSheetId="6">'[11]Corrib Haz'!#REF!</definedName>
    <definedName name="vess" localSheetId="2">'[11]Corrib Haz'!#REF!</definedName>
    <definedName name="vess" localSheetId="3">'[11]Corrib Haz'!#REF!</definedName>
    <definedName name="vess" localSheetId="0">'[11]Corrib Haz'!#REF!</definedName>
    <definedName name="vess">'[11]Corrib Haz'!#REF!</definedName>
    <definedName name="VISC" localSheetId="1">#REF!</definedName>
    <definedName name="VISC" localSheetId="8">#REF!</definedName>
    <definedName name="VISC" localSheetId="7">#REF!</definedName>
    <definedName name="VISC" localSheetId="10">#REF!</definedName>
    <definedName name="VISC" localSheetId="9">#REF!</definedName>
    <definedName name="VISC" localSheetId="11">#REF!</definedName>
    <definedName name="VISC" localSheetId="6">#REF!</definedName>
    <definedName name="VISC" localSheetId="2">#REF!</definedName>
    <definedName name="VISC" localSheetId="3">#REF!</definedName>
    <definedName name="VISC" localSheetId="0">#REF!</definedName>
    <definedName name="VISC">#REF!</definedName>
    <definedName name="Visc_factor" localSheetId="1">#REF!</definedName>
    <definedName name="Visc_factor" localSheetId="8">#REF!</definedName>
    <definedName name="Visc_factor" localSheetId="7">#REF!</definedName>
    <definedName name="Visc_factor" localSheetId="10">#REF!</definedName>
    <definedName name="Visc_factor" localSheetId="9">#REF!</definedName>
    <definedName name="Visc_factor" localSheetId="11">#REF!</definedName>
    <definedName name="Visc_factor" localSheetId="6">#REF!</definedName>
    <definedName name="Visc_factor" localSheetId="2">#REF!</definedName>
    <definedName name="Visc_factor" localSheetId="3">#REF!</definedName>
    <definedName name="Visc_factor" localSheetId="0">#REF!</definedName>
    <definedName name="Visc_factor">#REF!</definedName>
    <definedName name="viscosity" localSheetId="1">#REF!</definedName>
    <definedName name="viscosity" localSheetId="8">#REF!</definedName>
    <definedName name="viscosity" localSheetId="7">#REF!</definedName>
    <definedName name="viscosity" localSheetId="10">#REF!</definedName>
    <definedName name="viscosity" localSheetId="9">#REF!</definedName>
    <definedName name="viscosity" localSheetId="11">#REF!</definedName>
    <definedName name="viscosity" localSheetId="6">#REF!</definedName>
    <definedName name="viscosity" localSheetId="2">#REF!</definedName>
    <definedName name="viscosity" localSheetId="3">#REF!</definedName>
    <definedName name="viscosity" localSheetId="0">#REF!</definedName>
    <definedName name="viscosity">#REF!</definedName>
    <definedName name="ViscosityUOM.10" localSheetId="1">#REF!</definedName>
    <definedName name="ViscosityUOM.10" localSheetId="8">#REF!</definedName>
    <definedName name="ViscosityUOM.10" localSheetId="7">#REF!</definedName>
    <definedName name="ViscosityUOM.10" localSheetId="10">#REF!</definedName>
    <definedName name="ViscosityUOM.10" localSheetId="9">#REF!</definedName>
    <definedName name="ViscosityUOM.10" localSheetId="11">#REF!</definedName>
    <definedName name="ViscosityUOM.10" localSheetId="6">#REF!</definedName>
    <definedName name="ViscosityUOM.10" localSheetId="2">#REF!</definedName>
    <definedName name="ViscosityUOM.10" localSheetId="3">#REF!</definedName>
    <definedName name="ViscosityUOM.10" localSheetId="0">#REF!</definedName>
    <definedName name="ViscosityUOM.10">#REF!</definedName>
    <definedName name="ViscosityUOM.11" localSheetId="1">#REF!</definedName>
    <definedName name="ViscosityUOM.11" localSheetId="8">#REF!</definedName>
    <definedName name="ViscosityUOM.11" localSheetId="7">#REF!</definedName>
    <definedName name="ViscosityUOM.11" localSheetId="10">#REF!</definedName>
    <definedName name="ViscosityUOM.11" localSheetId="9">#REF!</definedName>
    <definedName name="ViscosityUOM.11" localSheetId="11">#REF!</definedName>
    <definedName name="ViscosityUOM.11" localSheetId="6">#REF!</definedName>
    <definedName name="ViscosityUOM.11" localSheetId="2">#REF!</definedName>
    <definedName name="ViscosityUOM.11" localSheetId="3">#REF!</definedName>
    <definedName name="ViscosityUOM.11" localSheetId="0">#REF!</definedName>
    <definedName name="ViscosityUOM.11">#REF!</definedName>
    <definedName name="ViscosityUOM.2" localSheetId="1">#REF!</definedName>
    <definedName name="ViscosityUOM.2" localSheetId="8">#REF!</definedName>
    <definedName name="ViscosityUOM.2" localSheetId="7">#REF!</definedName>
    <definedName name="ViscosityUOM.2" localSheetId="10">#REF!</definedName>
    <definedName name="ViscosityUOM.2" localSheetId="9">#REF!</definedName>
    <definedName name="ViscosityUOM.2" localSheetId="11">#REF!</definedName>
    <definedName name="ViscosityUOM.2" localSheetId="6">#REF!</definedName>
    <definedName name="ViscosityUOM.2" localSheetId="2">#REF!</definedName>
    <definedName name="ViscosityUOM.2" localSheetId="3">#REF!</definedName>
    <definedName name="ViscosityUOM.2" localSheetId="0">#REF!</definedName>
    <definedName name="ViscosityUOM.2">#REF!</definedName>
    <definedName name="ViscosityUOM.3" localSheetId="1">#REF!</definedName>
    <definedName name="ViscosityUOM.3" localSheetId="8">#REF!</definedName>
    <definedName name="ViscosityUOM.3" localSheetId="7">#REF!</definedName>
    <definedName name="ViscosityUOM.3" localSheetId="10">#REF!</definedName>
    <definedName name="ViscosityUOM.3" localSheetId="9">#REF!</definedName>
    <definedName name="ViscosityUOM.3" localSheetId="11">#REF!</definedName>
    <definedName name="ViscosityUOM.3" localSheetId="6">#REF!</definedName>
    <definedName name="ViscosityUOM.3" localSheetId="2">#REF!</definedName>
    <definedName name="ViscosityUOM.3" localSheetId="3">#REF!</definedName>
    <definedName name="ViscosityUOM.3" localSheetId="0">#REF!</definedName>
    <definedName name="ViscosityUOM.3">#REF!</definedName>
    <definedName name="ViscosityUOM.4" localSheetId="1">#REF!</definedName>
    <definedName name="ViscosityUOM.4" localSheetId="8">#REF!</definedName>
    <definedName name="ViscosityUOM.4" localSheetId="7">#REF!</definedName>
    <definedName name="ViscosityUOM.4" localSheetId="10">#REF!</definedName>
    <definedName name="ViscosityUOM.4" localSheetId="9">#REF!</definedName>
    <definedName name="ViscosityUOM.4" localSheetId="11">#REF!</definedName>
    <definedName name="ViscosityUOM.4" localSheetId="6">#REF!</definedName>
    <definedName name="ViscosityUOM.4" localSheetId="2">#REF!</definedName>
    <definedName name="ViscosityUOM.4" localSheetId="3">#REF!</definedName>
    <definedName name="ViscosityUOM.4" localSheetId="0">#REF!</definedName>
    <definedName name="ViscosityUOM.4">#REF!</definedName>
    <definedName name="ViscosityUOM.5" localSheetId="1">#REF!</definedName>
    <definedName name="ViscosityUOM.5" localSheetId="8">#REF!</definedName>
    <definedName name="ViscosityUOM.5" localSheetId="7">#REF!</definedName>
    <definedName name="ViscosityUOM.5" localSheetId="10">#REF!</definedName>
    <definedName name="ViscosityUOM.5" localSheetId="9">#REF!</definedName>
    <definedName name="ViscosityUOM.5" localSheetId="11">#REF!</definedName>
    <definedName name="ViscosityUOM.5" localSheetId="6">#REF!</definedName>
    <definedName name="ViscosityUOM.5" localSheetId="2">#REF!</definedName>
    <definedName name="ViscosityUOM.5" localSheetId="3">#REF!</definedName>
    <definedName name="ViscosityUOM.5" localSheetId="0">#REF!</definedName>
    <definedName name="ViscosityUOM.5">#REF!</definedName>
    <definedName name="ViscosityUOM.6" localSheetId="1">#REF!</definedName>
    <definedName name="ViscosityUOM.6" localSheetId="8">#REF!</definedName>
    <definedName name="ViscosityUOM.6" localSheetId="7">#REF!</definedName>
    <definedName name="ViscosityUOM.6" localSheetId="10">#REF!</definedName>
    <definedName name="ViscosityUOM.6" localSheetId="9">#REF!</definedName>
    <definedName name="ViscosityUOM.6" localSheetId="11">#REF!</definedName>
    <definedName name="ViscosityUOM.6" localSheetId="6">#REF!</definedName>
    <definedName name="ViscosityUOM.6" localSheetId="2">#REF!</definedName>
    <definedName name="ViscosityUOM.6" localSheetId="3">#REF!</definedName>
    <definedName name="ViscosityUOM.6" localSheetId="0">#REF!</definedName>
    <definedName name="ViscosityUOM.6">#REF!</definedName>
    <definedName name="ViscosityUOM.7" localSheetId="1">#REF!</definedName>
    <definedName name="ViscosityUOM.7" localSheetId="8">#REF!</definedName>
    <definedName name="ViscosityUOM.7" localSheetId="7">#REF!</definedName>
    <definedName name="ViscosityUOM.7" localSheetId="10">#REF!</definedName>
    <definedName name="ViscosityUOM.7" localSheetId="9">#REF!</definedName>
    <definedName name="ViscosityUOM.7" localSheetId="11">#REF!</definedName>
    <definedName name="ViscosityUOM.7" localSheetId="6">#REF!</definedName>
    <definedName name="ViscosityUOM.7" localSheetId="2">#REF!</definedName>
    <definedName name="ViscosityUOM.7" localSheetId="3">#REF!</definedName>
    <definedName name="ViscosityUOM.7" localSheetId="0">#REF!</definedName>
    <definedName name="ViscosityUOM.7">#REF!</definedName>
    <definedName name="ViscosityUOM.8" localSheetId="1">#REF!</definedName>
    <definedName name="ViscosityUOM.8" localSheetId="8">#REF!</definedName>
    <definedName name="ViscosityUOM.8" localSheetId="7">#REF!</definedName>
    <definedName name="ViscosityUOM.8" localSheetId="10">#REF!</definedName>
    <definedName name="ViscosityUOM.8" localSheetId="9">#REF!</definedName>
    <definedName name="ViscosityUOM.8" localSheetId="11">#REF!</definedName>
    <definedName name="ViscosityUOM.8" localSheetId="6">#REF!</definedName>
    <definedName name="ViscosityUOM.8" localSheetId="2">#REF!</definedName>
    <definedName name="ViscosityUOM.8" localSheetId="3">#REF!</definedName>
    <definedName name="ViscosityUOM.8" localSheetId="0">#REF!</definedName>
    <definedName name="ViscosityUOM.8">#REF!</definedName>
    <definedName name="ViscosityUOM.9" localSheetId="1">#REF!</definedName>
    <definedName name="ViscosityUOM.9" localSheetId="8">#REF!</definedName>
    <definedName name="ViscosityUOM.9" localSheetId="7">#REF!</definedName>
    <definedName name="ViscosityUOM.9" localSheetId="10">#REF!</definedName>
    <definedName name="ViscosityUOM.9" localSheetId="9">#REF!</definedName>
    <definedName name="ViscosityUOM.9" localSheetId="11">#REF!</definedName>
    <definedName name="ViscosityUOM.9" localSheetId="6">#REF!</definedName>
    <definedName name="ViscosityUOM.9" localSheetId="2">#REF!</definedName>
    <definedName name="ViscosityUOM.9" localSheetId="3">#REF!</definedName>
    <definedName name="ViscosityUOM.9" localSheetId="0">#REF!</definedName>
    <definedName name="ViscosityUOM.9">#REF!</definedName>
    <definedName name="VOCEF">'[10]Comply Conditions'!$EJ$71:$EV$83</definedName>
    <definedName name="VOCEmis">'[10]Comply Conditions'!$EI$14:$EU$46</definedName>
    <definedName name="vollheatre" localSheetId="1">#REF!</definedName>
    <definedName name="vollheatre" localSheetId="8">#REF!</definedName>
    <definedName name="vollheatre" localSheetId="7">#REF!</definedName>
    <definedName name="vollheatre" localSheetId="10">#REF!</definedName>
    <definedName name="vollheatre" localSheetId="9">#REF!</definedName>
    <definedName name="vollheatre" localSheetId="11">#REF!</definedName>
    <definedName name="vollheatre" localSheetId="6">#REF!</definedName>
    <definedName name="vollheatre" localSheetId="2">#REF!</definedName>
    <definedName name="vollheatre" localSheetId="3">#REF!</definedName>
    <definedName name="vollheatre" localSheetId="0">#REF!</definedName>
    <definedName name="vollheatre">#REF!</definedName>
    <definedName name="volumetri" localSheetId="1">#REF!</definedName>
    <definedName name="volumetri" localSheetId="8">#REF!</definedName>
    <definedName name="volumetri" localSheetId="7">#REF!</definedName>
    <definedName name="volumetri" localSheetId="10">#REF!</definedName>
    <definedName name="volumetri" localSheetId="9">#REF!</definedName>
    <definedName name="volumetri" localSheetId="11">#REF!</definedName>
    <definedName name="volumetri" localSheetId="6">#REF!</definedName>
    <definedName name="volumetri" localSheetId="2">#REF!</definedName>
    <definedName name="volumetri" localSheetId="3">#REF!</definedName>
    <definedName name="volumetri" localSheetId="0">#REF!</definedName>
    <definedName name="volumetri">#REF!</definedName>
    <definedName name="vv" localSheetId="1">[15]dimensions!#REF!</definedName>
    <definedName name="vv" localSheetId="8">[15]dimensions!#REF!</definedName>
    <definedName name="vv" localSheetId="7">[15]dimensions!#REF!</definedName>
    <definedName name="vv" localSheetId="10">[15]dimensions!#REF!</definedName>
    <definedName name="vv" localSheetId="9">[15]dimensions!#REF!</definedName>
    <definedName name="vv" localSheetId="11">[15]dimensions!#REF!</definedName>
    <definedName name="vv" localSheetId="6">[15]dimensions!#REF!</definedName>
    <definedName name="vv" localSheetId="2">[15]dimensions!#REF!</definedName>
    <definedName name="vv" localSheetId="3">[15]dimensions!#REF!</definedName>
    <definedName name="vv" localSheetId="0">[15]dimensions!#REF!</definedName>
    <definedName name="vv">[15]dimensions!#REF!</definedName>
    <definedName name="Wall_Thickness" localSheetId="1">#REF!</definedName>
    <definedName name="Wall_Thickness" localSheetId="8">#REF!</definedName>
    <definedName name="Wall_Thickness" localSheetId="7">#REF!</definedName>
    <definedName name="Wall_Thickness" localSheetId="10">#REF!</definedName>
    <definedName name="Wall_Thickness" localSheetId="9">#REF!</definedName>
    <definedName name="Wall_Thickness" localSheetId="11">#REF!</definedName>
    <definedName name="Wall_Thickness" localSheetId="6">#REF!</definedName>
    <definedName name="Wall_Thickness" localSheetId="2">#REF!</definedName>
    <definedName name="Wall_Thickness" localSheetId="3">#REF!</definedName>
    <definedName name="Wall_Thickness" localSheetId="0">#REF!</definedName>
    <definedName name="Wall_Thickness">#REF!</definedName>
    <definedName name="WATER" localSheetId="1">'[12]Pump Suction'!#REF!</definedName>
    <definedName name="WATER" localSheetId="8">'[12]Pump Suction'!#REF!</definedName>
    <definedName name="WATER" localSheetId="7">'[12]Pump Suction'!#REF!</definedName>
    <definedName name="WATER" localSheetId="10">'[12]Pump Suction'!#REF!</definedName>
    <definedName name="WATER" localSheetId="9">'[12]Pump Suction'!#REF!</definedName>
    <definedName name="WATER" localSheetId="11">'[12]Pump Suction'!#REF!</definedName>
    <definedName name="WATER" localSheetId="6">'[12]Pump Suction'!#REF!</definedName>
    <definedName name="WATER" localSheetId="2">'[12]Pump Suction'!#REF!</definedName>
    <definedName name="WATER" localSheetId="3">'[12]Pump Suction'!#REF!</definedName>
    <definedName name="WATER" localSheetId="0">'[12]Pump Suction'!#REF!</definedName>
    <definedName name="WATER">'[12]Pump Suction'!#REF!</definedName>
    <definedName name="weight" localSheetId="1">#REF!</definedName>
    <definedName name="weight" localSheetId="8">#REF!</definedName>
    <definedName name="weight" localSheetId="7">#REF!</definedName>
    <definedName name="weight" localSheetId="10">#REF!</definedName>
    <definedName name="weight" localSheetId="9">#REF!</definedName>
    <definedName name="weight" localSheetId="11">#REF!</definedName>
    <definedName name="weight" localSheetId="6">#REF!</definedName>
    <definedName name="weight" localSheetId="2">#REF!</definedName>
    <definedName name="weight" localSheetId="3">#REF!</definedName>
    <definedName name="weight" localSheetId="0">#REF!</definedName>
    <definedName name="weight">#REF!</definedName>
    <definedName name="weights" localSheetId="1">#REF!</definedName>
    <definedName name="weights" localSheetId="8">#REF!</definedName>
    <definedName name="weights" localSheetId="7">#REF!</definedName>
    <definedName name="weights" localSheetId="10">#REF!</definedName>
    <definedName name="weights" localSheetId="9">#REF!</definedName>
    <definedName name="weights" localSheetId="11">#REF!</definedName>
    <definedName name="weights" localSheetId="6">#REF!</definedName>
    <definedName name="weights" localSheetId="2">#REF!</definedName>
    <definedName name="weights" localSheetId="3">#REF!</definedName>
    <definedName name="weights" localSheetId="0">#REF!</definedName>
    <definedName name="weights">#REF!</definedName>
    <definedName name="wrn.Print._.Sketches." localSheetId="13" hidden="1">{#N/A,#N/A,FALSE,"Sketch1";#N/A,#N/A,FALSE,"Sketch2";#N/A,#N/A,FALSE,"Sketch3"}</definedName>
    <definedName name="wrn.Print._.Sketches." hidden="1">{#N/A,#N/A,FALSE,"Sketch1";#N/A,#N/A,FALSE,"Sketch2";#N/A,#N/A,FALSE,"Sketch3"}</definedName>
    <definedName name="wrn.PSVReport." localSheetId="0" hidden="1">{#N/A,#N/A,FALSE,"PSVCALC";#N/A,#N/A,FALSE,"Cases";#N/A,#N/A,FALSE,"SKETCH";#N/A,#N/A,FALSE,"1900 series critical vapor";#N/A,#N/A,FALSE,"1900 series liquid";#N/A,#N/A,FALSE,"AGCO series D critical vapor";#N/A,#N/A,FALSE,"API vapor";#N/A,#N/A,FALSE,"API liquid";#N/A,#N/A,FALSE,"API noncertified liquid";#N/A,#N/A,FALSE,"Heat &amp; Mass Bal.- NORM &amp; RELIEF";#N/A,#N/A,FALSE,"Heat input from fire";#N/A,#N/A,FALSE,"Additional heat";#N/A,#N/A,FALSE,"Thermal Relief";#N/A,#N/A,FALSE,"Vapor control valve";#N/A,#N/A,FALSE,"Liquid control valve";#N/A,#N/A,FALSE,"Liquid Tube rupture";#N/A,#N/A,FALSE,"Vapor Tube rupture";#N/A,#N/A,FALSE,"isothermal";#N/A,#N/A,FALSE,"incompressible"}</definedName>
    <definedName name="wrn.PSVReport." hidden="1">{#N/A,#N/A,FALSE,"PSVCALC";#N/A,#N/A,FALSE,"Cases";#N/A,#N/A,FALSE,"SKETCH";#N/A,#N/A,FALSE,"1900 series critical vapor";#N/A,#N/A,FALSE,"1900 series liquid";#N/A,#N/A,FALSE,"AGCO series D critical vapor";#N/A,#N/A,FALSE,"API vapor";#N/A,#N/A,FALSE,"API liquid";#N/A,#N/A,FALSE,"API noncertified liquid";#N/A,#N/A,FALSE,"Heat &amp; Mass Bal.- NORM &amp; RELIEF";#N/A,#N/A,FALSE,"Heat input from fire";#N/A,#N/A,FALSE,"Additional heat";#N/A,#N/A,FALSE,"Thermal Relief";#N/A,#N/A,FALSE,"Vapor control valve";#N/A,#N/A,FALSE,"Liquid control valve";#N/A,#N/A,FALSE,"Liquid Tube rupture";#N/A,#N/A,FALSE,"Vapor Tube rupture";#N/A,#N/A,FALSE,"isothermal";#N/A,#N/A,FALSE,"incompressible"}</definedName>
    <definedName name="wtr_2" localSheetId="1">'[12]Pump Suction'!#REF!</definedName>
    <definedName name="wtr_2" localSheetId="8">'[12]Pump Suction'!#REF!</definedName>
    <definedName name="wtr_2" localSheetId="7">'[12]Pump Suction'!#REF!</definedName>
    <definedName name="wtr_2" localSheetId="10">'[12]Pump Suction'!#REF!</definedName>
    <definedName name="wtr_2" localSheetId="9">'[12]Pump Suction'!#REF!</definedName>
    <definedName name="wtr_2" localSheetId="11">'[12]Pump Suction'!#REF!</definedName>
    <definedName name="wtr_2" localSheetId="6">'[12]Pump Suction'!#REF!</definedName>
    <definedName name="wtr_2" localSheetId="2">'[12]Pump Suction'!#REF!</definedName>
    <definedName name="wtr_2" localSheetId="3">'[12]Pump Suction'!#REF!</definedName>
    <definedName name="wtr_2" localSheetId="0">'[12]Pump Suction'!#REF!</definedName>
    <definedName name="wtr_2">'[12]Pump Suction'!#REF!</definedName>
    <definedName name="wtrtsp" localSheetId="1">#REF!</definedName>
    <definedName name="wtrtsp" localSheetId="13">#REF!</definedName>
    <definedName name="wtrtsp" localSheetId="8">#REF!</definedName>
    <definedName name="wtrtsp" localSheetId="7">#REF!</definedName>
    <definedName name="wtrtsp" localSheetId="10">#REF!</definedName>
    <definedName name="wtrtsp" localSheetId="9">#REF!</definedName>
    <definedName name="wtrtsp" localSheetId="11">#REF!</definedName>
    <definedName name="wtrtsp" localSheetId="6">#REF!</definedName>
    <definedName name="wtrtsp" localSheetId="2">#REF!</definedName>
    <definedName name="wtrtsp" localSheetId="3">#REF!</definedName>
    <definedName name="wtrtsp" localSheetId="0">#REF!</definedName>
    <definedName name="wtrtsp">#REF!</definedName>
    <definedName name="x" localSheetId="1" hidden="1">#REF!</definedName>
    <definedName name="x" localSheetId="8">#REF!</definedName>
    <definedName name="x" localSheetId="7">#REF!</definedName>
    <definedName name="x" localSheetId="10">#REF!</definedName>
    <definedName name="x" localSheetId="9">#REF!</definedName>
    <definedName name="x" localSheetId="11">#REF!</definedName>
    <definedName name="x" localSheetId="6">#REF!</definedName>
    <definedName name="x" localSheetId="5">#REF!</definedName>
    <definedName name="x" localSheetId="2" hidden="1">#REF!</definedName>
    <definedName name="x" localSheetId="3" hidden="1">#REF!</definedName>
    <definedName name="x" localSheetId="0" hidden="1">#REF!</definedName>
    <definedName name="x" hidden="1">#REF!</definedName>
    <definedName name="y" hidden="1">'[8]Exhaust Flow Comparison'!$C$166:$C$168</definedName>
    <definedName name="z" localSheetId="1">#REF!</definedName>
    <definedName name="z" localSheetId="8">#REF!</definedName>
    <definedName name="z" localSheetId="7">#REF!</definedName>
    <definedName name="z" localSheetId="10">#REF!</definedName>
    <definedName name="z" localSheetId="9">#REF!</definedName>
    <definedName name="z" localSheetId="11">#REF!</definedName>
    <definedName name="z" localSheetId="6">#REF!</definedName>
    <definedName name="z" localSheetId="2">#REF!</definedName>
    <definedName name="z" localSheetId="3">#REF!</definedName>
    <definedName name="z" localSheetId="0">#REF!</definedName>
    <definedName name="z">#REF!</definedName>
    <definedName name="Z1_">'[18]Compressor performance'!$B$14</definedName>
    <definedName name="Z2_">'[18]Compressor performance'!$B$15</definedName>
  </definedNames>
  <calcPr calcId="145621"/>
</workbook>
</file>

<file path=xl/calcChain.xml><?xml version="1.0" encoding="utf-8"?>
<calcChain xmlns="http://schemas.openxmlformats.org/spreadsheetml/2006/main">
  <c r="M50" i="20" l="1"/>
  <c r="K19" i="22" l="1"/>
  <c r="J19" i="22"/>
  <c r="I19" i="22"/>
  <c r="L19" i="22"/>
  <c r="M19" i="22"/>
  <c r="N19" i="22"/>
  <c r="O38" i="21" l="1"/>
  <c r="N37" i="21"/>
  <c r="N31" i="21"/>
  <c r="O31" i="21" s="1"/>
  <c r="N30" i="21"/>
  <c r="O30" i="21" s="1"/>
  <c r="N27" i="21"/>
  <c r="N38" i="21"/>
  <c r="O17" i="21"/>
  <c r="N16" i="21"/>
  <c r="N22" i="21" l="1"/>
  <c r="N21" i="21"/>
  <c r="N15" i="21"/>
  <c r="Z38" i="21" l="1"/>
  <c r="Y38" i="21"/>
  <c r="M40" i="21"/>
  <c r="O40" i="21" s="1"/>
  <c r="M39" i="21"/>
  <c r="O39" i="21" s="1"/>
  <c r="O41" i="21"/>
  <c r="O37" i="21"/>
  <c r="O29" i="21"/>
  <c r="O28" i="21"/>
  <c r="O27" i="21"/>
  <c r="O26" i="21"/>
  <c r="O25" i="21"/>
  <c r="O24" i="21"/>
  <c r="O23" i="21"/>
  <c r="O22" i="21"/>
  <c r="O21" i="21"/>
  <c r="O20" i="21"/>
  <c r="O19" i="21"/>
  <c r="O18" i="21"/>
  <c r="O16" i="21"/>
  <c r="O15" i="21"/>
  <c r="L47" i="21"/>
  <c r="P40" i="21"/>
  <c r="P39" i="21"/>
  <c r="P38" i="21"/>
  <c r="L8" i="34"/>
  <c r="R11" i="34"/>
  <c r="R8" i="34"/>
  <c r="Q11" i="34"/>
  <c r="N11" i="34"/>
  <c r="L11" i="34"/>
  <c r="J11" i="34"/>
  <c r="Q8" i="34"/>
  <c r="N8" i="34"/>
  <c r="J8" i="34"/>
  <c r="R13" i="34" l="1"/>
  <c r="R12" i="34"/>
  <c r="Q13" i="34"/>
  <c r="Q12" i="34"/>
  <c r="N13" i="34"/>
  <c r="N12" i="34"/>
  <c r="L13" i="34"/>
  <c r="L12" i="34"/>
  <c r="J13" i="34"/>
  <c r="J12" i="34"/>
  <c r="J30" i="34" l="1"/>
  <c r="J29" i="34"/>
  <c r="U30" i="34"/>
  <c r="T30" i="34"/>
  <c r="S30" i="34"/>
  <c r="W30" i="34" s="1"/>
  <c r="R30" i="34"/>
  <c r="Q30" i="34"/>
  <c r="N30" i="34"/>
  <c r="L30" i="34"/>
  <c r="U29" i="34"/>
  <c r="T29" i="34"/>
  <c r="S29" i="34"/>
  <c r="R29" i="34"/>
  <c r="Q29" i="34"/>
  <c r="N29" i="34"/>
  <c r="L29" i="34"/>
  <c r="R24" i="34"/>
  <c r="Q24" i="34"/>
  <c r="N24" i="34"/>
  <c r="L24" i="34"/>
  <c r="J24" i="34"/>
  <c r="U23" i="34"/>
  <c r="T23" i="34"/>
  <c r="S23" i="34"/>
  <c r="R23" i="34"/>
  <c r="Q23" i="34"/>
  <c r="N23" i="34"/>
  <c r="L23" i="34"/>
  <c r="J23" i="34"/>
  <c r="U22" i="34"/>
  <c r="T22" i="34"/>
  <c r="S22" i="34"/>
  <c r="R22" i="34"/>
  <c r="Q22" i="34"/>
  <c r="N22" i="34"/>
  <c r="L22" i="34"/>
  <c r="J22" i="34"/>
  <c r="U21" i="34"/>
  <c r="T21" i="34"/>
  <c r="S21" i="34"/>
  <c r="R21" i="34"/>
  <c r="Q21" i="34"/>
  <c r="N21" i="34"/>
  <c r="L21" i="34"/>
  <c r="J21" i="34"/>
  <c r="U20" i="34"/>
  <c r="T20" i="34"/>
  <c r="S20" i="34"/>
  <c r="R20" i="34"/>
  <c r="Q20" i="34"/>
  <c r="N20" i="34"/>
  <c r="L20" i="34"/>
  <c r="J20" i="34"/>
  <c r="U19" i="34"/>
  <c r="T19" i="34"/>
  <c r="S19" i="34"/>
  <c r="R19" i="34"/>
  <c r="Q19" i="34"/>
  <c r="N19" i="34"/>
  <c r="L19" i="34"/>
  <c r="J19" i="34"/>
  <c r="U18" i="34"/>
  <c r="T18" i="34"/>
  <c r="S18" i="34"/>
  <c r="R18" i="34"/>
  <c r="Q18" i="34"/>
  <c r="N18" i="34"/>
  <c r="L18" i="34"/>
  <c r="J18" i="34"/>
  <c r="U17" i="34"/>
  <c r="T17" i="34"/>
  <c r="S17" i="34"/>
  <c r="R17" i="34"/>
  <c r="Q17" i="34"/>
  <c r="N17" i="34"/>
  <c r="L17" i="34"/>
  <c r="J17" i="34"/>
  <c r="U16" i="34"/>
  <c r="T16" i="34"/>
  <c r="S16" i="34"/>
  <c r="R16" i="34"/>
  <c r="Q16" i="34"/>
  <c r="N16" i="34"/>
  <c r="L16" i="34"/>
  <c r="J16" i="34"/>
  <c r="U15" i="34"/>
  <c r="T15" i="34"/>
  <c r="S15" i="34"/>
  <c r="R15" i="34"/>
  <c r="Q15" i="34"/>
  <c r="N15" i="34"/>
  <c r="L15" i="34"/>
  <c r="J15" i="34"/>
  <c r="U14" i="34"/>
  <c r="T14" i="34"/>
  <c r="S14" i="34"/>
  <c r="R14" i="34"/>
  <c r="Q14" i="34"/>
  <c r="N14" i="34"/>
  <c r="L14" i="34"/>
  <c r="J14" i="34"/>
  <c r="U11" i="34"/>
  <c r="T11" i="34"/>
  <c r="S11" i="34"/>
  <c r="U10" i="34"/>
  <c r="T10" i="34"/>
  <c r="S10" i="34"/>
  <c r="R10" i="34"/>
  <c r="Q10" i="34"/>
  <c r="N10" i="34"/>
  <c r="L10" i="34"/>
  <c r="J10" i="34"/>
  <c r="U9" i="34"/>
  <c r="T9" i="34"/>
  <c r="S9" i="34"/>
  <c r="R9" i="34"/>
  <c r="Q9" i="34"/>
  <c r="N9" i="34"/>
  <c r="L9" i="34"/>
  <c r="J9" i="34"/>
  <c r="U8" i="34"/>
  <c r="T8" i="34"/>
  <c r="S8" i="34"/>
  <c r="U7" i="34"/>
  <c r="T7" i="34"/>
  <c r="S7" i="34"/>
  <c r="R7" i="34"/>
  <c r="Q7" i="34"/>
  <c r="N7" i="34"/>
  <c r="L7" i="34"/>
  <c r="J7" i="34"/>
  <c r="U6" i="34"/>
  <c r="T6" i="34"/>
  <c r="S6" i="34"/>
  <c r="R6" i="34"/>
  <c r="Q6" i="34"/>
  <c r="N6" i="34"/>
  <c r="L6" i="34"/>
  <c r="J6" i="34"/>
  <c r="U5" i="34"/>
  <c r="T5" i="34"/>
  <c r="S5" i="34"/>
  <c r="R5" i="34"/>
  <c r="Q5" i="34"/>
  <c r="N5" i="34"/>
  <c r="L5" i="34"/>
  <c r="J5" i="34"/>
  <c r="U4" i="34"/>
  <c r="T4" i="34"/>
  <c r="S4" i="34"/>
  <c r="R4" i="34"/>
  <c r="Q4" i="34"/>
  <c r="N4" i="34"/>
  <c r="L4" i="34"/>
  <c r="J4" i="34"/>
  <c r="J4" i="23"/>
  <c r="I4" i="23"/>
  <c r="H4" i="23"/>
  <c r="G4" i="23"/>
  <c r="O18" i="22"/>
  <c r="N18" i="22"/>
  <c r="L18" i="22"/>
  <c r="K18" i="22" s="1"/>
  <c r="J18" i="22"/>
  <c r="O17" i="22"/>
  <c r="N17" i="22"/>
  <c r="L17" i="22"/>
  <c r="J17" i="22"/>
  <c r="O16" i="22"/>
  <c r="N16" i="22"/>
  <c r="L16" i="22"/>
  <c r="J16" i="22"/>
  <c r="O15" i="22"/>
  <c r="N15" i="22"/>
  <c r="L15" i="22"/>
  <c r="J15" i="22"/>
  <c r="O14" i="22"/>
  <c r="N14" i="22"/>
  <c r="L14" i="22"/>
  <c r="J14" i="22"/>
  <c r="O13" i="22"/>
  <c r="N13" i="22"/>
  <c r="L13" i="22"/>
  <c r="J13" i="22"/>
  <c r="O12" i="22"/>
  <c r="N12" i="22"/>
  <c r="L12" i="22"/>
  <c r="J12" i="22"/>
  <c r="O11" i="22"/>
  <c r="N11" i="22"/>
  <c r="L11" i="22"/>
  <c r="J11" i="22"/>
  <c r="O10" i="22"/>
  <c r="N10" i="22"/>
  <c r="L10" i="22"/>
  <c r="J10" i="22"/>
  <c r="O9" i="22"/>
  <c r="N9" i="22"/>
  <c r="L9" i="22"/>
  <c r="J9" i="22"/>
  <c r="O8" i="22"/>
  <c r="N8" i="22"/>
  <c r="L8" i="22"/>
  <c r="J8" i="22"/>
  <c r="O7" i="22"/>
  <c r="N7" i="22"/>
  <c r="L7" i="22"/>
  <c r="J7" i="22"/>
  <c r="O6" i="22"/>
  <c r="N6" i="22"/>
  <c r="L6" i="22"/>
  <c r="J6" i="22"/>
  <c r="O5" i="22"/>
  <c r="N5" i="22"/>
  <c r="L5" i="22"/>
  <c r="J5" i="22"/>
  <c r="O4" i="22"/>
  <c r="N4" i="22"/>
  <c r="L4" i="22"/>
  <c r="J4" i="22"/>
  <c r="J10" i="23"/>
  <c r="I10" i="23"/>
  <c r="H10" i="23"/>
  <c r="G10" i="23"/>
  <c r="J9" i="23"/>
  <c r="I9" i="23"/>
  <c r="H9" i="23"/>
  <c r="G9" i="23"/>
  <c r="J8" i="23"/>
  <c r="I8" i="23"/>
  <c r="H8" i="23"/>
  <c r="G8" i="23"/>
  <c r="J7" i="23"/>
  <c r="I7" i="23"/>
  <c r="H7" i="23"/>
  <c r="G7" i="23"/>
  <c r="J6" i="23"/>
  <c r="I6" i="23"/>
  <c r="H6" i="23"/>
  <c r="G6" i="23"/>
  <c r="AE46" i="21"/>
  <c r="AE45" i="21"/>
  <c r="AF44" i="21"/>
  <c r="R46" i="21"/>
  <c r="P46" i="21"/>
  <c r="O46" i="21"/>
  <c r="L46" i="21"/>
  <c r="J46" i="21"/>
  <c r="R45" i="21"/>
  <c r="P45" i="21"/>
  <c r="O45" i="21"/>
  <c r="L45" i="21"/>
  <c r="J45" i="21"/>
  <c r="S44" i="21"/>
  <c r="Q44" i="21"/>
  <c r="P44" i="21"/>
  <c r="L44" i="21"/>
  <c r="J44" i="21"/>
  <c r="P48" i="20"/>
  <c r="O48" i="20"/>
  <c r="L48" i="20"/>
  <c r="J48" i="20"/>
  <c r="P47" i="20"/>
  <c r="O47" i="20"/>
  <c r="L47" i="20"/>
  <c r="J47" i="20"/>
  <c r="P44" i="20"/>
  <c r="O44" i="20"/>
  <c r="L44" i="20"/>
  <c r="J44" i="20"/>
  <c r="P42" i="20"/>
  <c r="O42" i="20"/>
  <c r="L42" i="20"/>
  <c r="J42" i="20"/>
  <c r="P40" i="20"/>
  <c r="O40" i="20"/>
  <c r="L40" i="20"/>
  <c r="J40" i="20"/>
  <c r="P39" i="20"/>
  <c r="O39" i="20"/>
  <c r="L39" i="20"/>
  <c r="J39" i="20"/>
  <c r="P37" i="20"/>
  <c r="O37" i="20"/>
  <c r="L37" i="20"/>
  <c r="J37" i="20"/>
  <c r="P36" i="20"/>
  <c r="O36" i="20"/>
  <c r="L36" i="20"/>
  <c r="J36" i="20"/>
  <c r="P35" i="20"/>
  <c r="O35" i="20"/>
  <c r="L35" i="20"/>
  <c r="J35" i="20"/>
  <c r="P34" i="20"/>
  <c r="O34" i="20"/>
  <c r="L34" i="20"/>
  <c r="J34" i="20"/>
  <c r="P33" i="20"/>
  <c r="O33" i="20"/>
  <c r="L33" i="20"/>
  <c r="J33" i="20"/>
  <c r="P32" i="20"/>
  <c r="O32" i="20"/>
  <c r="L32" i="20"/>
  <c r="J32" i="20"/>
  <c r="P31" i="20"/>
  <c r="O31" i="20"/>
  <c r="L31" i="20"/>
  <c r="J31" i="20"/>
  <c r="P29" i="20"/>
  <c r="O29" i="20"/>
  <c r="L29" i="20"/>
  <c r="J29" i="20"/>
  <c r="P28" i="20"/>
  <c r="O28" i="20"/>
  <c r="L28" i="20"/>
  <c r="J28" i="20"/>
  <c r="P27" i="20"/>
  <c r="O27" i="20"/>
  <c r="L27" i="20"/>
  <c r="J27" i="20"/>
  <c r="P26" i="20"/>
  <c r="O26" i="20"/>
  <c r="L26" i="20"/>
  <c r="J26" i="20"/>
  <c r="P25" i="20"/>
  <c r="O25" i="20"/>
  <c r="L25" i="20"/>
  <c r="J25" i="20"/>
  <c r="P24" i="20"/>
  <c r="O24" i="20"/>
  <c r="L24" i="20"/>
  <c r="J24" i="20"/>
  <c r="P23" i="20"/>
  <c r="O23" i="20"/>
  <c r="L23" i="20"/>
  <c r="J23" i="20"/>
  <c r="P22" i="20"/>
  <c r="O22" i="20"/>
  <c r="L22" i="20"/>
  <c r="J22" i="20"/>
  <c r="P21" i="20"/>
  <c r="O21" i="20"/>
  <c r="L21" i="20"/>
  <c r="J21" i="20"/>
  <c r="P20" i="20"/>
  <c r="O20" i="20"/>
  <c r="L20" i="20"/>
  <c r="J20" i="20"/>
  <c r="P19" i="20"/>
  <c r="O19" i="20"/>
  <c r="L19" i="20"/>
  <c r="J19" i="20"/>
  <c r="P18" i="20"/>
  <c r="O18" i="20"/>
  <c r="L18" i="20"/>
  <c r="J18" i="20"/>
  <c r="P17" i="20"/>
  <c r="O17" i="20"/>
  <c r="L17" i="20"/>
  <c r="J17" i="20"/>
  <c r="P16" i="20"/>
  <c r="O16" i="20"/>
  <c r="L16" i="20"/>
  <c r="J16" i="20"/>
  <c r="P15" i="20"/>
  <c r="O15" i="20"/>
  <c r="L15" i="20"/>
  <c r="J15" i="20"/>
  <c r="P14" i="20"/>
  <c r="O14" i="20"/>
  <c r="L14" i="20"/>
  <c r="J14" i="20"/>
  <c r="P13" i="20"/>
  <c r="O13" i="20"/>
  <c r="L13" i="20"/>
  <c r="J13" i="20"/>
  <c r="P12" i="20"/>
  <c r="O12" i="20"/>
  <c r="L12" i="20"/>
  <c r="J12" i="20"/>
  <c r="P11" i="20"/>
  <c r="O11" i="20"/>
  <c r="L11" i="20"/>
  <c r="J11" i="20"/>
  <c r="P9" i="20"/>
  <c r="O9" i="20"/>
  <c r="L9" i="20"/>
  <c r="J9" i="20"/>
  <c r="P8" i="20"/>
  <c r="O8" i="20"/>
  <c r="L8" i="20"/>
  <c r="J8" i="20"/>
  <c r="P7" i="20"/>
  <c r="O7" i="20"/>
  <c r="L7" i="20"/>
  <c r="J7" i="20"/>
  <c r="P6" i="20"/>
  <c r="O6" i="20"/>
  <c r="L6" i="20"/>
  <c r="J6" i="20"/>
  <c r="P5" i="20"/>
  <c r="O5" i="20"/>
  <c r="L5" i="20"/>
  <c r="J5" i="20"/>
  <c r="I12" i="34"/>
  <c r="P12" i="34"/>
  <c r="P13" i="34"/>
  <c r="O12" i="34"/>
  <c r="O13" i="34"/>
  <c r="M12" i="34"/>
  <c r="M13" i="34"/>
  <c r="K12" i="34"/>
  <c r="K13" i="34"/>
  <c r="I13" i="34"/>
  <c r="AB12" i="34"/>
  <c r="AC12" i="34"/>
  <c r="AB13" i="34"/>
  <c r="AC13" i="34"/>
  <c r="P50" i="20" l="1"/>
  <c r="O50" i="20"/>
  <c r="N50" i="20"/>
  <c r="L50" i="20"/>
  <c r="K50" i="20"/>
  <c r="J50" i="20"/>
  <c r="I50" i="20"/>
  <c r="K49" i="20"/>
  <c r="P46" i="20"/>
  <c r="P45" i="20"/>
  <c r="P43" i="20"/>
  <c r="P41" i="20"/>
  <c r="P38" i="20"/>
  <c r="O46" i="20"/>
  <c r="N46" i="20"/>
  <c r="M46" i="20"/>
  <c r="O45" i="20"/>
  <c r="N45" i="20"/>
  <c r="M45" i="20"/>
  <c r="O43" i="20"/>
  <c r="N43" i="20"/>
  <c r="M43" i="20"/>
  <c r="O41" i="20"/>
  <c r="N41" i="20"/>
  <c r="M41" i="20"/>
  <c r="O38" i="20"/>
  <c r="N38" i="20"/>
  <c r="M38" i="20"/>
  <c r="L46" i="20"/>
  <c r="K46" i="20"/>
  <c r="L45" i="20"/>
  <c r="K45" i="20"/>
  <c r="L43" i="20"/>
  <c r="K43" i="20"/>
  <c r="L41" i="20"/>
  <c r="K41" i="20"/>
  <c r="L38" i="20"/>
  <c r="K38" i="20"/>
  <c r="J46" i="20"/>
  <c r="I46" i="20"/>
  <c r="J45" i="20"/>
  <c r="I45" i="20"/>
  <c r="J43" i="20"/>
  <c r="I43" i="20"/>
  <c r="J41" i="20"/>
  <c r="I41" i="20"/>
  <c r="J38" i="20"/>
  <c r="AA49" i="20"/>
  <c r="Z49" i="20"/>
  <c r="Y49" i="20"/>
  <c r="X49" i="20"/>
  <c r="AA47" i="20"/>
  <c r="Z47" i="20"/>
  <c r="Y47" i="20"/>
  <c r="X47" i="20"/>
  <c r="AA46" i="20"/>
  <c r="Z46" i="20"/>
  <c r="Y46" i="20"/>
  <c r="X46" i="20"/>
  <c r="AA45" i="20"/>
  <c r="Z45" i="20"/>
  <c r="Y45" i="20"/>
  <c r="X45" i="20"/>
  <c r="AA44" i="20"/>
  <c r="X44" i="20"/>
  <c r="AA43" i="20"/>
  <c r="X43" i="20"/>
  <c r="AA42" i="20"/>
  <c r="Z42" i="20"/>
  <c r="Y42" i="20"/>
  <c r="X42" i="20"/>
  <c r="AA40" i="20"/>
  <c r="Z40" i="20"/>
  <c r="Y40" i="20"/>
  <c r="X40" i="20"/>
  <c r="AA39" i="20"/>
  <c r="Z39" i="20"/>
  <c r="Y39" i="20"/>
  <c r="X39" i="20"/>
  <c r="AA38" i="20"/>
  <c r="Z38" i="20"/>
  <c r="Y38" i="20"/>
  <c r="X38" i="20"/>
  <c r="AA37" i="20"/>
  <c r="Z37" i="20"/>
  <c r="Y37" i="20"/>
  <c r="X37" i="20"/>
  <c r="AA36" i="20"/>
  <c r="Z36" i="20"/>
  <c r="Y36" i="20"/>
  <c r="X36" i="20"/>
  <c r="AA35" i="20"/>
  <c r="Z35" i="20"/>
  <c r="Y35" i="20"/>
  <c r="X35" i="20"/>
  <c r="AA34" i="20"/>
  <c r="Z34" i="20"/>
  <c r="X34" i="20"/>
  <c r="AA33" i="20"/>
  <c r="Z33" i="20"/>
  <c r="Y33" i="20"/>
  <c r="X33" i="20"/>
  <c r="AA32" i="20"/>
  <c r="Z32" i="20"/>
  <c r="Y32" i="20"/>
  <c r="X32" i="20"/>
  <c r="AA31" i="20"/>
  <c r="Z31" i="20"/>
  <c r="Y31" i="20"/>
  <c r="X31" i="20"/>
  <c r="AA30" i="20"/>
  <c r="Z30" i="20"/>
  <c r="Y30" i="20"/>
  <c r="X30" i="20"/>
  <c r="AA23" i="20"/>
  <c r="Z23" i="20"/>
  <c r="Y23" i="20"/>
  <c r="X23" i="20"/>
  <c r="AA22" i="20"/>
  <c r="Z22" i="20"/>
  <c r="Y22" i="20"/>
  <c r="X22" i="20"/>
  <c r="AA21" i="20"/>
  <c r="Z21" i="20"/>
  <c r="Y21" i="20"/>
  <c r="X21" i="20"/>
  <c r="Z20" i="20"/>
  <c r="Y20" i="20"/>
  <c r="X20" i="20"/>
  <c r="AA19" i="20"/>
  <c r="Z19" i="20"/>
  <c r="Y19" i="20"/>
  <c r="X19" i="20"/>
  <c r="AA18" i="20"/>
  <c r="Z18" i="20"/>
  <c r="Y18" i="20"/>
  <c r="X18" i="20"/>
  <c r="AA17" i="20"/>
  <c r="Z17" i="20"/>
  <c r="Y17" i="20"/>
  <c r="X17" i="20"/>
  <c r="AA16" i="20"/>
  <c r="Z16" i="20"/>
  <c r="Y16" i="20"/>
  <c r="X16" i="20"/>
  <c r="AA15" i="20"/>
  <c r="Z15" i="20"/>
  <c r="Y15" i="20"/>
  <c r="X15" i="20"/>
  <c r="AA14" i="20"/>
  <c r="Z14" i="20"/>
  <c r="Y14" i="20"/>
  <c r="X14" i="20"/>
  <c r="AA13" i="20"/>
  <c r="Z13" i="20"/>
  <c r="Y13" i="20"/>
  <c r="X13" i="20"/>
  <c r="AA12" i="20"/>
  <c r="Z12" i="20"/>
  <c r="Y12" i="20"/>
  <c r="X12" i="20"/>
  <c r="AA11" i="20"/>
  <c r="Z11" i="20"/>
  <c r="Y11" i="20"/>
  <c r="X11" i="20"/>
  <c r="AA10" i="20"/>
  <c r="Z10" i="20"/>
  <c r="Y10" i="20"/>
  <c r="X10" i="20"/>
  <c r="AA6" i="20"/>
  <c r="Z6" i="20"/>
  <c r="Y6" i="20"/>
  <c r="X6" i="20"/>
  <c r="AA5" i="20"/>
  <c r="Z5" i="20"/>
  <c r="Y5" i="20"/>
  <c r="X5" i="20"/>
  <c r="O19" i="22"/>
  <c r="L28" i="34" l="1"/>
  <c r="L26" i="34"/>
  <c r="L25" i="34"/>
  <c r="L27" i="34"/>
  <c r="M19" i="34"/>
  <c r="K19" i="34"/>
  <c r="I19" i="34"/>
  <c r="P19" i="34"/>
  <c r="W19" i="34"/>
  <c r="X19" i="34"/>
  <c r="Y19" i="34"/>
  <c r="Z19" i="34"/>
  <c r="AB19" i="34"/>
  <c r="AC19" i="34"/>
  <c r="I18" i="34"/>
  <c r="O17" i="34"/>
  <c r="M17" i="34"/>
  <c r="K17" i="34"/>
  <c r="W17" i="34"/>
  <c r="Z17" i="34"/>
  <c r="X17" i="34"/>
  <c r="Y17" i="34"/>
  <c r="AB17" i="34"/>
  <c r="AC17" i="34"/>
  <c r="I17" i="34"/>
  <c r="O19" i="34" l="1"/>
  <c r="P17" i="34"/>
  <c r="W4" i="22"/>
  <c r="Y22" i="22" s="1"/>
  <c r="K11" i="22" l="1"/>
  <c r="AD46" i="21"/>
  <c r="AD45" i="21"/>
  <c r="AE44" i="21"/>
  <c r="K46" i="21"/>
  <c r="I46" i="21"/>
  <c r="K45" i="21"/>
  <c r="I45" i="21"/>
  <c r="N44" i="21"/>
  <c r="O44" i="21" s="1"/>
  <c r="K44" i="21"/>
  <c r="I44" i="21"/>
  <c r="I21" i="20"/>
  <c r="E7" i="24"/>
  <c r="G7" i="24" s="1"/>
  <c r="F7" i="24"/>
  <c r="G45" i="34" l="1"/>
  <c r="E45" i="34"/>
  <c r="F45" i="34"/>
  <c r="D45" i="34"/>
  <c r="N45" i="21" l="1"/>
  <c r="N46" i="21"/>
  <c r="I47" i="20"/>
  <c r="I39" i="20"/>
  <c r="I34" i="20"/>
  <c r="I29" i="20"/>
  <c r="I17" i="20"/>
  <c r="I13" i="20"/>
  <c r="I7" i="20"/>
  <c r="I48" i="20"/>
  <c r="I44" i="20"/>
  <c r="I42" i="20"/>
  <c r="I40" i="20"/>
  <c r="I37" i="20"/>
  <c r="I36" i="20"/>
  <c r="I35" i="20"/>
  <c r="I33" i="20"/>
  <c r="I32" i="20"/>
  <c r="I31" i="20"/>
  <c r="I28" i="20"/>
  <c r="I27" i="20"/>
  <c r="I26" i="20"/>
  <c r="I25" i="20"/>
  <c r="I24" i="20"/>
  <c r="I23" i="20"/>
  <c r="I22" i="20"/>
  <c r="I20" i="20"/>
  <c r="I19" i="20"/>
  <c r="I18" i="20"/>
  <c r="I16" i="20"/>
  <c r="I15" i="20"/>
  <c r="I14" i="20"/>
  <c r="I12" i="20"/>
  <c r="I11" i="20"/>
  <c r="I9" i="20"/>
  <c r="I8" i="20"/>
  <c r="I6" i="20"/>
  <c r="I5" i="20"/>
  <c r="I30" i="20" l="1"/>
  <c r="K47" i="20"/>
  <c r="K42" i="20"/>
  <c r="K39" i="20"/>
  <c r="K36" i="20"/>
  <c r="K34" i="20"/>
  <c r="K32" i="20"/>
  <c r="K27" i="20"/>
  <c r="K23" i="20"/>
  <c r="K21" i="20"/>
  <c r="K19" i="20"/>
  <c r="K17" i="20"/>
  <c r="K15" i="20"/>
  <c r="K13" i="20"/>
  <c r="K11" i="20"/>
  <c r="K48" i="20"/>
  <c r="K44" i="20"/>
  <c r="K40" i="20"/>
  <c r="K37" i="20"/>
  <c r="K35" i="20"/>
  <c r="K33" i="20"/>
  <c r="K31" i="20"/>
  <c r="K28" i="20"/>
  <c r="K26" i="20"/>
  <c r="K25" i="20"/>
  <c r="K24" i="20"/>
  <c r="K29" i="20"/>
  <c r="K22" i="20"/>
  <c r="K20" i="20"/>
  <c r="K18" i="20"/>
  <c r="K16" i="20"/>
  <c r="K14" i="20"/>
  <c r="K12" i="20"/>
  <c r="K9" i="20"/>
  <c r="K8" i="20"/>
  <c r="K7" i="20"/>
  <c r="K6" i="20"/>
  <c r="K5" i="20"/>
  <c r="M48" i="20"/>
  <c r="M44" i="20"/>
  <c r="M39" i="20"/>
  <c r="M37" i="20"/>
  <c r="M35" i="20"/>
  <c r="M33" i="20"/>
  <c r="M31" i="20"/>
  <c r="M29" i="20"/>
  <c r="M27" i="20"/>
  <c r="M25" i="20"/>
  <c r="N48" i="20"/>
  <c r="N47" i="20"/>
  <c r="N44" i="20"/>
  <c r="N42" i="20"/>
  <c r="N39" i="20"/>
  <c r="N40" i="20"/>
  <c r="N37" i="20"/>
  <c r="N36" i="20"/>
  <c r="N35" i="20"/>
  <c r="N34" i="20"/>
  <c r="N33" i="20"/>
  <c r="N32" i="20"/>
  <c r="N31" i="20"/>
  <c r="N28" i="20"/>
  <c r="N27" i="20"/>
  <c r="N26" i="20"/>
  <c r="N25" i="20"/>
  <c r="N24" i="20"/>
  <c r="N29" i="20"/>
  <c r="N18" i="20"/>
  <c r="AB5" i="34"/>
  <c r="AB6" i="34"/>
  <c r="AB7" i="34"/>
  <c r="AB8" i="34"/>
  <c r="AB9" i="34"/>
  <c r="AB10" i="34"/>
  <c r="AB11" i="34"/>
  <c r="AB14" i="34"/>
  <c r="AB15" i="34"/>
  <c r="AB16" i="34"/>
  <c r="AB18" i="34"/>
  <c r="AB20" i="34"/>
  <c r="AB21" i="34"/>
  <c r="AB22" i="34"/>
  <c r="AB23" i="34"/>
  <c r="AB24" i="34"/>
  <c r="AB29" i="34"/>
  <c r="AB30" i="34"/>
  <c r="AB4" i="34"/>
  <c r="M18" i="20" l="1"/>
  <c r="M24" i="20"/>
  <c r="M26" i="20"/>
  <c r="M28" i="20"/>
  <c r="M40" i="20"/>
  <c r="M32" i="20"/>
  <c r="M34" i="20"/>
  <c r="M36" i="20"/>
  <c r="M42" i="20"/>
  <c r="M47" i="20"/>
  <c r="M8" i="20" l="1"/>
  <c r="N8" i="20"/>
  <c r="N13" i="20"/>
  <c r="M13" i="20"/>
  <c r="N17" i="20"/>
  <c r="M17" i="20"/>
  <c r="N22" i="20"/>
  <c r="M22" i="20"/>
  <c r="M5" i="20"/>
  <c r="N5" i="20"/>
  <c r="M9" i="20"/>
  <c r="N9" i="20"/>
  <c r="N14" i="20"/>
  <c r="M14" i="20"/>
  <c r="N19" i="20"/>
  <c r="M19" i="20"/>
  <c r="N23" i="20"/>
  <c r="M23" i="20"/>
  <c r="M6" i="20"/>
  <c r="N6" i="20"/>
  <c r="N11" i="20"/>
  <c r="M11" i="20"/>
  <c r="N15" i="20"/>
  <c r="M15" i="20"/>
  <c r="N20" i="20"/>
  <c r="M20" i="20"/>
  <c r="M7" i="20"/>
  <c r="N7" i="20"/>
  <c r="N12" i="20"/>
  <c r="M12" i="20"/>
  <c r="N16" i="20"/>
  <c r="M16" i="20"/>
  <c r="N21" i="20"/>
  <c r="M21" i="20"/>
  <c r="P10" i="20"/>
  <c r="M15" i="22"/>
  <c r="M14" i="22"/>
  <c r="M13" i="22"/>
  <c r="M12" i="22"/>
  <c r="M10" i="22"/>
  <c r="M7" i="22"/>
  <c r="M6" i="22"/>
  <c r="M5" i="22"/>
  <c r="M4" i="22"/>
  <c r="M18" i="22"/>
  <c r="M17" i="22"/>
  <c r="M16" i="22"/>
  <c r="M11" i="22"/>
  <c r="M9" i="22"/>
  <c r="M8" i="22"/>
  <c r="K17" i="22"/>
  <c r="K16" i="22"/>
  <c r="K15" i="22"/>
  <c r="M28" i="22" s="1"/>
  <c r="K14" i="22"/>
  <c r="K13" i="22"/>
  <c r="K12" i="22"/>
  <c r="K10" i="22"/>
  <c r="K9" i="22"/>
  <c r="K8" i="22"/>
  <c r="K7" i="22"/>
  <c r="K6" i="22"/>
  <c r="K5" i="22"/>
  <c r="K4" i="22"/>
  <c r="I7" i="22"/>
  <c r="I11" i="22"/>
  <c r="I15" i="22"/>
  <c r="I18" i="22"/>
  <c r="I17" i="22"/>
  <c r="I16" i="22"/>
  <c r="I14" i="22"/>
  <c r="I13" i="22"/>
  <c r="I12" i="22"/>
  <c r="I10" i="22"/>
  <c r="I9" i="22"/>
  <c r="I8" i="22"/>
  <c r="I6" i="22"/>
  <c r="I5" i="22"/>
  <c r="I4" i="22"/>
  <c r="AC24" i="34" l="1"/>
  <c r="AC30" i="34"/>
  <c r="AC15" i="34"/>
  <c r="AC14" i="34"/>
  <c r="AC10" i="34"/>
  <c r="AC7" i="34"/>
  <c r="AC5" i="34"/>
  <c r="AC29" i="34"/>
  <c r="AC23" i="34"/>
  <c r="AC22" i="34"/>
  <c r="AC21" i="34"/>
  <c r="AC20" i="34"/>
  <c r="AC18" i="34"/>
  <c r="AC16" i="34"/>
  <c r="AC11" i="34"/>
  <c r="AC9" i="34"/>
  <c r="AC8" i="34"/>
  <c r="AC6" i="34"/>
  <c r="AC4" i="34"/>
  <c r="R4" i="23" l="1"/>
  <c r="S4" i="23"/>
  <c r="T4" i="23"/>
  <c r="U4" i="23"/>
  <c r="V4" i="23"/>
  <c r="R5" i="23"/>
  <c r="S5" i="23"/>
  <c r="T5" i="23"/>
  <c r="U5" i="23"/>
  <c r="V5" i="23"/>
  <c r="R6" i="23"/>
  <c r="S6" i="23"/>
  <c r="T6" i="23"/>
  <c r="U6" i="23"/>
  <c r="V6" i="23"/>
  <c r="R7" i="23"/>
  <c r="S7" i="23"/>
  <c r="T7" i="23"/>
  <c r="U7" i="23"/>
  <c r="V7" i="23"/>
  <c r="R8" i="23"/>
  <c r="S8" i="23"/>
  <c r="T8" i="23"/>
  <c r="U8" i="23"/>
  <c r="V8" i="23"/>
  <c r="R9" i="23"/>
  <c r="S9" i="23"/>
  <c r="T9" i="23"/>
  <c r="U9" i="23"/>
  <c r="V9" i="23"/>
  <c r="R10" i="23"/>
  <c r="S10" i="23"/>
  <c r="T10" i="23"/>
  <c r="U10" i="23"/>
  <c r="V10" i="23"/>
  <c r="V3" i="23"/>
  <c r="U3" i="23"/>
  <c r="T3" i="23"/>
  <c r="S3" i="23"/>
  <c r="R3" i="23"/>
  <c r="G5" i="23"/>
  <c r="H5" i="23"/>
  <c r="I5" i="23"/>
  <c r="J5" i="23"/>
  <c r="J3" i="23"/>
  <c r="I3" i="23"/>
  <c r="H3" i="23"/>
  <c r="G3" i="23"/>
  <c r="W10" i="22" l="1"/>
  <c r="Y10" i="22"/>
  <c r="Z10" i="22"/>
  <c r="AA10" i="22"/>
  <c r="W11" i="22"/>
  <c r="Y11" i="22"/>
  <c r="Z11" i="22"/>
  <c r="AA11" i="22"/>
  <c r="W12" i="22"/>
  <c r="Y12" i="22"/>
  <c r="Z12" i="22"/>
  <c r="AA12" i="22"/>
  <c r="W13" i="22"/>
  <c r="Y13" i="22"/>
  <c r="Z13" i="22"/>
  <c r="AA13" i="22"/>
  <c r="W14" i="22"/>
  <c r="Y14" i="22"/>
  <c r="Z14" i="22"/>
  <c r="AA14" i="22"/>
  <c r="W15" i="22"/>
  <c r="Y15" i="22"/>
  <c r="Z15" i="22"/>
  <c r="AA15" i="22"/>
  <c r="W16" i="22"/>
  <c r="Y16" i="22"/>
  <c r="Z16" i="22"/>
  <c r="AA16" i="22"/>
  <c r="W17" i="22"/>
  <c r="Y17" i="22"/>
  <c r="Z17" i="22"/>
  <c r="AA17" i="22"/>
  <c r="W18" i="22"/>
  <c r="Y18" i="22"/>
  <c r="Z18" i="22"/>
  <c r="AA18" i="22"/>
  <c r="W8" i="22"/>
  <c r="X8" i="22" s="1"/>
  <c r="Y8" i="22"/>
  <c r="Z8" i="22"/>
  <c r="AA8" i="22"/>
  <c r="W9" i="22"/>
  <c r="X9" i="22" s="1"/>
  <c r="Y9" i="22"/>
  <c r="Z9" i="22"/>
  <c r="AA9" i="22"/>
  <c r="W5" i="22"/>
  <c r="Y5" i="22"/>
  <c r="Z5" i="22"/>
  <c r="AA5" i="22"/>
  <c r="W6" i="22"/>
  <c r="Y6" i="22"/>
  <c r="Z6" i="22"/>
  <c r="AA6" i="22"/>
  <c r="W7" i="22"/>
  <c r="Y7" i="22"/>
  <c r="Z7" i="22"/>
  <c r="AA7" i="22"/>
  <c r="AA4" i="22"/>
  <c r="AA22" i="22" s="1"/>
  <c r="Z4" i="22"/>
  <c r="Y4" i="22"/>
  <c r="X7" i="22" l="1"/>
  <c r="X18" i="22"/>
  <c r="X16" i="22"/>
  <c r="X14" i="22"/>
  <c r="X12" i="22"/>
  <c r="X4" i="22"/>
  <c r="X6" i="22"/>
  <c r="X5" i="22"/>
  <c r="X17" i="22"/>
  <c r="X15" i="22"/>
  <c r="X13" i="22"/>
  <c r="X11" i="22"/>
  <c r="X10" i="22"/>
  <c r="AA48" i="20"/>
  <c r="Z48" i="20"/>
  <c r="Y48" i="20"/>
  <c r="X48" i="20"/>
  <c r="Y34" i="20"/>
  <c r="I38" i="20" l="1"/>
  <c r="T30" i="20"/>
  <c r="T10" i="20"/>
  <c r="V10" i="20"/>
  <c r="M30" i="20" l="1"/>
  <c r="O30" i="20"/>
  <c r="J30" i="20"/>
  <c r="I10" i="20"/>
  <c r="J10" i="20"/>
  <c r="L10" i="20"/>
  <c r="L30" i="20"/>
  <c r="O10" i="20"/>
  <c r="N30" i="20"/>
  <c r="P30" i="20"/>
  <c r="K30" i="20"/>
  <c r="K10" i="20"/>
  <c r="N10" i="20" l="1"/>
  <c r="M10" i="20"/>
  <c r="R37" i="21"/>
  <c r="P37" i="21"/>
  <c r="H4" i="30" l="1"/>
  <c r="AD50" i="20" l="1"/>
  <c r="AD49" i="20"/>
  <c r="AD48" i="20"/>
  <c r="AD47" i="20"/>
  <c r="AD46" i="20"/>
  <c r="AD45" i="20"/>
  <c r="AD44" i="20"/>
  <c r="AD43" i="20"/>
  <c r="AD42" i="20"/>
  <c r="AD41" i="20"/>
  <c r="AD40" i="20"/>
  <c r="AD39" i="20"/>
  <c r="AD38" i="20"/>
  <c r="AD37" i="20"/>
  <c r="AD36" i="20"/>
  <c r="AD35" i="20"/>
  <c r="AD34" i="20"/>
  <c r="AD33" i="20"/>
  <c r="AD32" i="20"/>
  <c r="AD31" i="20"/>
  <c r="AD30" i="20"/>
  <c r="AD23" i="20"/>
  <c r="AD22" i="20"/>
  <c r="AD21" i="20"/>
  <c r="AD20" i="20"/>
  <c r="AD19" i="20"/>
  <c r="AD18" i="20"/>
  <c r="AD17" i="20"/>
  <c r="AD16" i="20"/>
  <c r="AD15" i="20"/>
  <c r="AD14" i="20"/>
  <c r="AD13" i="20"/>
  <c r="AD12" i="20"/>
  <c r="AD11" i="20"/>
  <c r="AD10" i="20"/>
  <c r="AD6" i="20"/>
  <c r="AD5" i="20"/>
  <c r="AC50" i="20"/>
  <c r="AC49" i="20"/>
  <c r="AC48" i="20"/>
  <c r="AC47" i="20"/>
  <c r="AC46" i="20"/>
  <c r="AC45" i="20"/>
  <c r="AC44" i="20"/>
  <c r="AC43" i="20"/>
  <c r="AC42" i="20"/>
  <c r="AC41" i="20"/>
  <c r="AC40" i="20"/>
  <c r="AC39" i="20"/>
  <c r="AC38" i="20"/>
  <c r="AC37" i="20"/>
  <c r="AC36" i="20"/>
  <c r="AC35" i="20"/>
  <c r="AC34" i="20"/>
  <c r="AC33" i="20"/>
  <c r="AC32" i="20"/>
  <c r="AC31" i="20"/>
  <c r="AC30" i="20"/>
  <c r="AC23" i="20"/>
  <c r="AC22" i="20"/>
  <c r="AC21" i="20"/>
  <c r="AC20" i="20"/>
  <c r="AC19" i="20"/>
  <c r="AC18" i="20"/>
  <c r="AC17" i="20"/>
  <c r="AC16" i="20"/>
  <c r="AC15" i="20"/>
  <c r="AC14" i="20"/>
  <c r="AC13" i="20"/>
  <c r="AC12" i="20"/>
  <c r="AC11" i="20"/>
  <c r="AC10" i="20"/>
  <c r="AC6" i="20"/>
  <c r="AC5" i="20"/>
  <c r="AB50" i="20"/>
  <c r="AB49" i="20"/>
  <c r="AB48" i="20"/>
  <c r="AB47" i="20"/>
  <c r="AB46" i="20"/>
  <c r="AB45" i="20"/>
  <c r="AB44" i="20"/>
  <c r="AB43" i="20"/>
  <c r="AB42" i="20"/>
  <c r="AB41" i="20"/>
  <c r="AB40" i="20"/>
  <c r="AB39" i="20"/>
  <c r="AB38" i="20"/>
  <c r="AB37" i="20"/>
  <c r="AB36" i="20"/>
  <c r="AB35" i="20"/>
  <c r="AB34" i="20"/>
  <c r="AB33" i="20"/>
  <c r="AB32" i="20"/>
  <c r="AB31" i="20"/>
  <c r="AB30" i="20"/>
  <c r="AB23" i="20"/>
  <c r="AB22" i="20"/>
  <c r="AB21" i="20"/>
  <c r="AB20" i="20"/>
  <c r="AB19" i="20"/>
  <c r="AB18" i="20"/>
  <c r="AB17" i="20"/>
  <c r="AB16" i="20"/>
  <c r="AB15" i="20"/>
  <c r="AB14" i="20"/>
  <c r="AB13" i="20"/>
  <c r="AB12" i="20"/>
  <c r="AB11" i="20"/>
  <c r="AB10" i="20"/>
  <c r="AB6" i="20"/>
  <c r="AB5" i="20"/>
  <c r="AN4" i="30" l="1"/>
  <c r="AL4" i="30"/>
  <c r="AJ4" i="30"/>
  <c r="X4" i="30"/>
  <c r="T4" i="30"/>
  <c r="P4" i="30"/>
  <c r="N4" i="30"/>
  <c r="L4" i="30"/>
  <c r="J4" i="30"/>
  <c r="F4" i="30"/>
  <c r="D4" i="30"/>
  <c r="D3" i="30"/>
  <c r="A8" i="30"/>
  <c r="A11" i="30" s="1"/>
  <c r="A14" i="30" s="1"/>
  <c r="A17" i="30" s="1"/>
  <c r="A20" i="30" s="1"/>
  <c r="A23" i="30" s="1"/>
  <c r="A7" i="30"/>
  <c r="H7" i="30" s="1"/>
  <c r="A6" i="30"/>
  <c r="A9" i="30" s="1"/>
  <c r="D9" i="30" s="1"/>
  <c r="AF4" i="29"/>
  <c r="AD4" i="29"/>
  <c r="X4" i="29"/>
  <c r="T4" i="29"/>
  <c r="A8" i="29"/>
  <c r="A11" i="29" s="1"/>
  <c r="A14" i="29" s="1"/>
  <c r="A17" i="29" s="1"/>
  <c r="A20" i="29" s="1"/>
  <c r="A23" i="29" s="1"/>
  <c r="A26" i="29" s="1"/>
  <c r="A29" i="29" s="1"/>
  <c r="A32" i="29" s="1"/>
  <c r="A35" i="29" s="1"/>
  <c r="A38" i="29" s="1"/>
  <c r="A41" i="29" s="1"/>
  <c r="A44" i="29" s="1"/>
  <c r="A7" i="29"/>
  <c r="AF7" i="29" s="1"/>
  <c r="A6" i="29"/>
  <c r="D6" i="29" s="1"/>
  <c r="P4" i="29"/>
  <c r="N4" i="29"/>
  <c r="L4" i="29"/>
  <c r="J4" i="29"/>
  <c r="H4" i="29"/>
  <c r="F4" i="29"/>
  <c r="D4" i="29"/>
  <c r="D3" i="29"/>
  <c r="AN4" i="28"/>
  <c r="AL4" i="28"/>
  <c r="AJ4" i="28"/>
  <c r="X4" i="28"/>
  <c r="T4" i="28"/>
  <c r="P4" i="28"/>
  <c r="N4" i="28"/>
  <c r="L4" i="28"/>
  <c r="J4" i="28"/>
  <c r="H4" i="28"/>
  <c r="F4" i="28"/>
  <c r="D4" i="28"/>
  <c r="D3" i="28"/>
  <c r="B1" i="22"/>
  <c r="A8" i="28"/>
  <c r="A11" i="28" s="1"/>
  <c r="A14" i="28" s="1"/>
  <c r="A17" i="28" s="1"/>
  <c r="A20" i="28" s="1"/>
  <c r="A23" i="28" s="1"/>
  <c r="A26" i="28" s="1"/>
  <c r="A29" i="28" s="1"/>
  <c r="A32" i="28" s="1"/>
  <c r="A35" i="28" s="1"/>
  <c r="A38" i="28" s="1"/>
  <c r="A41" i="28" s="1"/>
  <c r="A44" i="28" s="1"/>
  <c r="A7" i="28"/>
  <c r="AL7" i="28" s="1"/>
  <c r="A6" i="28"/>
  <c r="A9" i="28" s="1"/>
  <c r="A12" i="28" s="1"/>
  <c r="B1" i="23"/>
  <c r="C1" i="23" s="1"/>
  <c r="D1" i="23" s="1"/>
  <c r="E1" i="23" s="1"/>
  <c r="F1" i="23" s="1"/>
  <c r="G1" i="23" s="1"/>
  <c r="H1" i="23" s="1"/>
  <c r="I1" i="23" s="1"/>
  <c r="J1" i="23" s="1"/>
  <c r="K1" i="23" s="1"/>
  <c r="L1" i="23" s="1"/>
  <c r="M1" i="23" s="1"/>
  <c r="N1" i="23" s="1"/>
  <c r="O1" i="23" s="1"/>
  <c r="P1" i="23" s="1"/>
  <c r="Q1" i="23" s="1"/>
  <c r="R1" i="23" s="1"/>
  <c r="S1" i="23" s="1"/>
  <c r="T1" i="23" s="1"/>
  <c r="U1" i="23" s="1"/>
  <c r="V1" i="23" s="1"/>
  <c r="W1" i="23" s="1"/>
  <c r="X1" i="23" s="1"/>
  <c r="T7" i="28" l="1"/>
  <c r="P7" i="29"/>
  <c r="F7" i="30"/>
  <c r="AL7" i="30"/>
  <c r="AN7" i="28"/>
  <c r="D6" i="30"/>
  <c r="X7" i="30"/>
  <c r="D6" i="28"/>
  <c r="A10" i="28"/>
  <c r="AJ10" i="28" s="1"/>
  <c r="J7" i="28"/>
  <c r="L7" i="30"/>
  <c r="P7" i="30"/>
  <c r="P10" i="28"/>
  <c r="D7" i="28"/>
  <c r="L7" i="28"/>
  <c r="X7" i="28"/>
  <c r="D9" i="28"/>
  <c r="J10" i="28"/>
  <c r="T10" i="28"/>
  <c r="AN10" i="28"/>
  <c r="D7" i="29"/>
  <c r="X7" i="29"/>
  <c r="A15" i="28"/>
  <c r="D12" i="28"/>
  <c r="A13" i="28"/>
  <c r="F7" i="28"/>
  <c r="N7" i="28"/>
  <c r="AJ7" i="28"/>
  <c r="D10" i="28"/>
  <c r="L10" i="28"/>
  <c r="X10" i="28"/>
  <c r="H7" i="29"/>
  <c r="H10" i="28"/>
  <c r="AL10" i="28"/>
  <c r="H7" i="28"/>
  <c r="P7" i="28"/>
  <c r="F10" i="28"/>
  <c r="N10" i="28"/>
  <c r="T7" i="29"/>
  <c r="J7" i="29"/>
  <c r="AD7" i="29"/>
  <c r="N7" i="29"/>
  <c r="F7" i="29"/>
  <c r="L7" i="29"/>
  <c r="D7" i="30"/>
  <c r="N7" i="30"/>
  <c r="AJ7" i="30"/>
  <c r="J7" i="30"/>
  <c r="T7" i="30"/>
  <c r="AN7" i="30"/>
  <c r="A10" i="30"/>
  <c r="A12" i="30"/>
  <c r="D12" i="30" s="1"/>
  <c r="A9" i="29"/>
  <c r="A12" i="29" s="1"/>
  <c r="D12" i="29" s="1"/>
  <c r="A10" i="29"/>
  <c r="A16" i="28"/>
  <c r="C1" i="22"/>
  <c r="D1" i="22" s="1"/>
  <c r="E1" i="22" s="1"/>
  <c r="F1" i="22" s="1"/>
  <c r="G1" i="22" s="1"/>
  <c r="H1" i="22" s="1"/>
  <c r="I1" i="22" s="1"/>
  <c r="J1" i="22" s="1"/>
  <c r="K1" i="22" s="1"/>
  <c r="L1" i="22" s="1"/>
  <c r="M1" i="22" s="1"/>
  <c r="N1" i="22" s="1"/>
  <c r="O1" i="22" s="1"/>
  <c r="P1" i="22" s="1"/>
  <c r="Q1" i="22" s="1"/>
  <c r="R1" i="22" s="1"/>
  <c r="S1" i="22" s="1"/>
  <c r="T1" i="22" s="1"/>
  <c r="U1" i="22" s="1"/>
  <c r="V1" i="22" s="1"/>
  <c r="W1" i="22" s="1"/>
  <c r="X1" i="22" s="1"/>
  <c r="Y1" i="22" s="1"/>
  <c r="Z1" i="22" s="1"/>
  <c r="AA1" i="22" s="1"/>
  <c r="X16" i="28" l="1"/>
  <c r="L16" i="28"/>
  <c r="D16" i="28"/>
  <c r="AL16" i="28"/>
  <c r="P16" i="28"/>
  <c r="H16" i="28"/>
  <c r="N16" i="28"/>
  <c r="T16" i="28"/>
  <c r="AN16" i="28"/>
  <c r="J16" i="28"/>
  <c r="AJ16" i="28"/>
  <c r="F16" i="28"/>
  <c r="A15" i="29"/>
  <c r="X10" i="29"/>
  <c r="L10" i="29"/>
  <c r="D10" i="29"/>
  <c r="AF10" i="29"/>
  <c r="P10" i="29"/>
  <c r="H10" i="29"/>
  <c r="AD10" i="29"/>
  <c r="F10" i="29"/>
  <c r="J10" i="29"/>
  <c r="T10" i="29"/>
  <c r="N10" i="29"/>
  <c r="H10" i="30"/>
  <c r="AN10" i="30"/>
  <c r="T10" i="30"/>
  <c r="J10" i="30"/>
  <c r="AJ10" i="30"/>
  <c r="N10" i="30"/>
  <c r="D10" i="30"/>
  <c r="AL10" i="30"/>
  <c r="F10" i="30"/>
  <c r="X10" i="30"/>
  <c r="P10" i="30"/>
  <c r="L10" i="30"/>
  <c r="A18" i="28"/>
  <c r="D15" i="28"/>
  <c r="A19" i="28"/>
  <c r="AJ13" i="28"/>
  <c r="N13" i="28"/>
  <c r="F13" i="28"/>
  <c r="AN13" i="28"/>
  <c r="T13" i="28"/>
  <c r="J13" i="28"/>
  <c r="AL13" i="28"/>
  <c r="H13" i="28"/>
  <c r="L13" i="28"/>
  <c r="X13" i="28"/>
  <c r="D13" i="28"/>
  <c r="P13" i="28"/>
  <c r="A15" i="30"/>
  <c r="D15" i="30" s="1"/>
  <c r="A13" i="30"/>
  <c r="D9" i="29"/>
  <c r="A13" i="29"/>
  <c r="D15" i="29"/>
  <c r="A18" i="29"/>
  <c r="U57" i="21"/>
  <c r="U56" i="21"/>
  <c r="AD13" i="29" l="1"/>
  <c r="N13" i="29"/>
  <c r="F13" i="29"/>
  <c r="T13" i="29"/>
  <c r="J13" i="29"/>
  <c r="P13" i="29"/>
  <c r="D13" i="29"/>
  <c r="L13" i="29"/>
  <c r="AF13" i="29"/>
  <c r="H13" i="29"/>
  <c r="X13" i="29"/>
  <c r="AN19" i="28"/>
  <c r="T19" i="28"/>
  <c r="J19" i="28"/>
  <c r="AJ19" i="28"/>
  <c r="N19" i="28"/>
  <c r="F19" i="28"/>
  <c r="X19" i="28"/>
  <c r="D19" i="28"/>
  <c r="AL19" i="28"/>
  <c r="P19" i="28"/>
  <c r="L19" i="28"/>
  <c r="H19" i="28"/>
  <c r="A22" i="28"/>
  <c r="H13" i="30"/>
  <c r="AN13" i="30"/>
  <c r="T13" i="30"/>
  <c r="J13" i="30"/>
  <c r="AJ13" i="30"/>
  <c r="N13" i="30"/>
  <c r="D13" i="30"/>
  <c r="P13" i="30"/>
  <c r="L13" i="30"/>
  <c r="AL13" i="30"/>
  <c r="F13" i="30"/>
  <c r="X13" i="30"/>
  <c r="A21" i="28"/>
  <c r="D18" i="28"/>
  <c r="A16" i="30"/>
  <c r="A18" i="30"/>
  <c r="D18" i="30" s="1"/>
  <c r="D18" i="29"/>
  <c r="A21" i="29"/>
  <c r="A16" i="29"/>
  <c r="A25" i="28"/>
  <c r="H16" i="30" l="1"/>
  <c r="AN16" i="30"/>
  <c r="T16" i="30"/>
  <c r="J16" i="30"/>
  <c r="AJ16" i="30"/>
  <c r="N16" i="30"/>
  <c r="D16" i="30"/>
  <c r="AL16" i="30"/>
  <c r="F16" i="30"/>
  <c r="X16" i="30"/>
  <c r="P16" i="30"/>
  <c r="L16" i="30"/>
  <c r="AJ25" i="28"/>
  <c r="N25" i="28"/>
  <c r="F25" i="28"/>
  <c r="AN25" i="28"/>
  <c r="T25" i="28"/>
  <c r="J25" i="28"/>
  <c r="P25" i="28"/>
  <c r="X25" i="28"/>
  <c r="D25" i="28"/>
  <c r="L25" i="28"/>
  <c r="AL25" i="28"/>
  <c r="H25" i="28"/>
  <c r="AL22" i="28"/>
  <c r="P22" i="28"/>
  <c r="H22" i="28"/>
  <c r="X22" i="28"/>
  <c r="L22" i="28"/>
  <c r="D22" i="28"/>
  <c r="AN22" i="28"/>
  <c r="J22" i="28"/>
  <c r="AJ22" i="28"/>
  <c r="F22" i="28"/>
  <c r="T22" i="28"/>
  <c r="N22" i="28"/>
  <c r="AF16" i="29"/>
  <c r="P16" i="29"/>
  <c r="H16" i="29"/>
  <c r="X16" i="29"/>
  <c r="L16" i="29"/>
  <c r="D16" i="29"/>
  <c r="J16" i="29"/>
  <c r="N16" i="29"/>
  <c r="AD16" i="29"/>
  <c r="F16" i="29"/>
  <c r="T16" i="29"/>
  <c r="A24" i="28"/>
  <c r="D21" i="28"/>
  <c r="A21" i="30"/>
  <c r="D21" i="30" s="1"/>
  <c r="A19" i="30"/>
  <c r="A24" i="29"/>
  <c r="D21" i="29"/>
  <c r="A19" i="29"/>
  <c r="A28" i="28"/>
  <c r="T19" i="29" l="1"/>
  <c r="J19" i="29"/>
  <c r="AD19" i="29"/>
  <c r="N19" i="29"/>
  <c r="F19" i="29"/>
  <c r="X19" i="29"/>
  <c r="D19" i="29"/>
  <c r="AF19" i="29"/>
  <c r="P19" i="29"/>
  <c r="L19" i="29"/>
  <c r="H19" i="29"/>
  <c r="A27" i="28"/>
  <c r="D24" i="28"/>
  <c r="X28" i="28"/>
  <c r="L28" i="28"/>
  <c r="D28" i="28"/>
  <c r="AL28" i="28"/>
  <c r="P28" i="28"/>
  <c r="H28" i="28"/>
  <c r="AJ28" i="28"/>
  <c r="F28" i="28"/>
  <c r="AN28" i="28"/>
  <c r="T28" i="28"/>
  <c r="N28" i="28"/>
  <c r="J28" i="28"/>
  <c r="H19" i="30"/>
  <c r="AN19" i="30"/>
  <c r="T19" i="30"/>
  <c r="J19" i="30"/>
  <c r="AJ19" i="30"/>
  <c r="N19" i="30"/>
  <c r="D19" i="30"/>
  <c r="P19" i="30"/>
  <c r="L19" i="30"/>
  <c r="AL19" i="30"/>
  <c r="F19" i="30"/>
  <c r="X19" i="30"/>
  <c r="A22" i="30"/>
  <c r="A22" i="29"/>
  <c r="D24" i="29"/>
  <c r="A27" i="29"/>
  <c r="A31" i="28"/>
  <c r="AF4" i="27"/>
  <c r="AD4" i="27"/>
  <c r="X4" i="27"/>
  <c r="A8" i="27"/>
  <c r="A11" i="27" s="1"/>
  <c r="A14" i="27" s="1"/>
  <c r="A17" i="27" s="1"/>
  <c r="A20" i="27" s="1"/>
  <c r="A23" i="27" s="1"/>
  <c r="A26" i="27" s="1"/>
  <c r="A29" i="27" s="1"/>
  <c r="A32" i="27" s="1"/>
  <c r="A35" i="27" s="1"/>
  <c r="A38" i="27" s="1"/>
  <c r="A41" i="27" s="1"/>
  <c r="A44" i="27" s="1"/>
  <c r="A47" i="27" s="1"/>
  <c r="A50" i="27" s="1"/>
  <c r="A53" i="27" s="1"/>
  <c r="A56" i="27" s="1"/>
  <c r="A59" i="27" s="1"/>
  <c r="A62" i="27" s="1"/>
  <c r="A65" i="27" s="1"/>
  <c r="A68" i="27" s="1"/>
  <c r="A71" i="27" s="1"/>
  <c r="A74" i="27" s="1"/>
  <c r="A77" i="27" s="1"/>
  <c r="A80" i="27" s="1"/>
  <c r="A83" i="27" s="1"/>
  <c r="A86" i="27" s="1"/>
  <c r="A7" i="27"/>
  <c r="A6" i="27"/>
  <c r="P4" i="27"/>
  <c r="N4" i="27"/>
  <c r="L4" i="27"/>
  <c r="J4" i="27"/>
  <c r="F4" i="27"/>
  <c r="D4" i="27"/>
  <c r="D3" i="27"/>
  <c r="A30" i="28" l="1"/>
  <c r="D27" i="28"/>
  <c r="X22" i="29"/>
  <c r="L22" i="29"/>
  <c r="D22" i="29"/>
  <c r="AF22" i="29"/>
  <c r="P22" i="29"/>
  <c r="H22" i="29"/>
  <c r="N22" i="29"/>
  <c r="J22" i="29"/>
  <c r="AD22" i="29"/>
  <c r="F22" i="29"/>
  <c r="T22" i="29"/>
  <c r="AJ31" i="28"/>
  <c r="J31" i="28"/>
  <c r="AN31" i="28"/>
  <c r="N31" i="28"/>
  <c r="F31" i="28"/>
  <c r="L31" i="28"/>
  <c r="P31" i="28"/>
  <c r="H31" i="28"/>
  <c r="AL31" i="28"/>
  <c r="D31" i="28"/>
  <c r="H22" i="30"/>
  <c r="AN22" i="30"/>
  <c r="T22" i="30"/>
  <c r="J22" i="30"/>
  <c r="AJ22" i="30"/>
  <c r="N22" i="30"/>
  <c r="D22" i="30"/>
  <c r="AL22" i="30"/>
  <c r="F22" i="30"/>
  <c r="X22" i="30"/>
  <c r="P22" i="30"/>
  <c r="L22" i="30"/>
  <c r="D27" i="29"/>
  <c r="A30" i="29"/>
  <c r="A25" i="29"/>
  <c r="A34" i="28"/>
  <c r="A9" i="27"/>
  <c r="A10" i="27"/>
  <c r="AL4" i="25"/>
  <c r="AJ4" i="25"/>
  <c r="X4" i="25"/>
  <c r="P4" i="25"/>
  <c r="N4" i="25"/>
  <c r="L4" i="25"/>
  <c r="J4" i="25"/>
  <c r="F4" i="25"/>
  <c r="D4" i="25"/>
  <c r="AL34" i="28" l="1"/>
  <c r="L34" i="28"/>
  <c r="D34" i="28"/>
  <c r="P34" i="28"/>
  <c r="H34" i="28"/>
  <c r="AN34" i="28"/>
  <c r="F34" i="28"/>
  <c r="AJ34" i="28"/>
  <c r="N34" i="28"/>
  <c r="J34" i="28"/>
  <c r="AD25" i="29"/>
  <c r="N25" i="29"/>
  <c r="F25" i="29"/>
  <c r="T25" i="29"/>
  <c r="J25" i="29"/>
  <c r="AF25" i="29"/>
  <c r="H25" i="29"/>
  <c r="L25" i="29"/>
  <c r="X25" i="29"/>
  <c r="D25" i="29"/>
  <c r="P25" i="29"/>
  <c r="A33" i="28"/>
  <c r="D30" i="28"/>
  <c r="D30" i="29"/>
  <c r="A33" i="29"/>
  <c r="A28" i="29"/>
  <c r="A37" i="28"/>
  <c r="A12" i="27"/>
  <c r="A15" i="27" s="1"/>
  <c r="A13" i="27"/>
  <c r="AF4" i="26"/>
  <c r="AD4" i="26"/>
  <c r="X4" i="26"/>
  <c r="A8" i="26"/>
  <c r="A11" i="26" s="1"/>
  <c r="A14" i="26" s="1"/>
  <c r="A17" i="26" s="1"/>
  <c r="A20" i="26" s="1"/>
  <c r="A23" i="26" s="1"/>
  <c r="A26" i="26" s="1"/>
  <c r="A29" i="26" s="1"/>
  <c r="A32" i="26" s="1"/>
  <c r="A35" i="26" s="1"/>
  <c r="A38" i="26" s="1"/>
  <c r="A41" i="26" s="1"/>
  <c r="A44" i="26" s="1"/>
  <c r="A47" i="26" s="1"/>
  <c r="A50" i="26" s="1"/>
  <c r="A53" i="26" s="1"/>
  <c r="A56" i="26" s="1"/>
  <c r="A59" i="26" s="1"/>
  <c r="A62" i="26" s="1"/>
  <c r="A65" i="26" s="1"/>
  <c r="A68" i="26" s="1"/>
  <c r="A71" i="26" s="1"/>
  <c r="A74" i="26" s="1"/>
  <c r="A77" i="26" s="1"/>
  <c r="A80" i="26" s="1"/>
  <c r="A83" i="26" s="1"/>
  <c r="A86" i="26" s="1"/>
  <c r="A89" i="26" s="1"/>
  <c r="A92" i="26" s="1"/>
  <c r="A95" i="26" s="1"/>
  <c r="A98" i="26" s="1"/>
  <c r="A101" i="26" s="1"/>
  <c r="A104" i="26" s="1"/>
  <c r="A107" i="26" s="1"/>
  <c r="A110" i="26" s="1"/>
  <c r="A113" i="26" s="1"/>
  <c r="A7" i="26"/>
  <c r="A6" i="26"/>
  <c r="P4" i="26"/>
  <c r="N4" i="26"/>
  <c r="L4" i="26"/>
  <c r="J4" i="26"/>
  <c r="H4" i="26"/>
  <c r="F4" i="26"/>
  <c r="D4" i="26"/>
  <c r="D3" i="26"/>
  <c r="AN37" i="28" l="1"/>
  <c r="N37" i="28"/>
  <c r="F37" i="28"/>
  <c r="AJ37" i="28"/>
  <c r="J37" i="28"/>
  <c r="P37" i="28"/>
  <c r="AL37" i="28"/>
  <c r="D37" i="28"/>
  <c r="L37" i="28"/>
  <c r="H37" i="28"/>
  <c r="AF28" i="29"/>
  <c r="P28" i="29"/>
  <c r="H28" i="29"/>
  <c r="X28" i="29"/>
  <c r="L28" i="29"/>
  <c r="D28" i="29"/>
  <c r="T28" i="29"/>
  <c r="AD28" i="29"/>
  <c r="N28" i="29"/>
  <c r="J28" i="29"/>
  <c r="F28" i="29"/>
  <c r="A36" i="28"/>
  <c r="D33" i="28"/>
  <c r="A36" i="29"/>
  <c r="D33" i="29"/>
  <c r="A31" i="29"/>
  <c r="A40" i="28"/>
  <c r="A18" i="27"/>
  <c r="A16" i="27"/>
  <c r="A9" i="26"/>
  <c r="A10" i="26"/>
  <c r="AN4" i="19"/>
  <c r="AL4" i="19"/>
  <c r="AJ4" i="19"/>
  <c r="T4" i="19"/>
  <c r="D3" i="19"/>
  <c r="P4" i="19"/>
  <c r="N4" i="19"/>
  <c r="L4" i="19"/>
  <c r="H4" i="19"/>
  <c r="A8" i="25"/>
  <c r="A11" i="25" s="1"/>
  <c r="A14" i="25" s="1"/>
  <c r="A17" i="25" s="1"/>
  <c r="A20" i="25" s="1"/>
  <c r="A23" i="25" s="1"/>
  <c r="A26" i="25" s="1"/>
  <c r="A29" i="25" s="1"/>
  <c r="A32" i="25" s="1"/>
  <c r="A35" i="25" s="1"/>
  <c r="A38" i="25" s="1"/>
  <c r="A41" i="25" s="1"/>
  <c r="A44" i="25" s="1"/>
  <c r="A47" i="25" s="1"/>
  <c r="A50" i="25" s="1"/>
  <c r="A53" i="25" s="1"/>
  <c r="A56" i="25" s="1"/>
  <c r="A59" i="25" s="1"/>
  <c r="A62" i="25" s="1"/>
  <c r="A65" i="25" s="1"/>
  <c r="A68" i="25" s="1"/>
  <c r="A71" i="25" s="1"/>
  <c r="A74" i="25" s="1"/>
  <c r="A77" i="25" s="1"/>
  <c r="A80" i="25" s="1"/>
  <c r="A83" i="25" s="1"/>
  <c r="A86" i="25" s="1"/>
  <c r="A7" i="25"/>
  <c r="A10" i="25" s="1"/>
  <c r="A6" i="25"/>
  <c r="D3" i="25"/>
  <c r="AL40" i="28" l="1"/>
  <c r="P40" i="28"/>
  <c r="H40" i="28"/>
  <c r="X40" i="28"/>
  <c r="L40" i="28"/>
  <c r="D40" i="28"/>
  <c r="AN40" i="28"/>
  <c r="J40" i="28"/>
  <c r="N40" i="28"/>
  <c r="AJ40" i="28"/>
  <c r="F40" i="28"/>
  <c r="T40" i="28"/>
  <c r="T31" i="29"/>
  <c r="J31" i="29"/>
  <c r="AD31" i="29"/>
  <c r="N31" i="29"/>
  <c r="F31" i="29"/>
  <c r="L31" i="29"/>
  <c r="AF31" i="29"/>
  <c r="H31" i="29"/>
  <c r="X31" i="29"/>
  <c r="D31" i="29"/>
  <c r="P31" i="29"/>
  <c r="A39" i="28"/>
  <c r="D36" i="28"/>
  <c r="A34" i="29"/>
  <c r="A39" i="29"/>
  <c r="D36" i="29"/>
  <c r="A43" i="28"/>
  <c r="A21" i="27"/>
  <c r="A19" i="27"/>
  <c r="A13" i="26"/>
  <c r="A12" i="26"/>
  <c r="A13" i="25"/>
  <c r="A9" i="25"/>
  <c r="X34" i="29" l="1"/>
  <c r="L34" i="29"/>
  <c r="D34" i="29"/>
  <c r="AF34" i="29"/>
  <c r="P34" i="29"/>
  <c r="H34" i="29"/>
  <c r="AD34" i="29"/>
  <c r="F34" i="29"/>
  <c r="J34" i="29"/>
  <c r="T34" i="29"/>
  <c r="N34" i="29"/>
  <c r="A42" i="28"/>
  <c r="D42" i="28" s="1"/>
  <c r="D39" i="28"/>
  <c r="F43" i="28"/>
  <c r="D43" i="28"/>
  <c r="J43" i="28"/>
  <c r="D39" i="29"/>
  <c r="A42" i="29"/>
  <c r="D42" i="29" s="1"/>
  <c r="A37" i="29"/>
  <c r="A22" i="27"/>
  <c r="A24" i="27"/>
  <c r="A16" i="26"/>
  <c r="A15" i="26"/>
  <c r="A12" i="25"/>
  <c r="A16" i="25"/>
  <c r="AD37" i="29" l="1"/>
  <c r="N37" i="29"/>
  <c r="F37" i="29"/>
  <c r="T37" i="29"/>
  <c r="J37" i="29"/>
  <c r="P37" i="29"/>
  <c r="L37" i="29"/>
  <c r="AF37" i="29"/>
  <c r="H37" i="29"/>
  <c r="X37" i="29"/>
  <c r="D37" i="29"/>
  <c r="A40" i="29"/>
  <c r="A25" i="27"/>
  <c r="A27" i="27"/>
  <c r="A18" i="26"/>
  <c r="A19" i="26"/>
  <c r="A15" i="25"/>
  <c r="A19" i="25"/>
  <c r="AF40" i="29" l="1"/>
  <c r="P40" i="29"/>
  <c r="H40" i="29"/>
  <c r="X40" i="29"/>
  <c r="L40" i="29"/>
  <c r="D40" i="29"/>
  <c r="J40" i="29"/>
  <c r="AD40" i="29"/>
  <c r="F40" i="29"/>
  <c r="T40" i="29"/>
  <c r="N40" i="29"/>
  <c r="A43" i="29"/>
  <c r="A30" i="27"/>
  <c r="A28" i="27"/>
  <c r="A22" i="26"/>
  <c r="A21" i="26"/>
  <c r="A22" i="25"/>
  <c r="A18" i="25"/>
  <c r="F43" i="29" l="1"/>
  <c r="D43" i="29"/>
  <c r="J43" i="29"/>
  <c r="A33" i="27"/>
  <c r="A31" i="27"/>
  <c r="A25" i="26"/>
  <c r="A24" i="26"/>
  <c r="A25" i="25"/>
  <c r="A21" i="25"/>
  <c r="A34" i="27" l="1"/>
  <c r="A36" i="27"/>
  <c r="A28" i="26"/>
  <c r="A27" i="26"/>
  <c r="A28" i="25"/>
  <c r="A24" i="25"/>
  <c r="A39" i="27" l="1"/>
  <c r="A37" i="27"/>
  <c r="A31" i="26"/>
  <c r="A30" i="26"/>
  <c r="A27" i="25"/>
  <c r="A31" i="25"/>
  <c r="A40" i="27" l="1"/>
  <c r="A42" i="27"/>
  <c r="A34" i="26"/>
  <c r="A33" i="26"/>
  <c r="A34" i="25"/>
  <c r="A30" i="25"/>
  <c r="A45" i="27" l="1"/>
  <c r="A43" i="27"/>
  <c r="A36" i="26"/>
  <c r="A37" i="26"/>
  <c r="A33" i="25"/>
  <c r="A37" i="25"/>
  <c r="A48" i="27" l="1"/>
  <c r="A46" i="27"/>
  <c r="A40" i="26"/>
  <c r="A39" i="26"/>
  <c r="A36" i="25"/>
  <c r="A40" i="25"/>
  <c r="A49" i="27" l="1"/>
  <c r="A51" i="27"/>
  <c r="A43" i="26"/>
  <c r="A42" i="26"/>
  <c r="A43" i="25"/>
  <c r="A39" i="25"/>
  <c r="A52" i="27" l="1"/>
  <c r="A54" i="27"/>
  <c r="A45" i="26"/>
  <c r="A46" i="26"/>
  <c r="A42" i="25"/>
  <c r="A46" i="25"/>
  <c r="A57" i="27" l="1"/>
  <c r="A55" i="27"/>
  <c r="A49" i="26"/>
  <c r="A48" i="26"/>
  <c r="A49" i="25"/>
  <c r="A45" i="25"/>
  <c r="A58" i="27" l="1"/>
  <c r="A60" i="27"/>
  <c r="A51" i="26"/>
  <c r="A52" i="26"/>
  <c r="A48" i="25"/>
  <c r="A52" i="25"/>
  <c r="A61" i="27" l="1"/>
  <c r="A63" i="27"/>
  <c r="A55" i="26"/>
  <c r="A54" i="26"/>
  <c r="A51" i="25"/>
  <c r="A55" i="25"/>
  <c r="A66" i="27" l="1"/>
  <c r="A64" i="27"/>
  <c r="A57" i="26"/>
  <c r="A58" i="26"/>
  <c r="A58" i="25"/>
  <c r="A54" i="25"/>
  <c r="A69" i="27" l="1"/>
  <c r="A67" i="27"/>
  <c r="A61" i="26"/>
  <c r="A60" i="26"/>
  <c r="A61" i="25"/>
  <c r="A57" i="25"/>
  <c r="A70" i="27" l="1"/>
  <c r="A72" i="27"/>
  <c r="A64" i="26"/>
  <c r="A63" i="26"/>
  <c r="A60" i="25"/>
  <c r="A64" i="25"/>
  <c r="A73" i="27" l="1"/>
  <c r="A75" i="27"/>
  <c r="A66" i="26"/>
  <c r="A67" i="26"/>
  <c r="A67" i="25"/>
  <c r="A63" i="25"/>
  <c r="A78" i="27" l="1"/>
  <c r="A76" i="27"/>
  <c r="A70" i="26"/>
  <c r="A69" i="26"/>
  <c r="A66" i="25"/>
  <c r="A70" i="25"/>
  <c r="A81" i="27" l="1"/>
  <c r="A84" i="27" s="1"/>
  <c r="A79" i="27"/>
  <c r="A72" i="26"/>
  <c r="A73" i="26"/>
  <c r="A73" i="25"/>
  <c r="A69" i="25"/>
  <c r="A82" i="27" l="1"/>
  <c r="A85" i="27" s="1"/>
  <c r="A76" i="26"/>
  <c r="A75" i="26"/>
  <c r="A76" i="25"/>
  <c r="A72" i="25"/>
  <c r="A78" i="26" l="1"/>
  <c r="A79" i="26"/>
  <c r="A79" i="25"/>
  <c r="A75" i="25"/>
  <c r="A82" i="26" l="1"/>
  <c r="A81" i="26"/>
  <c r="A78" i="25"/>
  <c r="A82" i="25"/>
  <c r="A85" i="25" s="1"/>
  <c r="A85" i="26" l="1"/>
  <c r="A84" i="26"/>
  <c r="A81" i="25"/>
  <c r="A84" i="25" s="1"/>
  <c r="A87" i="26" l="1"/>
  <c r="A88" i="26"/>
  <c r="A91" i="26" l="1"/>
  <c r="A90" i="26"/>
  <c r="A93" i="26" l="1"/>
  <c r="A94" i="26"/>
  <c r="A97" i="26" l="1"/>
  <c r="A96" i="26"/>
  <c r="A100" i="26" l="1"/>
  <c r="A99" i="26"/>
  <c r="A103" i="26" l="1"/>
  <c r="A102" i="26"/>
  <c r="A105" i="26" l="1"/>
  <c r="A106" i="26"/>
  <c r="A109" i="26" l="1"/>
  <c r="A108" i="26"/>
  <c r="A112" i="26" l="1"/>
  <c r="A111" i="26"/>
  <c r="Z11" i="21" l="1"/>
  <c r="AA11" i="21" s="1"/>
  <c r="AB11" i="21" s="1"/>
  <c r="AC11" i="21" s="1"/>
  <c r="AD11" i="21" s="1"/>
  <c r="AE11" i="21" s="1"/>
  <c r="T4" i="26" l="1"/>
  <c r="AN43" i="28" l="1"/>
  <c r="T43" i="29"/>
  <c r="X43" i="29"/>
  <c r="X43" i="28"/>
  <c r="AF43" i="29" l="1"/>
  <c r="AD43" i="29"/>
  <c r="AJ43" i="28"/>
  <c r="AL43" i="28"/>
  <c r="S42" i="21"/>
  <c r="S41" i="21"/>
  <c r="S40" i="21"/>
  <c r="S39" i="21"/>
  <c r="S38" i="21"/>
  <c r="S37" i="21"/>
  <c r="S36" i="21"/>
  <c r="S35" i="21"/>
  <c r="S34" i="21"/>
  <c r="S33" i="21"/>
  <c r="S32" i="21"/>
  <c r="S31" i="21"/>
  <c r="S30" i="21"/>
  <c r="S27" i="21"/>
  <c r="S22" i="21"/>
  <c r="S21" i="21"/>
  <c r="S20" i="21"/>
  <c r="S19" i="21"/>
  <c r="S18" i="21"/>
  <c r="S17" i="21"/>
  <c r="S16" i="21"/>
  <c r="S15" i="21"/>
  <c r="AN4" i="25" s="1"/>
  <c r="Q40" i="21" l="1"/>
  <c r="N40" i="21" s="1"/>
  <c r="Q39" i="21"/>
  <c r="N39" i="21" s="1"/>
  <c r="Q38" i="21"/>
  <c r="Q37" i="21"/>
  <c r="Q36" i="21"/>
  <c r="Q35" i="21"/>
  <c r="Q34" i="21"/>
  <c r="Q33" i="21"/>
  <c r="Q32" i="21"/>
  <c r="Q31" i="21"/>
  <c r="Q30" i="21"/>
  <c r="Q27" i="21"/>
  <c r="Q22" i="21"/>
  <c r="Q21" i="21"/>
  <c r="Q17" i="21"/>
  <c r="Q16" i="21"/>
  <c r="Q15" i="21"/>
  <c r="T4" i="27" s="1"/>
  <c r="C67" i="21"/>
  <c r="M41" i="21" s="1"/>
  <c r="P41" i="21" s="1"/>
  <c r="Q41" i="21" s="1"/>
  <c r="M42" i="21"/>
  <c r="P42" i="21" s="1"/>
  <c r="Q42" i="21" s="1"/>
  <c r="N41" i="21" l="1"/>
  <c r="B21" i="24"/>
  <c r="G9" i="24" l="1"/>
  <c r="F9" i="24"/>
  <c r="E9" i="24"/>
  <c r="D9" i="24"/>
  <c r="G8" i="24"/>
  <c r="G51" i="34" s="1"/>
  <c r="F8" i="24"/>
  <c r="E51" i="34" s="1"/>
  <c r="E8" i="24"/>
  <c r="F51" i="34" s="1"/>
  <c r="D8" i="24"/>
  <c r="D51" i="34" s="1"/>
  <c r="Y12" i="34" l="1"/>
  <c r="Y13" i="34"/>
  <c r="W12" i="34"/>
  <c r="W13" i="34"/>
  <c r="X13" i="34"/>
  <c r="X12" i="34"/>
  <c r="Z12" i="34"/>
  <c r="Z13" i="34"/>
  <c r="B22" i="24"/>
  <c r="G20" i="24"/>
  <c r="F20" i="24"/>
  <c r="E20" i="24"/>
  <c r="D20" i="24"/>
  <c r="B20" i="24"/>
  <c r="G19" i="24"/>
  <c r="F19" i="24"/>
  <c r="E19" i="24"/>
  <c r="D19" i="24"/>
  <c r="B19" i="24"/>
  <c r="G18" i="24"/>
  <c r="F18" i="24"/>
  <c r="E18" i="24"/>
  <c r="D18" i="24"/>
  <c r="B18" i="24"/>
  <c r="G17" i="24"/>
  <c r="F17" i="24"/>
  <c r="E17" i="24"/>
  <c r="D17" i="24"/>
  <c r="B17" i="24"/>
  <c r="G16" i="24"/>
  <c r="F16" i="24"/>
  <c r="E16" i="24"/>
  <c r="D16" i="24"/>
  <c r="B16" i="24"/>
  <c r="G15" i="24"/>
  <c r="G48" i="34" s="1"/>
  <c r="F15" i="24"/>
  <c r="E48" i="34" s="1"/>
  <c r="E15" i="24"/>
  <c r="F48" i="34" s="1"/>
  <c r="D15" i="24"/>
  <c r="D48" i="34" s="1"/>
  <c r="B15" i="24"/>
  <c r="G14" i="24"/>
  <c r="G47" i="34" s="1"/>
  <c r="F14" i="24"/>
  <c r="E47" i="34" s="1"/>
  <c r="E14" i="24"/>
  <c r="F47" i="34" s="1"/>
  <c r="D14" i="24"/>
  <c r="D47" i="34" s="1"/>
  <c r="B14" i="24"/>
  <c r="G13" i="24"/>
  <c r="F13" i="24"/>
  <c r="E13" i="24"/>
  <c r="D13" i="24"/>
  <c r="B13" i="24"/>
  <c r="G12" i="24"/>
  <c r="F12" i="24"/>
  <c r="E12" i="24"/>
  <c r="D12" i="24"/>
  <c r="B12" i="24"/>
  <c r="G11" i="24"/>
  <c r="F11" i="24"/>
  <c r="E11" i="24"/>
  <c r="D11" i="24"/>
  <c r="B11" i="24"/>
  <c r="G10" i="24"/>
  <c r="F10" i="24"/>
  <c r="E10" i="24"/>
  <c r="D10" i="24"/>
  <c r="B10" i="24"/>
  <c r="B9" i="24"/>
  <c r="B8" i="24"/>
  <c r="E46" i="34" l="1"/>
  <c r="E54" i="34"/>
  <c r="G46" i="34"/>
  <c r="G54" i="34"/>
  <c r="D46" i="34"/>
  <c r="D54" i="34"/>
  <c r="F46" i="34"/>
  <c r="F54" i="34"/>
  <c r="M3" i="23"/>
  <c r="AD4" i="30" s="1"/>
  <c r="T4" i="22"/>
  <c r="AF4" i="28" s="1"/>
  <c r="R4" i="22"/>
  <c r="AD4" i="28" s="1"/>
  <c r="S4" i="22"/>
  <c r="Q5" i="23"/>
  <c r="U7" i="20"/>
  <c r="V28" i="20"/>
  <c r="S29" i="20"/>
  <c r="S25" i="20"/>
  <c r="V29" i="20"/>
  <c r="S26" i="20"/>
  <c r="U26" i="20"/>
  <c r="S27" i="20"/>
  <c r="U29" i="20"/>
  <c r="W28" i="20"/>
  <c r="W7" i="20"/>
  <c r="S9" i="20"/>
  <c r="S8" i="20"/>
  <c r="W29" i="20"/>
  <c r="V25" i="20"/>
  <c r="U25" i="20"/>
  <c r="W26" i="20"/>
  <c r="U24" i="20"/>
  <c r="V24" i="20"/>
  <c r="U27" i="20"/>
  <c r="W27" i="20"/>
  <c r="U28" i="20"/>
  <c r="W24" i="20"/>
  <c r="W25" i="20"/>
  <c r="U8" i="20"/>
  <c r="S7" i="20"/>
  <c r="V27" i="20"/>
  <c r="S28" i="20"/>
  <c r="S24" i="20"/>
  <c r="W9" i="20"/>
  <c r="V26" i="20"/>
  <c r="W8" i="20"/>
  <c r="U9" i="20"/>
  <c r="O3" i="23"/>
  <c r="P3" i="23"/>
  <c r="Z44" i="21"/>
  <c r="V44" i="21"/>
  <c r="W44" i="21"/>
  <c r="Y44" i="21"/>
  <c r="X44" i="21"/>
  <c r="X15" i="21"/>
  <c r="X16" i="21"/>
  <c r="T37" i="20"/>
  <c r="U5" i="20"/>
  <c r="AF4" i="19" s="1"/>
  <c r="U37" i="20"/>
  <c r="W37" i="20"/>
  <c r="S9" i="22"/>
  <c r="T7" i="22"/>
  <c r="AF13" i="28" s="1"/>
  <c r="R7" i="22"/>
  <c r="AD13" i="28" s="1"/>
  <c r="Q7" i="23"/>
  <c r="AH13" i="30" s="1"/>
  <c r="N8" i="23"/>
  <c r="S5" i="22"/>
  <c r="M6" i="23"/>
  <c r="AD10" i="30" s="1"/>
  <c r="M10" i="23"/>
  <c r="AD22" i="30" s="1"/>
  <c r="U4" i="22"/>
  <c r="R5" i="22"/>
  <c r="AD7" i="28" s="1"/>
  <c r="W45" i="20"/>
  <c r="W43" i="20"/>
  <c r="T41" i="20"/>
  <c r="T39" i="20"/>
  <c r="T33" i="20"/>
  <c r="T31" i="20"/>
  <c r="T23" i="20"/>
  <c r="V20" i="20"/>
  <c r="W17" i="20"/>
  <c r="U15" i="20"/>
  <c r="V12" i="20"/>
  <c r="W6" i="20"/>
  <c r="S44" i="20"/>
  <c r="S32" i="20"/>
  <c r="S15" i="20"/>
  <c r="Z41" i="21"/>
  <c r="Y39" i="21"/>
  <c r="Y37" i="21"/>
  <c r="X35" i="21"/>
  <c r="W33" i="21"/>
  <c r="W31" i="21"/>
  <c r="V29" i="21"/>
  <c r="Z26" i="21"/>
  <c r="Z24" i="21"/>
  <c r="Y22" i="21"/>
  <c r="X17" i="21"/>
  <c r="R18" i="22"/>
  <c r="AD40" i="28" s="1"/>
  <c r="V15" i="22"/>
  <c r="AH31" i="28" s="1"/>
  <c r="V13" i="22"/>
  <c r="AH25" i="28" s="1"/>
  <c r="U11" i="22"/>
  <c r="T9" i="22"/>
  <c r="N10" i="23"/>
  <c r="V45" i="20"/>
  <c r="V43" i="20"/>
  <c r="W40" i="20"/>
  <c r="W38" i="20"/>
  <c r="W36" i="20"/>
  <c r="W32" i="20"/>
  <c r="W22" i="20"/>
  <c r="U20" i="20"/>
  <c r="V17" i="20"/>
  <c r="W14" i="20"/>
  <c r="U12" i="20"/>
  <c r="V6" i="20"/>
  <c r="S42" i="20"/>
  <c r="S31" i="20"/>
  <c r="S14" i="20"/>
  <c r="W15" i="21"/>
  <c r="Y41" i="21"/>
  <c r="X39" i="21"/>
  <c r="W37" i="21"/>
  <c r="W35" i="21"/>
  <c r="V33" i="21"/>
  <c r="Z30" i="21"/>
  <c r="Z28" i="21"/>
  <c r="Y26" i="21"/>
  <c r="X24" i="21"/>
  <c r="X22" i="21"/>
  <c r="W17" i="21"/>
  <c r="V17" i="22"/>
  <c r="AH37" i="28" s="1"/>
  <c r="U15" i="22"/>
  <c r="T13" i="22"/>
  <c r="AF25" i="28" s="1"/>
  <c r="T11" i="22"/>
  <c r="AF19" i="28" s="1"/>
  <c r="M4" i="23"/>
  <c r="AD7" i="30" s="1"/>
  <c r="Q4" i="23"/>
  <c r="AH7" i="30" s="1"/>
  <c r="P5" i="23"/>
  <c r="O6" i="23"/>
  <c r="N7" i="23"/>
  <c r="M8" i="23"/>
  <c r="AD16" i="30" s="1"/>
  <c r="Q8" i="23"/>
  <c r="AH16" i="30" s="1"/>
  <c r="P9" i="23"/>
  <c r="O10" i="23"/>
  <c r="U5" i="22"/>
  <c r="T6" i="22"/>
  <c r="AF10" i="28" s="1"/>
  <c r="S7" i="22"/>
  <c r="R8" i="22"/>
  <c r="V8" i="22"/>
  <c r="U9" i="22"/>
  <c r="T10" i="22"/>
  <c r="AF16" i="28" s="1"/>
  <c r="S11" i="22"/>
  <c r="R12" i="22"/>
  <c r="AD22" i="28" s="1"/>
  <c r="V12" i="22"/>
  <c r="AH22" i="28" s="1"/>
  <c r="U13" i="22"/>
  <c r="T14" i="22"/>
  <c r="AF28" i="28" s="1"/>
  <c r="S15" i="22"/>
  <c r="R16" i="22"/>
  <c r="AD34" i="28" s="1"/>
  <c r="V16" i="22"/>
  <c r="AH34" i="28" s="1"/>
  <c r="U17" i="22"/>
  <c r="T18" i="22"/>
  <c r="AF40" i="28" s="1"/>
  <c r="V4" i="22"/>
  <c r="AH4" i="28" s="1"/>
  <c r="V16" i="21"/>
  <c r="Z16" i="21"/>
  <c r="Y17" i="21"/>
  <c r="X21" i="21"/>
  <c r="W22" i="21"/>
  <c r="V23" i="21"/>
  <c r="Z23" i="21"/>
  <c r="Y24" i="21"/>
  <c r="X25" i="21"/>
  <c r="W26" i="21"/>
  <c r="V27" i="21"/>
  <c r="Z27" i="21"/>
  <c r="Y28" i="21"/>
  <c r="X29" i="21"/>
  <c r="W30" i="21"/>
  <c r="V31" i="21"/>
  <c r="Z31" i="21"/>
  <c r="Y32" i="21"/>
  <c r="X33" i="21"/>
  <c r="W34" i="21"/>
  <c r="V35" i="21"/>
  <c r="Z35" i="21"/>
  <c r="Y36" i="21"/>
  <c r="X37" i="21"/>
  <c r="W38" i="21"/>
  <c r="V39" i="21"/>
  <c r="Z39" i="21"/>
  <c r="Y40" i="21"/>
  <c r="X41" i="21"/>
  <c r="W42" i="21"/>
  <c r="Z15" i="21"/>
  <c r="V15" i="21"/>
  <c r="AD4" i="25" s="1"/>
  <c r="T5" i="20"/>
  <c r="S12" i="20"/>
  <c r="S16" i="20"/>
  <c r="S20" i="20"/>
  <c r="S38" i="20"/>
  <c r="S43" i="20"/>
  <c r="T6" i="20"/>
  <c r="T11" i="20"/>
  <c r="T12" i="20"/>
  <c r="T13" i="20"/>
  <c r="T14" i="20"/>
  <c r="T15" i="20"/>
  <c r="T16" i="20"/>
  <c r="T17" i="20"/>
  <c r="T18" i="20"/>
  <c r="T19" i="20"/>
  <c r="T20" i="20"/>
  <c r="T21" i="20"/>
  <c r="T22" i="20"/>
  <c r="N4" i="23"/>
  <c r="N5" i="23"/>
  <c r="N6" i="23"/>
  <c r="O7" i="23"/>
  <c r="O8" i="23"/>
  <c r="O9" i="23"/>
  <c r="P10" i="23"/>
  <c r="N3" i="23"/>
  <c r="T5" i="22"/>
  <c r="AF7" i="28" s="1"/>
  <c r="U6" i="22"/>
  <c r="U7" i="22"/>
  <c r="U8" i="22"/>
  <c r="V9" i="22"/>
  <c r="V10" i="22"/>
  <c r="AH16" i="28" s="1"/>
  <c r="V11" i="22"/>
  <c r="AH19" i="28" s="1"/>
  <c r="R13" i="22"/>
  <c r="AD25" i="28" s="1"/>
  <c r="R14" i="22"/>
  <c r="AD28" i="28" s="1"/>
  <c r="R15" i="22"/>
  <c r="AD31" i="28" s="1"/>
  <c r="S16" i="22"/>
  <c r="S17" i="22"/>
  <c r="S18" i="22"/>
  <c r="Y16" i="21"/>
  <c r="Z17" i="21"/>
  <c r="Z21" i="21"/>
  <c r="Z22" i="21"/>
  <c r="V24" i="21"/>
  <c r="V25" i="21"/>
  <c r="V26" i="21"/>
  <c r="W27" i="21"/>
  <c r="W28" i="21"/>
  <c r="W29" i="21"/>
  <c r="X30" i="21"/>
  <c r="X31" i="21"/>
  <c r="X32" i="21"/>
  <c r="Y33" i="21"/>
  <c r="Y34" i="21"/>
  <c r="Y35" i="21"/>
  <c r="Z36" i="21"/>
  <c r="Z37" i="21"/>
  <c r="V40" i="21"/>
  <c r="V41" i="21"/>
  <c r="V42" i="21"/>
  <c r="Y15" i="21"/>
  <c r="W41" i="20"/>
  <c r="S11" i="20"/>
  <c r="S17" i="20"/>
  <c r="S22" i="20"/>
  <c r="S33" i="20"/>
  <c r="S39" i="20"/>
  <c r="S45" i="20"/>
  <c r="S5" i="20"/>
  <c r="V11" i="20"/>
  <c r="W12" i="20"/>
  <c r="U14" i="20"/>
  <c r="V15" i="20"/>
  <c r="W16" i="20"/>
  <c r="U18" i="20"/>
  <c r="V19" i="20"/>
  <c r="W20" i="20"/>
  <c r="U22" i="20"/>
  <c r="U23" i="20"/>
  <c r="U31" i="20"/>
  <c r="U32" i="20"/>
  <c r="U33" i="20"/>
  <c r="U36" i="20"/>
  <c r="U38" i="20"/>
  <c r="U39" i="20"/>
  <c r="U40" i="20"/>
  <c r="T42" i="20"/>
  <c r="T43" i="20"/>
  <c r="T44" i="20"/>
  <c r="T45" i="20"/>
  <c r="T46" i="20"/>
  <c r="O4" i="23"/>
  <c r="O5" i="23"/>
  <c r="P6" i="23"/>
  <c r="P7" i="23"/>
  <c r="P8" i="23"/>
  <c r="Q9" i="23"/>
  <c r="AH19" i="30" s="1"/>
  <c r="Q10" i="23"/>
  <c r="AH22" i="30" s="1"/>
  <c r="V5" i="22"/>
  <c r="AH7" i="28" s="1"/>
  <c r="V6" i="22"/>
  <c r="AH10" i="28" s="1"/>
  <c r="V7" i="22"/>
  <c r="AH13" i="28" s="1"/>
  <c r="R9" i="22"/>
  <c r="R10" i="22"/>
  <c r="AD16" i="28" s="1"/>
  <c r="R11" i="22"/>
  <c r="AD19" i="28" s="1"/>
  <c r="S12" i="22"/>
  <c r="S13" i="22"/>
  <c r="S14" i="22"/>
  <c r="T15" i="22"/>
  <c r="AF31" i="28" s="1"/>
  <c r="T16" i="22"/>
  <c r="AF34" i="28" s="1"/>
  <c r="T17" i="22"/>
  <c r="AF37" i="28" s="1"/>
  <c r="U18" i="22"/>
  <c r="V17" i="21"/>
  <c r="V21" i="21"/>
  <c r="V22" i="21"/>
  <c r="W23" i="21"/>
  <c r="W24" i="21"/>
  <c r="W25" i="21"/>
  <c r="X26" i="21"/>
  <c r="X27" i="21"/>
  <c r="X28" i="21"/>
  <c r="Y29" i="21"/>
  <c r="Y30" i="21"/>
  <c r="Y31" i="21"/>
  <c r="Z32" i="21"/>
  <c r="Z33" i="21"/>
  <c r="Z34" i="21"/>
  <c r="V36" i="21"/>
  <c r="V37" i="21"/>
  <c r="V38" i="21"/>
  <c r="W39" i="21"/>
  <c r="W40" i="21"/>
  <c r="W41" i="21"/>
  <c r="X42" i="21"/>
  <c r="W5" i="20"/>
  <c r="AH4" i="19" s="1"/>
  <c r="S13" i="20"/>
  <c r="S18" i="20"/>
  <c r="S23" i="20"/>
  <c r="S40" i="20"/>
  <c r="S46" i="20"/>
  <c r="U6" i="20"/>
  <c r="W11" i="20"/>
  <c r="U13" i="20"/>
  <c r="V14" i="20"/>
  <c r="W15" i="20"/>
  <c r="U17" i="20"/>
  <c r="V18" i="20"/>
  <c r="W19" i="20"/>
  <c r="U21" i="20"/>
  <c r="V22" i="20"/>
  <c r="V23" i="20"/>
  <c r="V31" i="20"/>
  <c r="V32" i="20"/>
  <c r="V33" i="20"/>
  <c r="V36" i="20"/>
  <c r="V37" i="20"/>
  <c r="V38" i="20"/>
  <c r="V39" i="20"/>
  <c r="V40" i="20"/>
  <c r="U42" i="20"/>
  <c r="U43" i="20"/>
  <c r="U44" i="20"/>
  <c r="U45" i="20"/>
  <c r="U46" i="20"/>
  <c r="V5" i="20"/>
  <c r="W46" i="20"/>
  <c r="W44" i="20"/>
  <c r="W42" i="20"/>
  <c r="T40" i="20"/>
  <c r="T38" i="20"/>
  <c r="T36" i="20"/>
  <c r="T32" i="20"/>
  <c r="W21" i="20"/>
  <c r="U19" i="20"/>
  <c r="V16" i="20"/>
  <c r="W13" i="20"/>
  <c r="U11" i="20"/>
  <c r="S37" i="20"/>
  <c r="S21" i="20"/>
  <c r="Z42" i="21"/>
  <c r="Z40" i="21"/>
  <c r="X36" i="21"/>
  <c r="X34" i="21"/>
  <c r="W32" i="21"/>
  <c r="V30" i="21"/>
  <c r="V28" i="21"/>
  <c r="Z25" i="21"/>
  <c r="Y23" i="21"/>
  <c r="Y21" i="21"/>
  <c r="R17" i="22"/>
  <c r="AD37" i="28" s="1"/>
  <c r="V14" i="22"/>
  <c r="AH28" i="28" s="1"/>
  <c r="U12" i="22"/>
  <c r="U10" i="22"/>
  <c r="T8" i="22"/>
  <c r="S6" i="22"/>
  <c r="N9" i="23"/>
  <c r="M7" i="23"/>
  <c r="AD13" i="30" s="1"/>
  <c r="M5" i="23"/>
  <c r="V46" i="20"/>
  <c r="V44" i="20"/>
  <c r="V42" i="20"/>
  <c r="W39" i="20"/>
  <c r="W33" i="20"/>
  <c r="W31" i="20"/>
  <c r="W23" i="20"/>
  <c r="V21" i="20"/>
  <c r="W18" i="20"/>
  <c r="U16" i="20"/>
  <c r="V13" i="20"/>
  <c r="S36" i="20"/>
  <c r="S19" i="20"/>
  <c r="S6" i="20"/>
  <c r="Y42" i="21"/>
  <c r="X40" i="21"/>
  <c r="X38" i="21"/>
  <c r="W36" i="21"/>
  <c r="V34" i="21"/>
  <c r="V32" i="21"/>
  <c r="Z29" i="21"/>
  <c r="Y27" i="21"/>
  <c r="Y25" i="21"/>
  <c r="X23" i="21"/>
  <c r="W21" i="21"/>
  <c r="W16" i="21"/>
  <c r="V18" i="22"/>
  <c r="AH40" i="28" s="1"/>
  <c r="U16" i="22"/>
  <c r="U14" i="22"/>
  <c r="T12" i="22"/>
  <c r="AF22" i="28" s="1"/>
  <c r="S10" i="22"/>
  <c r="S8" i="22"/>
  <c r="R6" i="22"/>
  <c r="AD10" i="28" s="1"/>
  <c r="Q3" i="23"/>
  <c r="AH4" i="30" s="1"/>
  <c r="M9" i="23"/>
  <c r="AD19" i="30" s="1"/>
  <c r="Q6" i="23"/>
  <c r="AH10" i="30" s="1"/>
  <c r="P4" i="23"/>
  <c r="U41" i="20"/>
  <c r="S41" i="20"/>
  <c r="V41" i="20"/>
  <c r="AH4" i="25" l="1"/>
  <c r="H4" i="27"/>
  <c r="H4" i="25"/>
  <c r="AF4" i="25"/>
  <c r="Z11" i="34"/>
  <c r="Z8" i="34"/>
  <c r="X11" i="34"/>
  <c r="X8" i="34"/>
  <c r="W8" i="34"/>
  <c r="W11" i="34"/>
  <c r="Y11" i="34"/>
  <c r="Y8" i="34"/>
  <c r="AF7" i="30"/>
  <c r="AF13" i="30"/>
  <c r="AF19" i="30"/>
  <c r="AF22" i="30"/>
  <c r="AF4" i="30"/>
  <c r="AF16" i="30"/>
  <c r="AF10" i="30"/>
  <c r="S10" i="20"/>
  <c r="W10" i="20"/>
  <c r="W30" i="20"/>
  <c r="U30" i="20"/>
  <c r="S30" i="20"/>
  <c r="U10" i="20"/>
  <c r="V30" i="20"/>
  <c r="B2" i="20"/>
  <c r="C2" i="20" s="1"/>
  <c r="D2" i="20" s="1"/>
  <c r="E2" i="20" s="1"/>
  <c r="F2" i="20" s="1"/>
  <c r="G2" i="20" s="1"/>
  <c r="H2" i="20" s="1"/>
  <c r="I2" i="20" s="1"/>
  <c r="J2" i="20" s="1"/>
  <c r="K2" i="20" s="1"/>
  <c r="L2" i="20" s="1"/>
  <c r="M2" i="20" s="1"/>
  <c r="N2" i="20" s="1"/>
  <c r="O2" i="20" s="1"/>
  <c r="P2" i="20" s="1"/>
  <c r="T2" i="20" s="1"/>
  <c r="Z2" i="20" s="1"/>
  <c r="AA2" i="20" s="1"/>
  <c r="B11" i="21"/>
  <c r="C11" i="21" s="1"/>
  <c r="D11" i="21" s="1"/>
  <c r="E11" i="21" s="1"/>
  <c r="F11" i="21" s="1"/>
  <c r="G11" i="21" s="1"/>
  <c r="H11" i="21" s="1"/>
  <c r="I11" i="21" s="1"/>
  <c r="J11" i="21" s="1"/>
  <c r="K11" i="21" s="1"/>
  <c r="A16" i="21"/>
  <c r="T43" i="28"/>
  <c r="A17" i="21" l="1"/>
  <c r="H10" i="25" s="1"/>
  <c r="AF7" i="27"/>
  <c r="T7" i="27"/>
  <c r="AD7" i="27"/>
  <c r="D6" i="27"/>
  <c r="J7" i="27"/>
  <c r="N7" i="27"/>
  <c r="AL7" i="25"/>
  <c r="N7" i="25"/>
  <c r="H7" i="25"/>
  <c r="X7" i="27"/>
  <c r="AJ10" i="25"/>
  <c r="D7" i="27"/>
  <c r="H7" i="27"/>
  <c r="N10" i="25"/>
  <c r="F7" i="27"/>
  <c r="AN7" i="25"/>
  <c r="P10" i="25"/>
  <c r="P7" i="25"/>
  <c r="L7" i="25"/>
  <c r="P7" i="27"/>
  <c r="AJ7" i="25"/>
  <c r="L7" i="27"/>
  <c r="X10" i="27"/>
  <c r="J10" i="27"/>
  <c r="D10" i="27"/>
  <c r="AF7" i="25"/>
  <c r="J10" i="25"/>
  <c r="D6" i="25"/>
  <c r="X7" i="25"/>
  <c r="X10" i="25"/>
  <c r="F7" i="25"/>
  <c r="D7" i="25"/>
  <c r="J7" i="25"/>
  <c r="AD7" i="25"/>
  <c r="AH7" i="25"/>
  <c r="L43" i="28"/>
  <c r="L43" i="29"/>
  <c r="H43" i="29"/>
  <c r="H43" i="28"/>
  <c r="P43" i="29"/>
  <c r="P43" i="28"/>
  <c r="N43" i="29"/>
  <c r="N43" i="28"/>
  <c r="L11" i="21"/>
  <c r="M11" i="21" s="1"/>
  <c r="N11" i="21" s="1"/>
  <c r="S19" i="22"/>
  <c r="T19" i="22"/>
  <c r="AF43" i="28" s="1"/>
  <c r="U19" i="22"/>
  <c r="R19" i="22"/>
  <c r="AD43" i="28" s="1"/>
  <c r="V19" i="22"/>
  <c r="AH43" i="28" s="1"/>
  <c r="M37" i="21"/>
  <c r="N36" i="21"/>
  <c r="O36" i="21" s="1"/>
  <c r="N35" i="21"/>
  <c r="O35" i="21" s="1"/>
  <c r="N34" i="21"/>
  <c r="O34" i="21" s="1"/>
  <c r="N33" i="21"/>
  <c r="O33" i="21" s="1"/>
  <c r="N32" i="21"/>
  <c r="O32" i="21" s="1"/>
  <c r="D72" i="20"/>
  <c r="D71" i="20"/>
  <c r="A6" i="20"/>
  <c r="A8" i="19"/>
  <c r="A11" i="19" s="1"/>
  <c r="A14" i="19" s="1"/>
  <c r="A17" i="19" s="1"/>
  <c r="A20" i="19" s="1"/>
  <c r="A23" i="19" s="1"/>
  <c r="A26" i="19" s="1"/>
  <c r="A29" i="19" s="1"/>
  <c r="A32" i="19" s="1"/>
  <c r="A35" i="19" s="1"/>
  <c r="A38" i="19" s="1"/>
  <c r="A41" i="19" s="1"/>
  <c r="A44" i="19" s="1"/>
  <c r="A47" i="19" s="1"/>
  <c r="A50" i="19" s="1"/>
  <c r="A53" i="19" s="1"/>
  <c r="A56" i="19" s="1"/>
  <c r="A59" i="19" s="1"/>
  <c r="A62" i="19" s="1"/>
  <c r="A65" i="19" s="1"/>
  <c r="A68" i="19" s="1"/>
  <c r="A71" i="19" s="1"/>
  <c r="A74" i="19" s="1"/>
  <c r="A77" i="19" s="1"/>
  <c r="A80" i="19" s="1"/>
  <c r="A83" i="19" s="1"/>
  <c r="A86" i="19" s="1"/>
  <c r="A89" i="19" s="1"/>
  <c r="A92" i="19" s="1"/>
  <c r="A95" i="19" s="1"/>
  <c r="A98" i="19" s="1"/>
  <c r="A101" i="19" s="1"/>
  <c r="A7" i="19"/>
  <c r="A6" i="19"/>
  <c r="A9" i="19" s="1"/>
  <c r="T4" i="25" l="1"/>
  <c r="A18" i="21"/>
  <c r="P13" i="27" s="1"/>
  <c r="AD10" i="25"/>
  <c r="F10" i="25"/>
  <c r="P10" i="27"/>
  <c r="T10" i="27"/>
  <c r="D9" i="27"/>
  <c r="AL10" i="25"/>
  <c r="AN10" i="25"/>
  <c r="AH10" i="25"/>
  <c r="D10" i="25"/>
  <c r="N10" i="27"/>
  <c r="AF10" i="27"/>
  <c r="H10" i="27"/>
  <c r="L10" i="25"/>
  <c r="T10" i="25"/>
  <c r="AF10" i="25"/>
  <c r="D9" i="25"/>
  <c r="AD10" i="27"/>
  <c r="F10" i="27"/>
  <c r="L10" i="27"/>
  <c r="T7" i="25"/>
  <c r="F13" i="25"/>
  <c r="O11" i="21"/>
  <c r="P11" i="21" s="1"/>
  <c r="Q11" i="21" s="1"/>
  <c r="R11" i="21" s="1"/>
  <c r="S11" i="21" s="1"/>
  <c r="T11" i="21" s="1"/>
  <c r="U11" i="21" s="1"/>
  <c r="AD13" i="27"/>
  <c r="D13" i="25"/>
  <c r="D12" i="27"/>
  <c r="H13" i="25"/>
  <c r="AD7" i="26"/>
  <c r="AF7" i="26"/>
  <c r="F7" i="26"/>
  <c r="P7" i="26"/>
  <c r="N7" i="26"/>
  <c r="AN7" i="19"/>
  <c r="D6" i="26"/>
  <c r="H7" i="26"/>
  <c r="AL7" i="19"/>
  <c r="AF7" i="19"/>
  <c r="T7" i="19"/>
  <c r="J7" i="26"/>
  <c r="L7" i="26"/>
  <c r="AJ7" i="19"/>
  <c r="X7" i="26"/>
  <c r="D7" i="26"/>
  <c r="AH7" i="19"/>
  <c r="T7" i="26"/>
  <c r="P7" i="19"/>
  <c r="N7" i="19"/>
  <c r="L7" i="19"/>
  <c r="H7" i="19"/>
  <c r="A10" i="20"/>
  <c r="AD4" i="19"/>
  <c r="X4" i="19"/>
  <c r="D4" i="19"/>
  <c r="F4" i="19"/>
  <c r="J4" i="19"/>
  <c r="N42" i="21"/>
  <c r="O42" i="21" s="1"/>
  <c r="T49" i="20"/>
  <c r="U49" i="20"/>
  <c r="S49" i="20"/>
  <c r="V49" i="20"/>
  <c r="W49" i="20"/>
  <c r="X7" i="19"/>
  <c r="J7" i="19"/>
  <c r="T48" i="20"/>
  <c r="U48" i="20"/>
  <c r="S48" i="20"/>
  <c r="V48" i="20"/>
  <c r="W48" i="20"/>
  <c r="T50" i="20"/>
  <c r="U50" i="20"/>
  <c r="W50" i="20"/>
  <c r="V50" i="20"/>
  <c r="S50" i="20"/>
  <c r="S47" i="20"/>
  <c r="T47" i="20"/>
  <c r="U47" i="20"/>
  <c r="V47" i="20"/>
  <c r="W47" i="20"/>
  <c r="L49" i="20"/>
  <c r="A10" i="19"/>
  <c r="A13" i="19" s="1"/>
  <c r="D7" i="19"/>
  <c r="D6" i="19"/>
  <c r="F7" i="19"/>
  <c r="A104" i="19"/>
  <c r="A12" i="19"/>
  <c r="AL13" i="25" l="1"/>
  <c r="AF13" i="27"/>
  <c r="A19" i="21"/>
  <c r="J16" i="25" s="1"/>
  <c r="L13" i="25"/>
  <c r="T13" i="25"/>
  <c r="AD13" i="25"/>
  <c r="AN13" i="25"/>
  <c r="H13" i="27"/>
  <c r="X13" i="27"/>
  <c r="D12" i="25"/>
  <c r="AJ16" i="25"/>
  <c r="N13" i="25"/>
  <c r="T13" i="27"/>
  <c r="L13" i="27"/>
  <c r="AJ13" i="25"/>
  <c r="P13" i="25"/>
  <c r="AH13" i="25"/>
  <c r="J13" i="27"/>
  <c r="F13" i="27"/>
  <c r="D13" i="27"/>
  <c r="N13" i="27"/>
  <c r="AF13" i="25"/>
  <c r="J13" i="25"/>
  <c r="X13" i="25"/>
  <c r="H16" i="25"/>
  <c r="X16" i="25"/>
  <c r="D16" i="25"/>
  <c r="AF16" i="25"/>
  <c r="D15" i="25"/>
  <c r="H16" i="27"/>
  <c r="F16" i="25"/>
  <c r="AD16" i="25"/>
  <c r="N16" i="27"/>
  <c r="AH16" i="25"/>
  <c r="T16" i="25"/>
  <c r="L16" i="25"/>
  <c r="D15" i="27"/>
  <c r="T10" i="26"/>
  <c r="X11" i="21"/>
  <c r="V11" i="21"/>
  <c r="X16" i="27"/>
  <c r="F16" i="27"/>
  <c r="AN16" i="25"/>
  <c r="L16" i="27"/>
  <c r="D16" i="27"/>
  <c r="N16" i="25"/>
  <c r="AL16" i="25"/>
  <c r="AF10" i="19"/>
  <c r="AH10" i="19"/>
  <c r="H10" i="26"/>
  <c r="X10" i="26"/>
  <c r="AD10" i="26"/>
  <c r="T10" i="19"/>
  <c r="AL10" i="19"/>
  <c r="L10" i="26"/>
  <c r="D10" i="26"/>
  <c r="P10" i="26"/>
  <c r="AF10" i="26"/>
  <c r="AJ10" i="19"/>
  <c r="D9" i="26"/>
  <c r="J10" i="26"/>
  <c r="F10" i="26"/>
  <c r="N10" i="26"/>
  <c r="AN10" i="19"/>
  <c r="A11" i="20"/>
  <c r="P10" i="19"/>
  <c r="L10" i="19"/>
  <c r="N10" i="19"/>
  <c r="H10" i="19"/>
  <c r="AD7" i="19"/>
  <c r="D9" i="19"/>
  <c r="S34" i="20"/>
  <c r="U34" i="20"/>
  <c r="V34" i="20"/>
  <c r="T34" i="20"/>
  <c r="W34" i="20"/>
  <c r="X10" i="19"/>
  <c r="J10" i="19"/>
  <c r="F10" i="19"/>
  <c r="D10" i="19"/>
  <c r="A107" i="19"/>
  <c r="A15" i="19"/>
  <c r="A16" i="19"/>
  <c r="AD16" i="27" l="1"/>
  <c r="A20" i="21"/>
  <c r="D18" i="25" s="1"/>
  <c r="T16" i="27"/>
  <c r="AF16" i="27"/>
  <c r="P16" i="27"/>
  <c r="J16" i="27"/>
  <c r="P16" i="25"/>
  <c r="D12" i="19"/>
  <c r="J19" i="25"/>
  <c r="P19" i="25"/>
  <c r="D18" i="27"/>
  <c r="P19" i="27"/>
  <c r="AD19" i="27"/>
  <c r="AF19" i="25"/>
  <c r="X19" i="27"/>
  <c r="AD13" i="19"/>
  <c r="L13" i="19"/>
  <c r="J13" i="19"/>
  <c r="D13" i="19"/>
  <c r="P13" i="19"/>
  <c r="H13" i="19"/>
  <c r="F13" i="19"/>
  <c r="X13" i="19"/>
  <c r="N13" i="26"/>
  <c r="N13" i="19"/>
  <c r="P13" i="26"/>
  <c r="AL13" i="19"/>
  <c r="X13" i="26"/>
  <c r="AN13" i="19"/>
  <c r="T13" i="26"/>
  <c r="D12" i="26"/>
  <c r="H13" i="26"/>
  <c r="J13" i="26"/>
  <c r="F13" i="26"/>
  <c r="L13" i="26"/>
  <c r="AD13" i="26"/>
  <c r="AJ13" i="19"/>
  <c r="AF13" i="26"/>
  <c r="D13" i="26"/>
  <c r="T13" i="19"/>
  <c r="AH13" i="19"/>
  <c r="AF13" i="19"/>
  <c r="A12" i="20"/>
  <c r="U35" i="20"/>
  <c r="S35" i="20"/>
  <c r="V35" i="20"/>
  <c r="W35" i="20"/>
  <c r="T35" i="20"/>
  <c r="A110" i="19"/>
  <c r="A113" i="19" s="1"/>
  <c r="A19" i="19"/>
  <c r="A18" i="19"/>
  <c r="D19" i="25" l="1"/>
  <c r="AN19" i="25"/>
  <c r="AL19" i="25"/>
  <c r="N19" i="25"/>
  <c r="AH19" i="25"/>
  <c r="A21" i="21"/>
  <c r="P22" i="25" s="1"/>
  <c r="AD19" i="25"/>
  <c r="AJ19" i="25"/>
  <c r="J19" i="27"/>
  <c r="L19" i="27"/>
  <c r="X19" i="25"/>
  <c r="F19" i="27"/>
  <c r="H19" i="27"/>
  <c r="T19" i="25"/>
  <c r="T19" i="27"/>
  <c r="AF19" i="27"/>
  <c r="H19" i="25"/>
  <c r="L19" i="25"/>
  <c r="F19" i="25"/>
  <c r="N19" i="27"/>
  <c r="D19" i="27"/>
  <c r="L22" i="25"/>
  <c r="X22" i="25"/>
  <c r="AN22" i="25"/>
  <c r="F22" i="27"/>
  <c r="N22" i="27"/>
  <c r="T16" i="19"/>
  <c r="D22" i="25"/>
  <c r="T22" i="27"/>
  <c r="X16" i="19"/>
  <c r="D16" i="19"/>
  <c r="F16" i="19"/>
  <c r="J16" i="19"/>
  <c r="N16" i="19"/>
  <c r="AF16" i="26"/>
  <c r="AF16" i="19"/>
  <c r="T16" i="26"/>
  <c r="AL16" i="19"/>
  <c r="J16" i="26"/>
  <c r="F16" i="26"/>
  <c r="AJ16" i="19"/>
  <c r="AN16" i="19"/>
  <c r="H16" i="26"/>
  <c r="N16" i="26"/>
  <c r="L16" i="26"/>
  <c r="X16" i="26"/>
  <c r="D15" i="19"/>
  <c r="AD16" i="19"/>
  <c r="H16" i="19"/>
  <c r="D16" i="26"/>
  <c r="D15" i="26"/>
  <c r="AH16" i="19"/>
  <c r="AD16" i="26"/>
  <c r="P16" i="26"/>
  <c r="A13" i="20"/>
  <c r="P16" i="19"/>
  <c r="L16" i="19"/>
  <c r="A21" i="19"/>
  <c r="A22" i="19"/>
  <c r="D21" i="25" l="1"/>
  <c r="AL22" i="25"/>
  <c r="H22" i="27"/>
  <c r="AF22" i="27"/>
  <c r="AF22" i="25"/>
  <c r="F22" i="25"/>
  <c r="AH22" i="25"/>
  <c r="N22" i="25"/>
  <c r="D22" i="27"/>
  <c r="A22" i="21"/>
  <c r="L25" i="25" s="1"/>
  <c r="J22" i="27"/>
  <c r="J22" i="25"/>
  <c r="T22" i="25"/>
  <c r="L22" i="27"/>
  <c r="H22" i="25"/>
  <c r="X22" i="27"/>
  <c r="AD22" i="27"/>
  <c r="D21" i="27"/>
  <c r="AJ22" i="25"/>
  <c r="P22" i="27"/>
  <c r="AD22" i="25"/>
  <c r="H19" i="26"/>
  <c r="D25" i="25"/>
  <c r="A23" i="21"/>
  <c r="D28" i="25" s="1"/>
  <c r="F25" i="25"/>
  <c r="F25" i="27"/>
  <c r="D24" i="25"/>
  <c r="X25" i="27"/>
  <c r="AF25" i="27"/>
  <c r="AF25" i="25"/>
  <c r="N25" i="25"/>
  <c r="AD25" i="25"/>
  <c r="AL25" i="25"/>
  <c r="P25" i="27"/>
  <c r="J25" i="27"/>
  <c r="X28" i="27"/>
  <c r="H25" i="25"/>
  <c r="AN25" i="25"/>
  <c r="AH25" i="25"/>
  <c r="D25" i="27"/>
  <c r="J25" i="25"/>
  <c r="F28" i="25"/>
  <c r="T25" i="27"/>
  <c r="X25" i="25"/>
  <c r="P25" i="25"/>
  <c r="J19" i="19"/>
  <c r="D19" i="26"/>
  <c r="H19" i="19"/>
  <c r="D19" i="19"/>
  <c r="AD19" i="26"/>
  <c r="F19" i="26"/>
  <c r="X19" i="26"/>
  <c r="L19" i="26"/>
  <c r="AN19" i="19"/>
  <c r="J19" i="26"/>
  <c r="AF19" i="19"/>
  <c r="AF19" i="26"/>
  <c r="N19" i="26"/>
  <c r="AL19" i="19"/>
  <c r="D18" i="26"/>
  <c r="AJ19" i="19"/>
  <c r="AH19" i="19"/>
  <c r="P19" i="26"/>
  <c r="T19" i="19"/>
  <c r="X19" i="19"/>
  <c r="L19" i="19"/>
  <c r="D18" i="19"/>
  <c r="A14" i="20"/>
  <c r="AD19" i="19"/>
  <c r="F19" i="19"/>
  <c r="N19" i="19"/>
  <c r="P19" i="19"/>
  <c r="A25" i="19"/>
  <c r="A24" i="19"/>
  <c r="D24" i="27" l="1"/>
  <c r="N25" i="27"/>
  <c r="AJ25" i="25"/>
  <c r="H25" i="27"/>
  <c r="T25" i="25"/>
  <c r="AD25" i="27"/>
  <c r="L25" i="27"/>
  <c r="H28" i="25"/>
  <c r="AH28" i="25"/>
  <c r="L28" i="27"/>
  <c r="P28" i="27"/>
  <c r="J28" i="25"/>
  <c r="X28" i="25"/>
  <c r="D28" i="27"/>
  <c r="T28" i="25"/>
  <c r="F28" i="27"/>
  <c r="N28" i="25"/>
  <c r="AJ28" i="25"/>
  <c r="L28" i="25"/>
  <c r="N28" i="27"/>
  <c r="A24" i="21"/>
  <c r="J31" i="25" s="1"/>
  <c r="AL28" i="25"/>
  <c r="H28" i="27"/>
  <c r="AF28" i="27"/>
  <c r="J28" i="27"/>
  <c r="AN28" i="25"/>
  <c r="D27" i="25"/>
  <c r="AD28" i="27"/>
  <c r="D27" i="27"/>
  <c r="N22" i="26"/>
  <c r="J22" i="19"/>
  <c r="AL22" i="19"/>
  <c r="L22" i="26"/>
  <c r="AH22" i="19"/>
  <c r="F22" i="19"/>
  <c r="AD22" i="19"/>
  <c r="X22" i="19"/>
  <c r="D22" i="19"/>
  <c r="H22" i="19"/>
  <c r="N22" i="19"/>
  <c r="D21" i="19"/>
  <c r="P22" i="19"/>
  <c r="A15" i="20"/>
  <c r="L22" i="19"/>
  <c r="A27" i="19"/>
  <c r="A28" i="19"/>
  <c r="J25" i="19" l="1"/>
  <c r="P31" i="25"/>
  <c r="AD31" i="27"/>
  <c r="D31" i="25"/>
  <c r="L31" i="27"/>
  <c r="L31" i="25"/>
  <c r="H31" i="25"/>
  <c r="A25" i="21"/>
  <c r="AN34" i="25" s="1"/>
  <c r="AJ31" i="25"/>
  <c r="H31" i="27"/>
  <c r="AF31" i="25"/>
  <c r="N31" i="25"/>
  <c r="F31" i="27"/>
  <c r="X31" i="27"/>
  <c r="AD31" i="25"/>
  <c r="D30" i="25"/>
  <c r="T31" i="25"/>
  <c r="D30" i="27"/>
  <c r="J31" i="27"/>
  <c r="AL31" i="25"/>
  <c r="X25" i="19"/>
  <c r="F25" i="19"/>
  <c r="N25" i="19"/>
  <c r="D25" i="19"/>
  <c r="D24" i="19"/>
  <c r="AD25" i="19"/>
  <c r="P25" i="19"/>
  <c r="P25" i="26"/>
  <c r="A16" i="20"/>
  <c r="H25" i="19"/>
  <c r="L25" i="19"/>
  <c r="A31" i="19"/>
  <c r="A30" i="19"/>
  <c r="AF34" i="27" l="1"/>
  <c r="N34" i="25"/>
  <c r="F34" i="27"/>
  <c r="D34" i="27"/>
  <c r="J34" i="25"/>
  <c r="D33" i="27"/>
  <c r="T34" i="25"/>
  <c r="P28" i="19"/>
  <c r="A26" i="21"/>
  <c r="A27" i="21" s="1"/>
  <c r="A28" i="21" s="1"/>
  <c r="A29" i="21" s="1"/>
  <c r="A30" i="21" s="1"/>
  <c r="A31" i="21" s="1"/>
  <c r="A32" i="21" s="1"/>
  <c r="A33" i="21" s="1"/>
  <c r="A34" i="21" s="1"/>
  <c r="A35" i="21" s="1"/>
  <c r="A36" i="21" s="1"/>
  <c r="A37" i="21" s="1"/>
  <c r="A38" i="21" s="1"/>
  <c r="A39" i="21" s="1"/>
  <c r="A40" i="21" s="1"/>
  <c r="A41" i="21" s="1"/>
  <c r="A42" i="21" s="1"/>
  <c r="D66" i="25" s="1"/>
  <c r="F28" i="19"/>
  <c r="AD28" i="19"/>
  <c r="D27" i="19"/>
  <c r="J28" i="19"/>
  <c r="H28" i="19"/>
  <c r="D28" i="19"/>
  <c r="X28" i="19"/>
  <c r="A17" i="20"/>
  <c r="L28" i="19"/>
  <c r="N28" i="19"/>
  <c r="A33" i="19"/>
  <c r="A34" i="19"/>
  <c r="D30" i="19" l="1"/>
  <c r="D69" i="25"/>
  <c r="N64" i="27"/>
  <c r="A44" i="21"/>
  <c r="D84" i="27"/>
  <c r="D81" i="27"/>
  <c r="D42" i="25"/>
  <c r="D66" i="27"/>
  <c r="D60" i="25"/>
  <c r="D81" i="25"/>
  <c r="D84" i="25"/>
  <c r="D48" i="25"/>
  <c r="D42" i="27"/>
  <c r="D63" i="25"/>
  <c r="D36" i="27"/>
  <c r="D72" i="27"/>
  <c r="D57" i="27"/>
  <c r="D36" i="25"/>
  <c r="D39" i="27"/>
  <c r="D33" i="25"/>
  <c r="D78" i="27"/>
  <c r="D51" i="25"/>
  <c r="D60" i="27"/>
  <c r="D78" i="25"/>
  <c r="D75" i="25"/>
  <c r="D75" i="27"/>
  <c r="D57" i="25"/>
  <c r="D63" i="27"/>
  <c r="D72" i="25"/>
  <c r="D45" i="27"/>
  <c r="D69" i="27"/>
  <c r="D48" i="27"/>
  <c r="D51" i="27"/>
  <c r="D45" i="25"/>
  <c r="D54" i="27"/>
  <c r="D39" i="25"/>
  <c r="D54" i="25"/>
  <c r="AD31" i="19"/>
  <c r="J31" i="19"/>
  <c r="X31" i="19"/>
  <c r="D31" i="19"/>
  <c r="F31" i="19"/>
  <c r="P31" i="19"/>
  <c r="A18" i="20"/>
  <c r="A37" i="19"/>
  <c r="A36" i="19"/>
  <c r="A19" i="20" l="1"/>
  <c r="A20" i="20" s="1"/>
  <c r="A21" i="20" s="1"/>
  <c r="A22" i="20" s="1"/>
  <c r="A23"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6" i="21"/>
  <c r="A57" i="21" s="1"/>
  <c r="AH37" i="25"/>
  <c r="AH82" i="25"/>
  <c r="AD46" i="25"/>
  <c r="AF79" i="25"/>
  <c r="AH58" i="25"/>
  <c r="L58" i="27"/>
  <c r="AF58" i="25"/>
  <c r="AD76" i="25"/>
  <c r="AF28" i="25"/>
  <c r="AD28" i="25"/>
  <c r="N73" i="25"/>
  <c r="AD49" i="27"/>
  <c r="L64" i="25"/>
  <c r="AD52" i="27"/>
  <c r="X76" i="25"/>
  <c r="AF46" i="25"/>
  <c r="AD58" i="25"/>
  <c r="AD37" i="25"/>
  <c r="AH79" i="25"/>
  <c r="N58" i="27"/>
  <c r="J67" i="27"/>
  <c r="J34" i="27"/>
  <c r="T61" i="25"/>
  <c r="P28" i="25"/>
  <c r="AL73" i="25"/>
  <c r="N34" i="27"/>
  <c r="AN70" i="25"/>
  <c r="AF40" i="25"/>
  <c r="AD34" i="25"/>
  <c r="AF73" i="25"/>
  <c r="AD40" i="25"/>
  <c r="AF55" i="25"/>
  <c r="AH52" i="25"/>
  <c r="AF70" i="25"/>
  <c r="AH73" i="25"/>
  <c r="H76" i="27"/>
  <c r="P61" i="25"/>
  <c r="AD52" i="25"/>
  <c r="AF85" i="25"/>
  <c r="AF76" i="25"/>
  <c r="F73" i="27"/>
  <c r="F67" i="25"/>
  <c r="L43" i="27"/>
  <c r="AF34" i="25"/>
  <c r="H34" i="27"/>
  <c r="AH40" i="25"/>
  <c r="X73" i="25"/>
  <c r="N64" i="25"/>
  <c r="H55" i="25"/>
  <c r="D52" i="27"/>
  <c r="AD70" i="27"/>
  <c r="L40" i="25"/>
  <c r="AD67" i="25"/>
  <c r="H79" i="25"/>
  <c r="T82" i="27"/>
  <c r="T37" i="25"/>
  <c r="N79" i="25"/>
  <c r="AD49" i="25"/>
  <c r="AD61" i="25"/>
  <c r="AH34" i="25"/>
  <c r="AD85" i="25"/>
  <c r="J46" i="27"/>
  <c r="L70" i="27"/>
  <c r="D31" i="27"/>
  <c r="P85" i="25"/>
  <c r="X85" i="25"/>
  <c r="F55" i="25"/>
  <c r="AF82" i="25"/>
  <c r="AF85" i="27"/>
  <c r="AL43" i="25"/>
  <c r="AJ82" i="25"/>
  <c r="AD73" i="27"/>
  <c r="N52" i="27"/>
  <c r="AD40" i="27"/>
  <c r="N49" i="25"/>
  <c r="D70" i="25"/>
  <c r="L73" i="27"/>
  <c r="AF31" i="27"/>
  <c r="X79" i="25"/>
  <c r="P64" i="27"/>
  <c r="AD79" i="25"/>
  <c r="AH61" i="25"/>
  <c r="F49" i="25"/>
  <c r="L67" i="27"/>
  <c r="H61" i="27"/>
  <c r="AH49" i="25"/>
  <c r="P67" i="27"/>
  <c r="J64" i="27"/>
  <c r="F31" i="25"/>
  <c r="T61" i="27"/>
  <c r="P64" i="25"/>
  <c r="X37" i="25"/>
  <c r="P55" i="27"/>
  <c r="AH85" i="25"/>
  <c r="J76" i="27"/>
  <c r="X31" i="25"/>
  <c r="L34" i="27"/>
  <c r="L40" i="27"/>
  <c r="AD70" i="25"/>
  <c r="T70" i="27"/>
  <c r="AF43" i="25"/>
  <c r="T64" i="27"/>
  <c r="AF52" i="25"/>
  <c r="J61" i="25"/>
  <c r="X82" i="27"/>
  <c r="T70" i="25"/>
  <c r="AJ73" i="25"/>
  <c r="X79" i="27"/>
  <c r="P82" i="27"/>
  <c r="H37" i="25"/>
  <c r="D67" i="25"/>
  <c r="AD82" i="25"/>
  <c r="AN61" i="25"/>
  <c r="H79" i="27"/>
  <c r="AN82" i="25"/>
  <c r="N79" i="27"/>
  <c r="X34" i="27"/>
  <c r="H73" i="27"/>
  <c r="J61" i="27"/>
  <c r="AJ34" i="25"/>
  <c r="F82" i="25"/>
  <c r="T58" i="27"/>
  <c r="AF61" i="27"/>
  <c r="D73" i="27"/>
  <c r="AN46" i="25"/>
  <c r="N61" i="27"/>
  <c r="AJ67" i="25"/>
  <c r="X49" i="27"/>
  <c r="F85" i="25"/>
  <c r="N85" i="25"/>
  <c r="N31" i="27"/>
  <c r="J58" i="27"/>
  <c r="D52" i="25"/>
  <c r="N55" i="27"/>
  <c r="D49" i="25"/>
  <c r="AH46" i="25"/>
  <c r="J85" i="25"/>
  <c r="AN31" i="25"/>
  <c r="H52" i="27"/>
  <c r="P67" i="25"/>
  <c r="N43" i="25"/>
  <c r="D76" i="25"/>
  <c r="AJ49" i="25"/>
  <c r="P31" i="27"/>
  <c r="T55" i="27"/>
  <c r="N37" i="25"/>
  <c r="D79" i="25"/>
  <c r="N82" i="27"/>
  <c r="AL37" i="25"/>
  <c r="X43" i="25"/>
  <c r="D37" i="25"/>
  <c r="AD61" i="27"/>
  <c r="AF61" i="25"/>
  <c r="L79" i="27"/>
  <c r="L49" i="25"/>
  <c r="X82" i="25"/>
  <c r="D40" i="25"/>
  <c r="L55" i="25"/>
  <c r="N55" i="25"/>
  <c r="F79" i="27"/>
  <c r="H64" i="25"/>
  <c r="AJ70" i="25"/>
  <c r="F46" i="25"/>
  <c r="AF67" i="25"/>
  <c r="AF49" i="25"/>
  <c r="N76" i="25"/>
  <c r="AF64" i="25"/>
  <c r="F40" i="25"/>
  <c r="J49" i="25"/>
  <c r="F61" i="27"/>
  <c r="D61" i="25"/>
  <c r="D34" i="25"/>
  <c r="F64" i="27"/>
  <c r="AF73" i="27"/>
  <c r="X61" i="27"/>
  <c r="AD34" i="27"/>
  <c r="H85" i="27"/>
  <c r="N52" i="25"/>
  <c r="P40" i="25"/>
  <c r="N73" i="27"/>
  <c r="P58" i="25"/>
  <c r="N49" i="27"/>
  <c r="P85" i="27"/>
  <c r="L85" i="27"/>
  <c r="P70" i="27"/>
  <c r="J70" i="27"/>
  <c r="AL70" i="25"/>
  <c r="AH67" i="25"/>
  <c r="X61" i="25"/>
  <c r="J40" i="25"/>
  <c r="J76" i="25"/>
  <c r="J70" i="25"/>
  <c r="N37" i="27"/>
  <c r="F49" i="27"/>
  <c r="T85" i="25"/>
  <c r="L46" i="25"/>
  <c r="AJ76" i="25"/>
  <c r="J85" i="27"/>
  <c r="D67" i="27"/>
  <c r="H70" i="25"/>
  <c r="D55" i="25"/>
  <c r="AF37" i="25"/>
  <c r="X58" i="27"/>
  <c r="AH31" i="25"/>
  <c r="X67" i="27"/>
  <c r="X73" i="27"/>
  <c r="T43" i="25"/>
  <c r="AF52" i="27"/>
  <c r="J49" i="27"/>
  <c r="J43" i="25"/>
  <c r="AH76" i="25"/>
  <c r="AN52" i="25"/>
  <c r="L61" i="27"/>
  <c r="H43" i="27"/>
  <c r="X52" i="27"/>
  <c r="P55" i="25"/>
  <c r="J37" i="25"/>
  <c r="AN67" i="25"/>
  <c r="AL61" i="25"/>
  <c r="T64" i="25"/>
  <c r="L34" i="25"/>
  <c r="X58" i="25"/>
  <c r="X40" i="25"/>
  <c r="AH64" i="25"/>
  <c r="AJ37" i="25"/>
  <c r="H61" i="25"/>
  <c r="AL46" i="25"/>
  <c r="H85" i="25"/>
  <c r="AH70" i="25"/>
  <c r="L46" i="27"/>
  <c r="AN64" i="25"/>
  <c r="X67" i="25"/>
  <c r="X34" i="25"/>
  <c r="AL40" i="25"/>
  <c r="T79" i="27"/>
  <c r="X52" i="25"/>
  <c r="F43" i="27"/>
  <c r="AL64" i="25"/>
  <c r="N67" i="25"/>
  <c r="P79" i="25"/>
  <c r="D55" i="27"/>
  <c r="AD46" i="27"/>
  <c r="F70" i="27"/>
  <c r="N46" i="27"/>
  <c r="D43" i="25"/>
  <c r="T46" i="25"/>
  <c r="H34" i="25"/>
  <c r="H76" i="25"/>
  <c r="J40" i="27"/>
  <c r="N67" i="27"/>
  <c r="AL82" i="25"/>
  <c r="F73" i="25"/>
  <c r="N43" i="27"/>
  <c r="AD37" i="27"/>
  <c r="D46" i="25"/>
  <c r="X49" i="25"/>
  <c r="AJ46" i="25"/>
  <c r="AD73" i="25"/>
  <c r="N70" i="25"/>
  <c r="F46" i="27"/>
  <c r="AJ58" i="25"/>
  <c r="P52" i="25"/>
  <c r="F52" i="27"/>
  <c r="AF76" i="27"/>
  <c r="T85" i="27"/>
  <c r="N40" i="25"/>
  <c r="X85" i="27"/>
  <c r="H58" i="25"/>
  <c r="H40" i="25"/>
  <c r="AL34" i="25"/>
  <c r="AN55" i="25"/>
  <c r="F34" i="25"/>
  <c r="T52" i="27"/>
  <c r="D82" i="25"/>
  <c r="AN43" i="25"/>
  <c r="AF40" i="27"/>
  <c r="L55" i="27"/>
  <c r="H82" i="25"/>
  <c r="J79" i="27"/>
  <c r="H67" i="27"/>
  <c r="H43" i="25"/>
  <c r="J82" i="27"/>
  <c r="X64" i="25"/>
  <c r="T79" i="25"/>
  <c r="P70" i="25"/>
  <c r="X70" i="27"/>
  <c r="AF82" i="27"/>
  <c r="H49" i="27"/>
  <c r="L79" i="25"/>
  <c r="J55" i="25"/>
  <c r="L82" i="27"/>
  <c r="T67" i="25"/>
  <c r="AD64" i="27"/>
  <c r="P49" i="27"/>
  <c r="J37" i="27"/>
  <c r="J82" i="25"/>
  <c r="D85" i="27"/>
  <c r="AN49" i="25"/>
  <c r="P82" i="25"/>
  <c r="D64" i="27"/>
  <c r="T40" i="27"/>
  <c r="J73" i="27"/>
  <c r="J79" i="25"/>
  <c r="AL52" i="25"/>
  <c r="T82" i="25"/>
  <c r="L76" i="25"/>
  <c r="H46" i="25"/>
  <c r="T73" i="27"/>
  <c r="F40" i="27"/>
  <c r="D85" i="25"/>
  <c r="H73" i="25"/>
  <c r="AD85" i="27"/>
  <c r="P73" i="25"/>
  <c r="X46" i="25"/>
  <c r="AL67" i="25"/>
  <c r="P73" i="27"/>
  <c r="AD43" i="25"/>
  <c r="AN40" i="25"/>
  <c r="AJ85" i="25"/>
  <c r="AF79" i="27"/>
  <c r="D40" i="27"/>
  <c r="T76" i="25"/>
  <c r="F76" i="25"/>
  <c r="J64" i="25"/>
  <c r="AN79" i="25"/>
  <c r="AD43" i="27"/>
  <c r="T58" i="25"/>
  <c r="X46" i="27"/>
  <c r="H49" i="25"/>
  <c r="AF64" i="27"/>
  <c r="L67" i="25"/>
  <c r="L85" i="25"/>
  <c r="T49" i="27"/>
  <c r="AN85" i="25"/>
  <c r="AJ64" i="25"/>
  <c r="D79" i="27"/>
  <c r="P40" i="27"/>
  <c r="F43" i="25"/>
  <c r="F85" i="27"/>
  <c r="N40" i="27"/>
  <c r="AD64" i="25"/>
  <c r="AD79" i="27"/>
  <c r="X64" i="27"/>
  <c r="AJ52" i="25"/>
  <c r="H55" i="27"/>
  <c r="J52" i="25"/>
  <c r="AL49" i="25"/>
  <c r="AF43" i="27"/>
  <c r="AJ43" i="25"/>
  <c r="F67" i="27"/>
  <c r="D61" i="27"/>
  <c r="AF46" i="27"/>
  <c r="H40" i="27"/>
  <c r="AN37" i="25"/>
  <c r="D73" i="25"/>
  <c r="D58" i="25"/>
  <c r="F61" i="25"/>
  <c r="N76" i="27"/>
  <c r="J52" i="27"/>
  <c r="AL55" i="25"/>
  <c r="H70" i="27"/>
  <c r="AF55" i="27"/>
  <c r="L37" i="27"/>
  <c r="L49" i="27"/>
  <c r="D37" i="27"/>
  <c r="P58" i="27"/>
  <c r="AL85" i="25"/>
  <c r="H64" i="27"/>
  <c r="N70" i="27"/>
  <c r="F70" i="25"/>
  <c r="X76" i="27"/>
  <c r="N46" i="25"/>
  <c r="AJ61" i="25"/>
  <c r="X55" i="25"/>
  <c r="N82" i="25"/>
  <c r="AJ55" i="25"/>
  <c r="F52" i="25"/>
  <c r="N58" i="25"/>
  <c r="H82" i="27"/>
  <c r="AL79" i="25"/>
  <c r="D82" i="27"/>
  <c r="D46" i="27"/>
  <c r="F82" i="27"/>
  <c r="AF49" i="27"/>
  <c r="D64" i="25"/>
  <c r="H52" i="25"/>
  <c r="P61" i="27"/>
  <c r="AN58" i="25"/>
  <c r="H46" i="27"/>
  <c r="AD58" i="27"/>
  <c r="T52" i="25"/>
  <c r="D49" i="27"/>
  <c r="P76" i="25"/>
  <c r="AN73" i="25"/>
  <c r="AF70" i="27"/>
  <c r="AF37" i="27"/>
  <c r="AL58" i="25"/>
  <c r="L76" i="27"/>
  <c r="L37" i="25"/>
  <c r="N61" i="25"/>
  <c r="T73" i="25"/>
  <c r="J55" i="27"/>
  <c r="AD76" i="27"/>
  <c r="P76" i="27"/>
  <c r="AD82" i="27"/>
  <c r="D70" i="27"/>
  <c r="F55" i="27"/>
  <c r="AL76" i="25"/>
  <c r="H58" i="27"/>
  <c r="L64" i="27"/>
  <c r="F58" i="27"/>
  <c r="AF67" i="27"/>
  <c r="F37" i="25"/>
  <c r="X43" i="27"/>
  <c r="P52" i="27"/>
  <c r="L61" i="25"/>
  <c r="X55" i="27"/>
  <c r="D43" i="27"/>
  <c r="L73" i="25"/>
  <c r="D58" i="27"/>
  <c r="F37" i="27"/>
  <c r="AJ40" i="25"/>
  <c r="AH55" i="25"/>
  <c r="J67" i="25"/>
  <c r="F76" i="27"/>
  <c r="J73" i="25"/>
  <c r="T55" i="25"/>
  <c r="AN76" i="25"/>
  <c r="AD67" i="27"/>
  <c r="AF58" i="27"/>
  <c r="F79" i="25"/>
  <c r="H37" i="27"/>
  <c r="L52" i="27"/>
  <c r="T67" i="27"/>
  <c r="P79" i="27"/>
  <c r="J46" i="25"/>
  <c r="T40" i="25"/>
  <c r="D76" i="27"/>
  <c r="L70" i="25"/>
  <c r="L43" i="25"/>
  <c r="T76" i="27"/>
  <c r="P49" i="25"/>
  <c r="AH43" i="25"/>
  <c r="F58" i="25"/>
  <c r="AD55" i="27"/>
  <c r="J58" i="25"/>
  <c r="F64" i="25"/>
  <c r="L82" i="25"/>
  <c r="L58" i="25"/>
  <c r="H67" i="25"/>
  <c r="N85" i="27"/>
  <c r="T49" i="25"/>
  <c r="AD55" i="25"/>
  <c r="X70" i="25"/>
  <c r="AJ79" i="25"/>
  <c r="X37" i="27"/>
  <c r="X40" i="27"/>
  <c r="J43" i="27"/>
  <c r="L52" i="25"/>
  <c r="J34" i="19"/>
  <c r="F34" i="19"/>
  <c r="T25" i="26"/>
  <c r="T28" i="26"/>
  <c r="T19" i="26"/>
  <c r="AH28" i="19"/>
  <c r="F40" i="26"/>
  <c r="L28" i="26"/>
  <c r="AF31" i="19"/>
  <c r="AN28" i="19"/>
  <c r="T22" i="19"/>
  <c r="X25" i="26"/>
  <c r="F28" i="26"/>
  <c r="AF31" i="26"/>
  <c r="T22" i="26"/>
  <c r="AL34" i="19"/>
  <c r="AH31" i="19"/>
  <c r="X73" i="26"/>
  <c r="AF34" i="26"/>
  <c r="F25" i="26"/>
  <c r="N28" i="26"/>
  <c r="AN31" i="19"/>
  <c r="AN34" i="19"/>
  <c r="P28" i="26"/>
  <c r="AL25" i="19"/>
  <c r="AD22" i="26"/>
  <c r="L34" i="26"/>
  <c r="AN25" i="19"/>
  <c r="X64" i="26"/>
  <c r="AD46" i="26"/>
  <c r="F31" i="26"/>
  <c r="T31" i="26"/>
  <c r="AL28" i="19"/>
  <c r="T31" i="19"/>
  <c r="J25" i="26"/>
  <c r="AF34" i="19"/>
  <c r="AN22" i="19"/>
  <c r="H34" i="26"/>
  <c r="P40" i="26"/>
  <c r="AJ28" i="19"/>
  <c r="N31" i="26"/>
  <c r="H22" i="26"/>
  <c r="X109" i="26"/>
  <c r="D21" i="26"/>
  <c r="AD25" i="26"/>
  <c r="AF25" i="19"/>
  <c r="AD112" i="26"/>
  <c r="T28" i="19"/>
  <c r="D22" i="26"/>
  <c r="F22" i="26"/>
  <c r="J94" i="26"/>
  <c r="P22" i="26"/>
  <c r="AF22" i="19"/>
  <c r="P34" i="26"/>
  <c r="AH34" i="19"/>
  <c r="AF22" i="26"/>
  <c r="X85" i="26"/>
  <c r="T34" i="19"/>
  <c r="J22" i="26"/>
  <c r="AJ22" i="19"/>
  <c r="P31" i="26"/>
  <c r="H91" i="26"/>
  <c r="H31" i="26"/>
  <c r="N25" i="26"/>
  <c r="X22" i="26"/>
  <c r="D30" i="26"/>
  <c r="AF28" i="19"/>
  <c r="L85" i="26"/>
  <c r="AD28" i="26"/>
  <c r="D24" i="26"/>
  <c r="AD34" i="26"/>
  <c r="D58" i="26"/>
  <c r="AH25" i="19"/>
  <c r="T106" i="26"/>
  <c r="F34" i="26"/>
  <c r="H28" i="26"/>
  <c r="AD31" i="26"/>
  <c r="J34" i="26"/>
  <c r="J49" i="26"/>
  <c r="X31" i="26"/>
  <c r="AJ34" i="19"/>
  <c r="T34" i="26"/>
  <c r="AL31" i="19"/>
  <c r="N34" i="26"/>
  <c r="H25" i="26"/>
  <c r="D28" i="26"/>
  <c r="D45" i="26"/>
  <c r="T25" i="19"/>
  <c r="L25" i="26"/>
  <c r="D27" i="26"/>
  <c r="H85" i="26"/>
  <c r="J28" i="26"/>
  <c r="D34" i="26"/>
  <c r="AF28" i="26"/>
  <c r="H97" i="26"/>
  <c r="X34" i="26"/>
  <c r="D33" i="26"/>
  <c r="AF25" i="26"/>
  <c r="D25" i="26"/>
  <c r="AJ31" i="19"/>
  <c r="AJ25" i="19"/>
  <c r="J31" i="26"/>
  <c r="J88" i="26"/>
  <c r="X28" i="26"/>
  <c r="P67" i="26"/>
  <c r="L31" i="26"/>
  <c r="D31" i="26"/>
  <c r="D34" i="19"/>
  <c r="X34" i="19"/>
  <c r="D33" i="19"/>
  <c r="AD34" i="19"/>
  <c r="H31" i="19"/>
  <c r="P34" i="19"/>
  <c r="N31" i="19"/>
  <c r="H34" i="19"/>
  <c r="L31" i="19"/>
  <c r="L34" i="19"/>
  <c r="N34" i="19"/>
  <c r="X37" i="19"/>
  <c r="A39" i="19"/>
  <c r="A40" i="19"/>
  <c r="AL40" i="19" s="1"/>
  <c r="H40" i="19" l="1"/>
  <c r="H58" i="26"/>
  <c r="D57" i="26"/>
  <c r="H52" i="26"/>
  <c r="J106" i="26"/>
  <c r="N85" i="26"/>
  <c r="T64" i="26"/>
  <c r="D69" i="26"/>
  <c r="P55" i="26"/>
  <c r="X94" i="26"/>
  <c r="F97" i="26"/>
  <c r="F37" i="19"/>
  <c r="D36" i="19"/>
  <c r="X103" i="26"/>
  <c r="D105" i="26"/>
  <c r="J58" i="26"/>
  <c r="AD106" i="26"/>
  <c r="P82" i="26"/>
  <c r="AN37" i="19"/>
  <c r="L100" i="26"/>
  <c r="J52" i="26"/>
  <c r="T73" i="26"/>
  <c r="N49" i="26"/>
  <c r="F67" i="26"/>
  <c r="AF55" i="26"/>
  <c r="N97" i="26"/>
  <c r="AD49" i="26"/>
  <c r="D66" i="26"/>
  <c r="J43" i="26"/>
  <c r="P58" i="26"/>
  <c r="L40" i="19"/>
  <c r="L109" i="26"/>
  <c r="AF91" i="26"/>
  <c r="F58" i="26"/>
  <c r="P70" i="26"/>
  <c r="D94" i="26"/>
  <c r="F88" i="26"/>
  <c r="AD37" i="26"/>
  <c r="D87" i="26"/>
  <c r="L76" i="26"/>
  <c r="AJ37" i="19"/>
  <c r="AD91" i="26"/>
  <c r="N109" i="26"/>
  <c r="AF70" i="26"/>
  <c r="D88" i="26"/>
  <c r="N94" i="26"/>
  <c r="D97" i="26"/>
  <c r="D109" i="26"/>
  <c r="N88" i="26"/>
  <c r="F82" i="26"/>
  <c r="L40" i="26"/>
  <c r="AD79" i="26"/>
  <c r="T37" i="19"/>
  <c r="F76" i="26"/>
  <c r="N112" i="26"/>
  <c r="AF46" i="26"/>
  <c r="X100" i="26"/>
  <c r="F85" i="26"/>
  <c r="F46" i="26"/>
  <c r="D106" i="26"/>
  <c r="AF67" i="26"/>
  <c r="T40" i="19"/>
  <c r="T61" i="26"/>
  <c r="F70" i="26"/>
  <c r="N37" i="19"/>
  <c r="D93" i="26"/>
  <c r="P97" i="26"/>
  <c r="D102" i="26"/>
  <c r="F112" i="26"/>
  <c r="D91" i="26"/>
  <c r="X58" i="26"/>
  <c r="D90" i="26"/>
  <c r="N91" i="26"/>
  <c r="J37" i="26"/>
  <c r="P109" i="26"/>
  <c r="AF73" i="26"/>
  <c r="AD103" i="26"/>
  <c r="L94" i="26"/>
  <c r="X70" i="26"/>
  <c r="N67" i="26"/>
  <c r="AD85" i="26"/>
  <c r="D75" i="26"/>
  <c r="D81" i="26"/>
  <c r="D70" i="26"/>
  <c r="T82" i="26"/>
  <c r="N79" i="26"/>
  <c r="N40" i="26"/>
  <c r="D72" i="26"/>
  <c r="D36" i="26"/>
  <c r="P100" i="26"/>
  <c r="L70" i="26"/>
  <c r="P112" i="26"/>
  <c r="F103" i="26"/>
  <c r="D79" i="26"/>
  <c r="X43" i="26"/>
  <c r="AF106" i="26"/>
  <c r="AL37" i="19"/>
  <c r="AD64" i="26"/>
  <c r="AD70" i="26"/>
  <c r="P73" i="26"/>
  <c r="D99" i="26"/>
  <c r="N43" i="26"/>
  <c r="X49" i="26"/>
  <c r="T58" i="26"/>
  <c r="AF40" i="19"/>
  <c r="AD37" i="19"/>
  <c r="P37" i="19"/>
  <c r="H37" i="19"/>
  <c r="T67" i="26"/>
  <c r="X91" i="26"/>
  <c r="X46" i="26"/>
  <c r="H73" i="26"/>
  <c r="L67" i="26"/>
  <c r="P64" i="26"/>
  <c r="H40" i="26"/>
  <c r="L43" i="26"/>
  <c r="D112" i="26"/>
  <c r="AF43" i="26"/>
  <c r="D63" i="26"/>
  <c r="P61" i="26"/>
  <c r="N52" i="26"/>
  <c r="X76" i="26"/>
  <c r="J79" i="26"/>
  <c r="J76" i="26"/>
  <c r="H112" i="26"/>
  <c r="H70" i="26"/>
  <c r="P103" i="26"/>
  <c r="P94" i="26"/>
  <c r="T112" i="26"/>
  <c r="L61" i="26"/>
  <c r="D67" i="26"/>
  <c r="D52" i="26"/>
  <c r="H82" i="26"/>
  <c r="J112" i="26"/>
  <c r="J109" i="26"/>
  <c r="P91" i="26"/>
  <c r="N106" i="26"/>
  <c r="J61" i="26"/>
  <c r="F55" i="26"/>
  <c r="L58" i="26"/>
  <c r="F106" i="26"/>
  <c r="L64" i="26"/>
  <c r="D42" i="26"/>
  <c r="D84" i="26"/>
  <c r="N76" i="26"/>
  <c r="AF37" i="26"/>
  <c r="AD76" i="26"/>
  <c r="L103" i="26"/>
  <c r="P43" i="26"/>
  <c r="H64" i="26"/>
  <c r="H76" i="26"/>
  <c r="D49" i="26"/>
  <c r="AF61" i="26"/>
  <c r="AN40" i="19"/>
  <c r="X67" i="26"/>
  <c r="D96" i="26"/>
  <c r="T85" i="26"/>
  <c r="AD94" i="26"/>
  <c r="AD40" i="26"/>
  <c r="AD100" i="26"/>
  <c r="AD61" i="26"/>
  <c r="X61" i="26"/>
  <c r="L37" i="26"/>
  <c r="AF97" i="26"/>
  <c r="T97" i="26"/>
  <c r="L79" i="26"/>
  <c r="X97" i="26"/>
  <c r="D103" i="26"/>
  <c r="T70" i="26"/>
  <c r="AF40" i="26"/>
  <c r="D48" i="26"/>
  <c r="J82" i="26"/>
  <c r="AD67" i="26"/>
  <c r="AD58" i="26"/>
  <c r="J97" i="26"/>
  <c r="P46" i="26"/>
  <c r="H67" i="26"/>
  <c r="L55" i="26"/>
  <c r="T40" i="26"/>
  <c r="J40" i="26"/>
  <c r="X52" i="26"/>
  <c r="X88" i="26"/>
  <c r="D76" i="26"/>
  <c r="AF112" i="26"/>
  <c r="N82" i="26"/>
  <c r="F49" i="26"/>
  <c r="P79" i="26"/>
  <c r="D51" i="26"/>
  <c r="T43" i="26"/>
  <c r="D37" i="19"/>
  <c r="F94" i="26"/>
  <c r="H55" i="26"/>
  <c r="J91" i="26"/>
  <c r="N55" i="26"/>
  <c r="L52" i="26"/>
  <c r="AJ40" i="19"/>
  <c r="H100" i="26"/>
  <c r="D108" i="26"/>
  <c r="AF79" i="26"/>
  <c r="D85" i="26"/>
  <c r="D46" i="26"/>
  <c r="P88" i="26"/>
  <c r="L112" i="26"/>
  <c r="AF88" i="26"/>
  <c r="J85" i="26"/>
  <c r="D39" i="26"/>
  <c r="J100" i="26"/>
  <c r="T49" i="26"/>
  <c r="T76" i="26"/>
  <c r="AF76" i="26"/>
  <c r="L106" i="26"/>
  <c r="H88" i="26"/>
  <c r="F43" i="26"/>
  <c r="F37" i="26"/>
  <c r="J64" i="26"/>
  <c r="F91" i="26"/>
  <c r="AD97" i="26"/>
  <c r="T100" i="26"/>
  <c r="L46" i="26"/>
  <c r="L91" i="26"/>
  <c r="N73" i="26"/>
  <c r="T52" i="26"/>
  <c r="D43" i="26"/>
  <c r="X112" i="26"/>
  <c r="AF49" i="26"/>
  <c r="N46" i="26"/>
  <c r="T88" i="26"/>
  <c r="AD52" i="26"/>
  <c r="AD43" i="26"/>
  <c r="AD73" i="26"/>
  <c r="AF103" i="26"/>
  <c r="H94" i="26"/>
  <c r="D39" i="19"/>
  <c r="J37" i="19"/>
  <c r="L37" i="19"/>
  <c r="P40" i="19"/>
  <c r="N103" i="26"/>
  <c r="D60" i="26"/>
  <c r="D73" i="26"/>
  <c r="P52" i="26"/>
  <c r="F52" i="26"/>
  <c r="F64" i="26"/>
  <c r="F79" i="26"/>
  <c r="H46" i="26"/>
  <c r="H109" i="26"/>
  <c r="N70" i="26"/>
  <c r="N61" i="26"/>
  <c r="AF82" i="26"/>
  <c r="P37" i="26"/>
  <c r="H103" i="26"/>
  <c r="T91" i="26"/>
  <c r="D100" i="26"/>
  <c r="J67" i="26"/>
  <c r="D54" i="26"/>
  <c r="X106" i="26"/>
  <c r="X55" i="26"/>
  <c r="T79" i="26"/>
  <c r="H79" i="26"/>
  <c r="F109" i="26"/>
  <c r="D61" i="26"/>
  <c r="H43" i="26"/>
  <c r="X79" i="26"/>
  <c r="L97" i="26"/>
  <c r="H61" i="26"/>
  <c r="AD82" i="26"/>
  <c r="AD109" i="26"/>
  <c r="N58" i="26"/>
  <c r="AD88" i="26"/>
  <c r="P49" i="26"/>
  <c r="D82" i="26"/>
  <c r="D37" i="26"/>
  <c r="J103" i="26"/>
  <c r="L49" i="26"/>
  <c r="AD55" i="26"/>
  <c r="AF52" i="26"/>
  <c r="L88" i="26"/>
  <c r="L73" i="26"/>
  <c r="P106" i="26"/>
  <c r="D78" i="26"/>
  <c r="T37" i="26"/>
  <c r="N100" i="26"/>
  <c r="F61" i="26"/>
  <c r="F73" i="26"/>
  <c r="AF85" i="26"/>
  <c r="J70" i="26"/>
  <c r="AF64" i="26"/>
  <c r="X37" i="26"/>
  <c r="J73" i="26"/>
  <c r="T55" i="26"/>
  <c r="T109" i="26"/>
  <c r="N37" i="26"/>
  <c r="T94" i="26"/>
  <c r="P76" i="26"/>
  <c r="H106" i="26"/>
  <c r="AF94" i="26"/>
  <c r="AF100" i="26"/>
  <c r="X82" i="26"/>
  <c r="D55" i="26"/>
  <c r="T103" i="26"/>
  <c r="D40" i="26"/>
  <c r="J46" i="26"/>
  <c r="AF37" i="19"/>
  <c r="J55" i="26"/>
  <c r="P85" i="26"/>
  <c r="AF109" i="26"/>
  <c r="X40" i="26"/>
  <c r="T46" i="26"/>
  <c r="H49" i="26"/>
  <c r="N64" i="26"/>
  <c r="H37" i="26"/>
  <c r="F100" i="26"/>
  <c r="D64" i="26"/>
  <c r="AH37" i="19"/>
  <c r="AF58" i="26"/>
  <c r="L82" i="26"/>
  <c r="D111" i="26"/>
  <c r="N40" i="19"/>
  <c r="AH40" i="19"/>
  <c r="X40" i="19"/>
  <c r="J40" i="19"/>
  <c r="AD40" i="19"/>
  <c r="F40" i="19"/>
  <c r="D40" i="19"/>
  <c r="A43" i="19"/>
  <c r="A42" i="19"/>
  <c r="D42" i="19" s="1"/>
  <c r="AN43" i="19" l="1"/>
  <c r="T43" i="19"/>
  <c r="AJ43" i="19"/>
  <c r="P43" i="19"/>
  <c r="AH43" i="19"/>
  <c r="AL43" i="19"/>
  <c r="AF43" i="19"/>
  <c r="H43" i="19"/>
  <c r="L43" i="19"/>
  <c r="N43" i="19"/>
  <c r="X43" i="19"/>
  <c r="J43" i="19"/>
  <c r="AD43" i="19"/>
  <c r="D43" i="19"/>
  <c r="F43" i="19"/>
  <c r="A45" i="19"/>
  <c r="D45" i="19" s="1"/>
  <c r="A46" i="19"/>
  <c r="AF46" i="19" l="1"/>
  <c r="AN46" i="19"/>
  <c r="AH46" i="19"/>
  <c r="T46" i="19"/>
  <c r="N46" i="19"/>
  <c r="L46" i="19"/>
  <c r="AJ46" i="19"/>
  <c r="AL46" i="19"/>
  <c r="H46" i="19"/>
  <c r="P46" i="19"/>
  <c r="X46" i="19"/>
  <c r="J46" i="19"/>
  <c r="AD46" i="19"/>
  <c r="D46" i="19"/>
  <c r="F46" i="19"/>
  <c r="A49" i="19"/>
  <c r="A48" i="19"/>
  <c r="D48" i="19" s="1"/>
  <c r="L49" i="19" l="1"/>
  <c r="AH49" i="19"/>
  <c r="T49" i="19"/>
  <c r="AJ49" i="19"/>
  <c r="AN49" i="19"/>
  <c r="H49" i="19"/>
  <c r="AL49" i="19"/>
  <c r="AF49" i="19"/>
  <c r="P49" i="19"/>
  <c r="N49" i="19"/>
  <c r="X49" i="19"/>
  <c r="J49" i="19"/>
  <c r="AD49" i="19"/>
  <c r="D49" i="19"/>
  <c r="F49" i="19"/>
  <c r="A51" i="19"/>
  <c r="D51" i="19" s="1"/>
  <c r="A52" i="19"/>
  <c r="AF52" i="19" l="1"/>
  <c r="AL52" i="19"/>
  <c r="H52" i="19"/>
  <c r="AN52" i="19"/>
  <c r="T52" i="19"/>
  <c r="P52" i="19"/>
  <c r="N52" i="19"/>
  <c r="AH52" i="19"/>
  <c r="AJ52" i="19"/>
  <c r="L52" i="19"/>
  <c r="X52" i="19"/>
  <c r="J52" i="19"/>
  <c r="AD52" i="19"/>
  <c r="F52" i="19"/>
  <c r="D52" i="19"/>
  <c r="A55" i="19"/>
  <c r="A54" i="19"/>
  <c r="D54" i="19" s="1"/>
  <c r="AL55" i="19" l="1"/>
  <c r="AJ55" i="19"/>
  <c r="AH55" i="19"/>
  <c r="AF55" i="19"/>
  <c r="T55" i="19"/>
  <c r="H55" i="19"/>
  <c r="P55" i="19"/>
  <c r="AN55" i="19"/>
  <c r="N55" i="19"/>
  <c r="L55" i="19"/>
  <c r="X55" i="19"/>
  <c r="J55" i="19"/>
  <c r="AD55" i="19"/>
  <c r="D55" i="19"/>
  <c r="F55" i="19"/>
  <c r="A57" i="19"/>
  <c r="D57" i="19" s="1"/>
  <c r="A58" i="19"/>
  <c r="T58" i="19" l="1"/>
  <c r="P58" i="19"/>
  <c r="H58" i="19"/>
  <c r="AH58" i="19"/>
  <c r="AF58" i="19"/>
  <c r="N58" i="19"/>
  <c r="AL58" i="19"/>
  <c r="AN58" i="19"/>
  <c r="AJ58" i="19"/>
  <c r="L58" i="19"/>
  <c r="X58" i="19"/>
  <c r="J58" i="19"/>
  <c r="AD58" i="19"/>
  <c r="F58" i="19"/>
  <c r="D58" i="19"/>
  <c r="A61" i="19"/>
  <c r="A60" i="19"/>
  <c r="D60" i="19" s="1"/>
  <c r="T61" i="19" l="1"/>
  <c r="L61" i="19"/>
  <c r="AJ61" i="19"/>
  <c r="AL61" i="19"/>
  <c r="AN61" i="19"/>
  <c r="AH61" i="19"/>
  <c r="P61" i="19"/>
  <c r="AF61" i="19"/>
  <c r="N61" i="19"/>
  <c r="H61" i="19"/>
  <c r="X61" i="19"/>
  <c r="J61" i="19"/>
  <c r="AD61" i="19"/>
  <c r="F61" i="19"/>
  <c r="D61" i="19"/>
  <c r="A64" i="19"/>
  <c r="A63" i="19"/>
  <c r="D63" i="19" s="1"/>
  <c r="AJ64" i="19" l="1"/>
  <c r="T64" i="19"/>
  <c r="AH64" i="19"/>
  <c r="AF64" i="19"/>
  <c r="H64" i="19"/>
  <c r="AL64" i="19"/>
  <c r="P64" i="19"/>
  <c r="L64" i="19"/>
  <c r="N64" i="19"/>
  <c r="AN64" i="19"/>
  <c r="X64" i="19"/>
  <c r="J64" i="19"/>
  <c r="AD64" i="19"/>
  <c r="F64" i="19"/>
  <c r="D64" i="19"/>
  <c r="A66" i="19"/>
  <c r="D66" i="19" s="1"/>
  <c r="A67" i="19"/>
  <c r="AN67" i="19" l="1"/>
  <c r="AL67" i="19"/>
  <c r="AH67" i="19"/>
  <c r="AJ67" i="19"/>
  <c r="AF67" i="19"/>
  <c r="T67" i="19"/>
  <c r="P67" i="19"/>
  <c r="N67" i="19"/>
  <c r="L67" i="19"/>
  <c r="H67" i="19"/>
  <c r="X67" i="19"/>
  <c r="J67" i="19"/>
  <c r="AD67" i="19"/>
  <c r="D67" i="19"/>
  <c r="F67" i="19"/>
  <c r="A70" i="19"/>
  <c r="A69" i="19"/>
  <c r="AL70" i="19" l="1"/>
  <c r="L70" i="19"/>
  <c r="P70" i="19"/>
  <c r="AH70" i="19"/>
  <c r="AF70" i="19"/>
  <c r="AN70" i="19"/>
  <c r="AJ70" i="19"/>
  <c r="T70" i="19"/>
  <c r="H70" i="19"/>
  <c r="N70" i="19"/>
  <c r="X70" i="19"/>
  <c r="J70" i="19"/>
  <c r="AD70" i="19"/>
  <c r="A72" i="19"/>
  <c r="D69" i="19"/>
  <c r="F70" i="19"/>
  <c r="D70" i="19"/>
  <c r="A73" i="19"/>
  <c r="AH73" i="19" l="1"/>
  <c r="AJ73" i="19"/>
  <c r="H73" i="19"/>
  <c r="AF73" i="19"/>
  <c r="P73" i="19"/>
  <c r="AN73" i="19"/>
  <c r="T73" i="19"/>
  <c r="AL73" i="19"/>
  <c r="L73" i="19"/>
  <c r="N73" i="19"/>
  <c r="X73" i="19"/>
  <c r="J73" i="19"/>
  <c r="AD73" i="19"/>
  <c r="D73" i="19"/>
  <c r="A76" i="19"/>
  <c r="F73" i="19"/>
  <c r="D72" i="19"/>
  <c r="A75" i="19"/>
  <c r="AJ76" i="19" l="1"/>
  <c r="P76" i="19"/>
  <c r="L76" i="19"/>
  <c r="H76" i="19"/>
  <c r="AL76" i="19"/>
  <c r="AN76" i="19"/>
  <c r="AF76" i="19"/>
  <c r="T76" i="19"/>
  <c r="AH76" i="19"/>
  <c r="N76" i="19"/>
  <c r="X76" i="19"/>
  <c r="J76" i="19"/>
  <c r="AD76" i="19"/>
  <c r="A78" i="19"/>
  <c r="D75" i="19"/>
  <c r="F76" i="19"/>
  <c r="D76" i="19"/>
  <c r="A79" i="19"/>
  <c r="T79" i="19" l="1"/>
  <c r="AJ79" i="19"/>
  <c r="AN79" i="19"/>
  <c r="L79" i="19"/>
  <c r="AH79" i="19"/>
  <c r="P79" i="19"/>
  <c r="H79" i="19"/>
  <c r="N79" i="19"/>
  <c r="AF79" i="19"/>
  <c r="AL79" i="19"/>
  <c r="X79" i="19"/>
  <c r="J79" i="19"/>
  <c r="AD79" i="19"/>
  <c r="A82" i="19"/>
  <c r="D79" i="19"/>
  <c r="F79" i="19"/>
  <c r="D78" i="19"/>
  <c r="A81" i="19"/>
  <c r="AJ82" i="19" l="1"/>
  <c r="AN82" i="19"/>
  <c r="AL82" i="19"/>
  <c r="P82" i="19"/>
  <c r="H82" i="19"/>
  <c r="AH82" i="19"/>
  <c r="T82" i="19"/>
  <c r="L82" i="19"/>
  <c r="N82" i="19"/>
  <c r="AF82" i="19"/>
  <c r="X82" i="19"/>
  <c r="J82" i="19"/>
  <c r="AD82" i="19"/>
  <c r="D81" i="19"/>
  <c r="A84" i="19"/>
  <c r="D82" i="19"/>
  <c r="F82" i="19"/>
  <c r="A85" i="19"/>
  <c r="L85" i="19" l="1"/>
  <c r="H85" i="19"/>
  <c r="AJ85" i="19"/>
  <c r="AH85" i="19"/>
  <c r="N85" i="19"/>
  <c r="P85" i="19"/>
  <c r="AF85" i="19"/>
  <c r="AN85" i="19"/>
  <c r="AL85" i="19"/>
  <c r="T85" i="19"/>
  <c r="X85" i="19"/>
  <c r="J85" i="19"/>
  <c r="AD85" i="19"/>
  <c r="F85" i="19"/>
  <c r="D85" i="19"/>
  <c r="A88" i="19"/>
  <c r="D84" i="19"/>
  <c r="A87" i="19"/>
  <c r="AF88" i="19" l="1"/>
  <c r="P88" i="19"/>
  <c r="AN88" i="19"/>
  <c r="AL88" i="19"/>
  <c r="T88" i="19"/>
  <c r="AJ88" i="19"/>
  <c r="L88" i="19"/>
  <c r="N88" i="19"/>
  <c r="AH88" i="19"/>
  <c r="H88" i="19"/>
  <c r="X88" i="19"/>
  <c r="J88" i="19"/>
  <c r="AD88" i="19"/>
  <c r="F88" i="19"/>
  <c r="D88" i="19"/>
  <c r="A91" i="19"/>
  <c r="D87" i="19"/>
  <c r="A90" i="19"/>
  <c r="AL91" i="19" l="1"/>
  <c r="AH91" i="19"/>
  <c r="T91" i="19"/>
  <c r="AF91" i="19"/>
  <c r="H91" i="19"/>
  <c r="N91" i="19"/>
  <c r="AJ91" i="19"/>
  <c r="L91" i="19"/>
  <c r="AN91" i="19"/>
  <c r="P91" i="19"/>
  <c r="X91" i="19"/>
  <c r="J91" i="19"/>
  <c r="AD91" i="19"/>
  <c r="D90" i="19"/>
  <c r="A93" i="19"/>
  <c r="A94" i="19"/>
  <c r="D91" i="19"/>
  <c r="F91" i="19"/>
  <c r="AN94" i="19" l="1"/>
  <c r="AJ94" i="19"/>
  <c r="AL94" i="19"/>
  <c r="H94" i="19"/>
  <c r="N94" i="19"/>
  <c r="AF94" i="19"/>
  <c r="T94" i="19"/>
  <c r="AH94" i="19"/>
  <c r="P94" i="19"/>
  <c r="L94" i="19"/>
  <c r="J94" i="19"/>
  <c r="AD94" i="19"/>
  <c r="X94" i="19"/>
  <c r="D93" i="19"/>
  <c r="A96" i="19"/>
  <c r="D94" i="19"/>
  <c r="F94" i="19"/>
  <c r="A97" i="19"/>
  <c r="AL97" i="19" l="1"/>
  <c r="AF97" i="19"/>
  <c r="AH97" i="19"/>
  <c r="T97" i="19"/>
  <c r="P97" i="19"/>
  <c r="AJ97" i="19"/>
  <c r="AN97" i="19"/>
  <c r="N97" i="19"/>
  <c r="L97" i="19"/>
  <c r="H97" i="19"/>
  <c r="AD97" i="19"/>
  <c r="X97" i="19"/>
  <c r="J97" i="19"/>
  <c r="D96" i="19"/>
  <c r="A99" i="19"/>
  <c r="F97" i="19"/>
  <c r="D97" i="19"/>
  <c r="A100" i="19"/>
  <c r="AL100" i="19" l="1"/>
  <c r="AH100" i="19"/>
  <c r="AF100" i="19"/>
  <c r="AN100" i="19"/>
  <c r="T100" i="19"/>
  <c r="AJ100" i="19"/>
  <c r="H100" i="19"/>
  <c r="P100" i="19"/>
  <c r="L100" i="19"/>
  <c r="N100" i="19"/>
  <c r="X100" i="19"/>
  <c r="J100" i="19"/>
  <c r="AD100" i="19"/>
  <c r="A103" i="19"/>
  <c r="F100" i="19"/>
  <c r="D100" i="19"/>
  <c r="D99" i="19"/>
  <c r="A102" i="19"/>
  <c r="T103" i="19" l="1"/>
  <c r="H103" i="19"/>
  <c r="AJ103" i="19"/>
  <c r="L103" i="19"/>
  <c r="AH103" i="19"/>
  <c r="AN103" i="19"/>
  <c r="AL103" i="19"/>
  <c r="AF103" i="19"/>
  <c r="P103" i="19"/>
  <c r="N103" i="19"/>
  <c r="J103" i="19"/>
  <c r="X103" i="19"/>
  <c r="AD103" i="19"/>
  <c r="D102" i="19"/>
  <c r="A105" i="19"/>
  <c r="A106" i="19"/>
  <c r="D103" i="19"/>
  <c r="F103" i="19"/>
  <c r="L106" i="19" l="1"/>
  <c r="AL106" i="19"/>
  <c r="AJ106" i="19"/>
  <c r="T106" i="19"/>
  <c r="AF106" i="19"/>
  <c r="AH106" i="19"/>
  <c r="N106" i="19"/>
  <c r="H106" i="19"/>
  <c r="AN106" i="19"/>
  <c r="P106" i="19"/>
  <c r="J106" i="19"/>
  <c r="X106" i="19"/>
  <c r="AD106" i="19"/>
  <c r="D105" i="19"/>
  <c r="A108" i="19"/>
  <c r="A111" i="19" s="1"/>
  <c r="D111" i="19" s="1"/>
  <c r="A109" i="19"/>
  <c r="F106" i="19"/>
  <c r="D106" i="19"/>
  <c r="A112" i="19" l="1"/>
  <c r="AF109" i="19"/>
  <c r="AH109" i="19"/>
  <c r="N109" i="19"/>
  <c r="AJ109" i="19"/>
  <c r="T109" i="19"/>
  <c r="AL109" i="19"/>
  <c r="AN109" i="19"/>
  <c r="P109" i="19"/>
  <c r="L109" i="19"/>
  <c r="H109" i="19"/>
  <c r="X109" i="19"/>
  <c r="J109" i="19"/>
  <c r="AD109" i="19"/>
  <c r="D108" i="19"/>
  <c r="F109" i="19"/>
  <c r="D109" i="19"/>
  <c r="AD10" i="19"/>
  <c r="F112" i="19" l="1"/>
  <c r="H112" i="19"/>
  <c r="AN112" i="19"/>
  <c r="T112" i="19"/>
  <c r="J112" i="19"/>
  <c r="D112" i="19"/>
  <c r="L112" i="19"/>
  <c r="AL112" i="19"/>
  <c r="AD112" i="19"/>
  <c r="AH112" i="19"/>
  <c r="AJ112" i="19"/>
  <c r="P112" i="19"/>
  <c r="X112" i="19"/>
  <c r="N112" i="19"/>
  <c r="AF112" i="19"/>
  <c r="W15" i="34" l="1"/>
  <c r="W14" i="34"/>
  <c r="W10" i="34"/>
  <c r="W7" i="34"/>
  <c r="W5" i="34"/>
  <c r="W21" i="34"/>
  <c r="W18" i="34"/>
  <c r="X30" i="34"/>
  <c r="X15" i="34"/>
  <c r="X14" i="34"/>
  <c r="X10" i="34"/>
  <c r="X7" i="34"/>
  <c r="X5" i="34"/>
  <c r="X21" i="34"/>
  <c r="X18" i="34"/>
  <c r="K30" i="34"/>
  <c r="K15" i="34"/>
  <c r="K14" i="34"/>
  <c r="K10" i="34"/>
  <c r="K7" i="34"/>
  <c r="K5" i="34"/>
  <c r="K21" i="34"/>
  <c r="K18" i="34"/>
  <c r="Z15" i="34" l="1"/>
  <c r="Y15" i="34"/>
  <c r="Y18" i="34"/>
  <c r="Z18" i="34"/>
  <c r="Z7" i="34"/>
  <c r="Y7" i="34"/>
  <c r="Y30" i="34"/>
  <c r="Z30" i="34"/>
  <c r="Y10" i="34"/>
  <c r="Z10" i="34"/>
  <c r="Z21" i="34"/>
  <c r="Y21" i="34"/>
  <c r="Z5" i="34"/>
  <c r="Y5" i="34"/>
  <c r="Z14" i="34"/>
  <c r="Y14" i="34"/>
  <c r="M30" i="34"/>
  <c r="I30" i="34"/>
  <c r="M15" i="34"/>
  <c r="I15" i="34"/>
  <c r="M14" i="34"/>
  <c r="I14" i="34"/>
  <c r="M10" i="34"/>
  <c r="I10" i="34"/>
  <c r="I7" i="34"/>
  <c r="M5" i="34"/>
  <c r="I5" i="34"/>
  <c r="M21" i="34"/>
  <c r="I21" i="34"/>
  <c r="M18" i="34"/>
  <c r="P7" i="34" l="1"/>
  <c r="O7" i="34"/>
  <c r="P18" i="34"/>
  <c r="O18" i="34"/>
  <c r="O10" i="34"/>
  <c r="P10" i="34"/>
  <c r="P30" i="34"/>
  <c r="O30" i="34"/>
  <c r="P21" i="34"/>
  <c r="O21" i="34"/>
  <c r="O15" i="34"/>
  <c r="P15" i="34"/>
  <c r="P5" i="34"/>
  <c r="O5" i="34"/>
  <c r="P14" i="34"/>
  <c r="O14" i="34"/>
  <c r="K20" i="34" l="1"/>
  <c r="X20" i="34"/>
  <c r="W20" i="34"/>
  <c r="M20" i="34"/>
  <c r="I20" i="34"/>
  <c r="W29" i="34"/>
  <c r="W23" i="34"/>
  <c r="W22" i="34"/>
  <c r="W16" i="34"/>
  <c r="W9" i="34"/>
  <c r="W6" i="34"/>
  <c r="W4" i="34"/>
  <c r="X29" i="34"/>
  <c r="X23" i="34"/>
  <c r="X22" i="34"/>
  <c r="X16" i="34"/>
  <c r="X9" i="34"/>
  <c r="X6" i="34"/>
  <c r="X4" i="34"/>
  <c r="K29" i="34"/>
  <c r="K23" i="34"/>
  <c r="K22" i="34"/>
  <c r="K16" i="34"/>
  <c r="K11" i="34"/>
  <c r="K9" i="34"/>
  <c r="K8" i="34"/>
  <c r="K6" i="34"/>
  <c r="K4" i="34"/>
  <c r="Y29" i="34" l="1"/>
  <c r="Z29" i="34"/>
  <c r="O20" i="34"/>
  <c r="P20" i="34"/>
  <c r="Y6" i="34"/>
  <c r="Z6" i="34"/>
  <c r="Z16" i="34"/>
  <c r="Y16" i="34"/>
  <c r="Z4" i="34"/>
  <c r="Y4" i="34"/>
  <c r="Z23" i="34"/>
  <c r="Y23" i="34"/>
  <c r="K24" i="34"/>
  <c r="Y9" i="34"/>
  <c r="Z9" i="34"/>
  <c r="Y22" i="34"/>
  <c r="Z22" i="34"/>
  <c r="Z20" i="34"/>
  <c r="Y20" i="34"/>
  <c r="M29" i="34"/>
  <c r="I29" i="34"/>
  <c r="I24" i="34"/>
  <c r="M23" i="34"/>
  <c r="I23" i="34"/>
  <c r="M22" i="34"/>
  <c r="I22" i="34"/>
  <c r="M7" i="34"/>
  <c r="M16" i="34"/>
  <c r="I16" i="34"/>
  <c r="M11" i="34"/>
  <c r="I11" i="34"/>
  <c r="M9" i="34"/>
  <c r="I9" i="34"/>
  <c r="M8" i="34"/>
  <c r="I8" i="34"/>
  <c r="M6" i="34"/>
  <c r="I6" i="34"/>
  <c r="M4" i="34"/>
  <c r="I4" i="34"/>
  <c r="O24" i="34" l="1"/>
  <c r="P24" i="34"/>
  <c r="P29" i="34"/>
  <c r="O29" i="34"/>
  <c r="O22" i="34"/>
  <c r="P22" i="34"/>
  <c r="P4" i="34"/>
  <c r="O4" i="34"/>
  <c r="O6" i="34"/>
  <c r="P6" i="34"/>
  <c r="P8" i="34"/>
  <c r="O8" i="34"/>
  <c r="P9" i="34"/>
  <c r="O9" i="34"/>
  <c r="P11" i="34"/>
  <c r="O11" i="34"/>
  <c r="O16" i="34"/>
  <c r="P16" i="34"/>
  <c r="P23" i="34"/>
  <c r="O23" i="34"/>
  <c r="N26" i="34"/>
  <c r="N25" i="34"/>
  <c r="N27" i="34"/>
  <c r="N28" i="34"/>
  <c r="M24" i="34"/>
  <c r="M28" i="34" s="1"/>
  <c r="K25" i="34"/>
  <c r="W25" i="34" s="1"/>
  <c r="K28" i="34"/>
  <c r="K26" i="34"/>
  <c r="K27" i="34"/>
  <c r="Y27" i="34" l="1"/>
  <c r="W27" i="34"/>
  <c r="M25" i="34"/>
  <c r="M26" i="34"/>
  <c r="M27" i="34"/>
  <c r="Y28" i="34"/>
  <c r="W28" i="34"/>
  <c r="Y25" i="34"/>
  <c r="W26" i="34"/>
  <c r="Y26" i="34"/>
  <c r="W24" i="34" l="1"/>
  <c r="Z27" i="34"/>
  <c r="X27" i="34"/>
  <c r="Y24" i="34"/>
  <c r="Z26" i="34"/>
  <c r="X26" i="34"/>
  <c r="Z28" i="34"/>
  <c r="X28" i="34"/>
  <c r="X25" i="34"/>
  <c r="Z25" i="34"/>
  <c r="Z24" i="34" l="1"/>
  <c r="X24" i="34"/>
</calcChain>
</file>

<file path=xl/sharedStrings.xml><?xml version="1.0" encoding="utf-8"?>
<sst xmlns="http://schemas.openxmlformats.org/spreadsheetml/2006/main" count="5422" uniqueCount="605">
  <si>
    <t>Annual</t>
  </si>
  <si>
    <t>Ground Flare</t>
  </si>
  <si>
    <t>Tank Cleaning Operations</t>
  </si>
  <si>
    <t>SRCID</t>
  </si>
  <si>
    <t>Vs (m/sec)</t>
  </si>
  <si>
    <t>Ds(m)</t>
  </si>
  <si>
    <t>Z(m)</t>
  </si>
  <si>
    <t>(m)</t>
  </si>
  <si>
    <t>Emissions (g/sec)</t>
  </si>
  <si>
    <t xml:space="preserve">NOx  
(1-hr &amp; Annual) </t>
  </si>
  <si>
    <t xml:space="preserve">PM 
(annual) </t>
  </si>
  <si>
    <t>Stack Parameters</t>
  </si>
  <si>
    <t>SO2 
(3-hr &amp; 
24-hr)</t>
  </si>
  <si>
    <t>UTM X</t>
  </si>
  <si>
    <t>Source Description</t>
  </si>
  <si>
    <t>Bernice Lake Power Station - Natural Gas Turbine 2</t>
  </si>
  <si>
    <t>Bernice Lake Power Station - Natural Gas Turbine 3</t>
  </si>
  <si>
    <t>Bernice Lake Power Station - Natural Gas Turbine 4</t>
  </si>
  <si>
    <t>KPL Marine Loading Terminal - Firewater Pump 1</t>
  </si>
  <si>
    <t>KPL Marine Loading Terminal - Firewater Pump 2</t>
  </si>
  <si>
    <t xml:space="preserve">PM 
(24-hr &amp; Annual) </t>
  </si>
  <si>
    <t xml:space="preserve">SO2
(All avg per) </t>
  </si>
  <si>
    <t>Hs (m)</t>
  </si>
  <si>
    <t>Ts (K)</t>
  </si>
  <si>
    <t>Location</t>
  </si>
  <si>
    <t>UTM Y</t>
  </si>
  <si>
    <t>GE Frame 5 - Cycle #151</t>
  </si>
  <si>
    <t>GE Frame 5 - Cycle #152</t>
  </si>
  <si>
    <t>GE Frame 5 - Cycle #251</t>
  </si>
  <si>
    <t>GE Frame 5 - Cycle #252</t>
  </si>
  <si>
    <t>GE Frame 5 - Cycle #351</t>
  </si>
  <si>
    <t>GE Frame 5 - Cycle #352</t>
  </si>
  <si>
    <t>SOLAR TAURUS 60</t>
  </si>
  <si>
    <t>BOILER 501</t>
  </si>
  <si>
    <t>BOILER 502</t>
  </si>
  <si>
    <t>BOILER 511</t>
  </si>
  <si>
    <t>Caterpillar D379 Emergency Generator</t>
  </si>
  <si>
    <t>Caterpillar D3406 Firewater Pump #2</t>
  </si>
  <si>
    <t>Caterpillar D3406 Firewater Pump #3</t>
  </si>
  <si>
    <t>Caterpillar D3406 Firewater Pump #4</t>
  </si>
  <si>
    <t>TES_SHP</t>
  </si>
  <si>
    <t>Tesoro Tanker</t>
  </si>
  <si>
    <t>y</t>
  </si>
  <si>
    <t>n</t>
  </si>
  <si>
    <t>NO2 Ratio</t>
  </si>
  <si>
    <t>Notes</t>
  </si>
  <si>
    <t>USHIPSTK</t>
  </si>
  <si>
    <t>ASHIPSTK</t>
  </si>
  <si>
    <t>Plants 4 and 5 Small Flare</t>
  </si>
  <si>
    <t>Plants 4 and 5 Emergency Flare</t>
  </si>
  <si>
    <t>Ammonia Tank Storage System Flare</t>
  </si>
  <si>
    <t>Primary Reformer</t>
  </si>
  <si>
    <t>Startup Heater</t>
  </si>
  <si>
    <t>--</t>
  </si>
  <si>
    <t>Package Boiler</t>
  </si>
  <si>
    <t>Waste Heat Boiler</t>
  </si>
  <si>
    <t>Solar Turbine/Generator Set</t>
  </si>
  <si>
    <t>Diesel Fired Well Pump</t>
  </si>
  <si>
    <t>Y</t>
  </si>
  <si>
    <t>NOx_INC</t>
  </si>
  <si>
    <t>SO2_INC</t>
  </si>
  <si>
    <t>PM10_INC</t>
  </si>
  <si>
    <t>PM25_INC</t>
  </si>
  <si>
    <t>No</t>
  </si>
  <si>
    <t>Yes</t>
  </si>
  <si>
    <r>
      <t>Consumes NO</t>
    </r>
    <r>
      <rPr>
        <b/>
        <vertAlign val="subscript"/>
        <sz val="8"/>
        <rFont val="Arial"/>
        <family val="2"/>
      </rPr>
      <t>2</t>
    </r>
    <r>
      <rPr>
        <b/>
        <sz val="8"/>
        <rFont val="Arial"/>
        <family val="2"/>
      </rPr>
      <t xml:space="preserve"> Increment</t>
    </r>
  </si>
  <si>
    <r>
      <t>Consumes SO</t>
    </r>
    <r>
      <rPr>
        <b/>
        <vertAlign val="subscript"/>
        <sz val="8"/>
        <rFont val="Arial"/>
        <family val="2"/>
      </rPr>
      <t>2</t>
    </r>
    <r>
      <rPr>
        <b/>
        <sz val="8"/>
        <rFont val="Arial"/>
        <family val="2"/>
      </rPr>
      <t xml:space="preserve"> Increment</t>
    </r>
  </si>
  <si>
    <r>
      <t>Consumes PM</t>
    </r>
    <r>
      <rPr>
        <b/>
        <vertAlign val="subscript"/>
        <sz val="8"/>
        <rFont val="Arial"/>
        <family val="2"/>
      </rPr>
      <t>10</t>
    </r>
    <r>
      <rPr>
        <b/>
        <sz val="8"/>
        <rFont val="Arial"/>
        <family val="2"/>
      </rPr>
      <t xml:space="preserve"> Increment</t>
    </r>
  </si>
  <si>
    <r>
      <t>Consumes PM</t>
    </r>
    <r>
      <rPr>
        <b/>
        <vertAlign val="subscript"/>
        <sz val="8"/>
        <rFont val="Arial"/>
        <family val="2"/>
      </rPr>
      <t>2.5</t>
    </r>
    <r>
      <rPr>
        <b/>
        <sz val="8"/>
        <rFont val="Arial"/>
        <family val="2"/>
      </rPr>
      <t xml:space="preserve"> Increment</t>
    </r>
  </si>
  <si>
    <t>not modeled</t>
  </si>
  <si>
    <t>notes</t>
  </si>
  <si>
    <t>TR10</t>
  </si>
  <si>
    <t>TR11</t>
  </si>
  <si>
    <t>TR12</t>
  </si>
  <si>
    <t>TR15</t>
  </si>
  <si>
    <t>TR16</t>
  </si>
  <si>
    <t>TR17</t>
  </si>
  <si>
    <t>TR18</t>
  </si>
  <si>
    <t>TR19</t>
  </si>
  <si>
    <t>TR20</t>
  </si>
  <si>
    <t>TR27</t>
  </si>
  <si>
    <t>TR28</t>
  </si>
  <si>
    <t>TR29</t>
  </si>
  <si>
    <t>TR32</t>
  </si>
  <si>
    <t>TR33</t>
  </si>
  <si>
    <t>TR34</t>
  </si>
  <si>
    <t>TR35</t>
  </si>
  <si>
    <t>TR36</t>
  </si>
  <si>
    <t>TR37</t>
  </si>
  <si>
    <t>TR42</t>
  </si>
  <si>
    <t>TR43</t>
  </si>
  <si>
    <t>ID</t>
  </si>
  <si>
    <t>Crude Heater H-101A, Unit 0001</t>
  </si>
  <si>
    <t>Crude Heater H-101B, Unit 0002</t>
  </si>
  <si>
    <t xml:space="preserve">Powerformer Reheater H-204, Unit 0006 </t>
  </si>
  <si>
    <t xml:space="preserve">Powerformer Reheater H-205, Unit 0007 </t>
  </si>
  <si>
    <t>Hydrocracker Recycle Gas Heater, H-401, Unit 0008</t>
  </si>
  <si>
    <t>Hydrocracker Recycle Gas Heater, H-402, Unit 0009</t>
  </si>
  <si>
    <t>Hydrocracker Fractionater Reboiler, H-403, Unit 0010</t>
  </si>
  <si>
    <t>Hydrocracker Fractionater Reboiler, H-404, Unit 0011</t>
  </si>
  <si>
    <t>Hot Oil Heater, H-609, Unit 0012</t>
  </si>
  <si>
    <t>Fired Steam Generator, H-701, Unit 0015</t>
  </si>
  <si>
    <t>Fired Steam Generator, H-702, Unit 0016</t>
  </si>
  <si>
    <t>Natural Gas Supply Heater, H-704, Unit 0017</t>
  </si>
  <si>
    <t>Fired Steam Generator, H-801, Unit 0018</t>
  </si>
  <si>
    <t>Hot Glycol Heater, H-802, Unit 0019</t>
  </si>
  <si>
    <t>Hydrogen Reformer Furnace, H-1001, Unit 0020</t>
  </si>
  <si>
    <t>Prip Absorber Feed Furnace, H-1201/1203, Unit 0027</t>
  </si>
  <si>
    <t>Prip Recycle H2 Furnace, H-1202, Unit 0028</t>
  </si>
  <si>
    <t>Vacuum Tower Heater, H-1701, Unit 0029</t>
  </si>
  <si>
    <t>Electrical Generator CAT 3412, EG-704 Unit 0034</t>
  </si>
  <si>
    <t>Stewart-Stevens Generator, EG-801, Unit 0035</t>
  </si>
  <si>
    <t>North Caterpillar CAT G399, P-605A, Unit 0036</t>
  </si>
  <si>
    <t>South Caterpillar CAT G399, P-605B, Unit 0037</t>
  </si>
  <si>
    <t>North Cummins NHS6-1F, P-708A, Unit 0038</t>
  </si>
  <si>
    <t>Upper Tank Farm CAT 3412DT, P-708C, Unit 0040</t>
  </si>
  <si>
    <t>Cooling Tower CAT G333. P-719C, Unit 0041</t>
  </si>
  <si>
    <t>Refinery Flare, J-801, Unit 0042</t>
  </si>
  <si>
    <t>SRU Flare, Unit 0043</t>
  </si>
  <si>
    <t>Soil Vapor Extraction Unit, E77 SVE/TO, Unit 0044</t>
  </si>
  <si>
    <t>Soil Vapor Extraction Unit, LTF SVE, Unit 0045</t>
  </si>
  <si>
    <t>DDU Heater H1601, Unit 117</t>
  </si>
  <si>
    <t>DDU Fractionator Reboiler, H1602 Unit 118</t>
  </si>
  <si>
    <t>H-1801-Naptha Splitter Reboiler Heater</t>
  </si>
  <si>
    <t>Cooling Tower</t>
  </si>
  <si>
    <t>Powerformer Preheater H-201, Unit 0003 - 0005</t>
  </si>
  <si>
    <t>MegaRunRev2</t>
  </si>
  <si>
    <t>Date modeled:</t>
  </si>
  <si>
    <t>SOURCE</t>
  </si>
  <si>
    <t>NO</t>
  </si>
  <si>
    <t>HOR</t>
  </si>
  <si>
    <t>HOM_EL</t>
  </si>
  <si>
    <t>TR119</t>
  </si>
  <si>
    <t>DESCRIPTION</t>
  </si>
  <si>
    <t>TR1</t>
  </si>
  <si>
    <t>TR2</t>
  </si>
  <si>
    <t>TR6</t>
  </si>
  <si>
    <t>TR7</t>
  </si>
  <si>
    <t>TR8</t>
  </si>
  <si>
    <t>TR9</t>
  </si>
  <si>
    <t>TR38</t>
  </si>
  <si>
    <t>TR40</t>
  </si>
  <si>
    <t>TR41</t>
  </si>
  <si>
    <t>TR21_26</t>
  </si>
  <si>
    <t>FOR lists 0.01 m for diam., for now going with older model info we used in 2014.</t>
  </si>
  <si>
    <t>TR3_5</t>
  </si>
  <si>
    <t>TR44</t>
  </si>
  <si>
    <t>TR45</t>
  </si>
  <si>
    <t>Added to modeling, based on FOR info.  Not previously modeled</t>
  </si>
  <si>
    <t>TR117</t>
  </si>
  <si>
    <t>TR118</t>
  </si>
  <si>
    <t>TR121</t>
  </si>
  <si>
    <t>Solar Centaur Turbine, GT-1400</t>
  </si>
  <si>
    <t>Solar Centaur Turbine, GT-1410</t>
  </si>
  <si>
    <t>Revised stack height from 3.05 to 7 based on permit condition.</t>
  </si>
  <si>
    <t>Previous Duct burner + turbine lb/MMBtu:</t>
  </si>
  <si>
    <t>lb/MMBtu</t>
  </si>
  <si>
    <t>Upgraded Duct burner + turbine lb/MMBtu:</t>
  </si>
  <si>
    <t>AG_51</t>
  </si>
  <si>
    <t>AG_52</t>
  </si>
  <si>
    <t>AG_53</t>
  </si>
  <si>
    <t>AG_54</t>
  </si>
  <si>
    <t>AG_55</t>
  </si>
  <si>
    <t>AG_65</t>
  </si>
  <si>
    <t>AG_11</t>
  </si>
  <si>
    <t>AG_12</t>
  </si>
  <si>
    <t>AG_22</t>
  </si>
  <si>
    <t>AG_23</t>
  </si>
  <si>
    <t>AG_44</t>
  </si>
  <si>
    <t>AG_48</t>
  </si>
  <si>
    <t>AG_49</t>
  </si>
  <si>
    <t>(g/sec)</t>
  </si>
  <si>
    <t>(m/sec)</t>
  </si>
  <si>
    <t xml:space="preserve">Horiz </t>
  </si>
  <si>
    <t>Source?</t>
  </si>
  <si>
    <t>AG_35</t>
  </si>
  <si>
    <t>AG_36</t>
  </si>
  <si>
    <t>AG_40W</t>
  </si>
  <si>
    <t>AG_40E</t>
  </si>
  <si>
    <t xml:space="preserve">Granulator A/B Scrubber Exhaust Vent Stack </t>
  </si>
  <si>
    <t>Granulator C/D Scrubber Exhaust Vent Stack</t>
  </si>
  <si>
    <t>Cooling Tower W</t>
  </si>
  <si>
    <t>Cooling Tower E</t>
  </si>
  <si>
    <t>AG_47C</t>
  </si>
  <si>
    <t>AG_47D</t>
  </si>
  <si>
    <t>AG_50</t>
  </si>
  <si>
    <t>NO2</t>
  </si>
  <si>
    <t>Ratio</t>
  </si>
  <si>
    <t>"</t>
  </si>
  <si>
    <t>1HR</t>
  </si>
  <si>
    <t>AG_13</t>
  </si>
  <si>
    <t>Annual*</t>
  </si>
  <si>
    <t>Used 2014 location for TR46 as that location more closely matched where FOR indicated TR45 source was located.  It appears 2014 locations of soil vapor extraction units were mixed up.</t>
  </si>
  <si>
    <t>Used 2014 location for TR45 as that location more closely matched where FOR indicated TR44 source was located.  It appears 2014 locations of soil vapor extraction units were mixed up.</t>
  </si>
  <si>
    <t>Not previously modeled, will leave out for now as can find no emissions in annual reports.  Location estimated based on EU 118 and aerial photo, as FOR location was off.</t>
  </si>
  <si>
    <t>All info same 2014 modeling (based on 2004 modeling), no changes</t>
  </si>
  <si>
    <t>Ambient release, set to -0.1 as a bug in the model can cause unrealistically high concs with temp = 0.</t>
  </si>
  <si>
    <t>Horiz/Cap?</t>
  </si>
  <si>
    <t>Cap</t>
  </si>
  <si>
    <t>Emissions based on maximum short-term permitted limits, except where noted.</t>
  </si>
  <si>
    <t>45_VOL</t>
  </si>
  <si>
    <t>46_VOL</t>
  </si>
  <si>
    <t>47_VOL</t>
  </si>
  <si>
    <t>48_VOL</t>
  </si>
  <si>
    <t>49_VOL</t>
  </si>
  <si>
    <t>50_VOL</t>
  </si>
  <si>
    <t>51_VOL</t>
  </si>
  <si>
    <t>52_VOL</t>
  </si>
  <si>
    <t>53_VOL</t>
  </si>
  <si>
    <t>54_VOL</t>
  </si>
  <si>
    <t>55_VOL</t>
  </si>
  <si>
    <t>56_VOL</t>
  </si>
  <si>
    <t>*some annual emission rates are higher than 1 hr rates due to scenarios Agrium modeled</t>
  </si>
  <si>
    <t xml:space="preserve">Hs = </t>
  </si>
  <si>
    <t>Stack Height (m)</t>
  </si>
  <si>
    <t xml:space="preserve">V = </t>
  </si>
  <si>
    <t xml:space="preserve">ds = </t>
  </si>
  <si>
    <t>inside stack diameters (m)</t>
  </si>
  <si>
    <t xml:space="preserve">Q = </t>
  </si>
  <si>
    <t>pollutant emission rate (g/sec)</t>
  </si>
  <si>
    <t>(lb/hr)</t>
  </si>
  <si>
    <t>8.09E-03 S</t>
  </si>
  <si>
    <t>=</t>
  </si>
  <si>
    <t xml:space="preserve">EF (lb/hp-hr)= </t>
  </si>
  <si>
    <t xml:space="preserve"> conv. kW to hp = </t>
  </si>
  <si>
    <t>NOx  
(1-hr)</t>
  </si>
  <si>
    <t xml:space="preserve">SO2
(1-hr) </t>
  </si>
  <si>
    <t>Model ID</t>
  </si>
  <si>
    <t>Exit Temp. (K)</t>
  </si>
  <si>
    <t>Exit Vel. (m/sec)</t>
  </si>
  <si>
    <t>Stack Diam. (m)</t>
  </si>
  <si>
    <t>Stack Ht.
 (m)</t>
  </si>
  <si>
    <t>Heaters, H-1101-1106, Units 0021-0026 (common stack)</t>
  </si>
  <si>
    <t>Point Sources Description</t>
  </si>
  <si>
    <t>Volume Sources Description</t>
  </si>
  <si>
    <t>a</t>
  </si>
  <si>
    <t>b</t>
  </si>
  <si>
    <t>c</t>
  </si>
  <si>
    <t>d</t>
  </si>
  <si>
    <r>
      <t>Location</t>
    </r>
    <r>
      <rPr>
        <b/>
        <vertAlign val="superscript"/>
        <sz val="8"/>
        <color theme="1"/>
        <rFont val="Arial"/>
        <family val="2"/>
      </rPr>
      <t>a</t>
    </r>
    <r>
      <rPr>
        <b/>
        <sz val="8"/>
        <color theme="1"/>
        <rFont val="Arial"/>
        <family val="2"/>
      </rPr>
      <t xml:space="preserve"> </t>
    </r>
  </si>
  <si>
    <r>
      <t>Emissions (g/sec)</t>
    </r>
    <r>
      <rPr>
        <b/>
        <vertAlign val="superscript"/>
        <sz val="8"/>
        <rFont val="Arial"/>
        <family val="2"/>
      </rPr>
      <t>b</t>
    </r>
  </si>
  <si>
    <r>
      <t>Stack Parameters</t>
    </r>
    <r>
      <rPr>
        <b/>
        <vertAlign val="superscript"/>
        <sz val="8"/>
        <rFont val="Arial"/>
        <family val="2"/>
      </rPr>
      <t>c</t>
    </r>
  </si>
  <si>
    <r>
      <t>PM</t>
    </r>
    <r>
      <rPr>
        <b/>
        <vertAlign val="subscript"/>
        <sz val="8"/>
        <rFont val="Arial"/>
        <family val="2"/>
      </rPr>
      <t>2.5</t>
    </r>
    <r>
      <rPr>
        <b/>
        <sz val="8"/>
        <rFont val="Arial"/>
        <family val="2"/>
      </rPr>
      <t xml:space="preserve"> 
(24-hr) </t>
    </r>
  </si>
  <si>
    <r>
      <t>Assumed typical flare effective parameters, but with actual stack height/diam</t>
    </r>
    <r>
      <rPr>
        <sz val="8"/>
        <color rgb="FFFF0000"/>
        <rFont val="Arial"/>
        <family val="2"/>
      </rPr>
      <t>.</t>
    </r>
  </si>
  <si>
    <t>Base Elev. (m)</t>
  </si>
  <si>
    <t>Rel.Ht. (m)</t>
  </si>
  <si>
    <t>Syinit (m)</t>
  </si>
  <si>
    <t>Szinit (m)</t>
  </si>
  <si>
    <t>Notes:</t>
  </si>
  <si>
    <t>Model</t>
  </si>
  <si>
    <r>
      <t xml:space="preserve">Ammonia Vessel (900 kW) </t>
    </r>
    <r>
      <rPr>
        <vertAlign val="superscript"/>
        <sz val="8"/>
        <color theme="1"/>
        <rFont val="Arial"/>
        <family val="2"/>
      </rPr>
      <t>b</t>
    </r>
  </si>
  <si>
    <r>
      <t xml:space="preserve">Urea Vessel (240 kW) </t>
    </r>
    <r>
      <rPr>
        <vertAlign val="superscript"/>
        <sz val="8"/>
        <color theme="1"/>
        <rFont val="Arial"/>
        <family val="2"/>
      </rPr>
      <t>b</t>
    </r>
  </si>
  <si>
    <t>Stack Ht.</t>
  </si>
  <si>
    <t>Exit Temp</t>
  </si>
  <si>
    <t>Exit  Vel</t>
  </si>
  <si>
    <t>Stack Diam</t>
  </si>
  <si>
    <t>Base Elev</t>
  </si>
  <si>
    <r>
      <t>PM</t>
    </r>
    <r>
      <rPr>
        <b/>
        <vertAlign val="subscript"/>
        <sz val="8"/>
        <color theme="1"/>
        <rFont val="Arial"/>
        <family val="2"/>
      </rPr>
      <t>2.5</t>
    </r>
    <r>
      <rPr>
        <b/>
        <sz val="8"/>
        <color theme="1"/>
        <rFont val="Arial"/>
        <family val="2"/>
      </rPr>
      <t xml:space="preserve"> 
(24-hr)</t>
    </r>
  </si>
  <si>
    <r>
      <t>NO</t>
    </r>
    <r>
      <rPr>
        <b/>
        <vertAlign val="subscript"/>
        <sz val="8"/>
        <color theme="1"/>
        <rFont val="Arial"/>
        <family val="2"/>
      </rPr>
      <t>X</t>
    </r>
    <r>
      <rPr>
        <b/>
        <sz val="8"/>
        <color theme="1"/>
        <rFont val="Arial"/>
        <family val="2"/>
      </rPr>
      <t xml:space="preserve"> 
(1-hr)</t>
    </r>
  </si>
  <si>
    <r>
      <t>SO</t>
    </r>
    <r>
      <rPr>
        <b/>
        <vertAlign val="subscript"/>
        <sz val="8"/>
        <color theme="1"/>
        <rFont val="Arial"/>
        <family val="2"/>
      </rPr>
      <t>2</t>
    </r>
    <r>
      <rPr>
        <b/>
        <sz val="8"/>
        <color theme="1"/>
        <rFont val="Arial"/>
        <family val="2"/>
      </rPr>
      <t xml:space="preserve"> 
(1-hr)</t>
    </r>
  </si>
  <si>
    <r>
      <t>Emissions</t>
    </r>
    <r>
      <rPr>
        <b/>
        <vertAlign val="superscript"/>
        <sz val="8"/>
        <color theme="1"/>
        <rFont val="Arial"/>
        <family val="2"/>
      </rPr>
      <t xml:space="preserve">a </t>
    </r>
    <r>
      <rPr>
        <b/>
        <sz val="8"/>
        <color theme="1"/>
        <rFont val="Arial"/>
        <family val="2"/>
      </rPr>
      <t>(g/sec)</t>
    </r>
  </si>
  <si>
    <r>
      <t>Location</t>
    </r>
    <r>
      <rPr>
        <b/>
        <vertAlign val="superscript"/>
        <sz val="8"/>
        <color theme="1"/>
        <rFont val="Arial"/>
        <family val="2"/>
      </rPr>
      <t>a</t>
    </r>
  </si>
  <si>
    <r>
      <t>Stack Parameters</t>
    </r>
    <r>
      <rPr>
        <b/>
        <vertAlign val="superscript"/>
        <sz val="8"/>
        <color theme="1"/>
        <rFont val="Arial"/>
        <family val="2"/>
      </rPr>
      <t>a</t>
    </r>
  </si>
  <si>
    <t>(K)</t>
  </si>
  <si>
    <t xml:space="preserve">Location, emissions, and stack parameters obtained from dispersion modeling information submitted to ADEC supporting Agrium permit application (Agrium 2014). </t>
  </si>
  <si>
    <r>
      <t xml:space="preserve">Urea Warehouse/Transfer (stack) </t>
    </r>
    <r>
      <rPr>
        <vertAlign val="superscript"/>
        <sz val="8"/>
        <color theme="1"/>
        <rFont val="Arial"/>
        <family val="2"/>
      </rPr>
      <t>c</t>
    </r>
  </si>
  <si>
    <r>
      <t xml:space="preserve">Urea Transfer </t>
    </r>
    <r>
      <rPr>
        <vertAlign val="superscript"/>
        <sz val="8"/>
        <color theme="1"/>
        <rFont val="Arial"/>
        <family val="2"/>
      </rPr>
      <t>c</t>
    </r>
  </si>
  <si>
    <t>Horizontal stack.</t>
  </si>
  <si>
    <r>
      <t xml:space="preserve">Gasoline Fired Firewater Pump </t>
    </r>
    <r>
      <rPr>
        <vertAlign val="superscript"/>
        <sz val="8"/>
        <color theme="1"/>
        <rFont val="Arial"/>
        <family val="2"/>
      </rPr>
      <t>c</t>
    </r>
  </si>
  <si>
    <r>
      <t>(p/ 4) ds</t>
    </r>
    <r>
      <rPr>
        <vertAlign val="superscript"/>
        <sz val="8"/>
        <color theme="1"/>
        <rFont val="Arial"/>
        <family val="2"/>
      </rPr>
      <t xml:space="preserve">2 </t>
    </r>
    <r>
      <rPr>
        <sz val="8"/>
        <color theme="1"/>
        <rFont val="Arial"/>
        <family val="2"/>
      </rPr>
      <t>vs = Stack gas volumetric flow rate (m3/sec)</t>
    </r>
  </si>
  <si>
    <t>Gray highlighting indicates sources removed from modeled inventory, as described in Section 2.4.2 of the modeling report.</t>
  </si>
  <si>
    <t>M Factor = Hs V Ts / Q (USEPA 1992)</t>
  </si>
  <si>
    <t>Stack Ht. 
(m)</t>
  </si>
  <si>
    <t>It was assumed that the tanker was similar to vessels that will be used at the AKLNG facility. Therefore, the emissions and stack parameters used for the AKLNG carriers were also used for the Kenai vessel.</t>
  </si>
  <si>
    <t>CAP</t>
  </si>
  <si>
    <t>47B</t>
  </si>
  <si>
    <t>Volume Sources</t>
  </si>
  <si>
    <t>HOMER ELECTRIC IS NOT PSD INCRMENT SOURCE</t>
  </si>
  <si>
    <t>mega2_rev</t>
  </si>
  <si>
    <t>Hs</t>
  </si>
  <si>
    <t>Z</t>
  </si>
  <si>
    <t>diam</t>
  </si>
  <si>
    <t>vel</t>
  </si>
  <si>
    <t>temp</t>
  </si>
  <si>
    <t>bldg</t>
  </si>
  <si>
    <t>SO2</t>
  </si>
  <si>
    <t>SO4</t>
  </si>
  <si>
    <t>NOx</t>
  </si>
  <si>
    <t>HNO3</t>
  </si>
  <si>
    <t>NO3</t>
  </si>
  <si>
    <t>PMF</t>
  </si>
  <si>
    <t>EC</t>
  </si>
  <si>
    <t>SOA</t>
  </si>
  <si>
    <t>!</t>
  </si>
  <si>
    <t xml:space="preserve">SRCNAM = </t>
  </si>
  <si>
    <t xml:space="preserve">X = </t>
  </si>
  <si>
    <t>,</t>
  </si>
  <si>
    <t>FMFAC = 1 !   !END!</t>
  </si>
  <si>
    <t>lc_x</t>
  </si>
  <si>
    <t>lc_y</t>
  </si>
  <si>
    <t>SO2 annual</t>
  </si>
  <si>
    <t>CO</t>
  </si>
  <si>
    <t>NOx  
(ann)</t>
  </si>
  <si>
    <t>Agrium</t>
  </si>
  <si>
    <t>NO2 Annual</t>
  </si>
  <si>
    <t>PM2.5 Annual</t>
  </si>
  <si>
    <t>SO2 Annual</t>
  </si>
  <si>
    <t>lc x</t>
  </si>
  <si>
    <t>lc y</t>
  </si>
  <si>
    <t>SO2 1HR</t>
  </si>
  <si>
    <t xml:space="preserve">NOx  
(1-hr) </t>
  </si>
  <si>
    <t xml:space="preserve">NOx  
(ann) </t>
  </si>
  <si>
    <r>
      <t>SO</t>
    </r>
    <r>
      <rPr>
        <b/>
        <vertAlign val="subscript"/>
        <sz val="8"/>
        <color theme="1"/>
        <rFont val="Arial"/>
        <family val="2"/>
      </rPr>
      <t>2</t>
    </r>
    <r>
      <rPr>
        <b/>
        <sz val="8"/>
        <color theme="1"/>
        <rFont val="Arial"/>
        <family val="2"/>
      </rPr>
      <t xml:space="preserve">
(ann) </t>
    </r>
  </si>
  <si>
    <t>FMFAC = 0 !   !END!</t>
  </si>
  <si>
    <t>horizontal sources</t>
  </si>
  <si>
    <t>Don't forget to add Agrium vol sources to CALPUFF</t>
  </si>
  <si>
    <t>AQRV Speciation Table</t>
  </si>
  <si>
    <t>Equipment and Fuel Type</t>
  </si>
  <si>
    <t>PMF Ratio</t>
  </si>
  <si>
    <t>Fuel Type</t>
  </si>
  <si>
    <t>Heater</t>
  </si>
  <si>
    <t>Gas</t>
  </si>
  <si>
    <t>Equip Type</t>
  </si>
  <si>
    <t>Flare</t>
  </si>
  <si>
    <t>Turbine</t>
  </si>
  <si>
    <t>Pump</t>
  </si>
  <si>
    <t>Diesel</t>
  </si>
  <si>
    <t>Boiler</t>
  </si>
  <si>
    <t>Generator</t>
  </si>
  <si>
    <t>N/A</t>
  </si>
  <si>
    <t>Tank</t>
  </si>
  <si>
    <t>Figure out what temp this should be (source emits at ambient temp)</t>
  </si>
  <si>
    <t>EC 
% Filterable</t>
  </si>
  <si>
    <t>SOA
% Consendable</t>
  </si>
  <si>
    <t>Reference</t>
  </si>
  <si>
    <t>PM2.5</t>
  </si>
  <si>
    <t>PM10</t>
  </si>
  <si>
    <t>AP42 Table 3.2-3</t>
  </si>
  <si>
    <t>AP42 Table 3.4-2</t>
  </si>
  <si>
    <t>AP42 Table 3.4-2 (Smaller than 600 hp, but no condensable info in AP42 3.3)</t>
  </si>
  <si>
    <t>AP42 Table 1.4-2</t>
  </si>
  <si>
    <t>AP42 Table 1.3-2 and Table 1.3-7</t>
  </si>
  <si>
    <t>AP42 Table 1.4-2 (pilot/purge fuel gas, assumed as external combustion source)</t>
  </si>
  <si>
    <t>PMF/SOIL</t>
  </si>
  <si>
    <t>EC - PM2.5</t>
  </si>
  <si>
    <t>EC - PM10</t>
  </si>
  <si>
    <t>SOA - PM2.5</t>
  </si>
  <si>
    <t>SOA - PM10</t>
  </si>
  <si>
    <t>AP42 Table 3.1-2a</t>
  </si>
  <si>
    <t>No EC, SOA or PMF Emissions assumed from tank emissions</t>
  </si>
  <si>
    <t>The particulates from cooling towers are hygroscopic particles which are likely organic - therefore assumed 100% SOA.</t>
  </si>
  <si>
    <t>PM2.5 24-hr:</t>
  </si>
  <si>
    <t>PM2.5 Annual:</t>
  </si>
  <si>
    <t>Annual_PM2.5</t>
  </si>
  <si>
    <t>SO2/CO:</t>
  </si>
  <si>
    <t>(lb/hr, from report)</t>
  </si>
  <si>
    <t>SO2 Ann</t>
  </si>
  <si>
    <t>(tpy, from report)</t>
  </si>
  <si>
    <t>ALL AGRIUM SOURCES CONSUME INCREMENT</t>
  </si>
  <si>
    <t>For SO2:</t>
  </si>
  <si>
    <t>8.09E-03 * 0.1</t>
  </si>
  <si>
    <r>
      <t>SO</t>
    </r>
    <r>
      <rPr>
        <vertAlign val="subscript"/>
        <sz val="8"/>
        <color theme="1"/>
        <rFont val="Arial"/>
        <family val="2"/>
      </rPr>
      <t>2</t>
    </r>
    <r>
      <rPr>
        <sz val="8"/>
        <color theme="1"/>
        <rFont val="Arial"/>
        <family val="2"/>
      </rPr>
      <t xml:space="preserve"> emissions for vessels based on AP-42 Chapter 3.4 (per Agrium Modeling Report, 2014), assuming 0.1% S and 624 hrs/yr for the ammonia vessel and 3132 hrs/yr for the Urea vessel.</t>
    </r>
  </si>
  <si>
    <t>AG_14</t>
  </si>
  <si>
    <t>CO2 Vent</t>
  </si>
  <si>
    <t>Agrium did not model this source for the permit application, coords and stack parameters from Agrium protocol information</t>
  </si>
  <si>
    <t>AG_16</t>
  </si>
  <si>
    <t>AG_19</t>
  </si>
  <si>
    <t>Amine Fat Flasher Vent</t>
  </si>
  <si>
    <t>H2 Vent Stack (dry gas vent)</t>
  </si>
  <si>
    <r>
      <t>PM</t>
    </r>
    <r>
      <rPr>
        <b/>
        <vertAlign val="subscript"/>
        <sz val="8"/>
        <color theme="1"/>
        <rFont val="Arial"/>
        <family val="2"/>
      </rPr>
      <t>2.5</t>
    </r>
    <r>
      <rPr>
        <b/>
        <sz val="8"/>
        <color theme="1"/>
        <rFont val="Arial"/>
        <family val="2"/>
      </rPr>
      <t xml:space="preserve"> /PM</t>
    </r>
    <r>
      <rPr>
        <b/>
        <vertAlign val="subscript"/>
        <sz val="8"/>
        <color theme="1"/>
        <rFont val="Arial"/>
        <family val="2"/>
      </rPr>
      <t>10</t>
    </r>
    <r>
      <rPr>
        <b/>
        <sz val="8"/>
        <color theme="1"/>
        <rFont val="Arial"/>
        <family val="2"/>
      </rPr>
      <t xml:space="preserve"> 
(24-hr) </t>
    </r>
  </si>
  <si>
    <r>
      <t>PM</t>
    </r>
    <r>
      <rPr>
        <b/>
        <vertAlign val="subscript"/>
        <sz val="8"/>
        <color theme="1"/>
        <rFont val="Arial"/>
        <family val="2"/>
      </rPr>
      <t>2.5</t>
    </r>
    <r>
      <rPr>
        <b/>
        <sz val="8"/>
        <color theme="1"/>
        <rFont val="Arial"/>
        <family val="2"/>
      </rPr>
      <t xml:space="preserve"> / PM</t>
    </r>
    <r>
      <rPr>
        <b/>
        <vertAlign val="subscript"/>
        <sz val="8"/>
        <color theme="1"/>
        <rFont val="Arial"/>
        <family val="2"/>
      </rPr>
      <t>10</t>
    </r>
    <r>
      <rPr>
        <b/>
        <sz val="8"/>
        <color theme="1"/>
        <rFont val="Arial"/>
        <family val="2"/>
      </rPr>
      <t xml:space="preserve">  
(ann) </t>
    </r>
  </si>
  <si>
    <r>
      <t xml:space="preserve">Location, emissions, and stack parameters obtained from </t>
    </r>
    <r>
      <rPr>
        <b/>
        <sz val="8"/>
        <rFont val="Arial"/>
        <family val="2"/>
      </rPr>
      <t>AERMOD_input_file_spreadsheet_04_26_2013.xls</t>
    </r>
  </si>
  <si>
    <t>Offiste_AERMOD_input_file_spreadsheet_JAN-15-2013.xlsx</t>
  </si>
  <si>
    <t>Don't model tank cleaning ops, not in permit</t>
  </si>
  <si>
    <t>he exit temperature is assumed to be the same as the ambient atmospheric temperature.</t>
  </si>
  <si>
    <t>CALPUFF checks the difference between the stack exit temperature and the surface station</t>
  </si>
  <si>
    <t>temperature. If this difference is less than zero, the difference is set to zero. To insure this</t>
  </si>
  <si>
    <t>condition, an exit temperature of 250 K was input to the model.</t>
  </si>
  <si>
    <t>see page 7 of http://www3.epa.gov/scram001/7thconf/calpuff/tracer.pdf</t>
  </si>
  <si>
    <t>PM25</t>
  </si>
  <si>
    <t>3-hr/24-hr, not 1-hour, can be run later if problems with 1-hour SO2</t>
  </si>
  <si>
    <t>Tesoro short-term</t>
  </si>
  <si>
    <t>Tesoro annual</t>
  </si>
  <si>
    <t>Agrium annual</t>
  </si>
  <si>
    <t>FUGITIVE DUST</t>
  </si>
  <si>
    <t>lc-x</t>
  </si>
  <si>
    <t>lc-y</t>
  </si>
  <si>
    <t>Kenai st</t>
  </si>
  <si>
    <t>x</t>
  </si>
  <si>
    <t>Kenai an</t>
  </si>
  <si>
    <t>Other sources short-term and annual</t>
  </si>
  <si>
    <r>
      <t>PM</t>
    </r>
    <r>
      <rPr>
        <b/>
        <vertAlign val="subscript"/>
        <sz val="8"/>
        <rFont val="Arial"/>
        <family val="2"/>
      </rPr>
      <t>2.5</t>
    </r>
    <r>
      <rPr>
        <b/>
        <sz val="8"/>
        <rFont val="Arial"/>
        <family val="2"/>
      </rPr>
      <t>/PM</t>
    </r>
    <r>
      <rPr>
        <b/>
        <vertAlign val="subscript"/>
        <sz val="8"/>
        <rFont val="Arial"/>
        <family val="2"/>
      </rPr>
      <t xml:space="preserve">10 </t>
    </r>
    <r>
      <rPr>
        <b/>
        <sz val="8"/>
        <rFont val="Arial"/>
        <family val="2"/>
      </rPr>
      <t xml:space="preserve"> 
(24-hr) </t>
    </r>
  </si>
  <si>
    <r>
      <t>PM</t>
    </r>
    <r>
      <rPr>
        <b/>
        <vertAlign val="subscript"/>
        <sz val="8"/>
        <rFont val="Arial"/>
        <family val="2"/>
      </rPr>
      <t>2.5</t>
    </r>
    <r>
      <rPr>
        <b/>
        <sz val="8"/>
        <rFont val="Arial"/>
        <family val="2"/>
      </rPr>
      <t>/PM</t>
    </r>
    <r>
      <rPr>
        <b/>
        <vertAlign val="subscript"/>
        <sz val="8"/>
        <rFont val="Arial"/>
        <family val="2"/>
      </rPr>
      <t xml:space="preserve">10 </t>
    </r>
    <r>
      <rPr>
        <b/>
        <sz val="8"/>
        <rFont val="Arial"/>
        <family val="2"/>
      </rPr>
      <t xml:space="preserve"> 
(annual) </t>
    </r>
  </si>
  <si>
    <t xml:space="preserve"> </t>
  </si>
  <si>
    <t>increment consuming?</t>
  </si>
  <si>
    <t>no2</t>
  </si>
  <si>
    <t>install date</t>
  </si>
  <si>
    <t>Baseline Dates</t>
  </si>
  <si>
    <t>1977/1997</t>
  </si>
  <si>
    <t>1981/1989</t>
  </si>
  <si>
    <t>1994/2006</t>
  </si>
  <si>
    <t>2013?</t>
  </si>
  <si>
    <t>1988/2013?</t>
  </si>
  <si>
    <t>2001/2002</t>
  </si>
  <si>
    <t>Data sources</t>
  </si>
  <si>
    <t>Emissions:</t>
  </si>
  <si>
    <t>Stack parameters:</t>
  </si>
  <si>
    <t xml:space="preserve">Based on previous modeling (Air Quality Compliance Demonstration completed by Stepman, Pinonnalut &amp; Associates, Inc. in March 2004), with some adjustments based on Google Earth aerial photography and elevations. </t>
  </si>
  <si>
    <t>Locations
/Elevations:</t>
  </si>
  <si>
    <t>Tesoro Tanker Emissions:</t>
  </si>
  <si>
    <t>Tesoro Refinery Hotelling Emissions.xlsx</t>
  </si>
  <si>
    <t>install/
mod date from permit</t>
  </si>
  <si>
    <r>
      <t xml:space="preserve">Added to modeling, based on FOR info.  Not previously modeled. </t>
    </r>
    <r>
      <rPr>
        <sz val="8"/>
        <color rgb="FFFF0000"/>
        <rFont val="Arial"/>
        <family val="2"/>
      </rPr>
      <t xml:space="preserve"> Used stack parameters for TR118 as FOR parameters looked off.</t>
    </r>
  </si>
  <si>
    <t>Data from modeling report supporting permit application dated  Sept 2014 (no model files because SO2/CO not modeled)</t>
  </si>
  <si>
    <t>NOx 1-hr:</t>
  </si>
  <si>
    <t>NOx Annual:</t>
  </si>
  <si>
    <t>Annual_NO2</t>
  </si>
  <si>
    <t>Data Source:</t>
  </si>
  <si>
    <t>Data Based on AERMOD Agrium Run:</t>
  </si>
  <si>
    <t>Facility Operating Reports (FOR) used to develop these emissions.</t>
  </si>
  <si>
    <r>
      <rPr>
        <u/>
        <sz val="8"/>
        <rFont val="Arial"/>
        <family val="2"/>
      </rPr>
      <t>Tesoro emissions calculations.xlsx</t>
    </r>
    <r>
      <rPr>
        <sz val="8"/>
        <rFont val="Arial"/>
        <family val="2"/>
      </rPr>
      <t xml:space="preserve"> (permit data) for all but highlighted sources.  </t>
    </r>
  </si>
  <si>
    <t>FW_PUMP2</t>
  </si>
  <si>
    <t>FW_PUMP3</t>
  </si>
  <si>
    <t>FW_PUMP4</t>
  </si>
  <si>
    <t>FLARE</t>
  </si>
  <si>
    <t>COMP_151</t>
  </si>
  <si>
    <t>COMP_152</t>
  </si>
  <si>
    <t>COMP_251</t>
  </si>
  <si>
    <t>COMP_252</t>
  </si>
  <si>
    <t>COMP_351</t>
  </si>
  <si>
    <t>COMP_352</t>
  </si>
  <si>
    <t>COMP_701</t>
  </si>
  <si>
    <t>BLR_501</t>
  </si>
  <si>
    <t>BLR_502</t>
  </si>
  <si>
    <t>BLR_511</t>
  </si>
  <si>
    <t>E_GEN</t>
  </si>
  <si>
    <t>For TR32-TR33:</t>
  </si>
  <si>
    <t>Tanker</t>
  </si>
  <si>
    <r>
      <t xml:space="preserve">Added to modeling, based on FOR info/flare parameters. Not previously modeled.  Emissions from 2010 actuals which is consistent with emissions that Agrium modeled.  </t>
    </r>
    <r>
      <rPr>
        <sz val="8"/>
        <color rgb="FFFF0000"/>
        <rFont val="Arial"/>
        <family val="2"/>
      </rPr>
      <t xml:space="preserve">Location from Agrium modeling because lat/long from FOR is off.  </t>
    </r>
    <r>
      <rPr>
        <sz val="8"/>
        <rFont val="Arial"/>
        <family val="2"/>
      </rPr>
      <t>No PM/SO2 emissions based on 2010 info and Agrium modeling.</t>
    </r>
  </si>
  <si>
    <t>Tesoro Stack Parameters from FOR.xlsx</t>
  </si>
  <si>
    <t>needs to be updated in CALPUFF</t>
  </si>
  <si>
    <r>
      <t>PM</t>
    </r>
    <r>
      <rPr>
        <b/>
        <vertAlign val="subscript"/>
        <sz val="8"/>
        <color theme="1"/>
        <rFont val="Arial"/>
        <family val="2"/>
      </rPr>
      <t>10</t>
    </r>
    <r>
      <rPr>
        <b/>
        <sz val="8"/>
        <color theme="1"/>
        <rFont val="Arial"/>
        <family val="2"/>
      </rPr>
      <t xml:space="preserve"> 
(24-hr)</t>
    </r>
  </si>
  <si>
    <r>
      <t>PM</t>
    </r>
    <r>
      <rPr>
        <b/>
        <vertAlign val="subscript"/>
        <sz val="8"/>
        <color theme="1"/>
        <rFont val="Arial"/>
        <family val="2"/>
      </rPr>
      <t>10</t>
    </r>
    <r>
      <rPr>
        <b/>
        <sz val="8"/>
        <color theme="1"/>
        <rFont val="Arial"/>
        <family val="2"/>
      </rPr>
      <t xml:space="preserve"> 
(annual)</t>
    </r>
  </si>
  <si>
    <t>PM10 24-hr:</t>
  </si>
  <si>
    <t>PM10 Annual:</t>
  </si>
  <si>
    <t>Annual PM10</t>
  </si>
  <si>
    <t>Scenario3_short</t>
  </si>
  <si>
    <t>TR3</t>
  </si>
  <si>
    <t>TR4</t>
  </si>
  <si>
    <t>TR5</t>
  </si>
  <si>
    <t>Powerformer Preheater H-203</t>
  </si>
  <si>
    <t>Powerformer Preheater H-202</t>
  </si>
  <si>
    <t>Powerformer Preheater H-201</t>
  </si>
  <si>
    <t>TR21</t>
  </si>
  <si>
    <t>TR22</t>
  </si>
  <si>
    <t>TR23</t>
  </si>
  <si>
    <t>TR24</t>
  </si>
  <si>
    <t>TR25</t>
  </si>
  <si>
    <t>TR26</t>
  </si>
  <si>
    <t>#1 Reheater</t>
  </si>
  <si>
    <t>Tail Gas Burner</t>
  </si>
  <si>
    <t>#4 Reheater</t>
  </si>
  <si>
    <t>Sulfur Recovery Unit</t>
  </si>
  <si>
    <t>No parameters in FOR, using previously modeled parameters</t>
  </si>
  <si>
    <t>Stack parameters based on AKLNG carrier loading as no other information is available.</t>
  </si>
  <si>
    <t>Increased permit emissions based higher MMBtu for turbine upgrade.  FOR listed slightly higher temp for this source, set equal to other turbine which was slightly lower.  For PSD modeling, use actual emissions (allowable will show increment violation). Obtained actual emission from Agrium modeling.</t>
  </si>
  <si>
    <t>AG_66A</t>
  </si>
  <si>
    <t>AG_66B</t>
  </si>
  <si>
    <t>Conservatively modeled SO2 from 5 turbines out of this point source.  No downwash because Agrium files showed no building downwash.</t>
  </si>
  <si>
    <t>Agrium did not model this source for the permit application, coords and stack parameters from Agrium protocol information.  For building info, just used the max of other sources.</t>
  </si>
  <si>
    <t>KSHP</t>
  </si>
  <si>
    <t>horizontal/capped source</t>
  </si>
  <si>
    <t>Based on current AKLNG vessel (loading) as no other data exists.</t>
  </si>
  <si>
    <r>
      <t>SO</t>
    </r>
    <r>
      <rPr>
        <b/>
        <vertAlign val="subscript"/>
        <sz val="8"/>
        <color theme="1"/>
        <rFont val="Arial"/>
        <family val="2"/>
      </rPr>
      <t>2</t>
    </r>
    <r>
      <rPr>
        <b/>
        <sz val="8"/>
        <color theme="1"/>
        <rFont val="Arial"/>
        <family val="2"/>
      </rPr>
      <t xml:space="preserve">
(1-hr, 3hr, 24hr) </t>
    </r>
  </si>
  <si>
    <t>CO (1hr, 8hr)</t>
  </si>
  <si>
    <t>Longitude</t>
  </si>
  <si>
    <t>Latitude</t>
  </si>
  <si>
    <t>Beaver Creek Production Facility</t>
  </si>
  <si>
    <t>Bruce Platform</t>
  </si>
  <si>
    <t>Drift River Terminal / Christy Lee Platform Aggregated Source</t>
  </si>
  <si>
    <t>Kenai Gas Field 14-6 Pad</t>
  </si>
  <si>
    <t>King Salmon Platform</t>
  </si>
  <si>
    <t>Platform A</t>
  </si>
  <si>
    <t>Platform C, Middle Ground Shoal, Cook Inlet</t>
  </si>
  <si>
    <t>Steelhead Platform</t>
  </si>
  <si>
    <t>Swanson River Field</t>
  </si>
  <si>
    <t>Tyonek Platform</t>
  </si>
  <si>
    <t>Beluga River Power Plant</t>
  </si>
  <si>
    <t>Clear Air Force Station</t>
  </si>
  <si>
    <t>George Sullivan Plant Two</t>
  </si>
  <si>
    <t>Hank Nikkels Plant One</t>
  </si>
  <si>
    <t>Healy Power Plant</t>
  </si>
  <si>
    <t>Ted Stevens Anchorage I</t>
  </si>
  <si>
    <t>Valdez Diesel Power Plant</t>
  </si>
  <si>
    <r>
      <t>PM</t>
    </r>
    <r>
      <rPr>
        <b/>
        <vertAlign val="subscript"/>
        <sz val="8"/>
        <rFont val="Arial"/>
        <family val="2"/>
      </rPr>
      <t>2.5</t>
    </r>
    <r>
      <rPr>
        <b/>
        <sz val="8"/>
        <rFont val="Arial"/>
        <family val="2"/>
      </rPr>
      <t xml:space="preserve"> 
(annual) </t>
    </r>
  </si>
  <si>
    <t>NOx  
(annual)</t>
  </si>
  <si>
    <r>
      <t>PM</t>
    </r>
    <r>
      <rPr>
        <b/>
        <vertAlign val="subscript"/>
        <sz val="8"/>
        <rFont val="Arial"/>
        <family val="2"/>
      </rPr>
      <t>10</t>
    </r>
    <r>
      <rPr>
        <b/>
        <sz val="8"/>
        <rFont val="Arial"/>
        <family val="2"/>
      </rPr>
      <t xml:space="preserve"> 
(24-hr) </t>
    </r>
  </si>
  <si>
    <r>
      <t>PM</t>
    </r>
    <r>
      <rPr>
        <b/>
        <vertAlign val="subscript"/>
        <sz val="8"/>
        <rFont val="Arial"/>
        <family val="2"/>
      </rPr>
      <t>10</t>
    </r>
    <r>
      <rPr>
        <b/>
        <sz val="8"/>
        <rFont val="Arial"/>
        <family val="2"/>
      </rPr>
      <t xml:space="preserve"> 
(annual) </t>
    </r>
  </si>
  <si>
    <r>
      <t>SO</t>
    </r>
    <r>
      <rPr>
        <b/>
        <vertAlign val="subscript"/>
        <sz val="8"/>
        <rFont val="Arial"/>
        <family val="2"/>
      </rPr>
      <t>2</t>
    </r>
    <r>
      <rPr>
        <b/>
        <sz val="8"/>
        <rFont val="Arial"/>
        <family val="2"/>
      </rPr>
      <t xml:space="preserve">
(1-hr) </t>
    </r>
  </si>
  <si>
    <r>
      <t>SO</t>
    </r>
    <r>
      <rPr>
        <b/>
        <vertAlign val="subscript"/>
        <sz val="8"/>
        <rFont val="Arial"/>
        <family val="2"/>
      </rPr>
      <t>2</t>
    </r>
    <r>
      <rPr>
        <b/>
        <sz val="8"/>
        <rFont val="Arial"/>
        <family val="2"/>
      </rPr>
      <t xml:space="preserve"> 
(3-hr &amp; 
24-hr)</t>
    </r>
  </si>
  <si>
    <r>
      <t>2011 Emissions (g/sec)</t>
    </r>
    <r>
      <rPr>
        <b/>
        <vertAlign val="superscript"/>
        <sz val="8"/>
        <rFont val="Arial"/>
        <family val="2"/>
      </rPr>
      <t>b</t>
    </r>
  </si>
  <si>
    <r>
      <t>SO</t>
    </r>
    <r>
      <rPr>
        <b/>
        <vertAlign val="subscript"/>
        <sz val="8"/>
        <rFont val="Arial"/>
        <family val="2"/>
      </rPr>
      <t>2</t>
    </r>
    <r>
      <rPr>
        <b/>
        <sz val="8"/>
        <rFont val="Arial"/>
        <family val="2"/>
      </rPr>
      <t xml:space="preserve"> 
(annual)</t>
    </r>
  </si>
  <si>
    <t>Emissions based on Double the Actual Emissions from 2011 NEI Database.</t>
  </si>
  <si>
    <t>Locations based on 2011 NEI Database Average Point Source Longitude and Latitude</t>
  </si>
  <si>
    <t>1-hr, 3-hr, 8-hr, and 24-hr have been set equal to the annual emission rate for each pollutant. It is assumed that the same level of emissions from the facility are emitted throughout the year (8,760 hours). Specific maximum operating cases are not known.</t>
  </si>
  <si>
    <r>
      <t>PM</t>
    </r>
    <r>
      <rPr>
        <b/>
        <vertAlign val="subscript"/>
        <sz val="8"/>
        <color theme="1"/>
        <rFont val="Arial"/>
        <family val="2"/>
      </rPr>
      <t>10</t>
    </r>
    <r>
      <rPr>
        <b/>
        <sz val="8"/>
        <color theme="1"/>
        <rFont val="Arial"/>
        <family val="2"/>
      </rPr>
      <t>-FIL (annual)</t>
    </r>
  </si>
  <si>
    <r>
      <t>PM</t>
    </r>
    <r>
      <rPr>
        <b/>
        <vertAlign val="subscript"/>
        <sz val="8"/>
        <color theme="1"/>
        <rFont val="Arial"/>
        <family val="2"/>
      </rPr>
      <t>2.5</t>
    </r>
    <r>
      <rPr>
        <b/>
        <sz val="8"/>
        <color theme="1"/>
        <rFont val="Arial"/>
        <family val="2"/>
      </rPr>
      <t>-FIL (annual)</t>
    </r>
  </si>
  <si>
    <t>PM-CON (annual)</t>
  </si>
  <si>
    <r>
      <t>PMF/SOIL</t>
    </r>
    <r>
      <rPr>
        <b/>
        <vertAlign val="superscript"/>
        <sz val="8"/>
        <rFont val="Arial"/>
        <family val="2"/>
      </rPr>
      <t>d</t>
    </r>
  </si>
  <si>
    <t>PMF/Soil Set Equal to 0 tpy with the assumption that the majority of the emitters within the Volume Sources are combustion-driven equipment.</t>
  </si>
  <si>
    <t>e</t>
  </si>
  <si>
    <t>f</t>
  </si>
  <si>
    <t>The Elemental Carbon (EC) is set equal to the PM Filterable emissions provided by the 2011 NEI Database</t>
  </si>
  <si>
    <t>The Secondary Organic Aerosols (SOA) are set equal to the PM Condensable emissions provided by the 2011 NEI Database</t>
  </si>
  <si>
    <r>
      <t>EC - PM2.5</t>
    </r>
    <r>
      <rPr>
        <b/>
        <vertAlign val="superscript"/>
        <sz val="8"/>
        <rFont val="Arial"/>
        <family val="2"/>
      </rPr>
      <t>e,g,h</t>
    </r>
  </si>
  <si>
    <r>
      <t>SOA - PM2.5</t>
    </r>
    <r>
      <rPr>
        <b/>
        <vertAlign val="superscript"/>
        <sz val="8"/>
        <rFont val="Arial"/>
        <family val="2"/>
      </rPr>
      <t>f,g,h</t>
    </r>
  </si>
  <si>
    <t>h</t>
  </si>
  <si>
    <t>Actual emissions from NEI Database</t>
  </si>
  <si>
    <t>#2 Reheater</t>
  </si>
  <si>
    <t>#3 Reheater</t>
  </si>
  <si>
    <t>Left at permit emissions since Actuals were not available from ADEC point source reporting</t>
  </si>
  <si>
    <t>All volume source plume assumed to be 10 m x 10 m x 10 m in size</t>
  </si>
  <si>
    <t>Syinit assumed 4.3 from Table 3-1 in the AERMOD User's Guide for a single volume source</t>
  </si>
  <si>
    <t>Syinit assumed 4.3 from Table 3-1 in the AERMOD User's Guide for an elevated source not on or adjacent to a building</t>
  </si>
  <si>
    <t>Frame 6 Gas Turbine</t>
  </si>
  <si>
    <t>Detroit Diesel Startup Engine</t>
  </si>
  <si>
    <t>HRSG</t>
  </si>
  <si>
    <t>Ted Stevens Anchorage I EC and SOA emissions calculated using AP42 filterable/condensable particulate matter speciation. The PM emissions were split into 4 equal parts to represent the possible equipment at the facility</t>
  </si>
  <si>
    <t>PM2.5 EC</t>
  </si>
  <si>
    <t>PM2.5 SOA</t>
  </si>
  <si>
    <t>PM10 EC</t>
  </si>
  <si>
    <t>PM10 SOA</t>
  </si>
  <si>
    <t xml:space="preserve">Homer Electric source, sits adjacent to Agrium property.  </t>
  </si>
  <si>
    <t>Mobile Source | Diesel</t>
  </si>
  <si>
    <t>EPA-420-R-15-022 Speciation of Total Organic Gas and Particulate Matter Emissions from On-road Vehicles in MOVES2014  Table C-10 and Table D-1</t>
  </si>
  <si>
    <t>Kenai Gas Field 34-31 Pad</t>
  </si>
  <si>
    <t>LNG  Plant #1</t>
  </si>
  <si>
    <t>Hilcorp Platform C Middle Ground Shoal</t>
  </si>
  <si>
    <t>Hilcorp Middle Ground Shoal Onshore Facility</t>
  </si>
  <si>
    <t>MAKE SURE HOMER ELECTRIC (HEA) SOURCE IS ALSO MODELED</t>
  </si>
  <si>
    <t>Bea</t>
  </si>
  <si>
    <t>Bel</t>
  </si>
  <si>
    <t>Bru</t>
  </si>
  <si>
    <t>Cle</t>
  </si>
  <si>
    <t>Dol</t>
  </si>
  <si>
    <t>Dri</t>
  </si>
  <si>
    <t>Geo</t>
  </si>
  <si>
    <t>Gra</t>
  </si>
  <si>
    <t>Han</t>
  </si>
  <si>
    <t>Hea</t>
  </si>
  <si>
    <t>Ke1</t>
  </si>
  <si>
    <t>Ke2</t>
  </si>
  <si>
    <t>Kin</t>
  </si>
  <si>
    <t>LNG</t>
  </si>
  <si>
    <t>Pl1</t>
  </si>
  <si>
    <t>Pl2</t>
  </si>
  <si>
    <t>Ste</t>
  </si>
  <si>
    <t>Swa</t>
  </si>
  <si>
    <t>Tyo</t>
  </si>
  <si>
    <t>Val</t>
  </si>
  <si>
    <t>Ted</t>
  </si>
  <si>
    <t>AE&amp;EC - Soldonta Turbine</t>
  </si>
  <si>
    <t>Alaska Pipeline Co. - Gudenrath Compessor Station</t>
  </si>
  <si>
    <t>i</t>
  </si>
  <si>
    <t>The Solodonta Turbine and Gundenrath Compressor Station EC and SOA emissions calculated using AP42 filterable/condensable particulate matter speciation. The PM emissions were assumed to be based on gas-fired turbines as the main PM emission source</t>
  </si>
  <si>
    <t>RFD Source - Emissions are PTE, not actuals</t>
  </si>
  <si>
    <t>Mobile Source with Diesel Fuel</t>
  </si>
  <si>
    <t>Generator with Diesel Fuel</t>
  </si>
  <si>
    <t>Heater with Gas Fuel</t>
  </si>
  <si>
    <t>Heater with Diesel Fuel</t>
  </si>
  <si>
    <t>Turbine with Gas Fuel</t>
  </si>
  <si>
    <t>Dolly Varden Platform WITH KUUKPIK 5 RIG EMISSIONS</t>
  </si>
  <si>
    <t>Grayling Platform WITH KUUKPIK 5 RIG EMISSIONS</t>
  </si>
  <si>
    <t>j</t>
  </si>
  <si>
    <t>The Kuukpik 5 Rig EC and SOA emissions calculated using AP42 filterable/condensable particulate matter speciation. The PM emissions were assumed to be based on diesel-fired generator as the main PM emission source</t>
  </si>
  <si>
    <t>Increment Consuming NOx</t>
  </si>
  <si>
    <t>Increment Consuming PM10</t>
  </si>
  <si>
    <t>Increment Consuming PM2.5</t>
  </si>
  <si>
    <t>Increment Consuming SO2</t>
  </si>
  <si>
    <t>Oldest Install Date</t>
  </si>
  <si>
    <t>Newest Install Date</t>
  </si>
  <si>
    <t>N</t>
  </si>
  <si>
    <t>k</t>
  </si>
  <si>
    <t>Ted Stevens Anchorage I assumed to be all increment consuming</t>
  </si>
  <si>
    <r>
      <t>SO</t>
    </r>
    <r>
      <rPr>
        <b/>
        <vertAlign val="subscript"/>
        <sz val="8"/>
        <color theme="1"/>
        <rFont val="Arial"/>
        <family val="2"/>
      </rPr>
      <t>2</t>
    </r>
    <r>
      <rPr>
        <b/>
        <sz val="8"/>
        <color theme="1"/>
        <rFont val="Arial"/>
        <family val="2"/>
      </rPr>
      <t xml:space="preserve"> 
( 3-hr, 24hr)</t>
    </r>
  </si>
  <si>
    <t>Set 1hr SO2 emissions = to annual, because that is how 1hr NO2 was modeled.  Total SO2 emissions listed in table  divded by 2 for each pump.</t>
  </si>
  <si>
    <t>If short-term SO2 g/sec calculated from lb/hr was less than annual g/sec, then set to annual g/sec (likely not enough sig digits in lb/hr value).</t>
  </si>
  <si>
    <t>Pollutant</t>
  </si>
  <si>
    <r>
      <t>Baseline Date</t>
    </r>
    <r>
      <rPr>
        <b/>
        <vertAlign val="superscript"/>
        <sz val="10"/>
        <color theme="1"/>
        <rFont val="Arial"/>
        <family val="2"/>
      </rPr>
      <t>1</t>
    </r>
  </si>
  <si>
    <r>
      <t>NO</t>
    </r>
    <r>
      <rPr>
        <vertAlign val="subscript"/>
        <sz val="10"/>
        <color theme="1"/>
        <rFont val="Arial"/>
        <family val="2"/>
      </rPr>
      <t>2</t>
    </r>
  </si>
  <si>
    <r>
      <t>SO</t>
    </r>
    <r>
      <rPr>
        <vertAlign val="subscript"/>
        <sz val="10"/>
        <color theme="1"/>
        <rFont val="Arial"/>
        <family val="2"/>
      </rPr>
      <t>2</t>
    </r>
  </si>
  <si>
    <r>
      <t>PM</t>
    </r>
    <r>
      <rPr>
        <vertAlign val="subscript"/>
        <sz val="10"/>
        <color theme="1"/>
        <rFont val="Arial"/>
        <family val="2"/>
      </rPr>
      <t>10</t>
    </r>
  </si>
  <si>
    <r>
      <t>PM</t>
    </r>
    <r>
      <rPr>
        <vertAlign val="subscript"/>
        <sz val="10"/>
        <color theme="1"/>
        <rFont val="Arial"/>
        <family val="2"/>
      </rPr>
      <t>2.5</t>
    </r>
  </si>
  <si>
    <r>
      <t>September 14, 2012</t>
    </r>
    <r>
      <rPr>
        <vertAlign val="superscript"/>
        <sz val="10"/>
        <color theme="1"/>
        <rFont val="Arial"/>
        <family val="2"/>
      </rPr>
      <t>2</t>
    </r>
  </si>
  <si>
    <r>
      <t>1</t>
    </r>
    <r>
      <rPr>
        <sz val="8"/>
        <color theme="1"/>
        <rFont val="Arial"/>
        <family val="2"/>
      </rPr>
      <t xml:space="preserve">  The baseline dates in this table are for the Cook Inlet Intrastate Air Quality Control Region where the Liquefaction Facility is located.  Denali National Park straddles the Cook Inlet and Northern Alaska Intrastate Air Quality Control Regions.</t>
    </r>
  </si>
  <si>
    <r>
      <t>2</t>
    </r>
    <r>
      <rPr>
        <sz val="8"/>
        <color theme="1"/>
        <rFont val="Arial"/>
        <family val="2"/>
      </rPr>
      <t xml:space="preserve">  ADEC has not established a PM</t>
    </r>
    <r>
      <rPr>
        <vertAlign val="subscript"/>
        <sz val="8"/>
        <color theme="1"/>
        <rFont val="Arial"/>
        <family val="2"/>
      </rPr>
      <t>2.5</t>
    </r>
    <r>
      <rPr>
        <sz val="8"/>
        <color theme="1"/>
        <rFont val="Arial"/>
        <family val="2"/>
      </rPr>
      <t xml:space="preserve"> minor source baseline date, but has adopted the baseline date set up under 40 C.F.R 52.21(b)(14)(ii). Adopted by reference in 18 AAC 50.040(h).</t>
    </r>
  </si>
  <si>
    <t>Do not model with AERMOD, include these ONLY in farfield (CALPUFF) analysis.</t>
  </si>
  <si>
    <t>Farfield Sources, MODEL IN CALPUFF ONLY</t>
  </si>
  <si>
    <t>vol_1</t>
  </si>
  <si>
    <t>vol6</t>
  </si>
  <si>
    <t>Sold</t>
  </si>
  <si>
    <t>Gude</t>
  </si>
  <si>
    <t>model</t>
  </si>
  <si>
    <t>excel</t>
  </si>
  <si>
    <t>Update in modeling, also update bldg dim</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</si>
</sst>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8" formatCode="&quot;$&quot;#,##0.00_);[Red]\(&quot;$&quot;#,##0.00\)"/>
    <numFmt numFmtId="42" formatCode="_(&quot;$&quot;* #,##0_);_(&quot;$&quot;* \(#,##0\);_(&quot;$&quot;* &quot;-&quot;_);_(@_)"/>
    <numFmt numFmtId="43" formatCode="_(* #,##0.00_);_(* \(#,##0.00\);_(* &quot;-&quot;??_);_(@_)"/>
    <numFmt numFmtId="164" formatCode="0.000"/>
    <numFmt numFmtId="165" formatCode="0.000E+00"/>
    <numFmt numFmtId="166" formatCode="0.0"/>
    <numFmt numFmtId="167" formatCode="0.00_)"/>
    <numFmt numFmtId="168" formatCode="0_)"/>
    <numFmt numFmtId="169" formatCode="0.0_)"/>
    <numFmt numFmtId="170" formatCode="0.000E+00_)"/>
    <numFmt numFmtId="171" formatCode="0.000_)"/>
    <numFmt numFmtId="172" formatCode="__@"/>
    <numFmt numFmtId="173" formatCode="#,###"/>
    <numFmt numFmtId="174" formatCode="#,###.00"/>
    <numFmt numFmtId="175" formatCode="#.0"/>
    <numFmt numFmtId="176" formatCode="#,##0.00_);\(#,##0.00\);&quot;- &quot;"/>
    <numFmt numFmtId="177" formatCode="&quot;$&quot;\ \ \ \ \ #,##0_);\(&quot;$&quot;\ \ \ \ #,##0\)"/>
    <numFmt numFmtId="178" formatCode="_(&quot;$&quot;* #,##0.00_);_(&quot;$&quot;* \(#,##0.00\);_(&quot;$&quot;* &quot;-&quot;_);_(@_)"/>
    <numFmt numFmtId="179" formatCode="&quot;$&quot;#,##0\ ;\(&quot;$&quot;#,##0\)"/>
    <numFmt numFmtId="180" formatCode="* \ General"/>
    <numFmt numFmtId="181" formatCode="* &quot;\&quot;&quot;\&quot;&quot;\&quot;&quot;\&quot;&quot;\&quot;&quot;\&quot;&quot;\&quot;&quot;\&quot;&quot;\&quot;&quot;\&quot;\ General"/>
    <numFmt numFmtId="182" formatCode="d&quot;日&quot;"/>
    <numFmt numFmtId="183" formatCode="#,##0\ &quot;DM&quot;;[Red]\-#,##0\ &quot;DM&quot;"/>
    <numFmt numFmtId="184" formatCode="#,##0.00\ &quot;DM&quot;;[Red]\-#,##0.00\ &quot;DM&quot;"/>
  </numFmts>
  <fonts count="88">
    <font>
      <sz val="11"/>
      <color theme="1"/>
      <name val="Calibri"/>
      <family val="2"/>
      <scheme val="minor"/>
    </font>
    <font>
      <b/>
      <sz val="11"/>
      <color theme="1"/>
      <name val="Calibri"/>
      <family val="2"/>
      <scheme val="minor"/>
    </font>
    <font>
      <sz val="10"/>
      <name val="Arial"/>
      <family val="2"/>
    </font>
    <font>
      <sz val="11"/>
      <name val="Calibri"/>
      <family val="2"/>
      <scheme val="minor"/>
    </font>
    <font>
      <b/>
      <sz val="11"/>
      <name val="Calibri"/>
      <family val="2"/>
      <scheme val="minor"/>
    </font>
    <font>
      <sz val="9"/>
      <color theme="1"/>
      <name val="Calibri"/>
      <family val="2"/>
      <scheme val="minor"/>
    </font>
    <font>
      <sz val="11"/>
      <color theme="1"/>
      <name val="Calibri"/>
      <family val="2"/>
      <scheme val="minor"/>
    </font>
    <font>
      <sz val="9"/>
      <name val="Courier"/>
      <family val="3"/>
    </font>
    <font>
      <sz val="10"/>
      <color theme="1"/>
      <name val="Arial"/>
      <family val="2"/>
    </font>
    <font>
      <sz val="10"/>
      <color indexed="9"/>
      <name val="Arial"/>
      <family val="2"/>
    </font>
    <font>
      <sz val="8"/>
      <name val="Arial"/>
      <family val="2"/>
    </font>
    <font>
      <b/>
      <sz val="12"/>
      <name val="Arial"/>
      <family val="2"/>
    </font>
    <font>
      <u/>
      <sz val="10"/>
      <color theme="10"/>
      <name val="Arial"/>
      <family val="2"/>
    </font>
    <font>
      <b/>
      <i/>
      <sz val="16"/>
      <name val="Helv"/>
    </font>
    <font>
      <sz val="8"/>
      <color indexed="8"/>
      <name val="Arial"/>
      <family val="2"/>
    </font>
    <font>
      <sz val="10"/>
      <color rgb="FF000000"/>
      <name val="Times New Roman"/>
      <family val="1"/>
    </font>
    <font>
      <sz val="10"/>
      <name val="Courier"/>
      <family val="3"/>
    </font>
    <font>
      <b/>
      <sz val="8"/>
      <color indexed="8"/>
      <name val="Arial"/>
      <family val="2"/>
    </font>
    <font>
      <b/>
      <sz val="10"/>
      <color indexed="8"/>
      <name val="Arial"/>
      <family val="2"/>
    </font>
    <font>
      <b/>
      <sz val="12"/>
      <color indexed="8"/>
      <name val="Arial"/>
      <family val="2"/>
    </font>
    <font>
      <sz val="10"/>
      <name val="MS Sans Serif"/>
      <family val="2"/>
    </font>
    <font>
      <b/>
      <sz val="10"/>
      <name val="MS Sans Serif"/>
      <family val="2"/>
    </font>
    <font>
      <b/>
      <sz val="8"/>
      <name val="Arial"/>
      <family val="2"/>
    </font>
    <font>
      <b/>
      <vertAlign val="subscript"/>
      <sz val="8"/>
      <name val="Arial"/>
      <family val="2"/>
    </font>
    <font>
      <i/>
      <sz val="11"/>
      <color theme="0" tint="-0.499984740745262"/>
      <name val="Calibri"/>
      <family val="2"/>
      <scheme val="minor"/>
    </font>
    <font>
      <sz val="8"/>
      <color theme="1"/>
      <name val="Arial"/>
      <family val="2"/>
    </font>
    <font>
      <b/>
      <sz val="8"/>
      <color theme="1"/>
      <name val="Arial"/>
      <family val="2"/>
    </font>
    <font>
      <b/>
      <vertAlign val="superscript"/>
      <sz val="8"/>
      <color theme="1"/>
      <name val="Arial"/>
      <family val="2"/>
    </font>
    <font>
      <b/>
      <vertAlign val="superscript"/>
      <sz val="8"/>
      <name val="Arial"/>
      <family val="2"/>
    </font>
    <font>
      <sz val="8"/>
      <color rgb="FFFF0000"/>
      <name val="Arial"/>
      <family val="2"/>
    </font>
    <font>
      <i/>
      <sz val="8"/>
      <color theme="0" tint="-0.499984740745262"/>
      <name val="Arial"/>
      <family val="2"/>
    </font>
    <font>
      <vertAlign val="superscript"/>
      <sz val="8"/>
      <color theme="1"/>
      <name val="Arial"/>
      <family val="2"/>
    </font>
    <font>
      <b/>
      <vertAlign val="subscript"/>
      <sz val="8"/>
      <color theme="1"/>
      <name val="Arial"/>
      <family val="2"/>
    </font>
    <font>
      <sz val="8"/>
      <color rgb="FF0070C0"/>
      <name val="Arial"/>
      <family val="2"/>
    </font>
    <font>
      <u/>
      <sz val="8"/>
      <color rgb="FF0070C0"/>
      <name val="Arial"/>
      <family val="2"/>
    </font>
    <font>
      <vertAlign val="subscript"/>
      <sz val="8"/>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Times New Roman"/>
      <family val="1"/>
    </font>
    <font>
      <sz val="10"/>
      <name val="Helv"/>
    </font>
    <font>
      <sz val="10"/>
      <color indexed="8"/>
      <name val="Times New Roman"/>
      <family val="1"/>
    </font>
    <font>
      <b/>
      <sz val="9"/>
      <name val="Arial"/>
      <family val="2"/>
    </font>
    <font>
      <sz val="14"/>
      <color indexed="27"/>
      <name val="Arial"/>
      <family val="2"/>
    </font>
    <font>
      <sz val="11"/>
      <name val="Arial"/>
      <family val="2"/>
    </font>
    <font>
      <sz val="9"/>
      <name val="Arial"/>
      <family val="2"/>
    </font>
    <font>
      <sz val="9"/>
      <color theme="1"/>
      <name val="Arial"/>
      <family val="2"/>
    </font>
    <font>
      <sz val="8"/>
      <color indexed="24"/>
      <name val="Arial"/>
      <family val="2"/>
    </font>
    <font>
      <b/>
      <vertAlign val="superscript"/>
      <sz val="14"/>
      <color indexed="8"/>
      <name val="Times New Roman"/>
      <family val="1"/>
    </font>
    <font>
      <b/>
      <sz val="10"/>
      <name val="Times New Roman"/>
      <family val="1"/>
    </font>
    <font>
      <sz val="1"/>
      <color indexed="8"/>
      <name val="Courier"/>
      <family val="3"/>
    </font>
    <font>
      <b/>
      <sz val="8"/>
      <name val="Helv"/>
    </font>
    <font>
      <i/>
      <sz val="1"/>
      <color indexed="8"/>
      <name val="Courier"/>
      <family val="3"/>
    </font>
    <font>
      <sz val="8"/>
      <name val="Helv"/>
    </font>
    <font>
      <b/>
      <sz val="10"/>
      <name val="Helv"/>
    </font>
    <font>
      <sz val="8"/>
      <name val="BERNHARD"/>
    </font>
    <font>
      <b/>
      <sz val="8"/>
      <color indexed="12"/>
      <name val="Arial"/>
      <family val="2"/>
    </font>
    <font>
      <sz val="11"/>
      <name val="Univers"/>
      <family val="2"/>
    </font>
    <font>
      <sz val="7"/>
      <name val="Arial"/>
      <family val="2"/>
    </font>
    <font>
      <b/>
      <i/>
      <sz val="10"/>
      <name val="Arial"/>
      <family val="2"/>
    </font>
    <font>
      <b/>
      <sz val="10"/>
      <name val="Arial"/>
      <family val="2"/>
    </font>
    <font>
      <i/>
      <sz val="12"/>
      <name val="Arial Black"/>
      <family val="2"/>
    </font>
    <font>
      <u/>
      <sz val="12"/>
      <name val="Arial Black"/>
      <family val="2"/>
    </font>
    <font>
      <b/>
      <sz val="16"/>
      <name val="Arial Black"/>
      <family val="2"/>
    </font>
    <font>
      <sz val="8"/>
      <name val="CG Times (WN)"/>
      <family val="1"/>
    </font>
    <font>
      <sz val="10"/>
      <name val="Helvetica"/>
      <family val="2"/>
    </font>
    <font>
      <sz val="10"/>
      <name val="ＭＳ Ｐゴシック"/>
      <family val="3"/>
      <charset val="128"/>
    </font>
    <font>
      <sz val="15"/>
      <color theme="1"/>
      <name val="Times New Roman"/>
      <family val="1"/>
    </font>
    <font>
      <u/>
      <sz val="8"/>
      <name val="Arial"/>
      <family val="2"/>
    </font>
    <font>
      <b/>
      <u/>
      <sz val="8"/>
      <name val="Arial"/>
      <family val="2"/>
    </font>
    <font>
      <b/>
      <sz val="8"/>
      <color rgb="FFFF0000"/>
      <name val="Arial"/>
      <family val="2"/>
    </font>
    <font>
      <sz val="9"/>
      <color rgb="FFFF0000"/>
      <name val="Calibri"/>
      <family val="2"/>
      <scheme val="minor"/>
    </font>
    <font>
      <b/>
      <sz val="10"/>
      <color theme="1"/>
      <name val="Arial"/>
      <family val="2"/>
    </font>
    <font>
      <b/>
      <vertAlign val="superscript"/>
      <sz val="10"/>
      <color theme="1"/>
      <name val="Arial"/>
      <family val="2"/>
    </font>
    <font>
      <vertAlign val="subscript"/>
      <sz val="10"/>
      <color theme="1"/>
      <name val="Arial"/>
      <family val="2"/>
    </font>
    <font>
      <vertAlign val="superscript"/>
      <sz val="10"/>
      <color theme="1"/>
      <name val="Arial"/>
      <family val="2"/>
    </font>
  </fonts>
  <fills count="59">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26"/>
        <bgColor indexed="64"/>
      </patternFill>
    </fill>
    <fill>
      <patternFill patternType="solid">
        <fgColor indexed="57"/>
        <bgColor indexed="64"/>
      </patternFill>
    </fill>
    <fill>
      <patternFill patternType="solid">
        <fgColor indexed="59"/>
        <bgColor indexed="64"/>
      </patternFill>
    </fill>
    <fill>
      <patternFill patternType="solid">
        <fgColor indexed="62"/>
        <bgColor indexed="64"/>
      </patternFill>
    </fill>
    <fill>
      <patternFill patternType="solid">
        <fgColor indexed="61"/>
        <bgColor indexed="64"/>
      </patternFill>
    </fill>
    <fill>
      <patternFill patternType="solid">
        <fgColor indexed="60"/>
        <bgColor indexed="64"/>
      </patternFill>
    </fill>
    <fill>
      <patternFill patternType="mediumGray">
        <fgColor indexed="22"/>
      </patternFill>
    </fill>
    <fill>
      <patternFill patternType="solid">
        <fgColor theme="0" tint="-0.14999847407452621"/>
        <bgColor indexed="64"/>
      </patternFill>
    </fill>
    <fill>
      <patternFill patternType="solid">
        <fgColor theme="5"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mediumGray">
        <fgColor indexed="8"/>
        <bgColor indexed="37"/>
      </patternFill>
    </fill>
    <fill>
      <patternFill patternType="solid">
        <fgColor indexed="42"/>
        <bgColor indexed="64"/>
      </patternFill>
    </fill>
    <fill>
      <patternFill patternType="solid">
        <fgColor indexed="43"/>
        <bgColor indexed="64"/>
      </patternFill>
    </fill>
    <fill>
      <patternFill patternType="solid">
        <fgColor indexed="22"/>
      </patternFill>
    </fill>
    <fill>
      <patternFill patternType="solid">
        <fgColor indexed="21"/>
        <bgColor indexed="21"/>
      </patternFill>
    </fill>
    <fill>
      <patternFill patternType="solid">
        <fgColor indexed="47"/>
        <bgColor indexed="64"/>
      </patternFill>
    </fill>
    <fill>
      <patternFill patternType="solid">
        <fgColor rgb="FFFFFF00"/>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rgb="FFFF0000"/>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rgb="FFD9D9D9"/>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medium">
        <color indexed="64"/>
      </top>
      <bottom style="thin">
        <color indexed="64"/>
      </bottom>
      <diagonal/>
    </border>
    <border>
      <left/>
      <right/>
      <top/>
      <bottom style="double">
        <color indexed="8"/>
      </bottom>
      <diagonal/>
    </border>
    <border>
      <left style="double">
        <color indexed="8"/>
      </left>
      <right/>
      <top style="thin">
        <color indexed="8"/>
      </top>
      <bottom style="thin">
        <color indexed="8"/>
      </bottom>
      <diagonal/>
    </border>
    <border>
      <left/>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style="thin">
        <color auto="1"/>
      </top>
      <bottom style="thin">
        <color auto="1"/>
      </bottom>
      <diagonal/>
    </border>
    <border>
      <left/>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271">
    <xf numFmtId="0" fontId="0" fillId="0" borderId="0"/>
    <xf numFmtId="0" fontId="7" fillId="0" borderId="0"/>
    <xf numFmtId="173" fontId="6" fillId="0" borderId="0"/>
    <xf numFmtId="173" fontId="6" fillId="0" borderId="0"/>
    <xf numFmtId="174" fontId="6" fillId="0" borderId="0"/>
    <xf numFmtId="174" fontId="6" fillId="0" borderId="0"/>
    <xf numFmtId="175" fontId="2" fillId="0" borderId="0"/>
    <xf numFmtId="175" fontId="6" fillId="0" borderId="0"/>
    <xf numFmtId="175" fontId="6" fillId="0" borderId="0"/>
    <xf numFmtId="0" fontId="2" fillId="0" borderId="0"/>
    <xf numFmtId="0" fontId="2" fillId="0" borderId="0"/>
    <xf numFmtId="0" fontId="2" fillId="0" borderId="0"/>
    <xf numFmtId="0" fontId="2" fillId="0" borderId="0"/>
    <xf numFmtId="43" fontId="9" fillId="0" borderId="0" applyFont="0" applyFill="0" applyBorder="0" applyAlignment="0" applyProtection="0"/>
    <xf numFmtId="43" fontId="8" fillId="0" borderId="0" applyFont="0" applyFill="0" applyBorder="0" applyAlignment="0" applyProtection="0"/>
    <xf numFmtId="38" fontId="10" fillId="3" borderId="0" applyNumberFormat="0" applyBorder="0" applyAlignment="0" applyProtection="0"/>
    <xf numFmtId="0" fontId="11" fillId="0" borderId="10" applyNumberFormat="0" applyAlignment="0" applyProtection="0">
      <alignment horizontal="left" vertical="center"/>
    </xf>
    <xf numFmtId="0" fontId="11" fillId="0" borderId="8">
      <alignment horizontal="left" vertical="center"/>
    </xf>
    <xf numFmtId="0" fontId="12" fillId="0" borderId="0" applyNumberFormat="0" applyFill="0" applyBorder="0" applyAlignment="0" applyProtection="0">
      <alignment vertical="top"/>
      <protection locked="0"/>
    </xf>
    <xf numFmtId="10" fontId="10" fillId="4" borderId="1" applyNumberFormat="0" applyBorder="0" applyAlignment="0" applyProtection="0"/>
    <xf numFmtId="167" fontId="13" fillId="0" borderId="0"/>
    <xf numFmtId="0" fontId="14" fillId="0" borderId="0">
      <alignment horizont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 fillId="0" borderId="0"/>
    <xf numFmtId="0" fontId="8" fillId="0" borderId="0"/>
    <xf numFmtId="0" fontId="8" fillId="0" borderId="0"/>
    <xf numFmtId="0" fontId="8" fillId="0" borderId="0"/>
    <xf numFmtId="0" fontId="6" fillId="0" borderId="0"/>
    <xf numFmtId="0" fontId="6" fillId="0" borderId="0"/>
    <xf numFmtId="0" fontId="6" fillId="0" borderId="0"/>
    <xf numFmtId="0" fontId="6" fillId="0" borderId="0"/>
    <xf numFmtId="0" fontId="6" fillId="0" borderId="0"/>
    <xf numFmtId="0" fontId="15" fillId="0" borderId="0"/>
    <xf numFmtId="0" fontId="6" fillId="0" borderId="0"/>
    <xf numFmtId="0" fontId="8" fillId="0" borderId="0"/>
    <xf numFmtId="0" fontId="14" fillId="0" borderId="0">
      <alignment horizontal="center"/>
    </xf>
    <xf numFmtId="0" fontId="2" fillId="0" borderId="0"/>
    <xf numFmtId="0" fontId="9" fillId="0" borderId="0"/>
    <xf numFmtId="0" fontId="6" fillId="0" borderId="0"/>
    <xf numFmtId="0" fontId="6" fillId="0" borderId="0"/>
    <xf numFmtId="168" fontId="16" fillId="0" borderId="0"/>
    <xf numFmtId="0" fontId="8" fillId="0" borderId="0"/>
    <xf numFmtId="0" fontId="14" fillId="0" borderId="0">
      <alignment horizontal="center"/>
    </xf>
    <xf numFmtId="0" fontId="14" fillId="0" borderId="0">
      <alignment horizont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 fillId="0" borderId="0">
      <alignment horizontal="center"/>
    </xf>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9" fontId="14" fillId="5" borderId="0">
      <alignment horizontal="center"/>
    </xf>
    <xf numFmtId="49" fontId="17" fillId="6" borderId="0">
      <alignment horizontal="center"/>
    </xf>
    <xf numFmtId="49" fontId="18" fillId="6" borderId="0">
      <alignment horizontal="center"/>
    </xf>
    <xf numFmtId="0" fontId="17" fillId="7" borderId="0">
      <alignment horizontal="center"/>
    </xf>
    <xf numFmtId="49" fontId="19" fillId="7" borderId="0">
      <alignment horizontal="center"/>
    </xf>
    <xf numFmtId="49" fontId="18" fillId="7" borderId="0">
      <alignment horizontal="center"/>
    </xf>
    <xf numFmtId="0" fontId="14" fillId="7" borderId="0">
      <alignment horizontal="center"/>
    </xf>
    <xf numFmtId="0" fontId="17" fillId="0" borderId="0">
      <alignment horizontal="center"/>
    </xf>
    <xf numFmtId="0" fontId="14" fillId="0" borderId="0">
      <alignment horizontal="center"/>
    </xf>
    <xf numFmtId="49" fontId="17" fillId="8" borderId="0">
      <alignment horizontal="center"/>
    </xf>
    <xf numFmtId="49" fontId="18" fillId="8" borderId="0">
      <alignment horizontal="center"/>
    </xf>
    <xf numFmtId="49" fontId="17" fillId="9" borderId="0">
      <alignment horizontal="center"/>
    </xf>
    <xf numFmtId="49" fontId="18" fillId="9" borderId="0">
      <alignment horizontal="center"/>
    </xf>
    <xf numFmtId="49" fontId="14" fillId="9" borderId="0">
      <alignment horizontal="center"/>
    </xf>
    <xf numFmtId="0" fontId="20" fillId="0" borderId="0" applyNumberFormat="0" applyFont="0" applyFill="0" applyBorder="0" applyAlignment="0" applyProtection="0">
      <alignment horizontal="left"/>
    </xf>
    <xf numFmtId="15" fontId="20" fillId="0" borderId="0" applyFont="0" applyFill="0" applyBorder="0" applyAlignment="0" applyProtection="0"/>
    <xf numFmtId="4" fontId="20" fillId="0" borderId="0" applyFont="0" applyFill="0" applyBorder="0" applyAlignment="0" applyProtection="0"/>
    <xf numFmtId="0" fontId="21" fillId="0" borderId="11">
      <alignment horizontal="center"/>
    </xf>
    <xf numFmtId="3" fontId="20" fillId="0" borderId="0" applyFont="0" applyFill="0" applyBorder="0" applyAlignment="0" applyProtection="0"/>
    <xf numFmtId="0" fontId="20" fillId="10" borderId="0" applyNumberFormat="0" applyFont="0" applyBorder="0" applyAlignment="0" applyProtection="0"/>
    <xf numFmtId="4" fontId="2" fillId="0" borderId="1" applyBorder="0">
      <alignment horizontal="left" wrapText="1"/>
    </xf>
    <xf numFmtId="0" fontId="2" fillId="0" borderId="0"/>
    <xf numFmtId="0" fontId="36" fillId="0" borderId="0" applyNumberFormat="0" applyFill="0" applyBorder="0" applyAlignment="0" applyProtection="0"/>
    <xf numFmtId="0" fontId="37" fillId="0" borderId="20" applyNumberFormat="0" applyFill="0" applyAlignment="0" applyProtection="0"/>
    <xf numFmtId="0" fontId="38" fillId="0" borderId="21" applyNumberFormat="0" applyFill="0" applyAlignment="0" applyProtection="0"/>
    <xf numFmtId="0" fontId="39" fillId="0" borderId="22" applyNumberFormat="0" applyFill="0" applyAlignment="0" applyProtection="0"/>
    <xf numFmtId="0" fontId="39" fillId="0" borderId="0" applyNumberFormat="0" applyFill="0" applyBorder="0" applyAlignment="0" applyProtection="0"/>
    <xf numFmtId="0" fontId="40" fillId="13" borderId="0" applyNumberFormat="0" applyBorder="0" applyAlignment="0" applyProtection="0"/>
    <xf numFmtId="0" fontId="41" fillId="14" borderId="0" applyNumberFormat="0" applyBorder="0" applyAlignment="0" applyProtection="0"/>
    <xf numFmtId="0" fontId="42" fillId="15" borderId="0" applyNumberFormat="0" applyBorder="0" applyAlignment="0" applyProtection="0"/>
    <xf numFmtId="0" fontId="43" fillId="16" borderId="23" applyNumberFormat="0" applyAlignment="0" applyProtection="0"/>
    <xf numFmtId="0" fontId="44" fillId="17" borderId="24" applyNumberFormat="0" applyAlignment="0" applyProtection="0"/>
    <xf numFmtId="0" fontId="45" fillId="17" borderId="23" applyNumberFormat="0" applyAlignment="0" applyProtection="0"/>
    <xf numFmtId="0" fontId="46" fillId="0" borderId="25" applyNumberFormat="0" applyFill="0" applyAlignment="0" applyProtection="0"/>
    <xf numFmtId="0" fontId="47" fillId="18" borderId="26" applyNumberFormat="0" applyAlignment="0" applyProtection="0"/>
    <xf numFmtId="0" fontId="48" fillId="0" borderId="0" applyNumberFormat="0" applyFill="0" applyBorder="0" applyAlignment="0" applyProtection="0"/>
    <xf numFmtId="0" fontId="6" fillId="19" borderId="27" applyNumberFormat="0" applyFont="0" applyAlignment="0" applyProtection="0"/>
    <xf numFmtId="0" fontId="49" fillId="0" borderId="0" applyNumberFormat="0" applyFill="0" applyBorder="0" applyAlignment="0" applyProtection="0"/>
    <xf numFmtId="0" fontId="1" fillId="0" borderId="28" applyNumberFormat="0" applyFill="0" applyAlignment="0" applyProtection="0"/>
    <xf numFmtId="0" fontId="50"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50" fillId="23" borderId="0" applyNumberFormat="0" applyBorder="0" applyAlignment="0" applyProtection="0"/>
    <xf numFmtId="0" fontId="50"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50" fillId="27" borderId="0" applyNumberFormat="0" applyBorder="0" applyAlignment="0" applyProtection="0"/>
    <xf numFmtId="0" fontId="50"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50" fillId="31" borderId="0" applyNumberFormat="0" applyBorder="0" applyAlignment="0" applyProtection="0"/>
    <xf numFmtId="0" fontId="50" fillId="32"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50" fillId="35" borderId="0" applyNumberFormat="0" applyBorder="0" applyAlignment="0" applyProtection="0"/>
    <xf numFmtId="0" fontId="50" fillId="36" borderId="0" applyNumberFormat="0" applyBorder="0" applyAlignment="0" applyProtection="0"/>
    <xf numFmtId="0" fontId="6" fillId="37" borderId="0" applyNumberFormat="0" applyBorder="0" applyAlignment="0" applyProtection="0"/>
    <xf numFmtId="0" fontId="6" fillId="38" borderId="0" applyNumberFormat="0" applyBorder="0" applyAlignment="0" applyProtection="0"/>
    <xf numFmtId="0" fontId="50" fillId="39" borderId="0" applyNumberFormat="0" applyBorder="0" applyAlignment="0" applyProtection="0"/>
    <xf numFmtId="0" fontId="50" fillId="40" borderId="0" applyNumberFormat="0" applyBorder="0" applyAlignment="0" applyProtection="0"/>
    <xf numFmtId="0" fontId="6" fillId="41" borderId="0" applyNumberFormat="0" applyBorder="0" applyAlignment="0" applyProtection="0"/>
    <xf numFmtId="0" fontId="6" fillId="42" borderId="0" applyNumberFormat="0" applyBorder="0" applyAlignment="0" applyProtection="0"/>
    <xf numFmtId="0" fontId="50" fillId="43" borderId="0" applyNumberFormat="0" applyBorder="0" applyAlignment="0" applyProtection="0"/>
    <xf numFmtId="0" fontId="51" fillId="0" borderId="0"/>
    <xf numFmtId="0" fontId="2" fillId="0" borderId="0"/>
    <xf numFmtId="2" fontId="52" fillId="0" borderId="0"/>
    <xf numFmtId="176" fontId="53" fillId="0" borderId="0" applyProtection="0">
      <protection locked="0"/>
    </xf>
    <xf numFmtId="164" fontId="52" fillId="0" borderId="0"/>
    <xf numFmtId="4" fontId="54" fillId="0" borderId="1">
      <alignment horizontal="left" vertical="center" wrapText="1"/>
    </xf>
    <xf numFmtId="4" fontId="54" fillId="0" borderId="29">
      <alignment horizontal="center" vertical="center" wrapText="1"/>
    </xf>
    <xf numFmtId="4" fontId="54" fillId="0" borderId="1">
      <alignment horizontal="left" vertical="center" wrapText="1"/>
    </xf>
    <xf numFmtId="0" fontId="55" fillId="44" borderId="0" applyNumberFormat="0" applyFont="0" applyBorder="0" applyAlignment="0" applyProtection="0">
      <alignment horizontal="left"/>
    </xf>
    <xf numFmtId="49" fontId="56" fillId="0" borderId="0" applyFill="0" applyBorder="0">
      <alignment vertical="center"/>
    </xf>
    <xf numFmtId="177" fontId="57" fillId="0" borderId="0"/>
    <xf numFmtId="177" fontId="57" fillId="0" borderId="0"/>
    <xf numFmtId="177" fontId="57" fillId="0" borderId="0"/>
    <xf numFmtId="177" fontId="57" fillId="0" borderId="0"/>
    <xf numFmtId="177" fontId="57" fillId="0" borderId="0"/>
    <xf numFmtId="177" fontId="57" fillId="0" borderId="0"/>
    <xf numFmtId="177" fontId="57" fillId="0" borderId="0"/>
    <xf numFmtId="177" fontId="57" fillId="0" borderId="0"/>
    <xf numFmtId="43" fontId="8" fillId="0" borderId="0" applyFont="0" applyFill="0" applyBorder="0" applyAlignment="0" applyProtection="0"/>
    <xf numFmtId="43" fontId="8" fillId="0" borderId="0" applyFont="0" applyFill="0" applyBorder="0" applyAlignment="0" applyProtection="0"/>
    <xf numFmtId="43" fontId="58" fillId="0" borderId="0" applyFont="0" applyFill="0" applyBorder="0" applyAlignment="0" applyProtection="0"/>
    <xf numFmtId="3" fontId="52" fillId="0" borderId="0"/>
    <xf numFmtId="3" fontId="59" fillId="0" borderId="0" applyFont="0" applyFill="0" applyBorder="0" applyAlignment="0" applyProtection="0"/>
    <xf numFmtId="0" fontId="60" fillId="45" borderId="0" applyNumberFormat="0" applyFont="0" applyBorder="0" applyAlignment="0" applyProtection="0"/>
    <xf numFmtId="8" fontId="20" fillId="0" borderId="0" applyFont="0" applyFill="0" applyBorder="0" applyAlignment="0" applyProtection="0"/>
    <xf numFmtId="42" fontId="61" fillId="0" borderId="30" applyBorder="0"/>
    <xf numFmtId="178" fontId="53" fillId="0" borderId="0">
      <protection locked="0"/>
    </xf>
    <xf numFmtId="179" fontId="59" fillId="0" borderId="0" applyFont="0" applyFill="0" applyBorder="0" applyAlignment="0" applyProtection="0"/>
    <xf numFmtId="0" fontId="59" fillId="0" borderId="0" applyFont="0" applyFill="0" applyBorder="0" applyAlignment="0" applyProtection="0"/>
    <xf numFmtId="38" fontId="20" fillId="0" borderId="0" applyFont="0" applyFill="0" applyBorder="0" applyAlignment="0" applyProtection="0"/>
    <xf numFmtId="40" fontId="20" fillId="0" borderId="0" applyFont="0" applyFill="0" applyBorder="0" applyAlignment="0" applyProtection="0"/>
    <xf numFmtId="0" fontId="62" fillId="0" borderId="0">
      <protection locked="0"/>
    </xf>
    <xf numFmtId="0" fontId="63" fillId="0" borderId="0"/>
    <xf numFmtId="0" fontId="10" fillId="0" borderId="0" applyNumberFormat="0" applyFont="0" applyFill="0" applyBorder="0" applyAlignment="0" applyProtection="0"/>
    <xf numFmtId="0" fontId="62" fillId="0" borderId="0">
      <protection locked="0"/>
    </xf>
    <xf numFmtId="0" fontId="64" fillId="0" borderId="0">
      <protection locked="0"/>
    </xf>
    <xf numFmtId="0" fontId="62" fillId="0" borderId="0">
      <protection locked="0"/>
    </xf>
    <xf numFmtId="0" fontId="65" fillId="0" borderId="0"/>
    <xf numFmtId="0" fontId="10" fillId="0" borderId="0" applyNumberFormat="0" applyFont="0" applyFill="0" applyBorder="0" applyAlignment="0" applyProtection="0"/>
    <xf numFmtId="0" fontId="62" fillId="0" borderId="0">
      <protection locked="0"/>
    </xf>
    <xf numFmtId="0" fontId="52" fillId="0" borderId="0"/>
    <xf numFmtId="0" fontId="10" fillId="0" borderId="0" applyNumberFormat="0" applyFont="0" applyFill="0" applyBorder="0" applyAlignment="0" applyProtection="0"/>
    <xf numFmtId="0" fontId="62" fillId="0" borderId="0">
      <protection locked="0"/>
    </xf>
    <xf numFmtId="0" fontId="66" fillId="0" borderId="0"/>
    <xf numFmtId="0" fontId="10" fillId="0" borderId="0" applyNumberFormat="0" applyFont="0" applyFill="0" applyBorder="0" applyAlignment="0" applyProtection="0"/>
    <xf numFmtId="0" fontId="64" fillId="0" borderId="0">
      <protection locked="0"/>
    </xf>
    <xf numFmtId="0" fontId="67" fillId="0" borderId="0"/>
    <xf numFmtId="0" fontId="10" fillId="0" borderId="0" applyNumberFormat="0" applyFont="0" applyFill="0" applyBorder="0" applyAlignment="0" applyProtection="0"/>
    <xf numFmtId="0" fontId="65" fillId="0" borderId="31"/>
    <xf numFmtId="2" fontId="59" fillId="0" borderId="0" applyFont="0" applyFill="0" applyBorder="0" applyAlignment="0" applyProtection="0"/>
    <xf numFmtId="4" fontId="52" fillId="0" borderId="0"/>
    <xf numFmtId="0" fontId="57" fillId="46" borderId="1">
      <alignment horizontal="center" vertical="center" wrapText="1"/>
      <protection locked="0"/>
    </xf>
    <xf numFmtId="3" fontId="54" fillId="46" borderId="12">
      <alignment horizontal="center" vertical="center" wrapText="1"/>
      <protection locked="0"/>
    </xf>
    <xf numFmtId="3" fontId="57" fillId="46" borderId="1">
      <alignment horizontal="center" vertical="center" wrapText="1"/>
      <protection locked="0"/>
    </xf>
    <xf numFmtId="167" fontId="68" fillId="3" borderId="0">
      <alignment vertical="center"/>
      <protection locked="0"/>
    </xf>
    <xf numFmtId="4" fontId="62" fillId="0" borderId="0" applyFont="0" applyFill="0" applyBorder="0" applyAlignment="0" applyProtection="0">
      <protection locked="0"/>
    </xf>
    <xf numFmtId="167" fontId="13" fillId="0" borderId="0"/>
    <xf numFmtId="0" fontId="2" fillId="0" borderId="0"/>
    <xf numFmtId="0" fontId="2" fillId="0" borderId="0"/>
    <xf numFmtId="0" fontId="8" fillId="0" borderId="0"/>
    <xf numFmtId="0" fontId="6" fillId="0" borderId="0"/>
    <xf numFmtId="0" fontId="6" fillId="0" borderId="0"/>
    <xf numFmtId="0" fontId="2" fillId="0" borderId="0"/>
    <xf numFmtId="0" fontId="69" fillId="0" borderId="0"/>
    <xf numFmtId="0" fontId="6" fillId="0" borderId="0"/>
    <xf numFmtId="0" fontId="6" fillId="0" borderId="0"/>
    <xf numFmtId="0" fontId="69" fillId="0" borderId="0"/>
    <xf numFmtId="0" fontId="6" fillId="19" borderId="27" applyNumberFormat="0" applyFont="0" applyAlignment="0" applyProtection="0"/>
    <xf numFmtId="180" fontId="10" fillId="0" borderId="5" applyFont="0" applyFill="0" applyBorder="0" applyProtection="0">
      <alignment horizontal="centerContinuous" vertical="center"/>
      <protection hidden="1"/>
    </xf>
    <xf numFmtId="10" fontId="2"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2" fillId="0" borderId="0" applyFont="0" applyFill="0" applyBorder="0" applyAlignment="0" applyProtection="0"/>
    <xf numFmtId="9" fontId="51" fillId="0" borderId="0" applyFont="0" applyFill="0" applyBorder="0" applyAlignment="0" applyProtection="0"/>
    <xf numFmtId="0" fontId="70" fillId="0" borderId="0" applyNumberFormat="0" applyBorder="0" applyAlignment="0" applyProtection="0"/>
    <xf numFmtId="181" fontId="70" fillId="47" borderId="32" applyFont="0" applyFill="0" applyBorder="0" applyProtection="0">
      <alignment horizontal="centerContinuous" vertical="center"/>
    </xf>
    <xf numFmtId="0" fontId="71" fillId="0" borderId="1">
      <alignment horizontal="center" vertical="center"/>
    </xf>
    <xf numFmtId="0" fontId="72" fillId="48" borderId="1" applyNumberFormat="0" applyProtection="0">
      <alignment horizontal="center" vertical="center"/>
    </xf>
    <xf numFmtId="0" fontId="73" fillId="0" borderId="0"/>
    <xf numFmtId="0" fontId="74" fillId="0" borderId="0"/>
    <xf numFmtId="0" fontId="75" fillId="0" borderId="0"/>
    <xf numFmtId="0" fontId="76" fillId="0" borderId="14">
      <protection locked="0"/>
    </xf>
    <xf numFmtId="0" fontId="76" fillId="0" borderId="14">
      <protection locked="0"/>
    </xf>
    <xf numFmtId="0" fontId="77" fillId="0" borderId="0"/>
    <xf numFmtId="0" fontId="73" fillId="0" borderId="0"/>
    <xf numFmtId="0" fontId="11" fillId="0" borderId="0"/>
    <xf numFmtId="0" fontId="57" fillId="0" borderId="33"/>
    <xf numFmtId="182" fontId="57" fillId="0" borderId="0" applyNumberFormat="0" applyBorder="0" applyAlignment="0" applyProtection="0">
      <alignment vertical="center"/>
      <protection hidden="1"/>
    </xf>
    <xf numFmtId="0" fontId="10" fillId="0" borderId="34" applyNumberFormat="0" applyFill="0" applyBorder="0" applyAlignment="0" applyProtection="0">
      <alignment vertical="center"/>
    </xf>
    <xf numFmtId="183" fontId="20" fillId="0" borderId="0" applyFont="0" applyFill="0" applyBorder="0" applyAlignment="0" applyProtection="0"/>
    <xf numFmtId="184" fontId="20" fillId="0" borderId="0" applyFont="0" applyFill="0" applyBorder="0" applyAlignment="0" applyProtection="0"/>
    <xf numFmtId="1" fontId="52" fillId="0" borderId="0"/>
    <xf numFmtId="0" fontId="2" fillId="0" borderId="0"/>
    <xf numFmtId="49" fontId="72" fillId="49" borderId="35">
      <alignment horizontal="center"/>
      <protection locked="0"/>
    </xf>
    <xf numFmtId="0" fontId="78" fillId="0" borderId="0">
      <alignment vertical="center"/>
    </xf>
    <xf numFmtId="9" fontId="2" fillId="0" borderId="0" applyFont="0" applyFill="0" applyBorder="0" applyAlignment="0" applyProtection="0"/>
    <xf numFmtId="0" fontId="11" fillId="0" borderId="35">
      <alignment horizontal="left" vertical="center"/>
    </xf>
    <xf numFmtId="0" fontId="11" fillId="0" borderId="46">
      <alignment horizontal="left" vertical="center"/>
    </xf>
    <xf numFmtId="0" fontId="65" fillId="0" borderId="45"/>
    <xf numFmtId="0" fontId="65" fillId="0" borderId="48"/>
    <xf numFmtId="0" fontId="65" fillId="0" borderId="42"/>
    <xf numFmtId="0" fontId="11" fillId="0" borderId="43">
      <alignment horizontal="left" vertical="center"/>
    </xf>
    <xf numFmtId="0" fontId="76" fillId="0" borderId="41">
      <protection locked="0"/>
    </xf>
    <xf numFmtId="0" fontId="76" fillId="0" borderId="41">
      <protection locked="0"/>
    </xf>
    <xf numFmtId="49" fontId="72" fillId="49" borderId="43">
      <alignment horizontal="center"/>
      <protection locked="0"/>
    </xf>
    <xf numFmtId="0" fontId="76" fillId="0" borderId="44">
      <protection locked="0"/>
    </xf>
    <xf numFmtId="0" fontId="76" fillId="0" borderId="44">
      <protection locked="0"/>
    </xf>
    <xf numFmtId="49" fontId="72" fillId="49" borderId="46">
      <alignment horizontal="center"/>
      <protection locked="0"/>
    </xf>
    <xf numFmtId="0" fontId="76" fillId="0" borderId="47">
      <protection locked="0"/>
    </xf>
    <xf numFmtId="0" fontId="76" fillId="0" borderId="47">
      <protection locked="0"/>
    </xf>
    <xf numFmtId="49" fontId="72" fillId="49" borderId="49">
      <alignment horizontal="center"/>
      <protection locked="0"/>
    </xf>
    <xf numFmtId="9" fontId="6" fillId="0" borderId="0" applyFont="0" applyFill="0" applyBorder="0" applyAlignment="0" applyProtection="0"/>
  </cellStyleXfs>
  <cellXfs count="498">
    <xf numFmtId="0" fontId="0" fillId="0" borderId="0" xfId="0"/>
    <xf numFmtId="0" fontId="1" fillId="0" borderId="1" xfId="0" applyFont="1" applyBorder="1" applyAlignment="1">
      <alignment horizontal="center"/>
    </xf>
    <xf numFmtId="0" fontId="3" fillId="0" borderId="1" xfId="0" applyFont="1" applyBorder="1" applyAlignment="1" applyProtection="1">
      <alignment vertical="center"/>
    </xf>
    <xf numFmtId="0" fontId="0" fillId="0" borderId="0" xfId="0" applyFont="1"/>
    <xf numFmtId="0" fontId="3" fillId="0" borderId="1" xfId="0" applyFont="1" applyBorder="1" applyAlignment="1" applyProtection="1">
      <alignment horizontal="center" vertical="center"/>
    </xf>
    <xf numFmtId="169" fontId="0" fillId="0" borderId="1" xfId="0" applyNumberFormat="1" applyFont="1" applyBorder="1" applyAlignment="1">
      <alignment horizontal="center"/>
    </xf>
    <xf numFmtId="169" fontId="0" fillId="2" borderId="1" xfId="0" applyNumberFormat="1" applyFont="1" applyFill="1" applyBorder="1" applyAlignment="1">
      <alignment horizontal="center"/>
    </xf>
    <xf numFmtId="0" fontId="0" fillId="0" borderId="0" xfId="0" applyAlignment="1">
      <alignment horizontal="center"/>
    </xf>
    <xf numFmtId="0" fontId="1" fillId="0" borderId="7" xfId="0" applyFont="1" applyFill="1" applyBorder="1" applyAlignment="1">
      <alignment horizontal="center" wrapText="1"/>
    </xf>
    <xf numFmtId="0" fontId="1" fillId="0" borderId="1" xfId="0" applyFont="1" applyBorder="1" applyAlignment="1">
      <alignment horizontal="center" wrapText="1"/>
    </xf>
    <xf numFmtId="0" fontId="22" fillId="0" borderId="2" xfId="0" applyNumberFormat="1" applyFont="1" applyBorder="1" applyAlignment="1">
      <alignment horizontal="center" vertical="center" wrapText="1"/>
    </xf>
    <xf numFmtId="0" fontId="0" fillId="0" borderId="0" xfId="0" applyAlignment="1">
      <alignment horizontal="left"/>
    </xf>
    <xf numFmtId="0" fontId="5" fillId="0" borderId="0" xfId="0" applyFont="1" applyAlignment="1">
      <alignment horizontal="left"/>
    </xf>
    <xf numFmtId="11" fontId="0" fillId="0" borderId="0" xfId="0" applyNumberFormat="1" applyAlignment="1">
      <alignment horizontal="left"/>
    </xf>
    <xf numFmtId="0" fontId="5" fillId="0" borderId="1" xfId="0" applyFont="1" applyBorder="1" applyAlignment="1">
      <alignment horizontal="left"/>
    </xf>
    <xf numFmtId="0" fontId="5" fillId="0" borderId="1" xfId="0" applyFont="1" applyBorder="1" applyAlignment="1">
      <alignment horizontal="left" wrapText="1"/>
    </xf>
    <xf numFmtId="0" fontId="5" fillId="0" borderId="9" xfId="0" applyFont="1" applyBorder="1" applyAlignment="1">
      <alignment horizontal="left"/>
    </xf>
    <xf numFmtId="165" fontId="24" fillId="11" borderId="1" xfId="0" applyNumberFormat="1" applyFont="1" applyFill="1" applyBorder="1" applyAlignment="1">
      <alignment horizontal="center"/>
    </xf>
    <xf numFmtId="0" fontId="24" fillId="11" borderId="1" xfId="0" applyFont="1" applyFill="1" applyBorder="1" applyAlignment="1" applyProtection="1">
      <alignment horizontal="center" vertical="center"/>
    </xf>
    <xf numFmtId="0" fontId="24" fillId="11" borderId="1" xfId="0" applyFont="1" applyFill="1" applyBorder="1" applyAlignment="1" applyProtection="1">
      <alignment vertical="center"/>
    </xf>
    <xf numFmtId="169" fontId="24" fillId="11" borderId="1" xfId="0" applyNumberFormat="1" applyFont="1" applyFill="1" applyBorder="1" applyAlignment="1">
      <alignment horizontal="center"/>
    </xf>
    <xf numFmtId="2" fontId="0" fillId="0" borderId="0" xfId="0" applyNumberFormat="1" applyAlignment="1">
      <alignment horizontal="left"/>
    </xf>
    <xf numFmtId="0" fontId="1" fillId="0" borderId="0" xfId="0" applyFont="1" applyAlignment="1">
      <alignment horizontal="left"/>
    </xf>
    <xf numFmtId="0" fontId="0" fillId="0" borderId="0" xfId="0" applyAlignment="1">
      <alignment horizontal="right"/>
    </xf>
    <xf numFmtId="0" fontId="5" fillId="0" borderId="0" xfId="0" applyFont="1" applyAlignment="1">
      <alignment horizontal="right"/>
    </xf>
    <xf numFmtId="0" fontId="25" fillId="0" borderId="0" xfId="0" applyFont="1" applyFill="1"/>
    <xf numFmtId="0" fontId="10" fillId="0" borderId="0" xfId="0" applyFont="1" applyFill="1"/>
    <xf numFmtId="0" fontId="25" fillId="0" borderId="0" xfId="0" applyFont="1"/>
    <xf numFmtId="0" fontId="10" fillId="0" borderId="0" xfId="0" applyNumberFormat="1" applyFont="1" applyAlignment="1">
      <alignment vertical="center"/>
    </xf>
    <xf numFmtId="0" fontId="10" fillId="0" borderId="0" xfId="0" applyNumberFormat="1" applyFont="1" applyAlignment="1">
      <alignment horizontal="left" vertical="center"/>
    </xf>
    <xf numFmtId="0" fontId="25" fillId="0" borderId="4" xfId="0" applyFont="1" applyFill="1" applyBorder="1" applyAlignment="1">
      <alignment horizontal="center"/>
    </xf>
    <xf numFmtId="0" fontId="26" fillId="0" borderId="4" xfId="0" applyFont="1" applyFill="1" applyBorder="1" applyAlignment="1">
      <alignment horizontal="center" wrapText="1"/>
    </xf>
    <xf numFmtId="0" fontId="10" fillId="0" borderId="1" xfId="0" applyFont="1" applyFill="1" applyBorder="1" applyAlignment="1">
      <alignment horizontal="left"/>
    </xf>
    <xf numFmtId="0" fontId="10" fillId="0" borderId="1" xfId="0" applyFont="1" applyFill="1" applyBorder="1"/>
    <xf numFmtId="2" fontId="25" fillId="0" borderId="1" xfId="0" applyNumberFormat="1" applyFont="1" applyFill="1" applyBorder="1" applyAlignment="1">
      <alignment horizontal="center"/>
    </xf>
    <xf numFmtId="2" fontId="10" fillId="0" borderId="1" xfId="0" applyNumberFormat="1" applyFont="1" applyFill="1" applyBorder="1" applyAlignment="1">
      <alignment horizontal="center"/>
    </xf>
    <xf numFmtId="167" fontId="10" fillId="0" borderId="1" xfId="0" applyNumberFormat="1" applyFont="1" applyFill="1" applyBorder="1" applyAlignment="1">
      <alignment horizontal="center" vertical="center"/>
    </xf>
    <xf numFmtId="167" fontId="10" fillId="0" borderId="0" xfId="0" applyNumberFormat="1" applyFont="1" applyFill="1" applyBorder="1" applyAlignment="1">
      <alignment horizontal="left" vertical="center"/>
    </xf>
    <xf numFmtId="0" fontId="25" fillId="2" borderId="4" xfId="0" applyFont="1" applyFill="1" applyBorder="1" applyAlignment="1">
      <alignment horizontal="center"/>
    </xf>
    <xf numFmtId="0" fontId="10" fillId="11" borderId="1" xfId="0" applyFont="1" applyFill="1" applyBorder="1" applyAlignment="1">
      <alignment horizontal="center"/>
    </xf>
    <xf numFmtId="0" fontId="10" fillId="11" borderId="1" xfId="0" applyFont="1" applyFill="1" applyBorder="1"/>
    <xf numFmtId="165" fontId="10" fillId="11" borderId="1" xfId="0" applyNumberFormat="1" applyFont="1" applyFill="1" applyBorder="1" applyAlignment="1">
      <alignment horizontal="center"/>
    </xf>
    <xf numFmtId="167" fontId="10" fillId="11" borderId="1" xfId="0" applyNumberFormat="1" applyFont="1" applyFill="1" applyBorder="1" applyAlignment="1">
      <alignment horizontal="center" vertical="center"/>
    </xf>
    <xf numFmtId="0" fontId="25" fillId="11" borderId="0" xfId="0" applyFont="1" applyFill="1"/>
    <xf numFmtId="167" fontId="29" fillId="0" borderId="0" xfId="0" applyNumberFormat="1" applyFont="1" applyFill="1" applyBorder="1" applyAlignment="1">
      <alignment horizontal="left" vertical="center"/>
    </xf>
    <xf numFmtId="0" fontId="30" fillId="11" borderId="1" xfId="0" applyFont="1" applyFill="1" applyBorder="1" applyAlignment="1">
      <alignment horizontal="center"/>
    </xf>
    <xf numFmtId="0" fontId="30" fillId="11" borderId="1" xfId="0" applyFont="1" applyFill="1" applyBorder="1" applyAlignment="1">
      <alignment horizontal="left"/>
    </xf>
    <xf numFmtId="0" fontId="30" fillId="11" borderId="1" xfId="0" applyFont="1" applyFill="1" applyBorder="1"/>
    <xf numFmtId="2" fontId="30" fillId="11" borderId="1" xfId="0" applyNumberFormat="1" applyFont="1" applyFill="1" applyBorder="1" applyAlignment="1">
      <alignment horizontal="center"/>
    </xf>
    <xf numFmtId="1" fontId="30" fillId="11" borderId="1" xfId="0" applyNumberFormat="1" applyFont="1" applyFill="1" applyBorder="1" applyAlignment="1">
      <alignment horizontal="center"/>
    </xf>
    <xf numFmtId="165" fontId="30" fillId="11" borderId="1" xfId="0" applyNumberFormat="1" applyFont="1" applyFill="1" applyBorder="1" applyAlignment="1">
      <alignment horizontal="center"/>
    </xf>
    <xf numFmtId="0" fontId="25" fillId="0" borderId="1" xfId="0" applyFont="1" applyFill="1" applyBorder="1" applyAlignment="1">
      <alignment horizontal="center"/>
    </xf>
    <xf numFmtId="2" fontId="25" fillId="0" borderId="1" xfId="0" applyNumberFormat="1" applyFont="1" applyBorder="1" applyAlignment="1">
      <alignment horizontal="center"/>
    </xf>
    <xf numFmtId="172" fontId="10" fillId="11" borderId="1" xfId="0" applyNumberFormat="1" applyFont="1" applyFill="1" applyBorder="1" applyAlignment="1">
      <alignment horizontal="left" vertical="center"/>
    </xf>
    <xf numFmtId="167" fontId="10" fillId="11" borderId="9" xfId="0" applyNumberFormat="1" applyFont="1" applyFill="1" applyBorder="1" applyAlignment="1">
      <alignment horizontal="center" vertical="center"/>
    </xf>
    <xf numFmtId="167" fontId="10" fillId="11" borderId="0" xfId="0" applyNumberFormat="1" applyFont="1" applyFill="1" applyBorder="1" applyAlignment="1">
      <alignment horizontal="left" vertical="center"/>
    </xf>
    <xf numFmtId="0" fontId="25" fillId="0" borderId="1" xfId="0" applyFont="1" applyFill="1" applyBorder="1" applyAlignment="1">
      <alignment horizontal="left"/>
    </xf>
    <xf numFmtId="0" fontId="25" fillId="0" borderId="1" xfId="0" applyFont="1" applyFill="1" applyBorder="1"/>
    <xf numFmtId="0" fontId="10" fillId="0" borderId="1" xfId="0" applyFont="1" applyFill="1" applyBorder="1" applyAlignment="1" applyProtection="1">
      <alignment vertical="center"/>
    </xf>
    <xf numFmtId="2" fontId="10" fillId="0" borderId="1" xfId="0" applyNumberFormat="1" applyFont="1" applyFill="1" applyBorder="1" applyAlignment="1">
      <alignment horizontal="center" vertical="center"/>
    </xf>
    <xf numFmtId="1"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164" fontId="10" fillId="0" borderId="1" xfId="0" applyNumberFormat="1" applyFont="1" applyFill="1" applyBorder="1" applyAlignment="1">
      <alignment horizontal="center" vertical="center"/>
    </xf>
    <xf numFmtId="0" fontId="10" fillId="0" borderId="9" xfId="0" applyNumberFormat="1" applyFont="1" applyBorder="1" applyAlignment="1">
      <alignment horizontal="center" vertical="center" wrapText="1"/>
    </xf>
    <xf numFmtId="172" fontId="10" fillId="2" borderId="1" xfId="0" applyNumberFormat="1" applyFont="1" applyFill="1" applyBorder="1" applyAlignment="1">
      <alignment horizontal="left" vertical="center"/>
    </xf>
    <xf numFmtId="172" fontId="10" fillId="0" borderId="0" xfId="0" applyNumberFormat="1" applyFont="1" applyFill="1" applyBorder="1" applyAlignment="1">
      <alignment horizontal="left" vertical="center"/>
    </xf>
    <xf numFmtId="0" fontId="10" fillId="0" borderId="0" xfId="0" applyFont="1" applyFill="1" applyAlignment="1">
      <alignment horizontal="right"/>
    </xf>
    <xf numFmtId="165" fontId="10" fillId="0" borderId="0" xfId="0" applyNumberFormat="1" applyFont="1" applyFill="1" applyBorder="1" applyAlignment="1">
      <alignment horizontal="center"/>
    </xf>
    <xf numFmtId="166" fontId="25" fillId="0" borderId="1" xfId="0" applyNumberFormat="1" applyFont="1" applyBorder="1" applyAlignment="1">
      <alignment horizontal="center"/>
    </xf>
    <xf numFmtId="0" fontId="25" fillId="0" borderId="1" xfId="0" applyFont="1" applyBorder="1" applyAlignment="1">
      <alignment horizontal="center"/>
    </xf>
    <xf numFmtId="0" fontId="10" fillId="0" borderId="0" xfId="0" applyNumberFormat="1" applyFont="1" applyBorder="1" applyAlignment="1">
      <alignment horizontal="center" vertical="center" wrapText="1"/>
    </xf>
    <xf numFmtId="172" fontId="10" fillId="2" borderId="0" xfId="0" applyNumberFormat="1" applyFont="1" applyFill="1" applyBorder="1" applyAlignment="1">
      <alignment horizontal="left" vertical="center"/>
    </xf>
    <xf numFmtId="0" fontId="25" fillId="0" borderId="0" xfId="0" applyFont="1" applyAlignment="1">
      <alignment horizontal="left"/>
    </xf>
    <xf numFmtId="0" fontId="10" fillId="0" borderId="0" xfId="0" applyFont="1" applyFill="1" applyBorder="1"/>
    <xf numFmtId="0" fontId="10" fillId="0" borderId="0" xfId="0" applyFont="1" applyFill="1" applyBorder="1" applyAlignment="1">
      <alignment horizontal="right"/>
    </xf>
    <xf numFmtId="0" fontId="25" fillId="0" borderId="0" xfId="0" applyFont="1" applyBorder="1"/>
    <xf numFmtId="0" fontId="25" fillId="0" borderId="0" xfId="0" applyFont="1" applyFill="1" applyBorder="1"/>
    <xf numFmtId="2" fontId="10" fillId="0" borderId="0" xfId="0" applyNumberFormat="1" applyFont="1" applyFill="1"/>
    <xf numFmtId="1" fontId="10" fillId="0" borderId="0" xfId="0" applyNumberFormat="1" applyFont="1" applyFill="1"/>
    <xf numFmtId="171" fontId="10" fillId="0" borderId="0" xfId="0" applyNumberFormat="1" applyFont="1" applyBorder="1" applyAlignment="1">
      <alignment vertical="center"/>
    </xf>
    <xf numFmtId="0" fontId="26" fillId="0" borderId="4" xfId="0" applyFont="1" applyBorder="1" applyAlignment="1">
      <alignment horizontal="center" wrapText="1"/>
    </xf>
    <xf numFmtId="0" fontId="25" fillId="0" borderId="0" xfId="0" applyFont="1" applyAlignment="1">
      <alignment horizontal="center"/>
    </xf>
    <xf numFmtId="0" fontId="25" fillId="0" borderId="0" xfId="0" applyFont="1" applyBorder="1" applyAlignment="1">
      <alignment horizontal="center"/>
    </xf>
    <xf numFmtId="165" fontId="10" fillId="0" borderId="2" xfId="0" applyNumberFormat="1" applyFont="1" applyFill="1" applyBorder="1" applyAlignment="1">
      <alignment horizontal="center"/>
    </xf>
    <xf numFmtId="0" fontId="10" fillId="0" borderId="6" xfId="0" applyFont="1" applyFill="1" applyBorder="1" applyAlignment="1">
      <alignment horizontal="right" vertical="top"/>
    </xf>
    <xf numFmtId="0" fontId="10" fillId="0" borderId="6" xfId="0" applyFont="1" applyFill="1" applyBorder="1" applyAlignment="1">
      <alignment horizontal="right"/>
    </xf>
    <xf numFmtId="0" fontId="10" fillId="0" borderId="16" xfId="0" applyFont="1" applyFill="1" applyBorder="1"/>
    <xf numFmtId="0" fontId="10" fillId="0" borderId="18" xfId="0" applyFont="1" applyFill="1" applyBorder="1"/>
    <xf numFmtId="0" fontId="10" fillId="0" borderId="6" xfId="0" applyFont="1" applyFill="1" applyBorder="1"/>
    <xf numFmtId="0" fontId="22" fillId="0" borderId="4" xfId="0" applyFont="1" applyFill="1" applyBorder="1" applyAlignment="1"/>
    <xf numFmtId="0" fontId="10" fillId="0" borderId="17" xfId="0" applyFont="1" applyFill="1" applyBorder="1" applyAlignment="1">
      <alignment horizontal="right" vertical="top"/>
    </xf>
    <xf numFmtId="0" fontId="5" fillId="0" borderId="12" xfId="0" applyFont="1" applyBorder="1" applyAlignment="1">
      <alignment horizontal="center"/>
    </xf>
    <xf numFmtId="0" fontId="26" fillId="0" borderId="7" xfId="0" applyFont="1" applyBorder="1" applyAlignment="1">
      <alignment horizontal="center" wrapText="1"/>
    </xf>
    <xf numFmtId="0" fontId="26" fillId="0" borderId="19" xfId="0" applyFont="1" applyBorder="1" applyAlignment="1">
      <alignment horizontal="left"/>
    </xf>
    <xf numFmtId="0" fontId="26" fillId="0" borderId="19" xfId="0" applyFont="1" applyBorder="1" applyAlignment="1">
      <alignment horizontal="center"/>
    </xf>
    <xf numFmtId="0" fontId="25" fillId="0" borderId="9" xfId="0" applyFont="1" applyBorder="1" applyAlignment="1">
      <alignment horizontal="left"/>
    </xf>
    <xf numFmtId="166" fontId="25" fillId="0" borderId="9" xfId="0" applyNumberFormat="1" applyFont="1" applyFill="1" applyBorder="1" applyAlignment="1">
      <alignment horizontal="center"/>
    </xf>
    <xf numFmtId="165" fontId="25" fillId="0" borderId="9" xfId="0" applyNumberFormat="1" applyFont="1" applyFill="1" applyBorder="1" applyAlignment="1">
      <alignment horizontal="center"/>
    </xf>
    <xf numFmtId="165" fontId="25" fillId="0" borderId="1" xfId="0" applyNumberFormat="1" applyFont="1" applyFill="1" applyBorder="1" applyAlignment="1">
      <alignment horizontal="center"/>
    </xf>
    <xf numFmtId="166" fontId="25" fillId="0" borderId="0" xfId="0" applyNumberFormat="1" applyFont="1" applyAlignment="1">
      <alignment horizontal="center"/>
    </xf>
    <xf numFmtId="2" fontId="25" fillId="0" borderId="9" xfId="0" applyNumberFormat="1" applyFont="1" applyFill="1" applyBorder="1" applyAlignment="1">
      <alignment horizontal="center"/>
    </xf>
    <xf numFmtId="0" fontId="25" fillId="0" borderId="1" xfId="0" applyFont="1" applyBorder="1" applyAlignment="1">
      <alignment horizontal="left"/>
    </xf>
    <xf numFmtId="166" fontId="25" fillId="0" borderId="1" xfId="0" applyNumberFormat="1" applyFont="1" applyFill="1" applyBorder="1" applyAlignment="1">
      <alignment horizontal="center"/>
    </xf>
    <xf numFmtId="165" fontId="25" fillId="0" borderId="1" xfId="0" quotePrefix="1" applyNumberFormat="1" applyFont="1" applyFill="1" applyBorder="1" applyAlignment="1">
      <alignment horizontal="center"/>
    </xf>
    <xf numFmtId="166" fontId="25" fillId="0" borderId="1" xfId="0" quotePrefix="1" applyNumberFormat="1" applyFont="1" applyFill="1" applyBorder="1" applyAlignment="1">
      <alignment horizontal="center"/>
    </xf>
    <xf numFmtId="0" fontId="25" fillId="0" borderId="2" xfId="0" applyFont="1" applyBorder="1" applyAlignment="1">
      <alignment horizontal="center"/>
    </xf>
    <xf numFmtId="0" fontId="25" fillId="0" borderId="9" xfId="0" applyFont="1" applyFill="1" applyBorder="1" applyAlignment="1">
      <alignment horizontal="left"/>
    </xf>
    <xf numFmtId="0" fontId="25" fillId="0" borderId="1" xfId="0" applyFont="1" applyBorder="1" applyAlignment="1">
      <alignment horizontal="right"/>
    </xf>
    <xf numFmtId="11" fontId="25" fillId="0" borderId="1" xfId="0" applyNumberFormat="1" applyFont="1" applyBorder="1" applyAlignment="1">
      <alignment horizontal="center"/>
    </xf>
    <xf numFmtId="0" fontId="29" fillId="0" borderId="0" xfId="0" applyFont="1" applyAlignment="1">
      <alignment horizontal="left"/>
    </xf>
    <xf numFmtId="0" fontId="33" fillId="0" borderId="0" xfId="0" applyFont="1" applyAlignment="1">
      <alignment horizontal="left"/>
    </xf>
    <xf numFmtId="0" fontId="34" fillId="0" borderId="0" xfId="0" applyFont="1" applyAlignment="1">
      <alignment horizontal="right"/>
    </xf>
    <xf numFmtId="17" fontId="34" fillId="0" borderId="0" xfId="0" applyNumberFormat="1" applyFont="1" applyAlignment="1">
      <alignment horizontal="left"/>
    </xf>
    <xf numFmtId="0" fontId="29" fillId="0" borderId="0" xfId="0" applyFont="1" applyAlignment="1">
      <alignment horizontal="center"/>
    </xf>
    <xf numFmtId="0" fontId="33" fillId="0" borderId="0" xfId="0" applyFont="1" applyAlignment="1">
      <alignment horizontal="right"/>
    </xf>
    <xf numFmtId="14" fontId="33" fillId="0" borderId="0" xfId="0" applyNumberFormat="1" applyFont="1" applyAlignment="1">
      <alignment horizontal="left"/>
    </xf>
    <xf numFmtId="14" fontId="29" fillId="0" borderId="0" xfId="0" applyNumberFormat="1" applyFont="1" applyAlignment="1">
      <alignment horizontal="center"/>
    </xf>
    <xf numFmtId="17" fontId="29" fillId="0" borderId="0" xfId="0" applyNumberFormat="1" applyFont="1" applyAlignment="1">
      <alignment horizontal="center"/>
    </xf>
    <xf numFmtId="0" fontId="26" fillId="0" borderId="7" xfId="0" applyFont="1" applyBorder="1" applyAlignment="1">
      <alignment horizontal="left" wrapText="1"/>
    </xf>
    <xf numFmtId="0" fontId="0" fillId="0" borderId="0" xfId="0" applyAlignment="1">
      <alignment horizontal="left" wrapText="1"/>
    </xf>
    <xf numFmtId="0" fontId="25" fillId="0" borderId="0" xfId="0" applyFont="1" applyAlignment="1">
      <alignment horizontal="right"/>
    </xf>
    <xf numFmtId="0" fontId="0" fillId="0" borderId="0" xfId="0" applyAlignment="1">
      <alignment horizontal="center" vertical="top"/>
    </xf>
    <xf numFmtId="0" fontId="0" fillId="0" borderId="0" xfId="0" applyAlignment="1">
      <alignment horizontal="left" vertical="top"/>
    </xf>
    <xf numFmtId="0" fontId="5" fillId="0" borderId="0" xfId="0" applyFont="1" applyAlignment="1">
      <alignment horizontal="left" vertical="top"/>
    </xf>
    <xf numFmtId="0" fontId="25" fillId="0" borderId="3" xfId="0" applyFont="1" applyBorder="1" applyAlignment="1">
      <alignment horizontal="center"/>
    </xf>
    <xf numFmtId="2" fontId="25" fillId="0" borderId="0" xfId="0" applyNumberFormat="1" applyFont="1" applyBorder="1" applyAlignment="1">
      <alignment horizontal="center"/>
    </xf>
    <xf numFmtId="0" fontId="5" fillId="0" borderId="0" xfId="0" applyFont="1" applyBorder="1" applyAlignment="1">
      <alignment horizontal="left" wrapText="1"/>
    </xf>
    <xf numFmtId="0" fontId="25" fillId="0" borderId="6" xfId="0" applyFont="1" applyBorder="1" applyAlignment="1">
      <alignment horizontal="right" vertical="top"/>
    </xf>
    <xf numFmtId="0" fontId="25" fillId="0" borderId="17" xfId="0" applyFont="1" applyBorder="1" applyAlignment="1">
      <alignment horizontal="right"/>
    </xf>
    <xf numFmtId="0" fontId="25" fillId="0" borderId="6" xfId="0" applyFont="1" applyBorder="1" applyAlignment="1">
      <alignment horizontal="right"/>
    </xf>
    <xf numFmtId="0" fontId="25" fillId="0" borderId="17" xfId="0" applyFont="1" applyBorder="1" applyAlignment="1">
      <alignment horizontal="right" vertical="top"/>
    </xf>
    <xf numFmtId="0" fontId="26" fillId="0" borderId="1" xfId="0" applyFont="1" applyBorder="1" applyAlignment="1">
      <alignment horizontal="center" wrapText="1"/>
    </xf>
    <xf numFmtId="0" fontId="26" fillId="0" borderId="7" xfId="0" applyFont="1" applyFill="1" applyBorder="1" applyAlignment="1">
      <alignment horizontal="center" wrapText="1"/>
    </xf>
    <xf numFmtId="0" fontId="10" fillId="0" borderId="1" xfId="0" applyFont="1" applyBorder="1" applyAlignment="1" applyProtection="1">
      <alignment vertical="center"/>
    </xf>
    <xf numFmtId="169" fontId="25" fillId="0" borderId="1" xfId="0" applyNumberFormat="1" applyFont="1" applyBorder="1" applyAlignment="1">
      <alignment horizontal="center"/>
    </xf>
    <xf numFmtId="168" fontId="25" fillId="0" borderId="1" xfId="0" applyNumberFormat="1" applyFont="1" applyBorder="1" applyAlignment="1">
      <alignment horizontal="center"/>
    </xf>
    <xf numFmtId="169" fontId="25" fillId="2" borderId="1" xfId="0" applyNumberFormat="1" applyFont="1" applyFill="1" applyBorder="1" applyAlignment="1">
      <alignment horizontal="center"/>
    </xf>
    <xf numFmtId="0" fontId="25" fillId="0" borderId="1" xfId="0" applyFont="1" applyBorder="1"/>
    <xf numFmtId="166" fontId="25" fillId="0" borderId="1" xfId="0" applyNumberFormat="1" applyFont="1" applyFill="1" applyBorder="1" applyAlignment="1">
      <alignment horizontal="center" vertical="center"/>
    </xf>
    <xf numFmtId="165" fontId="25" fillId="0" borderId="1" xfId="0" applyNumberFormat="1" applyFont="1" applyFill="1" applyBorder="1" applyAlignment="1">
      <alignment horizontal="center" vertical="center"/>
    </xf>
    <xf numFmtId="0" fontId="26" fillId="0" borderId="16" xfId="0" applyFont="1" applyFill="1" applyBorder="1" applyAlignment="1">
      <alignment horizontal="left"/>
    </xf>
    <xf numFmtId="169" fontId="25" fillId="0" borderId="4" xfId="0" applyNumberFormat="1" applyFont="1" applyBorder="1" applyAlignment="1">
      <alignment horizontal="center"/>
    </xf>
    <xf numFmtId="169" fontId="25" fillId="2" borderId="4" xfId="0" applyNumberFormat="1" applyFont="1" applyFill="1" applyBorder="1" applyAlignment="1">
      <alignment horizontal="center"/>
    </xf>
    <xf numFmtId="166" fontId="25" fillId="0" borderId="4" xfId="0" applyNumberFormat="1" applyFont="1" applyFill="1" applyBorder="1" applyAlignment="1">
      <alignment horizontal="left" vertical="center"/>
    </xf>
    <xf numFmtId="0" fontId="26" fillId="0" borderId="3" xfId="0" applyFont="1" applyBorder="1"/>
    <xf numFmtId="0" fontId="26" fillId="0" borderId="8" xfId="0" applyFont="1" applyBorder="1" applyAlignment="1"/>
    <xf numFmtId="0" fontId="25" fillId="0" borderId="16" xfId="0" applyFont="1" applyBorder="1"/>
    <xf numFmtId="0" fontId="25" fillId="0" borderId="6" xfId="0" applyFont="1" applyBorder="1"/>
    <xf numFmtId="0" fontId="25" fillId="0" borderId="5" xfId="0" applyFont="1" applyBorder="1"/>
    <xf numFmtId="0" fontId="10" fillId="0" borderId="16" xfId="0" applyFont="1" applyFill="1" applyBorder="1" applyAlignment="1">
      <alignment vertical="top"/>
    </xf>
    <xf numFmtId="0" fontId="10" fillId="0" borderId="0" xfId="0" applyFont="1" applyFill="1" applyBorder="1" applyAlignment="1" applyProtection="1">
      <alignment horizontal="left" vertical="center"/>
    </xf>
    <xf numFmtId="0" fontId="22" fillId="0" borderId="4" xfId="0" applyFont="1" applyFill="1" applyBorder="1" applyAlignment="1">
      <alignment horizontal="center"/>
    </xf>
    <xf numFmtId="0" fontId="26" fillId="0" borderId="1" xfId="0" applyFont="1" applyBorder="1" applyAlignment="1">
      <alignment horizontal="center"/>
    </xf>
    <xf numFmtId="0" fontId="22" fillId="0" borderId="1" xfId="0" applyFont="1" applyFill="1" applyBorder="1" applyAlignment="1">
      <alignment horizontal="center" wrapText="1"/>
    </xf>
    <xf numFmtId="0" fontId="26" fillId="0" borderId="13" xfId="0" applyFont="1" applyBorder="1" applyAlignment="1">
      <alignment horizontal="center"/>
    </xf>
    <xf numFmtId="0" fontId="26" fillId="0" borderId="8" xfId="0" applyFont="1" applyBorder="1" applyAlignment="1">
      <alignment horizontal="center"/>
    </xf>
    <xf numFmtId="0" fontId="26" fillId="0" borderId="7" xfId="0" applyFont="1" applyBorder="1" applyAlignment="1">
      <alignment horizontal="left"/>
    </xf>
    <xf numFmtId="0" fontId="25" fillId="0" borderId="0" xfId="0" applyFont="1" applyBorder="1" applyAlignment="1">
      <alignment horizontal="left"/>
    </xf>
    <xf numFmtId="0" fontId="25" fillId="0" borderId="4" xfId="0" applyFont="1" applyBorder="1" applyAlignment="1">
      <alignment horizontal="center"/>
    </xf>
    <xf numFmtId="0" fontId="26" fillId="0" borderId="7" xfId="0" applyFont="1" applyBorder="1" applyAlignment="1">
      <alignment horizontal="center"/>
    </xf>
    <xf numFmtId="0" fontId="5" fillId="0" borderId="1" xfId="0" applyFont="1" applyBorder="1" applyAlignment="1">
      <alignment horizontal="center"/>
    </xf>
    <xf numFmtId="0" fontId="5" fillId="0" borderId="0" xfId="0" applyFont="1" applyBorder="1" applyAlignment="1">
      <alignment horizontal="left"/>
    </xf>
    <xf numFmtId="2" fontId="25" fillId="0" borderId="0" xfId="0" applyNumberFormat="1" applyFont="1" applyFill="1" applyBorder="1" applyAlignment="1">
      <alignment horizontal="center"/>
    </xf>
    <xf numFmtId="165" fontId="25" fillId="0" borderId="0" xfId="0" quotePrefix="1" applyNumberFormat="1" applyFont="1" applyFill="1" applyBorder="1" applyAlignment="1">
      <alignment horizontal="center"/>
    </xf>
    <xf numFmtId="165" fontId="25" fillId="0" borderId="0" xfId="0" applyNumberFormat="1" applyFont="1" applyFill="1" applyBorder="1" applyAlignment="1">
      <alignment horizontal="center"/>
    </xf>
    <xf numFmtId="0" fontId="26" fillId="0" borderId="4" xfId="0" applyFont="1" applyBorder="1" applyAlignment="1"/>
    <xf numFmtId="0" fontId="51" fillId="0" borderId="0" xfId="159"/>
    <xf numFmtId="0" fontId="51" fillId="0" borderId="0" xfId="159" applyAlignment="1">
      <alignment horizontal="right"/>
    </xf>
    <xf numFmtId="164" fontId="51" fillId="0" borderId="0" xfId="159" applyNumberFormat="1"/>
    <xf numFmtId="2" fontId="51" fillId="0" borderId="0" xfId="159" applyNumberFormat="1"/>
    <xf numFmtId="166" fontId="51" fillId="0" borderId="0" xfId="159" applyNumberFormat="1"/>
    <xf numFmtId="11" fontId="51" fillId="0" borderId="0" xfId="159" applyNumberFormat="1"/>
    <xf numFmtId="0" fontId="26" fillId="11" borderId="13" xfId="0" applyFont="1" applyFill="1" applyBorder="1" applyAlignment="1">
      <alignment horizontal="center"/>
    </xf>
    <xf numFmtId="0" fontId="22" fillId="11" borderId="4" xfId="0" applyFont="1" applyFill="1" applyBorder="1" applyAlignment="1"/>
    <xf numFmtId="0" fontId="10" fillId="11" borderId="0" xfId="0" applyNumberFormat="1" applyFont="1" applyFill="1" applyAlignment="1">
      <alignment vertical="center"/>
    </xf>
    <xf numFmtId="0" fontId="10" fillId="11" borderId="0" xfId="0" applyNumberFormat="1" applyFont="1" applyFill="1" applyAlignment="1">
      <alignment horizontal="left" vertical="center"/>
    </xf>
    <xf numFmtId="0" fontId="26" fillId="11" borderId="1" xfId="0" applyFont="1" applyFill="1" applyBorder="1" applyAlignment="1">
      <alignment horizontal="center"/>
    </xf>
    <xf numFmtId="0" fontId="26" fillId="11" borderId="4" xfId="0" applyFont="1" applyFill="1" applyBorder="1" applyAlignment="1">
      <alignment horizontal="center" wrapText="1"/>
    </xf>
    <xf numFmtId="0" fontId="22" fillId="11" borderId="1" xfId="0" applyFont="1" applyFill="1" applyBorder="1" applyAlignment="1">
      <alignment horizontal="center" wrapText="1"/>
    </xf>
    <xf numFmtId="0" fontId="22" fillId="11" borderId="4" xfId="0" applyFont="1" applyFill="1" applyBorder="1" applyAlignment="1">
      <alignment horizontal="center"/>
    </xf>
    <xf numFmtId="0" fontId="22" fillId="11" borderId="2" xfId="0" applyNumberFormat="1" applyFont="1" applyFill="1" applyBorder="1" applyAlignment="1">
      <alignment horizontal="center" vertical="center" wrapText="1"/>
    </xf>
    <xf numFmtId="166" fontId="25" fillId="11" borderId="1" xfId="0" applyNumberFormat="1" applyFont="1" applyFill="1" applyBorder="1" applyAlignment="1">
      <alignment horizontal="center"/>
    </xf>
    <xf numFmtId="0" fontId="25" fillId="11" borderId="1" xfId="0" applyFont="1" applyFill="1" applyBorder="1" applyAlignment="1">
      <alignment horizontal="center"/>
    </xf>
    <xf numFmtId="0" fontId="10" fillId="11" borderId="4" xfId="0" applyFont="1" applyFill="1" applyBorder="1" applyAlignment="1">
      <alignment horizontal="center"/>
    </xf>
    <xf numFmtId="171" fontId="10" fillId="11" borderId="0" xfId="0" applyNumberFormat="1" applyFont="1" applyFill="1" applyBorder="1" applyAlignment="1">
      <alignment horizontal="left" vertical="center"/>
    </xf>
    <xf numFmtId="0" fontId="22" fillId="11" borderId="8" xfId="0" applyFont="1" applyFill="1" applyBorder="1" applyAlignment="1">
      <alignment horizontal="center"/>
    </xf>
    <xf numFmtId="0" fontId="22" fillId="11" borderId="8" xfId="0" applyFont="1" applyFill="1" applyBorder="1" applyAlignment="1">
      <alignment horizontal="center"/>
    </xf>
    <xf numFmtId="0" fontId="22" fillId="0" borderId="4" xfId="0" applyFont="1" applyFill="1" applyBorder="1" applyAlignment="1">
      <alignment horizontal="center"/>
    </xf>
    <xf numFmtId="0" fontId="26" fillId="0" borderId="8" xfId="0" applyFont="1" applyBorder="1" applyAlignment="1">
      <alignment horizontal="center"/>
    </xf>
    <xf numFmtId="0" fontId="26" fillId="0" borderId="35" xfId="0" applyFont="1" applyBorder="1" applyAlignment="1">
      <alignment horizontal="center"/>
    </xf>
    <xf numFmtId="0" fontId="26" fillId="0" borderId="35" xfId="0" applyFont="1" applyBorder="1" applyAlignment="1"/>
    <xf numFmtId="0" fontId="26" fillId="0" borderId="36" xfId="0" applyFont="1" applyBorder="1"/>
    <xf numFmtId="165" fontId="25" fillId="0" borderId="0" xfId="0" applyNumberFormat="1" applyFont="1" applyFill="1" applyBorder="1" applyAlignment="1">
      <alignment horizontal="center" vertical="center"/>
    </xf>
    <xf numFmtId="0" fontId="51" fillId="50" borderId="0" xfId="159" applyFill="1"/>
    <xf numFmtId="164" fontId="25" fillId="0" borderId="1" xfId="0" applyNumberFormat="1" applyFont="1" applyFill="1" applyBorder="1" applyAlignment="1">
      <alignment horizontal="center"/>
    </xf>
    <xf numFmtId="0" fontId="25" fillId="0" borderId="0" xfId="0" applyFont="1" applyFill="1" applyAlignment="1">
      <alignment horizontal="center"/>
    </xf>
    <xf numFmtId="0" fontId="10" fillId="0" borderId="0" xfId="0" applyFont="1" applyFill="1" applyAlignment="1">
      <alignment horizontal="center"/>
    </xf>
    <xf numFmtId="0" fontId="51" fillId="12" borderId="0" xfId="159" applyFill="1"/>
    <xf numFmtId="0" fontId="61" fillId="0" borderId="0" xfId="159" applyFont="1"/>
    <xf numFmtId="0" fontId="6" fillId="0" borderId="0" xfId="71"/>
    <xf numFmtId="0" fontId="1" fillId="0" borderId="0" xfId="71" applyFont="1"/>
    <xf numFmtId="0" fontId="1" fillId="0" borderId="1" xfId="71" applyFont="1" applyBorder="1"/>
    <xf numFmtId="0" fontId="1" fillId="0" borderId="1" xfId="71" applyFont="1" applyBorder="1" applyAlignment="1">
      <alignment horizontal="center"/>
    </xf>
    <xf numFmtId="0" fontId="6" fillId="0" borderId="1" xfId="71" applyBorder="1"/>
    <xf numFmtId="0" fontId="1" fillId="0" borderId="0" xfId="71" applyFont="1" applyAlignment="1">
      <alignment horizontal="center"/>
    </xf>
    <xf numFmtId="0" fontId="6" fillId="0" borderId="0" xfId="71" applyFill="1"/>
    <xf numFmtId="0" fontId="22" fillId="51" borderId="1" xfId="0" applyFont="1" applyFill="1" applyBorder="1" applyAlignment="1">
      <alignment horizontal="center" wrapText="1"/>
    </xf>
    <xf numFmtId="165" fontId="10" fillId="51" borderId="1" xfId="0" applyNumberFormat="1" applyFont="1" applyFill="1" applyBorder="1" applyAlignment="1">
      <alignment horizontal="center"/>
    </xf>
    <xf numFmtId="0" fontId="26" fillId="51" borderId="19" xfId="0" applyFont="1" applyFill="1" applyBorder="1" applyAlignment="1">
      <alignment horizontal="center"/>
    </xf>
    <xf numFmtId="165" fontId="25" fillId="51" borderId="9" xfId="0" applyNumberFormat="1" applyFont="1" applyFill="1" applyBorder="1" applyAlignment="1">
      <alignment horizontal="center"/>
    </xf>
    <xf numFmtId="11" fontId="25" fillId="51" borderId="1" xfId="0" applyNumberFormat="1" applyFont="1" applyFill="1" applyBorder="1" applyAlignment="1">
      <alignment horizontal="center"/>
    </xf>
    <xf numFmtId="170" fontId="25" fillId="51" borderId="1" xfId="0" applyNumberFormat="1" applyFont="1" applyFill="1" applyBorder="1" applyAlignment="1">
      <alignment horizontal="center"/>
    </xf>
    <xf numFmtId="165" fontId="0" fillId="51" borderId="1" xfId="0" applyNumberFormat="1" applyFill="1" applyBorder="1" applyAlignment="1">
      <alignment horizontal="center"/>
    </xf>
    <xf numFmtId="166" fontId="25" fillId="51" borderId="1" xfId="0" applyNumberFormat="1" applyFont="1" applyFill="1" applyBorder="1" applyAlignment="1">
      <alignment horizontal="center"/>
    </xf>
    <xf numFmtId="2" fontId="51" fillId="52" borderId="0" xfId="159" applyNumberFormat="1" applyFill="1"/>
    <xf numFmtId="0" fontId="51" fillId="52" borderId="0" xfId="159" applyFill="1"/>
    <xf numFmtId="0" fontId="26" fillId="0" borderId="35" xfId="0" applyFont="1" applyBorder="1" applyAlignment="1">
      <alignment horizontal="center"/>
    </xf>
    <xf numFmtId="0" fontId="1" fillId="0" borderId="1" xfId="71" applyFont="1" applyBorder="1" applyAlignment="1">
      <alignment vertical="center"/>
    </xf>
    <xf numFmtId="0" fontId="1" fillId="0" borderId="1" xfId="71" applyFont="1" applyBorder="1" applyAlignment="1">
      <alignment horizontal="center" vertical="center"/>
    </xf>
    <xf numFmtId="0" fontId="1" fillId="0" borderId="37" xfId="71" applyFont="1" applyBorder="1" applyAlignment="1">
      <alignment horizontal="center"/>
    </xf>
    <xf numFmtId="0" fontId="1" fillId="0" borderId="38" xfId="71" applyFont="1" applyBorder="1" applyAlignment="1">
      <alignment horizontal="center"/>
    </xf>
    <xf numFmtId="0" fontId="22" fillId="0" borderId="38" xfId="0" applyFont="1" applyFill="1" applyBorder="1" applyAlignment="1">
      <alignment horizontal="center"/>
    </xf>
    <xf numFmtId="0" fontId="22" fillId="11" borderId="35" xfId="0" applyFont="1" applyFill="1" applyBorder="1" applyAlignment="1">
      <alignment horizontal="center"/>
    </xf>
    <xf numFmtId="9" fontId="2" fillId="51" borderId="1" xfId="254" applyFont="1" applyFill="1" applyBorder="1" applyAlignment="1">
      <alignment horizontal="center" vertical="center"/>
    </xf>
    <xf numFmtId="0" fontId="6" fillId="51" borderId="1" xfId="71" applyFont="1" applyFill="1" applyBorder="1"/>
    <xf numFmtId="0" fontId="6" fillId="51" borderId="1" xfId="71" applyFill="1" applyBorder="1"/>
    <xf numFmtId="0" fontId="6" fillId="51" borderId="1" xfId="71" applyFill="1" applyBorder="1" applyAlignment="1">
      <alignment horizontal="center"/>
    </xf>
    <xf numFmtId="0" fontId="6" fillId="51" borderId="1" xfId="71" applyFill="1" applyBorder="1" applyAlignment="1">
      <alignment horizontal="center" vertical="center"/>
    </xf>
    <xf numFmtId="0" fontId="6" fillId="51" borderId="1" xfId="71" applyFill="1" applyBorder="1" applyAlignment="1">
      <alignment vertical="center"/>
    </xf>
    <xf numFmtId="0" fontId="0" fillId="51" borderId="1" xfId="71" applyFont="1" applyFill="1" applyBorder="1" applyAlignment="1">
      <alignment wrapText="1"/>
    </xf>
    <xf numFmtId="0" fontId="26" fillId="11" borderId="1" xfId="0" applyFont="1" applyFill="1" applyBorder="1" applyAlignment="1">
      <alignment horizontal="center"/>
    </xf>
    <xf numFmtId="0" fontId="26" fillId="0" borderId="35" xfId="0" applyFont="1" applyBorder="1" applyAlignment="1">
      <alignment horizontal="center"/>
    </xf>
    <xf numFmtId="0" fontId="22" fillId="0" borderId="1" xfId="0" applyFont="1" applyFill="1" applyBorder="1" applyAlignment="1">
      <alignment horizontal="center" wrapText="1"/>
    </xf>
    <xf numFmtId="0" fontId="25" fillId="52" borderId="0" xfId="0" applyFont="1" applyFill="1" applyBorder="1" applyAlignment="1">
      <alignment horizontal="left"/>
    </xf>
    <xf numFmtId="0" fontId="5" fillId="52" borderId="0" xfId="0" applyFont="1" applyFill="1" applyBorder="1" applyAlignment="1">
      <alignment horizontal="left"/>
    </xf>
    <xf numFmtId="0" fontId="0" fillId="52" borderId="0" xfId="0" applyFill="1" applyAlignment="1">
      <alignment horizontal="left"/>
    </xf>
    <xf numFmtId="0" fontId="25" fillId="52" borderId="1" xfId="0" applyFont="1" applyFill="1" applyBorder="1" applyAlignment="1">
      <alignment horizontal="left"/>
    </xf>
    <xf numFmtId="2" fontId="25" fillId="52" borderId="1" xfId="0" applyNumberFormat="1" applyFont="1" applyFill="1" applyBorder="1" applyAlignment="1">
      <alignment horizontal="center"/>
    </xf>
    <xf numFmtId="164" fontId="25" fillId="52" borderId="1" xfId="0" applyNumberFormat="1" applyFont="1" applyFill="1" applyBorder="1" applyAlignment="1">
      <alignment horizontal="center"/>
    </xf>
    <xf numFmtId="166" fontId="25" fillId="52" borderId="1" xfId="0" applyNumberFormat="1" applyFont="1" applyFill="1" applyBorder="1" applyAlignment="1">
      <alignment horizontal="center"/>
    </xf>
    <xf numFmtId="165" fontId="25" fillId="52" borderId="1" xfId="0" applyNumberFormat="1" applyFont="1" applyFill="1" applyBorder="1" applyAlignment="1">
      <alignment horizontal="center"/>
    </xf>
    <xf numFmtId="0" fontId="25" fillId="52" borderId="0" xfId="0" applyFont="1" applyFill="1" applyBorder="1" applyAlignment="1">
      <alignment horizontal="center"/>
    </xf>
    <xf numFmtId="165" fontId="25" fillId="52" borderId="9" xfId="0" applyNumberFormat="1" applyFont="1" applyFill="1" applyBorder="1" applyAlignment="1">
      <alignment horizontal="center"/>
    </xf>
    <xf numFmtId="0" fontId="10" fillId="52" borderId="1" xfId="0" applyFont="1" applyFill="1" applyBorder="1" applyAlignment="1">
      <alignment horizontal="left"/>
    </xf>
    <xf numFmtId="0" fontId="5" fillId="52" borderId="1" xfId="0" applyFont="1" applyFill="1" applyBorder="1" applyAlignment="1">
      <alignment horizontal="left"/>
    </xf>
    <xf numFmtId="165" fontId="25" fillId="52" borderId="1" xfId="0" quotePrefix="1" applyNumberFormat="1" applyFont="1" applyFill="1" applyBorder="1" applyAlignment="1">
      <alignment horizontal="center"/>
    </xf>
    <xf numFmtId="166" fontId="25" fillId="52" borderId="1" xfId="0" quotePrefix="1" applyNumberFormat="1" applyFont="1" applyFill="1" applyBorder="1" applyAlignment="1">
      <alignment horizontal="center"/>
    </xf>
    <xf numFmtId="11" fontId="25" fillId="0" borderId="1" xfId="0" applyNumberFormat="1" applyFont="1" applyFill="1" applyBorder="1" applyAlignment="1">
      <alignment horizontal="center"/>
    </xf>
    <xf numFmtId="0" fontId="26" fillId="0" borderId="19" xfId="0" applyFont="1" applyBorder="1" applyAlignment="1">
      <alignment horizontal="center" wrapText="1"/>
    </xf>
    <xf numFmtId="167" fontId="25" fillId="0" borderId="1" xfId="0" applyNumberFormat="1" applyFont="1" applyFill="1" applyBorder="1" applyAlignment="1">
      <alignment horizontal="center"/>
    </xf>
    <xf numFmtId="165" fontId="25" fillId="53" borderId="9" xfId="0" applyNumberFormat="1" applyFont="1" applyFill="1" applyBorder="1" applyAlignment="1">
      <alignment horizontal="center"/>
    </xf>
    <xf numFmtId="0" fontId="22" fillId="11" borderId="0" xfId="0" applyFont="1" applyFill="1" applyBorder="1" applyAlignment="1">
      <alignment horizontal="left" wrapText="1"/>
    </xf>
    <xf numFmtId="0" fontId="22" fillId="11" borderId="6" xfId="0" applyFont="1" applyFill="1" applyBorder="1" applyAlignment="1" applyProtection="1">
      <alignment horizontal="left"/>
    </xf>
    <xf numFmtId="0" fontId="26" fillId="11" borderId="37" xfId="0" applyFont="1" applyFill="1" applyBorder="1" applyAlignment="1">
      <alignment horizontal="center"/>
    </xf>
    <xf numFmtId="0" fontId="26" fillId="11" borderId="0" xfId="0" applyFont="1" applyFill="1" applyBorder="1" applyAlignment="1">
      <alignment horizontal="center"/>
    </xf>
    <xf numFmtId="0" fontId="22" fillId="11" borderId="37" xfId="0" applyFont="1" applyFill="1" applyBorder="1" applyAlignment="1">
      <alignment horizontal="center"/>
    </xf>
    <xf numFmtId="0" fontId="22" fillId="11" borderId="38" xfId="0" applyFont="1" applyFill="1" applyBorder="1" applyAlignment="1">
      <alignment horizontal="center"/>
    </xf>
    <xf numFmtId="0" fontId="22" fillId="11" borderId="38" xfId="0" applyFont="1" applyFill="1" applyBorder="1" applyAlignment="1"/>
    <xf numFmtId="0" fontId="25" fillId="11" borderId="38" xfId="0" applyFont="1" applyFill="1" applyBorder="1" applyAlignment="1">
      <alignment horizontal="center"/>
    </xf>
    <xf numFmtId="165" fontId="0" fillId="0" borderId="0" xfId="0" applyNumberFormat="1" applyFont="1" applyAlignment="1">
      <alignment horizontal="center"/>
    </xf>
    <xf numFmtId="0" fontId="79" fillId="0" borderId="0" xfId="0" applyFont="1" applyAlignment="1">
      <alignment vertical="center"/>
    </xf>
    <xf numFmtId="0" fontId="61" fillId="0" borderId="0" xfId="159" applyFont="1" applyAlignment="1">
      <alignment horizontal="right"/>
    </xf>
    <xf numFmtId="0" fontId="61" fillId="0" borderId="0" xfId="0" applyFont="1"/>
    <xf numFmtId="16" fontId="51" fillId="0" borderId="0" xfId="159" applyNumberFormat="1"/>
    <xf numFmtId="1" fontId="51" fillId="0" borderId="0" xfId="159" applyNumberFormat="1"/>
    <xf numFmtId="2" fontId="61" fillId="0" borderId="0" xfId="159" applyNumberFormat="1" applyFont="1" applyAlignment="1">
      <alignment horizontal="right"/>
    </xf>
    <xf numFmtId="166" fontId="61" fillId="0" borderId="0" xfId="159" applyNumberFormat="1" applyFont="1" applyAlignment="1">
      <alignment horizontal="right"/>
    </xf>
    <xf numFmtId="0" fontId="26" fillId="0" borderId="0" xfId="0" applyFont="1" applyAlignment="1">
      <alignment horizontal="center"/>
    </xf>
    <xf numFmtId="11" fontId="61" fillId="0" borderId="0" xfId="159" applyNumberFormat="1" applyFont="1" applyAlignment="1">
      <alignment horizontal="right"/>
    </xf>
    <xf numFmtId="2" fontId="61" fillId="0" borderId="0" xfId="159" applyNumberFormat="1" applyFont="1"/>
    <xf numFmtId="0" fontId="10" fillId="0" borderId="0" xfId="0" applyFont="1" applyFill="1" applyBorder="1" applyAlignment="1" applyProtection="1">
      <alignment horizontal="left" vertical="top" wrapText="1"/>
    </xf>
    <xf numFmtId="0" fontId="0" fillId="0" borderId="0" xfId="0" applyFont="1" applyAlignment="1">
      <alignment horizontal="center"/>
    </xf>
    <xf numFmtId="0" fontId="26" fillId="0" borderId="16" xfId="0" applyFont="1" applyFill="1" applyBorder="1" applyAlignment="1">
      <alignment horizontal="center" wrapText="1"/>
    </xf>
    <xf numFmtId="0" fontId="10" fillId="0" borderId="0" xfId="0" applyFont="1" applyFill="1" applyBorder="1" applyAlignment="1">
      <alignment vertical="top"/>
    </xf>
    <xf numFmtId="0" fontId="10" fillId="0" borderId="5" xfId="0" applyFont="1" applyFill="1" applyBorder="1"/>
    <xf numFmtId="0" fontId="25" fillId="11" borderId="0" xfId="0" applyFont="1" applyFill="1" applyAlignment="1">
      <alignment horizontal="center"/>
    </xf>
    <xf numFmtId="0" fontId="25" fillId="0" borderId="0" xfId="0" applyFont="1" applyFill="1" applyBorder="1" applyAlignment="1">
      <alignment horizontal="center"/>
    </xf>
    <xf numFmtId="0" fontId="22" fillId="0" borderId="38" xfId="0" applyFont="1" applyFill="1" applyBorder="1" applyAlignment="1">
      <alignment horizontal="left"/>
    </xf>
    <xf numFmtId="0" fontId="10" fillId="0" borderId="0" xfId="0" applyNumberFormat="1" applyFont="1" applyAlignment="1">
      <alignment horizontal="center" vertical="center"/>
    </xf>
    <xf numFmtId="0" fontId="81" fillId="0" borderId="0" xfId="0" applyFont="1" applyFill="1" applyAlignment="1">
      <alignment horizontal="right"/>
    </xf>
    <xf numFmtId="0" fontId="10" fillId="0" borderId="0" xfId="0" applyFont="1" applyFill="1" applyAlignment="1">
      <alignment vertical="top" wrapText="1"/>
    </xf>
    <xf numFmtId="0" fontId="80" fillId="0" borderId="0" xfId="0" applyFont="1" applyFill="1" applyAlignment="1">
      <alignment vertical="center"/>
    </xf>
    <xf numFmtId="0" fontId="82" fillId="0" borderId="0" xfId="0" applyFont="1" applyAlignment="1">
      <alignment horizontal="left"/>
    </xf>
    <xf numFmtId="0" fontId="82" fillId="0" borderId="1" xfId="0" applyFont="1" applyBorder="1" applyAlignment="1">
      <alignment horizontal="left"/>
    </xf>
    <xf numFmtId="168" fontId="25" fillId="2" borderId="1" xfId="0" applyNumberFormat="1" applyFont="1" applyFill="1" applyBorder="1" applyAlignment="1">
      <alignment horizontal="center"/>
    </xf>
    <xf numFmtId="0" fontId="25" fillId="0" borderId="0" xfId="0" applyFont="1" applyBorder="1" applyAlignment="1">
      <alignment horizontal="left" vertical="top" wrapText="1"/>
    </xf>
    <xf numFmtId="0" fontId="25" fillId="0" borderId="0" xfId="0" applyFont="1" applyAlignment="1">
      <alignment vertical="center"/>
    </xf>
    <xf numFmtId="0" fontId="25" fillId="0" borderId="1" xfId="0" applyFont="1" applyBorder="1" applyAlignment="1">
      <alignment vertical="center"/>
    </xf>
    <xf numFmtId="169" fontId="25" fillId="0" borderId="1" xfId="0" applyNumberFormat="1" applyFont="1" applyBorder="1" applyAlignment="1">
      <alignment horizontal="center" vertical="center"/>
    </xf>
    <xf numFmtId="170" fontId="25" fillId="51" borderId="1" xfId="0" applyNumberFormat="1" applyFont="1" applyFill="1" applyBorder="1" applyAlignment="1">
      <alignment horizontal="center" vertical="center"/>
    </xf>
    <xf numFmtId="165" fontId="10" fillId="51" borderId="1" xfId="0" applyNumberFormat="1" applyFont="1" applyFill="1" applyBorder="1" applyAlignment="1">
      <alignment horizontal="center" vertical="center"/>
    </xf>
    <xf numFmtId="168" fontId="25" fillId="0" borderId="1" xfId="0" applyNumberFormat="1" applyFont="1" applyBorder="1" applyAlignment="1">
      <alignment horizontal="center" vertical="center"/>
    </xf>
    <xf numFmtId="0" fontId="80" fillId="0" borderId="0" xfId="0" applyFont="1" applyFill="1"/>
    <xf numFmtId="0" fontId="26" fillId="0" borderId="39" xfId="0" applyFont="1" applyBorder="1" applyAlignment="1">
      <alignment horizontal="center"/>
    </xf>
    <xf numFmtId="0" fontId="26" fillId="0" borderId="39" xfId="0" applyFont="1" applyBorder="1" applyAlignment="1"/>
    <xf numFmtId="11" fontId="29" fillId="0" borderId="0" xfId="0" applyNumberFormat="1" applyFont="1" applyAlignment="1">
      <alignment horizontal="center"/>
    </xf>
    <xf numFmtId="0" fontId="0" fillId="0" borderId="0" xfId="0" applyFill="1" applyAlignment="1">
      <alignment horizontal="left"/>
    </xf>
    <xf numFmtId="169" fontId="25" fillId="0" borderId="1" xfId="0" applyNumberFormat="1" applyFont="1" applyFill="1" applyBorder="1" applyAlignment="1">
      <alignment horizontal="center"/>
    </xf>
    <xf numFmtId="168" fontId="25" fillId="0" borderId="1" xfId="0" applyNumberFormat="1" applyFont="1" applyFill="1" applyBorder="1" applyAlignment="1">
      <alignment horizontal="center"/>
    </xf>
    <xf numFmtId="0" fontId="5" fillId="0" borderId="1" xfId="0" applyFont="1" applyFill="1" applyBorder="1" applyAlignment="1">
      <alignment horizontal="left"/>
    </xf>
    <xf numFmtId="2" fontId="25" fillId="0" borderId="38" xfId="0" applyNumberFormat="1" applyFont="1" applyFill="1" applyBorder="1" applyAlignment="1">
      <alignment horizontal="center"/>
    </xf>
    <xf numFmtId="165" fontId="10" fillId="54" borderId="1" xfId="0" applyNumberFormat="1" applyFont="1" applyFill="1" applyBorder="1" applyAlignment="1">
      <alignment horizontal="center"/>
    </xf>
    <xf numFmtId="2" fontId="10" fillId="0" borderId="40" xfId="0" applyNumberFormat="1" applyFont="1" applyFill="1" applyBorder="1" applyAlignment="1">
      <alignment horizontal="center"/>
    </xf>
    <xf numFmtId="1" fontId="0" fillId="0" borderId="1" xfId="0" applyNumberFormat="1" applyFont="1" applyBorder="1" applyAlignment="1">
      <alignment horizontal="center"/>
    </xf>
    <xf numFmtId="2" fontId="0" fillId="0" borderId="1" xfId="0" applyNumberFormat="1" applyFont="1" applyBorder="1" applyAlignment="1">
      <alignment horizontal="center"/>
    </xf>
    <xf numFmtId="0" fontId="0" fillId="0" borderId="1" xfId="0" applyNumberFormat="1" applyFont="1" applyBorder="1" applyAlignment="1">
      <alignment horizontal="center"/>
    </xf>
    <xf numFmtId="164" fontId="25" fillId="0" borderId="1" xfId="0" applyNumberFormat="1" applyFont="1" applyBorder="1" applyAlignment="1">
      <alignment horizontal="center"/>
    </xf>
    <xf numFmtId="169" fontId="24" fillId="11" borderId="1" xfId="0" applyNumberFormat="1" applyFont="1" applyFill="1" applyBorder="1" applyAlignment="1">
      <alignment horizontal="center"/>
    </xf>
    <xf numFmtId="2" fontId="25" fillId="11" borderId="1" xfId="0" applyNumberFormat="1" applyFont="1" applyFill="1" applyBorder="1" applyAlignment="1">
      <alignment horizontal="center"/>
    </xf>
    <xf numFmtId="1" fontId="10" fillId="0" borderId="1" xfId="0" applyNumberFormat="1" applyFont="1" applyFill="1" applyBorder="1" applyAlignment="1">
      <alignment horizontal="center"/>
    </xf>
    <xf numFmtId="2" fontId="25" fillId="0" borderId="1" xfId="0" applyNumberFormat="1" applyFont="1" applyBorder="1" applyAlignment="1">
      <alignment horizontal="center"/>
    </xf>
    <xf numFmtId="1" fontId="25" fillId="0" borderId="1" xfId="0" applyNumberFormat="1" applyFont="1" applyBorder="1" applyAlignment="1">
      <alignment horizontal="center"/>
    </xf>
    <xf numFmtId="2" fontId="10" fillId="50" borderId="1" xfId="0" applyNumberFormat="1" applyFont="1" applyFill="1" applyBorder="1" applyAlignment="1">
      <alignment horizontal="center"/>
    </xf>
    <xf numFmtId="2" fontId="25" fillId="50" borderId="1" xfId="0" applyNumberFormat="1" applyFont="1" applyFill="1" applyBorder="1" applyAlignment="1">
      <alignment horizontal="center"/>
    </xf>
    <xf numFmtId="166" fontId="25" fillId="50" borderId="1" xfId="0" applyNumberFormat="1" applyFont="1" applyFill="1" applyBorder="1" applyAlignment="1">
      <alignment horizontal="center"/>
    </xf>
    <xf numFmtId="0" fontId="10" fillId="0" borderId="0" xfId="0" applyFont="1" applyFill="1" applyAlignment="1">
      <alignment horizontal="right"/>
    </xf>
    <xf numFmtId="0" fontId="0" fillId="0" borderId="0" xfId="0" applyNumberFormat="1"/>
    <xf numFmtId="0" fontId="25" fillId="52" borderId="0" xfId="0" applyFont="1" applyFill="1"/>
    <xf numFmtId="0" fontId="10" fillId="52" borderId="1" xfId="0" applyFont="1" applyFill="1" applyBorder="1" applyAlignment="1" applyProtection="1">
      <alignment vertical="center"/>
    </xf>
    <xf numFmtId="169" fontId="25" fillId="52" borderId="1" xfId="0" applyNumberFormat="1" applyFont="1" applyFill="1" applyBorder="1" applyAlignment="1">
      <alignment horizontal="center"/>
    </xf>
    <xf numFmtId="170" fontId="25" fillId="52" borderId="1" xfId="0" applyNumberFormat="1" applyFont="1" applyFill="1" applyBorder="1" applyAlignment="1">
      <alignment horizontal="center"/>
    </xf>
    <xf numFmtId="165" fontId="10" fillId="52" borderId="1" xfId="0" applyNumberFormat="1" applyFont="1" applyFill="1" applyBorder="1" applyAlignment="1">
      <alignment horizontal="center"/>
    </xf>
    <xf numFmtId="1" fontId="25" fillId="52" borderId="1" xfId="0" applyNumberFormat="1" applyFont="1" applyFill="1" applyBorder="1" applyAlignment="1">
      <alignment horizontal="center"/>
    </xf>
    <xf numFmtId="168" fontId="25" fillId="52" borderId="1" xfId="0" applyNumberFormat="1" applyFont="1" applyFill="1" applyBorder="1" applyAlignment="1">
      <alignment horizontal="center"/>
    </xf>
    <xf numFmtId="169" fontId="25" fillId="52" borderId="4" xfId="0" applyNumberFormat="1" applyFont="1" applyFill="1" applyBorder="1" applyAlignment="1">
      <alignment horizontal="center"/>
    </xf>
    <xf numFmtId="0" fontId="25" fillId="52" borderId="0" xfId="0" applyFont="1" applyFill="1" applyBorder="1"/>
    <xf numFmtId="0" fontId="26" fillId="0" borderId="1" xfId="0" applyFont="1" applyBorder="1" applyAlignment="1">
      <alignment horizontal="center"/>
    </xf>
    <xf numFmtId="0" fontId="22" fillId="0" borderId="4" xfId="0" applyFont="1" applyFill="1" applyBorder="1" applyAlignment="1">
      <alignment horizontal="center"/>
    </xf>
    <xf numFmtId="0" fontId="10" fillId="0" borderId="0" xfId="0" applyFont="1" applyFill="1" applyBorder="1" applyAlignment="1" applyProtection="1">
      <alignment horizontal="left" vertical="center"/>
    </xf>
    <xf numFmtId="0" fontId="22" fillId="0" borderId="1" xfId="0" applyFont="1" applyFill="1" applyBorder="1" applyAlignment="1">
      <alignment horizontal="center" wrapText="1"/>
    </xf>
    <xf numFmtId="0" fontId="25" fillId="0" borderId="0" xfId="0" applyFont="1" applyBorder="1" applyAlignment="1">
      <alignment horizontal="left"/>
    </xf>
    <xf numFmtId="0" fontId="10" fillId="0" borderId="0" xfId="0" applyFont="1" applyFill="1" applyBorder="1" applyAlignment="1" applyProtection="1">
      <alignment horizontal="left" vertical="center"/>
    </xf>
    <xf numFmtId="1" fontId="25" fillId="0" borderId="1" xfId="0" applyNumberFormat="1" applyFont="1" applyFill="1" applyBorder="1"/>
    <xf numFmtId="0" fontId="10" fillId="0" borderId="0" xfId="0" applyFont="1" applyFill="1" applyBorder="1" applyAlignment="1">
      <alignment horizontal="right" vertical="top"/>
    </xf>
    <xf numFmtId="0" fontId="10" fillId="0" borderId="0" xfId="0" applyFont="1" applyFill="1" applyBorder="1" applyAlignment="1" applyProtection="1">
      <alignment vertical="center"/>
    </xf>
    <xf numFmtId="0" fontId="25" fillId="0" borderId="0" xfId="0" applyFont="1" applyAlignment="1">
      <alignment horizontal="right" vertical="center"/>
    </xf>
    <xf numFmtId="9" fontId="25" fillId="0" borderId="0" xfId="270" applyFont="1"/>
    <xf numFmtId="0" fontId="25" fillId="0" borderId="6" xfId="0" applyFont="1" applyBorder="1" applyAlignment="1">
      <alignment vertical="center"/>
    </xf>
    <xf numFmtId="169" fontId="25" fillId="0" borderId="0" xfId="0" applyNumberFormat="1" applyFont="1" applyBorder="1" applyAlignment="1">
      <alignment horizontal="center" vertical="center"/>
    </xf>
    <xf numFmtId="166" fontId="25" fillId="0" borderId="0" xfId="0" applyNumberFormat="1" applyFont="1" applyFill="1" applyBorder="1" applyAlignment="1">
      <alignment horizontal="center" vertical="center"/>
    </xf>
    <xf numFmtId="170" fontId="25" fillId="51" borderId="0" xfId="0" applyNumberFormat="1" applyFont="1" applyFill="1" applyBorder="1" applyAlignment="1">
      <alignment horizontal="center" vertical="center"/>
    </xf>
    <xf numFmtId="165" fontId="10" fillId="51" borderId="0" xfId="0" applyNumberFormat="1" applyFont="1" applyFill="1" applyBorder="1" applyAlignment="1">
      <alignment horizontal="center" vertical="center"/>
    </xf>
    <xf numFmtId="169" fontId="25" fillId="0" borderId="16" xfId="0" applyNumberFormat="1" applyFont="1" applyBorder="1" applyAlignment="1">
      <alignment horizontal="center" vertical="center"/>
    </xf>
    <xf numFmtId="168" fontId="25" fillId="0" borderId="0" xfId="0" applyNumberFormat="1" applyFont="1" applyBorder="1" applyAlignment="1">
      <alignment horizontal="center" vertical="center"/>
    </xf>
    <xf numFmtId="166" fontId="25" fillId="0" borderId="0" xfId="0" applyNumberFormat="1" applyFont="1" applyFill="1" applyBorder="1" applyAlignment="1">
      <alignment horizontal="left" vertical="center"/>
    </xf>
    <xf numFmtId="0" fontId="10" fillId="54" borderId="0" xfId="0" applyFont="1" applyFill="1" applyBorder="1" applyAlignment="1" applyProtection="1">
      <alignment vertical="center"/>
    </xf>
    <xf numFmtId="165" fontId="25" fillId="54" borderId="1" xfId="0" applyNumberFormat="1" applyFont="1" applyFill="1" applyBorder="1" applyAlignment="1">
      <alignment horizontal="center"/>
    </xf>
    <xf numFmtId="11" fontId="25" fillId="54" borderId="1" xfId="0" applyNumberFormat="1" applyFont="1" applyFill="1" applyBorder="1" applyAlignment="1">
      <alignment horizontal="center"/>
    </xf>
    <xf numFmtId="165" fontId="10" fillId="55" borderId="1" xfId="0" applyNumberFormat="1" applyFont="1" applyFill="1" applyBorder="1" applyAlignment="1">
      <alignment horizontal="center"/>
    </xf>
    <xf numFmtId="165" fontId="10" fillId="55" borderId="1" xfId="0" quotePrefix="1" applyNumberFormat="1" applyFont="1" applyFill="1" applyBorder="1" applyAlignment="1">
      <alignment horizontal="center"/>
    </xf>
    <xf numFmtId="0" fontId="10" fillId="55" borderId="0" xfId="0" applyFont="1" applyFill="1" applyBorder="1" applyAlignment="1" applyProtection="1">
      <alignment vertical="center"/>
    </xf>
    <xf numFmtId="0" fontId="5" fillId="54" borderId="0" xfId="0" applyFont="1" applyFill="1" applyBorder="1" applyAlignment="1">
      <alignment horizontal="left"/>
    </xf>
    <xf numFmtId="11" fontId="25" fillId="0" borderId="0" xfId="0" applyNumberFormat="1" applyFont="1" applyBorder="1" applyAlignment="1">
      <alignment horizontal="center"/>
    </xf>
    <xf numFmtId="166" fontId="25" fillId="0" borderId="0" xfId="0" applyNumberFormat="1" applyFont="1" applyBorder="1" applyAlignment="1">
      <alignment horizontal="center"/>
    </xf>
    <xf numFmtId="0" fontId="25" fillId="0" borderId="16" xfId="0" applyFont="1" applyBorder="1" applyAlignment="1">
      <alignment horizontal="center"/>
    </xf>
    <xf numFmtId="165" fontId="25" fillId="51" borderId="1" xfId="0" applyNumberFormat="1" applyFont="1" applyFill="1" applyBorder="1" applyAlignment="1">
      <alignment horizontal="center"/>
    </xf>
    <xf numFmtId="0" fontId="25" fillId="11" borderId="1" xfId="0" applyFont="1" applyFill="1" applyBorder="1"/>
    <xf numFmtId="2" fontId="10" fillId="11" borderId="1" xfId="0" applyNumberFormat="1" applyFont="1" applyFill="1" applyBorder="1" applyAlignment="1">
      <alignment horizontal="center"/>
    </xf>
    <xf numFmtId="0" fontId="0" fillId="51" borderId="1" xfId="71" applyFont="1" applyFill="1" applyBorder="1"/>
    <xf numFmtId="0" fontId="25" fillId="0" borderId="0" xfId="0" applyFont="1" applyFill="1" applyAlignment="1">
      <alignment horizontal="right"/>
    </xf>
    <xf numFmtId="9" fontId="25" fillId="0" borderId="0" xfId="0" applyNumberFormat="1" applyFont="1" applyFill="1"/>
    <xf numFmtId="11" fontId="82" fillId="0" borderId="0" xfId="0" applyNumberFormat="1" applyFont="1" applyBorder="1" applyAlignment="1">
      <alignment horizontal="left"/>
    </xf>
    <xf numFmtId="1" fontId="25" fillId="0" borderId="0" xfId="0" applyNumberFormat="1" applyFont="1" applyAlignment="1">
      <alignment horizontal="right"/>
    </xf>
    <xf numFmtId="0" fontId="61" fillId="50" borderId="0" xfId="159" applyFont="1" applyFill="1"/>
    <xf numFmtId="0" fontId="25" fillId="0" borderId="0" xfId="0" applyFont="1" applyAlignment="1">
      <alignment wrapText="1"/>
    </xf>
    <xf numFmtId="0" fontId="10" fillId="0" borderId="0" xfId="0" applyFont="1" applyFill="1" applyBorder="1" applyAlignment="1" applyProtection="1">
      <alignment horizontal="left" vertical="center"/>
    </xf>
    <xf numFmtId="0" fontId="26" fillId="0" borderId="38" xfId="0" applyFont="1" applyBorder="1" applyAlignment="1">
      <alignment horizontal="center"/>
    </xf>
    <xf numFmtId="164" fontId="25" fillId="0" borderId="1" xfId="0" applyNumberFormat="1" applyFont="1" applyBorder="1" applyAlignment="1">
      <alignment horizontal="right"/>
    </xf>
    <xf numFmtId="164" fontId="25" fillId="11" borderId="1" xfId="0" applyNumberFormat="1" applyFont="1" applyFill="1" applyBorder="1" applyAlignment="1">
      <alignment horizontal="right"/>
    </xf>
    <xf numFmtId="2" fontId="25" fillId="0" borderId="1" xfId="0" applyNumberFormat="1" applyFont="1" applyBorder="1"/>
    <xf numFmtId="2" fontId="25" fillId="0" borderId="0" xfId="0" applyNumberFormat="1" applyFont="1"/>
    <xf numFmtId="2" fontId="25" fillId="11" borderId="1" xfId="0" applyNumberFormat="1" applyFont="1" applyFill="1" applyBorder="1"/>
    <xf numFmtId="11" fontId="24" fillId="11" borderId="1" xfId="0" applyNumberFormat="1" applyFont="1" applyFill="1" applyBorder="1" applyAlignment="1">
      <alignment horizontal="center"/>
    </xf>
    <xf numFmtId="0" fontId="25" fillId="0" borderId="0" xfId="0" applyFont="1" applyBorder="1" applyAlignment="1">
      <alignment horizontal="left" vertical="top" wrapText="1"/>
    </xf>
    <xf numFmtId="1" fontId="25" fillId="0" borderId="0" xfId="0" applyNumberFormat="1" applyFont="1" applyFill="1" applyBorder="1"/>
    <xf numFmtId="164" fontId="25" fillId="0" borderId="0" xfId="0" applyNumberFormat="1" applyFont="1" applyBorder="1" applyAlignment="1">
      <alignment horizontal="right"/>
    </xf>
    <xf numFmtId="2" fontId="10" fillId="0" borderId="0" xfId="0" applyNumberFormat="1" applyFont="1" applyFill="1" applyBorder="1" applyAlignment="1">
      <alignment horizontal="center"/>
    </xf>
    <xf numFmtId="166" fontId="25" fillId="0" borderId="0" xfId="0" applyNumberFormat="1" applyFont="1" applyFill="1" applyBorder="1" applyAlignment="1">
      <alignment horizontal="center"/>
    </xf>
    <xf numFmtId="164" fontId="25" fillId="50" borderId="1" xfId="0" applyNumberFormat="1" applyFont="1" applyFill="1" applyBorder="1" applyAlignment="1">
      <alignment horizontal="right"/>
    </xf>
    <xf numFmtId="0" fontId="25" fillId="50" borderId="52" xfId="0" applyFont="1" applyFill="1" applyBorder="1"/>
    <xf numFmtId="0" fontId="25" fillId="50" borderId="51" xfId="0" applyFont="1" applyFill="1" applyBorder="1"/>
    <xf numFmtId="1" fontId="25" fillId="50" borderId="0" xfId="0" applyNumberFormat="1" applyFont="1" applyFill="1" applyBorder="1"/>
    <xf numFmtId="0" fontId="25" fillId="50" borderId="1" xfId="0" applyFont="1" applyFill="1" applyBorder="1"/>
    <xf numFmtId="1" fontId="25" fillId="50" borderId="38" xfId="0" applyNumberFormat="1" applyFont="1" applyFill="1" applyBorder="1"/>
    <xf numFmtId="2" fontId="25" fillId="0" borderId="0" xfId="0" applyNumberFormat="1" applyFont="1" applyFill="1" applyBorder="1"/>
    <xf numFmtId="0" fontId="25" fillId="50" borderId="1" xfId="0" applyFont="1" applyFill="1" applyBorder="1" applyAlignment="1">
      <alignment horizontal="center"/>
    </xf>
    <xf numFmtId="2" fontId="25" fillId="50" borderId="1" xfId="0" applyNumberFormat="1" applyFont="1" applyFill="1" applyBorder="1"/>
    <xf numFmtId="1" fontId="25" fillId="50" borderId="1" xfId="0" applyNumberFormat="1" applyFont="1" applyFill="1" applyBorder="1"/>
    <xf numFmtId="0" fontId="25" fillId="0" borderId="50" xfId="0" applyFont="1" applyBorder="1"/>
    <xf numFmtId="165" fontId="29" fillId="52" borderId="9" xfId="0" applyNumberFormat="1" applyFont="1" applyFill="1" applyBorder="1" applyAlignment="1">
      <alignment horizontal="center"/>
    </xf>
    <xf numFmtId="0" fontId="29" fillId="0" borderId="0" xfId="0" applyFont="1" applyFill="1" applyBorder="1" applyAlignment="1">
      <alignment horizontal="left"/>
    </xf>
    <xf numFmtId="0" fontId="83" fillId="0" borderId="0" xfId="0" applyFont="1" applyFill="1" applyBorder="1" applyAlignment="1">
      <alignment horizontal="left"/>
    </xf>
    <xf numFmtId="169" fontId="25" fillId="0" borderId="1" xfId="0" applyNumberFormat="1" applyFont="1" applyFill="1" applyBorder="1" applyAlignment="1">
      <alignment horizontal="center" vertical="center"/>
    </xf>
    <xf numFmtId="168" fontId="10" fillId="50" borderId="1" xfId="0" applyNumberFormat="1" applyFont="1" applyFill="1" applyBorder="1" applyAlignment="1">
      <alignment horizontal="center"/>
    </xf>
    <xf numFmtId="168" fontId="25" fillId="50" borderId="1" xfId="0" applyNumberFormat="1" applyFont="1" applyFill="1" applyBorder="1" applyAlignment="1">
      <alignment horizontal="center"/>
    </xf>
    <xf numFmtId="0" fontId="26" fillId="0" borderId="1" xfId="0" applyFont="1" applyBorder="1" applyAlignment="1">
      <alignment horizontal="center" vertical="center" wrapText="1"/>
    </xf>
    <xf numFmtId="168" fontId="25" fillId="0" borderId="1" xfId="0" applyNumberFormat="1" applyFont="1" applyFill="1" applyBorder="1" applyAlignment="1">
      <alignment horizontal="center" vertical="center"/>
    </xf>
    <xf numFmtId="165" fontId="29" fillId="52" borderId="1" xfId="0" applyNumberFormat="1" applyFont="1" applyFill="1" applyBorder="1" applyAlignment="1">
      <alignment horizontal="center"/>
    </xf>
    <xf numFmtId="0" fontId="4" fillId="0" borderId="1" xfId="0" applyFont="1" applyFill="1" applyBorder="1" applyAlignment="1" applyProtection="1">
      <alignment horizontal="center"/>
    </xf>
    <xf numFmtId="0" fontId="1" fillId="0" borderId="1" xfId="0" applyFont="1" applyFill="1" applyBorder="1" applyAlignment="1">
      <alignment horizontal="center"/>
    </xf>
    <xf numFmtId="0" fontId="1" fillId="0" borderId="1" xfId="0" applyFont="1" applyFill="1" applyBorder="1" applyAlignment="1">
      <alignment horizontal="center" wrapText="1"/>
    </xf>
    <xf numFmtId="0" fontId="0" fillId="56" borderId="0" xfId="0" applyFont="1" applyFill="1"/>
    <xf numFmtId="0" fontId="3" fillId="56" borderId="1" xfId="0" applyFont="1" applyFill="1" applyBorder="1" applyAlignment="1" applyProtection="1">
      <alignment horizontal="center" vertical="center"/>
    </xf>
    <xf numFmtId="0" fontId="3" fillId="56" borderId="1" xfId="0" applyFont="1" applyFill="1" applyBorder="1" applyAlignment="1" applyProtection="1">
      <alignment vertical="center"/>
    </xf>
    <xf numFmtId="169" fontId="0" fillId="56" borderId="1" xfId="0" applyNumberFormat="1" applyFont="1" applyFill="1" applyBorder="1" applyAlignment="1">
      <alignment horizontal="center"/>
    </xf>
    <xf numFmtId="11" fontId="25" fillId="56" borderId="1" xfId="0" applyNumberFormat="1" applyFont="1" applyFill="1" applyBorder="1" applyAlignment="1">
      <alignment horizontal="center"/>
    </xf>
    <xf numFmtId="165" fontId="0" fillId="56" borderId="1" xfId="0" applyNumberFormat="1" applyFill="1" applyBorder="1" applyAlignment="1">
      <alignment horizontal="center"/>
    </xf>
    <xf numFmtId="165" fontId="10" fillId="56" borderId="1" xfId="0" applyNumberFormat="1" applyFont="1" applyFill="1" applyBorder="1" applyAlignment="1">
      <alignment horizontal="center"/>
    </xf>
    <xf numFmtId="2" fontId="0" fillId="56" borderId="1" xfId="0" applyNumberFormat="1" applyFont="1" applyFill="1" applyBorder="1" applyAlignment="1">
      <alignment horizontal="center"/>
    </xf>
    <xf numFmtId="0" fontId="0" fillId="56" borderId="1" xfId="0" applyNumberFormat="1" applyFont="1" applyFill="1" applyBorder="1" applyAlignment="1">
      <alignment horizontal="center"/>
    </xf>
    <xf numFmtId="0" fontId="0" fillId="56" borderId="0" xfId="0" applyFill="1"/>
    <xf numFmtId="165" fontId="0" fillId="56" borderId="0" xfId="0" applyNumberFormat="1" applyFont="1" applyFill="1" applyAlignment="1">
      <alignment horizontal="center"/>
    </xf>
    <xf numFmtId="0" fontId="0" fillId="56" borderId="0" xfId="0" applyFont="1" applyFill="1" applyAlignment="1">
      <alignment horizontal="center"/>
    </xf>
    <xf numFmtId="0" fontId="10" fillId="56" borderId="0" xfId="0" applyFont="1" applyFill="1" applyBorder="1" applyAlignment="1" applyProtection="1">
      <alignment vertical="center"/>
    </xf>
    <xf numFmtId="165" fontId="29" fillId="0" borderId="9" xfId="0" applyNumberFormat="1" applyFont="1" applyFill="1" applyBorder="1" applyAlignment="1">
      <alignment horizontal="center"/>
    </xf>
    <xf numFmtId="0" fontId="10" fillId="57" borderId="0" xfId="0" applyFont="1" applyFill="1" applyAlignment="1">
      <alignment horizontal="left"/>
    </xf>
    <xf numFmtId="0" fontId="29" fillId="57" borderId="0" xfId="0" applyFont="1" applyFill="1" applyAlignment="1">
      <alignment horizontal="center"/>
    </xf>
    <xf numFmtId="17" fontId="29" fillId="57" borderId="0" xfId="0" applyNumberFormat="1" applyFont="1" applyFill="1" applyAlignment="1">
      <alignment horizontal="center"/>
    </xf>
    <xf numFmtId="14" fontId="29" fillId="57" borderId="0" xfId="0" applyNumberFormat="1" applyFont="1" applyFill="1" applyAlignment="1">
      <alignment horizontal="center"/>
    </xf>
    <xf numFmtId="0" fontId="84" fillId="58" borderId="53" xfId="0" applyFont="1" applyFill="1" applyBorder="1" applyAlignment="1">
      <alignment horizontal="center" vertical="center" wrapText="1"/>
    </xf>
    <xf numFmtId="0" fontId="84" fillId="58" borderId="54" xfId="0" applyFont="1" applyFill="1" applyBorder="1" applyAlignment="1">
      <alignment horizontal="center" vertical="center" wrapText="1"/>
    </xf>
    <xf numFmtId="0" fontId="8" fillId="0" borderId="55" xfId="0" applyFont="1" applyBorder="1" applyAlignment="1">
      <alignment horizontal="center" vertical="center" wrapText="1"/>
    </xf>
    <xf numFmtId="15" fontId="8" fillId="0" borderId="56" xfId="0" applyNumberFormat="1" applyFont="1" applyBorder="1" applyAlignment="1">
      <alignment horizontal="center" vertical="center" wrapText="1"/>
    </xf>
    <xf numFmtId="0" fontId="8" fillId="0" borderId="56" xfId="0" applyFont="1" applyBorder="1" applyAlignment="1">
      <alignment horizontal="center" vertical="center" wrapText="1"/>
    </xf>
    <xf numFmtId="164" fontId="10" fillId="0" borderId="1" xfId="0" applyNumberFormat="1" applyFont="1" applyFill="1" applyBorder="1" applyAlignment="1">
      <alignment horizontal="center"/>
    </xf>
    <xf numFmtId="1" fontId="25" fillId="0" borderId="1" xfId="0" applyNumberFormat="1" applyFont="1" applyFill="1" applyBorder="1" applyAlignment="1">
      <alignment horizontal="center"/>
    </xf>
    <xf numFmtId="0" fontId="10" fillId="0" borderId="0" xfId="0" applyNumberFormat="1" applyFont="1" applyFill="1" applyAlignment="1">
      <alignment vertical="center"/>
    </xf>
    <xf numFmtId="0" fontId="10" fillId="0" borderId="0" xfId="0" applyNumberFormat="1" applyFont="1" applyFill="1" applyAlignment="1">
      <alignment horizontal="left" vertical="center"/>
    </xf>
    <xf numFmtId="0" fontId="25" fillId="0" borderId="0" xfId="0" applyFont="1" applyFill="1" applyBorder="1" applyAlignment="1">
      <alignment horizontal="left"/>
    </xf>
    <xf numFmtId="0" fontId="5" fillId="0" borderId="0" xfId="0" applyFont="1" applyFill="1" applyBorder="1" applyAlignment="1">
      <alignment horizontal="left"/>
    </xf>
    <xf numFmtId="1" fontId="25" fillId="0" borderId="0" xfId="0" applyNumberFormat="1" applyFont="1" applyFill="1" applyBorder="1" applyAlignment="1">
      <alignment horizontal="center"/>
    </xf>
    <xf numFmtId="0" fontId="25" fillId="0" borderId="6" xfId="0" applyFont="1" applyFill="1" applyBorder="1"/>
    <xf numFmtId="0" fontId="25" fillId="0" borderId="16" xfId="0" applyFont="1" applyFill="1" applyBorder="1"/>
    <xf numFmtId="0" fontId="26" fillId="0" borderId="0" xfId="0" applyFont="1"/>
    <xf numFmtId="0" fontId="25" fillId="0" borderId="52" xfId="0" applyFont="1" applyBorder="1"/>
    <xf numFmtId="2" fontId="25" fillId="50" borderId="1" xfId="0" applyNumberFormat="1" applyFont="1" applyFill="1" applyBorder="1" applyAlignment="1">
      <alignment horizontal="center" vertical="center"/>
    </xf>
    <xf numFmtId="169" fontId="25" fillId="50" borderId="1" xfId="0" applyNumberFormat="1" applyFont="1" applyFill="1" applyBorder="1" applyAlignment="1">
      <alignment horizontal="center" vertical="center"/>
    </xf>
    <xf numFmtId="0" fontId="22" fillId="50" borderId="7" xfId="0" applyFont="1" applyFill="1" applyBorder="1" applyAlignment="1" applyProtection="1">
      <alignment vertical="center"/>
    </xf>
    <xf numFmtId="169" fontId="25" fillId="50" borderId="0" xfId="0" applyNumberFormat="1" applyFont="1" applyFill="1" applyBorder="1" applyAlignment="1">
      <alignment horizontal="center" vertical="center"/>
    </xf>
    <xf numFmtId="165" fontId="10" fillId="50" borderId="1" xfId="0" applyNumberFormat="1" applyFont="1" applyFill="1" applyBorder="1" applyAlignment="1">
      <alignment horizontal="center"/>
    </xf>
    <xf numFmtId="0" fontId="10" fillId="50" borderId="1" xfId="0" applyFont="1" applyFill="1" applyBorder="1" applyAlignment="1">
      <alignment horizontal="center"/>
    </xf>
    <xf numFmtId="1" fontId="25" fillId="50" borderId="1" xfId="0" applyNumberFormat="1" applyFont="1" applyFill="1" applyBorder="1" applyAlignment="1">
      <alignment horizontal="center"/>
    </xf>
    <xf numFmtId="0" fontId="22" fillId="11" borderId="13" xfId="0" applyFont="1" applyFill="1" applyBorder="1" applyAlignment="1">
      <alignment horizontal="center"/>
    </xf>
    <xf numFmtId="0" fontId="22" fillId="11" borderId="8" xfId="0" applyFont="1" applyFill="1" applyBorder="1" applyAlignment="1">
      <alignment horizontal="center"/>
    </xf>
    <xf numFmtId="0" fontId="22" fillId="11" borderId="4" xfId="0" applyFont="1" applyFill="1" applyBorder="1" applyAlignment="1">
      <alignment horizontal="center"/>
    </xf>
    <xf numFmtId="0" fontId="10" fillId="0" borderId="0" xfId="0" applyFont="1" applyFill="1" applyAlignment="1">
      <alignment horizontal="right" wrapText="1"/>
    </xf>
    <xf numFmtId="0" fontId="10" fillId="0" borderId="0" xfId="0" applyNumberFormat="1" applyFont="1" applyAlignment="1">
      <alignment horizontal="center" vertical="center"/>
    </xf>
    <xf numFmtId="0" fontId="22" fillId="0" borderId="1" xfId="0" applyFont="1" applyFill="1" applyBorder="1" applyAlignment="1">
      <alignment horizontal="center"/>
    </xf>
    <xf numFmtId="0" fontId="10" fillId="0" borderId="0" xfId="0" applyFont="1" applyFill="1" applyBorder="1" applyAlignment="1" applyProtection="1">
      <alignment horizontal="left" vertical="center" wrapText="1"/>
    </xf>
    <xf numFmtId="0" fontId="22" fillId="0" borderId="2" xfId="0" applyFont="1" applyFill="1" applyBorder="1" applyAlignment="1">
      <alignment horizontal="left" wrapText="1"/>
    </xf>
    <xf numFmtId="0" fontId="22" fillId="0" borderId="9" xfId="0" applyFont="1" applyFill="1" applyBorder="1" applyAlignment="1">
      <alignment horizontal="left" wrapText="1"/>
    </xf>
    <xf numFmtId="0" fontId="22" fillId="0" borderId="2" xfId="0" applyFont="1" applyFill="1" applyBorder="1" applyAlignment="1" applyProtection="1">
      <alignment horizontal="left"/>
    </xf>
    <xf numFmtId="0" fontId="22" fillId="0" borderId="9" xfId="0" applyFont="1" applyFill="1" applyBorder="1" applyAlignment="1" applyProtection="1">
      <alignment horizontal="left"/>
    </xf>
    <xf numFmtId="0" fontId="26" fillId="0" borderId="1" xfId="0" applyFont="1" applyBorder="1" applyAlignment="1">
      <alignment horizontal="center"/>
    </xf>
    <xf numFmtId="0" fontId="22" fillId="0" borderId="13" xfId="0" applyFont="1" applyFill="1" applyBorder="1" applyAlignment="1">
      <alignment horizontal="center"/>
    </xf>
    <xf numFmtId="0" fontId="22" fillId="0" borderId="8" xfId="0" applyFont="1" applyFill="1" applyBorder="1" applyAlignment="1">
      <alignment horizontal="center"/>
    </xf>
    <xf numFmtId="0" fontId="22" fillId="0" borderId="4" xfId="0" applyFont="1" applyFill="1" applyBorder="1" applyAlignment="1">
      <alignment horizontal="center"/>
    </xf>
    <xf numFmtId="0" fontId="10" fillId="11" borderId="1" xfId="0" applyFont="1" applyFill="1" applyBorder="1" applyAlignment="1" applyProtection="1">
      <alignment horizontal="left" vertical="center" wrapText="1"/>
    </xf>
    <xf numFmtId="0" fontId="22" fillId="11" borderId="2" xfId="0" applyFont="1" applyFill="1" applyBorder="1" applyAlignment="1">
      <alignment horizontal="left" wrapText="1"/>
    </xf>
    <xf numFmtId="0" fontId="22" fillId="11" borderId="9" xfId="0" applyFont="1" applyFill="1" applyBorder="1" applyAlignment="1">
      <alignment horizontal="left" wrapText="1"/>
    </xf>
    <xf numFmtId="0" fontId="22" fillId="11" borderId="1" xfId="0" applyFont="1" applyFill="1" applyBorder="1" applyAlignment="1" applyProtection="1">
      <alignment horizontal="left"/>
    </xf>
    <xf numFmtId="0" fontId="26" fillId="11" borderId="1" xfId="0" applyFont="1" applyFill="1" applyBorder="1" applyAlignment="1">
      <alignment horizontal="center"/>
    </xf>
    <xf numFmtId="0" fontId="10" fillId="0" borderId="0" xfId="0" applyFont="1" applyFill="1" applyAlignment="1">
      <alignment horizontal="right"/>
    </xf>
    <xf numFmtId="0" fontId="26" fillId="0" borderId="2" xfId="0" applyFont="1" applyBorder="1" applyAlignment="1">
      <alignment horizontal="left"/>
    </xf>
    <xf numFmtId="0" fontId="26" fillId="0" borderId="7" xfId="0" applyFont="1" applyBorder="1" applyAlignment="1">
      <alignment horizontal="left"/>
    </xf>
    <xf numFmtId="0" fontId="26" fillId="0" borderId="13" xfId="0" applyFont="1" applyBorder="1" applyAlignment="1">
      <alignment horizontal="center"/>
    </xf>
    <xf numFmtId="0" fontId="26" fillId="0" borderId="8" xfId="0" applyFont="1" applyBorder="1" applyAlignment="1">
      <alignment horizontal="center"/>
    </xf>
    <xf numFmtId="0" fontId="26" fillId="0" borderId="4" xfId="0" applyFont="1" applyBorder="1" applyAlignment="1">
      <alignment horizontal="center"/>
    </xf>
    <xf numFmtId="0" fontId="26" fillId="0" borderId="35" xfId="0" applyFont="1" applyBorder="1" applyAlignment="1">
      <alignment horizontal="center"/>
    </xf>
    <xf numFmtId="0" fontId="22" fillId="51" borderId="2" xfId="0" applyFont="1" applyFill="1" applyBorder="1" applyAlignment="1">
      <alignment horizontal="center" wrapText="1"/>
    </xf>
    <xf numFmtId="0" fontId="22" fillId="51" borderId="19" xfId="0" applyFont="1" applyFill="1" applyBorder="1" applyAlignment="1">
      <alignment horizontal="center" wrapText="1"/>
    </xf>
    <xf numFmtId="0" fontId="25" fillId="0" borderId="0" xfId="0" applyFont="1" applyBorder="1" applyAlignment="1">
      <alignment horizontal="left" vertical="top" wrapText="1"/>
    </xf>
    <xf numFmtId="0" fontId="25" fillId="0" borderId="16" xfId="0" applyFont="1" applyBorder="1" applyAlignment="1">
      <alignment horizontal="left" vertical="top" wrapText="1"/>
    </xf>
    <xf numFmtId="0" fontId="25" fillId="0" borderId="5" xfId="0" applyFont="1" applyBorder="1" applyAlignment="1">
      <alignment horizontal="left" vertical="top" wrapText="1"/>
    </xf>
    <xf numFmtId="0" fontId="25" fillId="0" borderId="18" xfId="0" applyFont="1" applyBorder="1" applyAlignment="1">
      <alignment horizontal="left" vertical="top" wrapText="1"/>
    </xf>
    <xf numFmtId="0" fontId="25" fillId="0" borderId="36" xfId="0" applyFont="1" applyBorder="1" applyAlignment="1">
      <alignment horizontal="center"/>
    </xf>
    <xf numFmtId="0" fontId="25" fillId="0" borderId="6" xfId="0" applyFont="1" applyBorder="1" applyAlignment="1">
      <alignment horizontal="left"/>
    </xf>
    <xf numFmtId="0" fontId="25" fillId="0" borderId="0" xfId="0" applyFont="1" applyBorder="1" applyAlignment="1">
      <alignment horizontal="left"/>
    </xf>
    <xf numFmtId="0" fontId="10" fillId="0" borderId="0" xfId="0" applyFont="1" applyFill="1" applyBorder="1" applyAlignment="1" applyProtection="1">
      <alignment horizontal="left" vertical="top" wrapText="1"/>
    </xf>
    <xf numFmtId="0" fontId="10" fillId="0" borderId="16" xfId="0" applyFont="1" applyFill="1" applyBorder="1" applyAlignment="1" applyProtection="1">
      <alignment horizontal="left" vertical="top" wrapText="1"/>
    </xf>
    <xf numFmtId="0" fontId="10" fillId="0" borderId="0" xfId="0" applyFont="1" applyFill="1" applyBorder="1" applyAlignment="1" applyProtection="1">
      <alignment horizontal="left" vertical="top"/>
    </xf>
    <xf numFmtId="0" fontId="10" fillId="0" borderId="5" xfId="0" applyFont="1" applyFill="1" applyBorder="1" applyAlignment="1" applyProtection="1">
      <alignment horizontal="left" vertical="top" wrapText="1"/>
    </xf>
    <xf numFmtId="0" fontId="26" fillId="0" borderId="14" xfId="0" applyFont="1" applyBorder="1" applyAlignment="1">
      <alignment horizontal="center"/>
    </xf>
    <xf numFmtId="0" fontId="26" fillId="0" borderId="17" xfId="0" applyFont="1" applyBorder="1" applyAlignment="1">
      <alignment horizontal="center"/>
    </xf>
    <xf numFmtId="0" fontId="22" fillId="0" borderId="15" xfId="0" applyFont="1" applyBorder="1" applyAlignment="1" applyProtection="1">
      <alignment horizontal="center"/>
    </xf>
    <xf numFmtId="0" fontId="22" fillId="0" borderId="18" xfId="0" applyFont="1" applyBorder="1" applyAlignment="1" applyProtection="1">
      <alignment horizontal="center"/>
    </xf>
    <xf numFmtId="165" fontId="24" fillId="11" borderId="0" xfId="0" applyNumberFormat="1" applyFont="1" applyFill="1" applyAlignment="1">
      <alignment horizontal="center"/>
    </xf>
    <xf numFmtId="1" fontId="25" fillId="0" borderId="50" xfId="0" applyNumberFormat="1" applyFont="1" applyFill="1" applyBorder="1" applyAlignment="1">
      <alignment horizontal="left" vertical="center"/>
    </xf>
    <xf numFmtId="1" fontId="25" fillId="0" borderId="7" xfId="0" applyNumberFormat="1" applyFont="1" applyFill="1" applyBorder="1" applyAlignment="1">
      <alignment horizontal="left" vertical="center"/>
    </xf>
    <xf numFmtId="1" fontId="25" fillId="0" borderId="9" xfId="0" applyNumberFormat="1" applyFont="1" applyFill="1" applyBorder="1" applyAlignment="1">
      <alignment horizontal="left" vertical="center"/>
    </xf>
    <xf numFmtId="0" fontId="22" fillId="0" borderId="17" xfId="0" applyFont="1" applyFill="1" applyBorder="1" applyAlignment="1">
      <alignment horizontal="center"/>
    </xf>
    <xf numFmtId="0" fontId="22" fillId="0" borderId="5" xfId="0" applyFont="1" applyFill="1" applyBorder="1" applyAlignment="1">
      <alignment horizontal="center"/>
    </xf>
    <xf numFmtId="0" fontId="22" fillId="0" borderId="18" xfId="0" applyFont="1" applyFill="1" applyBorder="1" applyAlignment="1">
      <alignment horizontal="center"/>
    </xf>
    <xf numFmtId="0" fontId="22" fillId="0" borderId="1" xfId="0" applyFont="1" applyFill="1" applyBorder="1" applyAlignment="1" applyProtection="1">
      <alignment horizontal="left"/>
    </xf>
    <xf numFmtId="0" fontId="31" fillId="0" borderId="0" xfId="0" applyFont="1" applyAlignment="1">
      <alignment horizontal="left" vertical="center" wrapText="1"/>
    </xf>
    <xf numFmtId="0" fontId="31" fillId="0" borderId="57" xfId="0" applyFont="1" applyBorder="1" applyAlignment="1">
      <alignment horizontal="left" vertical="center" wrapText="1"/>
    </xf>
    <xf numFmtId="0" fontId="1" fillId="0" borderId="37" xfId="71" applyFont="1" applyBorder="1" applyAlignment="1">
      <alignment horizontal="center" wrapText="1"/>
    </xf>
    <xf numFmtId="0" fontId="1" fillId="0" borderId="38" xfId="71" applyFont="1" applyBorder="1" applyAlignment="1">
      <alignment horizontal="center"/>
    </xf>
  </cellXfs>
  <cellStyles count="271">
    <cellStyle name=" 1" xfId="160"/>
    <cellStyle name="#,###" xfId="2"/>
    <cellStyle name="#,### 2" xfId="3"/>
    <cellStyle name="#,###.00" xfId="4"/>
    <cellStyle name="#,###.00 2" xfId="5"/>
    <cellStyle name="#.0" xfId="6"/>
    <cellStyle name="#.0 2" xfId="7"/>
    <cellStyle name="#.0 2 2" xfId="8"/>
    <cellStyle name="_PS3 Inventory for Sens. Study" xfId="9"/>
    <cellStyle name="_PS4 Inventory for H2S Study" xfId="10"/>
    <cellStyle name="_PS4 Inventory for Sens. Study" xfId="11"/>
    <cellStyle name="_source loc and params" xfId="12"/>
    <cellStyle name="2 decimal" xfId="161"/>
    <cellStyle name="20% - Accent1" xfId="136" builtinId="30" customBuiltin="1"/>
    <cellStyle name="20% - Accent2" xfId="140" builtinId="34" customBuiltin="1"/>
    <cellStyle name="20% - Accent3" xfId="144" builtinId="38" customBuiltin="1"/>
    <cellStyle name="20% - Accent4" xfId="148" builtinId="42" customBuiltin="1"/>
    <cellStyle name="20% - Accent5" xfId="152" builtinId="46" customBuiltin="1"/>
    <cellStyle name="20% - Accent6" xfId="156" builtinId="50" customBuiltin="1"/>
    <cellStyle name="2decimal" xfId="162"/>
    <cellStyle name="3 decimal" xfId="163"/>
    <cellStyle name="40% - Accent1" xfId="137" builtinId="31" customBuiltin="1"/>
    <cellStyle name="40% - Accent2" xfId="141" builtinId="35" customBuiltin="1"/>
    <cellStyle name="40% - Accent3" xfId="145" builtinId="39" customBuiltin="1"/>
    <cellStyle name="40% - Accent4" xfId="149" builtinId="43" customBuiltin="1"/>
    <cellStyle name="40% - Accent5" xfId="153" builtinId="47" customBuiltin="1"/>
    <cellStyle name="40% - Accent6" xfId="157" builtinId="51" customBuiltin="1"/>
    <cellStyle name="60% - Accent1" xfId="138" builtinId="32" customBuiltin="1"/>
    <cellStyle name="60% - Accent2" xfId="142" builtinId="36" customBuiltin="1"/>
    <cellStyle name="60% - Accent3" xfId="146" builtinId="40" customBuiltin="1"/>
    <cellStyle name="60% - Accent4" xfId="150" builtinId="44" customBuiltin="1"/>
    <cellStyle name="60% - Accent5" xfId="154" builtinId="48" customBuiltin="1"/>
    <cellStyle name="60% - Accent6" xfId="158" builtinId="52" customBuiltin="1"/>
    <cellStyle name="Accent1" xfId="135" builtinId="29" customBuiltin="1"/>
    <cellStyle name="Accent2" xfId="139" builtinId="33" customBuiltin="1"/>
    <cellStyle name="Accent3" xfId="143" builtinId="37" customBuiltin="1"/>
    <cellStyle name="Accent4" xfId="147" builtinId="41" customBuiltin="1"/>
    <cellStyle name="Accent5" xfId="151" builtinId="45" customBuiltin="1"/>
    <cellStyle name="Accent6" xfId="155" builtinId="49" customBuiltin="1"/>
    <cellStyle name="B -" xfId="164"/>
    <cellStyle name="B - Center - Title Top" xfId="165"/>
    <cellStyle name="B -_Discoverer Emissions Chukchi OCS_091709" xfId="166"/>
    <cellStyle name="Background" xfId="167"/>
    <cellStyle name="Bad" xfId="124" builtinId="27" customBuiltin="1"/>
    <cellStyle name="Calculation" xfId="128" builtinId="22" customBuiltin="1"/>
    <cellStyle name="CB&amp;I Normal" xfId="168"/>
    <cellStyle name="Check Cell" xfId="130" builtinId="23" customBuiltin="1"/>
    <cellStyle name="Comma  - Style1" xfId="169"/>
    <cellStyle name="Comma  - Style2" xfId="170"/>
    <cellStyle name="Comma  - Style3" xfId="171"/>
    <cellStyle name="Comma  - Style4" xfId="172"/>
    <cellStyle name="Comma  - Style5" xfId="173"/>
    <cellStyle name="Comma  - Style6" xfId="174"/>
    <cellStyle name="Comma  - Style7" xfId="175"/>
    <cellStyle name="Comma  - Style8" xfId="176"/>
    <cellStyle name="Comma 2" xfId="13"/>
    <cellStyle name="Comma 2 2" xfId="177"/>
    <cellStyle name="Comma 3" xfId="14"/>
    <cellStyle name="Comma 4" xfId="178"/>
    <cellStyle name="Comma 5" xfId="179"/>
    <cellStyle name="comma thou" xfId="180"/>
    <cellStyle name="Comma0" xfId="181"/>
    <cellStyle name="Comment" xfId="182"/>
    <cellStyle name="Currenby_PSV-020crit.XLS" xfId="183"/>
    <cellStyle name="Currency [0]b" xfId="184"/>
    <cellStyle name="currency(2)" xfId="185"/>
    <cellStyle name="Currency0" xfId="186"/>
    <cellStyle name="Date" xfId="187"/>
    <cellStyle name="Dezimal [0]_C4-Data-ZAV-USA" xfId="188"/>
    <cellStyle name="Dezimal_C4-Data-ZAV-USA" xfId="189"/>
    <cellStyle name="Explanatory Text" xfId="133" builtinId="53" customBuiltin="1"/>
    <cellStyle name="F2" xfId="190"/>
    <cellStyle name="F2 - Style4" xfId="191"/>
    <cellStyle name="F2_15193-DS-011-V-82-1" xfId="192"/>
    <cellStyle name="F3" xfId="193"/>
    <cellStyle name="F4" xfId="194"/>
    <cellStyle name="F5" xfId="195"/>
    <cellStyle name="F5 - Style3" xfId="196"/>
    <cellStyle name="F5_15193-DS-011-V-82-1" xfId="197"/>
    <cellStyle name="F6" xfId="198"/>
    <cellStyle name="F6 - Style2" xfId="199"/>
    <cellStyle name="F6_15193-DS-011-V-82-1" xfId="200"/>
    <cellStyle name="F7" xfId="201"/>
    <cellStyle name="F7 - Style1" xfId="202"/>
    <cellStyle name="F7_15193-DS-011-V-82-1" xfId="203"/>
    <cellStyle name="F8" xfId="204"/>
    <cellStyle name="F8 - Style5" xfId="205"/>
    <cellStyle name="F8_15193-DS-011-V-82-1" xfId="206"/>
    <cellStyle name="F9 - Style6" xfId="207"/>
    <cellStyle name="F9 - Style6 2" xfId="259"/>
    <cellStyle name="F9 - Style6 3" xfId="257"/>
    <cellStyle name="F9 - Style6 4" xfId="258"/>
    <cellStyle name="Fixed" xfId="208"/>
    <cellStyle name="fmt" xfId="209"/>
    <cellStyle name="Good" xfId="123" builtinId="26" customBuiltin="1"/>
    <cellStyle name="Grey" xfId="15"/>
    <cellStyle name="Header1" xfId="16"/>
    <cellStyle name="Header2" xfId="17"/>
    <cellStyle name="Header2 2" xfId="255"/>
    <cellStyle name="Header2 3" xfId="260"/>
    <cellStyle name="Header2 4" xfId="256"/>
    <cellStyle name="Heading 1" xfId="119" builtinId="16" customBuiltin="1"/>
    <cellStyle name="Heading 2" xfId="120" builtinId="17" customBuiltin="1"/>
    <cellStyle name="Heading 3" xfId="121" builtinId="18" customBuiltin="1"/>
    <cellStyle name="Heading 4" xfId="122" builtinId="19" customBuiltin="1"/>
    <cellStyle name="Hyperlink 2" xfId="18"/>
    <cellStyle name="Input" xfId="126" builtinId="20" customBuiltin="1"/>
    <cellStyle name="Input - Center - General" xfId="210"/>
    <cellStyle name="Input - Title" xfId="211"/>
    <cellStyle name="Input [yellow]" xfId="19"/>
    <cellStyle name="Inputs - Center - Comma - 0" xfId="212"/>
    <cellStyle name="Inputted" xfId="213"/>
    <cellStyle name="Linked Cell" xfId="129" builtinId="24" customBuiltin="1"/>
    <cellStyle name="millimeter" xfId="214"/>
    <cellStyle name="Neutral" xfId="125" builtinId="28" customBuiltin="1"/>
    <cellStyle name="Normal" xfId="0" builtinId="0"/>
    <cellStyle name="Normal - Style1" xfId="20"/>
    <cellStyle name="Normal - Style1 2" xfId="215"/>
    <cellStyle name="Normal 10" xfId="21"/>
    <cellStyle name="Normal 10 2" xfId="22"/>
    <cellStyle name="Normal 10 2 2" xfId="23"/>
    <cellStyle name="Normal 10 2 2 2" xfId="24"/>
    <cellStyle name="Normal 10 2 2 2 2" xfId="25"/>
    <cellStyle name="Normal 10 2 2 2 2 2" xfId="26"/>
    <cellStyle name="Normal 10 2 2 2 2 2 2" xfId="27"/>
    <cellStyle name="Normal 11" xfId="28"/>
    <cellStyle name="Normal 12" xfId="29"/>
    <cellStyle name="Normal 12 2" xfId="30"/>
    <cellStyle name="Normal 12 2 2" xfId="31"/>
    <cellStyle name="Normal 12 2 2 2" xfId="32"/>
    <cellStyle name="Normal 12 2 2 2 2" xfId="33"/>
    <cellStyle name="Normal 12 2 2 2 2 2" xfId="34"/>
    <cellStyle name="Normal 12 2 2 2 2 2 2" xfId="35"/>
    <cellStyle name="Normal 12 3" xfId="36"/>
    <cellStyle name="Normal 13" xfId="37"/>
    <cellStyle name="Normal 13 2" xfId="38"/>
    <cellStyle name="Normal 13 2 2" xfId="39"/>
    <cellStyle name="Normal 13 2 2 2" xfId="40"/>
    <cellStyle name="Normal 13 2 2 2 2" xfId="41"/>
    <cellStyle name="Normal 13 2 2 2 2 2" xfId="42"/>
    <cellStyle name="Normal 13 2 2 2 2 2 2" xfId="43"/>
    <cellStyle name="Normal 14" xfId="44"/>
    <cellStyle name="Normal 14 2" xfId="45"/>
    <cellStyle name="Normal 15" xfId="46"/>
    <cellStyle name="Normal 15 2" xfId="47"/>
    <cellStyle name="Normal 15 2 2" xfId="48"/>
    <cellStyle name="Normal 15 2 2 2" xfId="49"/>
    <cellStyle name="Normal 15 2 2 2 2" xfId="50"/>
    <cellStyle name="Normal 16" xfId="51"/>
    <cellStyle name="Normal 16 2" xfId="52"/>
    <cellStyle name="Normal 16 2 2" xfId="53"/>
    <cellStyle name="Normal 16 2 2 2" xfId="54"/>
    <cellStyle name="Normal 16 2 2 2 2" xfId="55"/>
    <cellStyle name="Normal 16 2 2 2 2 2" xfId="56"/>
    <cellStyle name="Normal 17" xfId="57"/>
    <cellStyle name="Normal 18" xfId="58"/>
    <cellStyle name="Normal 19" xfId="59"/>
    <cellStyle name="Normal 19 2" xfId="60"/>
    <cellStyle name="Normal 2" xfId="1"/>
    <cellStyle name="Normal 2 2" xfId="61"/>
    <cellStyle name="Normal 2 2 2" xfId="216"/>
    <cellStyle name="Normal 2 2 3" xfId="217"/>
    <cellStyle name="Normal 2 3" xfId="218"/>
    <cellStyle name="Normal 2 4" xfId="219"/>
    <cellStyle name="Normal 2 7" xfId="220"/>
    <cellStyle name="Normal 2_Calculation Coversheet Tempate" xfId="221"/>
    <cellStyle name="Normal 20" xfId="62"/>
    <cellStyle name="Normal 20 2" xfId="63"/>
    <cellStyle name="Normal 21" xfId="64"/>
    <cellStyle name="Normal 22" xfId="65"/>
    <cellStyle name="Normal 22 2" xfId="66"/>
    <cellStyle name="Normal 22 3" xfId="67"/>
    <cellStyle name="Normal 23" xfId="68"/>
    <cellStyle name="Normal 23 2" xfId="69"/>
    <cellStyle name="Normal 24" xfId="70"/>
    <cellStyle name="Normal 25" xfId="71"/>
    <cellStyle name="Normal 26" xfId="159"/>
    <cellStyle name="Normal 3" xfId="72"/>
    <cellStyle name="Normal 3 2" xfId="73"/>
    <cellStyle name="Normal 3 2 2" xfId="222"/>
    <cellStyle name="Normal 3 3" xfId="74"/>
    <cellStyle name="Normal 3 4" xfId="223"/>
    <cellStyle name="Normal 4" xfId="75"/>
    <cellStyle name="Normal 4 2" xfId="224"/>
    <cellStyle name="Normal 5" xfId="76"/>
    <cellStyle name="Normal 5 2" xfId="77"/>
    <cellStyle name="Normal 5 3" xfId="225"/>
    <cellStyle name="Normal 6" xfId="78"/>
    <cellStyle name="Normal 7" xfId="79"/>
    <cellStyle name="Normal 7 2" xfId="80"/>
    <cellStyle name="Normal 8" xfId="81"/>
    <cellStyle name="Normal 8 2" xfId="82"/>
    <cellStyle name="Normal 8 2 2" xfId="83"/>
    <cellStyle name="Normal 8 2 2 2" xfId="84"/>
    <cellStyle name="Normal 8 2 2 2 2" xfId="85"/>
    <cellStyle name="Normal 8 2 2 2 2 2" xfId="86"/>
    <cellStyle name="Normal 8 2 2 2 2 2 2" xfId="87"/>
    <cellStyle name="Normal 8 2 2 2 2 2 2 2" xfId="88"/>
    <cellStyle name="Normal 8 3" xfId="89"/>
    <cellStyle name="Normal 8 3 2" xfId="90"/>
    <cellStyle name="Normal 9" xfId="91"/>
    <cellStyle name="Note" xfId="132" builtinId="10" customBuiltin="1"/>
    <cellStyle name="Note 2" xfId="226"/>
    <cellStyle name="NUMBER" xfId="227"/>
    <cellStyle name="Output" xfId="127" builtinId="21" customBuiltin="1"/>
    <cellStyle name="Percent" xfId="270" builtinId="5"/>
    <cellStyle name="Percent [2]" xfId="92"/>
    <cellStyle name="Percent [2] 2" xfId="228"/>
    <cellStyle name="Percent 14" xfId="254"/>
    <cellStyle name="Percent 2" xfId="93"/>
    <cellStyle name="Percent 2 2" xfId="94"/>
    <cellStyle name="Percent 3" xfId="95"/>
    <cellStyle name="Percent 4" xfId="229"/>
    <cellStyle name="Percent 5" xfId="230"/>
    <cellStyle name="Percent 6" xfId="231"/>
    <cellStyle name="Percent 7" xfId="232"/>
    <cellStyle name="pmxBorderCellsS" xfId="96"/>
    <cellStyle name="pmxCategoryHeadingB" xfId="97"/>
    <cellStyle name="pmxCategoryHeadingM" xfId="98"/>
    <cellStyle name="pmxHeadingB" xfId="99"/>
    <cellStyle name="pmxHeadingL" xfId="100"/>
    <cellStyle name="pmxHeadingM" xfId="101"/>
    <cellStyle name="pmxHeadingS" xfId="102"/>
    <cellStyle name="pmxMinorHeadingB" xfId="103"/>
    <cellStyle name="pmxMinorHeadingS" xfId="104"/>
    <cellStyle name="pmxSubHeadingB" xfId="105"/>
    <cellStyle name="pmxSubHeadingM" xfId="106"/>
    <cellStyle name="pmxSubSubHeadingB" xfId="107"/>
    <cellStyle name="pmxSubSubHeadingM" xfId="108"/>
    <cellStyle name="pmxSubSubHeadingS" xfId="109"/>
    <cellStyle name="PSChar" xfId="110"/>
    <cellStyle name="PSDate" xfId="111"/>
    <cellStyle name="PSDec" xfId="112"/>
    <cellStyle name="PSHeading" xfId="113"/>
    <cellStyle name="PSInt" xfId="114"/>
    <cellStyle name="PSSpacer" xfId="115"/>
    <cellStyle name="PSV sizing template" xfId="116"/>
    <cellStyle name="pump" xfId="233"/>
    <cellStyle name="pumpR" xfId="234"/>
    <cellStyle name="Response Header" xfId="235"/>
    <cellStyle name="Schedule" xfId="236"/>
    <cellStyle name="Section Subtitle" xfId="237"/>
    <cellStyle name="Section Title" xfId="238"/>
    <cellStyle name="Sheet Title" xfId="239"/>
    <cellStyle name="specs" xfId="240"/>
    <cellStyle name="specs 2" xfId="241"/>
    <cellStyle name="specs 2 2" xfId="262"/>
    <cellStyle name="specs 2 3" xfId="265"/>
    <cellStyle name="specs 2 4" xfId="268"/>
    <cellStyle name="specs 3" xfId="261"/>
    <cellStyle name="specs 4" xfId="264"/>
    <cellStyle name="specs 5" xfId="267"/>
    <cellStyle name="Standard_Agenda" xfId="242"/>
    <cellStyle name="Style 1" xfId="117"/>
    <cellStyle name="Subtitle" xfId="243"/>
    <cellStyle name="Table Title" xfId="244"/>
    <cellStyle name="Title" xfId="118" builtinId="15" customBuiltin="1"/>
    <cellStyle name="Total" xfId="134" builtinId="25" customBuiltin="1"/>
    <cellStyle name="User Input" xfId="245"/>
    <cellStyle name="vessel" xfId="246"/>
    <cellStyle name="VV" xfId="247"/>
    <cellStyle name="Währung [0]_C4-Data-ZAV-USA" xfId="248"/>
    <cellStyle name="Währung_C4-Data-ZAV-USA" xfId="249"/>
    <cellStyle name="Warning Text" xfId="131" builtinId="11" customBuiltin="1"/>
    <cellStyle name="zero" xfId="250"/>
    <cellStyle name="一般_Appendix M-5, Greenhouse Gas Emissions From Point Sources and Leakage of Transmission" xfId="251"/>
    <cellStyle name="入力" xfId="252"/>
    <cellStyle name="入力 2" xfId="263"/>
    <cellStyle name="入力 3" xfId="266"/>
    <cellStyle name="入力 4" xfId="269"/>
    <cellStyle name="標準_API_BLANK" xfId="253"/>
  </cellStyles>
  <dxfs count="0"/>
  <tableStyles count="0" defaultTableStyle="TableStyleMedium2" defaultPivotStyle="PivotStyleLight16"/>
  <colors>
    <mruColors>
      <color rgb="FFFFFFFF"/>
      <color rgb="FFF4F7E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9" Type="http://schemas.openxmlformats.org/officeDocument/2006/relationships/externalLink" Target="externalLinks/externalLink24.xml"/><Relationship Id="rId3" Type="http://schemas.openxmlformats.org/officeDocument/2006/relationships/worksheet" Target="worksheets/sheet3.xml"/><Relationship Id="rId21" Type="http://schemas.openxmlformats.org/officeDocument/2006/relationships/externalLink" Target="externalLinks/externalLink6.xml"/><Relationship Id="rId34" Type="http://schemas.openxmlformats.org/officeDocument/2006/relationships/externalLink" Target="externalLinks/externalLink19.xml"/><Relationship Id="rId42" Type="http://schemas.openxmlformats.org/officeDocument/2006/relationships/externalLink" Target="externalLinks/externalLink27.xml"/><Relationship Id="rId47" Type="http://schemas.openxmlformats.org/officeDocument/2006/relationships/externalLink" Target="externalLinks/externalLink32.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externalLink" Target="externalLinks/externalLink18.xml"/><Relationship Id="rId38" Type="http://schemas.openxmlformats.org/officeDocument/2006/relationships/externalLink" Target="externalLinks/externalLink23.xml"/><Relationship Id="rId46" Type="http://schemas.openxmlformats.org/officeDocument/2006/relationships/externalLink" Target="externalLinks/externalLink3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externalLink" Target="externalLinks/externalLink14.xml"/><Relationship Id="rId41" Type="http://schemas.openxmlformats.org/officeDocument/2006/relationships/externalLink" Target="externalLinks/externalLink2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externalLink" Target="externalLinks/externalLink17.xml"/><Relationship Id="rId37" Type="http://schemas.openxmlformats.org/officeDocument/2006/relationships/externalLink" Target="externalLinks/externalLink22.xml"/><Relationship Id="rId40" Type="http://schemas.openxmlformats.org/officeDocument/2006/relationships/externalLink" Target="externalLinks/externalLink25.xml"/><Relationship Id="rId45" Type="http://schemas.openxmlformats.org/officeDocument/2006/relationships/externalLink" Target="externalLinks/externalLink30.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36" Type="http://schemas.openxmlformats.org/officeDocument/2006/relationships/externalLink" Target="externalLinks/externalLink21.xml"/><Relationship Id="rId49" Type="http://schemas.openxmlformats.org/officeDocument/2006/relationships/externalLink" Target="externalLinks/externalLink34.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externalLink" Target="externalLinks/externalLink16.xml"/><Relationship Id="rId44" Type="http://schemas.openxmlformats.org/officeDocument/2006/relationships/externalLink" Target="externalLinks/externalLink29.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 Id="rId35" Type="http://schemas.openxmlformats.org/officeDocument/2006/relationships/externalLink" Target="externalLinks/externalLink20.xml"/><Relationship Id="rId43" Type="http://schemas.openxmlformats.org/officeDocument/2006/relationships/externalLink" Target="externalLinks/externalLink28.xml"/><Relationship Id="rId48" Type="http://schemas.openxmlformats.org/officeDocument/2006/relationships/externalLink" Target="externalLinks/externalLink33.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357188</xdr:colOff>
      <xdr:row>0</xdr:row>
      <xdr:rowOff>102392</xdr:rowOff>
    </xdr:from>
    <xdr:to>
      <xdr:col>8</xdr:col>
      <xdr:colOff>273844</xdr:colOff>
      <xdr:row>15</xdr:row>
      <xdr:rowOff>190499</xdr:rowOff>
    </xdr:to>
    <xdr:pic>
      <xdr:nvPicPr>
        <xdr:cNvPr id="2" name="Picture 1"/>
        <xdr:cNvPicPr>
          <a:picLocks noChangeAspect="1"/>
        </xdr:cNvPicPr>
      </xdr:nvPicPr>
      <xdr:blipFill rotWithShape="1">
        <a:blip xmlns:r="http://schemas.openxmlformats.org/officeDocument/2006/relationships" r:embed="rId1" cstate="print"/>
        <a:srcRect l="10749" t="11330" r="36241" b="48398"/>
        <a:stretch/>
      </xdr:blipFill>
      <xdr:spPr>
        <a:xfrm>
          <a:off x="357188" y="102392"/>
          <a:ext cx="6869906" cy="29456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edms-plf.cbi.com/Documents%20and%20Settings/lhackemesser/My%20Documents/CBI%20Procedure%20dev/Datasheets/5660POS/EQUIPMEN/ROTATING/EMERGEN/Dsh602%20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temp/Personal_Templates/TEMPLATE_Discoverer_EI_Chukchi_06_02_11_D.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PROJECT/410063/PROCESS/DOCS/HAZ_AREA/HAZ_SCH.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Z:\LIB\LTDPROG\CSWGWK1\PUMPDAT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TECHNOLOGY/LNG/IDEAS/Blowers/Ship%20DP/Ship%20Pipe%20Heat%20Gain/PROCESS/PROCTEMP/Samburg/Calculations/001%20-%20Flare%20Sizing/Samburg%20Flare%20System/Calc%20610240-40-001%20Rev%200%20-%20Flare%20Sizing.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ocuments%20and%20Settings/piepelk/Desktop/Latest%20and%20Greates%20Spec%20Sheets/Latest%20On%206-2-08/Shell%20&amp;%20Tube%20(Blank).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ocumentum/dmcl/00000d9a/45a2030a.hst/80167e4f/012%20r0%20Recondenser%20sizing.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710349/PROCESS/working/JP/Plug%20CV%20check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710349/PROCESS/calcs/Detail%20Design/DD%20260-269/264%20-%20Desanding%20Linesizing%20&amp;%20Pressure%20Drop/rev1%20-%20working/Plug%20CV%20check.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Tyler-cs1\GROUP\windows\TEMP\MSOFFICE\EXCEL\CALCS\COMP.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TEMP/SEPARP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642078/PROCESS/Bid%20Info/Calcs/021-030/029%20-%20Flare%20Hydraulics/Rev%201/ITT%20029%20r1%20-%20Flare%20Hydraulic%20Sizing.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DOCUME~1/SGOWDA/LOCALS~1/TEMP/DOCMGR/11K-30-E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OCUME~1/SGOWDA/LOCALS~1/TEMP/DOCMGR/11K-30-E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DOCUME~1/RBURLI~1/LOCALS~1/Temp/notesE1EF34/Copy%20of%20PIP_API_ISO.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O:\SYSTEMS\INSTR\AREA100\PSVDVL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AQES/Projects/Alaska%20LNG%20Project_Nikiski/400-Technical/Emissions/2014/Agrium_AERMOD_input_file_spreadsheet_3-19-2014.xlsm"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TEMP/Npv-0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W:\PROJECTS\EOG_Resources%20-%20LaBarge_Platform_EIS-60283834\Air%20Quality\Tasks\570-AERMOD\AERMOD_input_file_generation\Copy%20of%20AERMOD_input_file_spreadsheet_08_06_2013_with_updated_CM_link_FOR_MACRO.xlsm"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Offsite%20Sources%20for%20AQRV/Offsite%20Sources%20Q-d%20Analysis%20LNG%203-18-16.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_Tesoro%20references/Tesoro%20Stack%20Parameters%20from%20FOR.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_Tesoro%20references/Tesoro%20emissions%20calculation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yler-cs1\GROUP\MSOFFICE\EXCEL\CALCS\COMP.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_Tesoro%20references/Tesoro%20Sources%20emissions%20from%20Annual%20Reporting%202013.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_Tesoro%20references/Tesoro%20Refinery%20Hotelling%20Emissions_07_08_2016.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Users/macnutta/AppData/Local/Microsoft/Windows/Temporary%20Internet%20Files/Content.Outlook/NE88DJJU/_Kenai%20LNG%20References/AERMOD_input_file_spreadsheet_04_26_2013.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s/alekdm33/Box%20Sync/Alaska_LNG_LNG/Project_Input/Marine/AlaskaLNG%20Marine%20Emissions%20Inventory_02-22-16%20BLACKERT%20FLEET.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Users/macnutta/AppData/Local/Microsoft/Windows/Temporary%20Internet%20Files/Content.Outlook/NE88DJJU/_Other%20Offsite%20references/Offiste_AERMOD_input_file_spreadsheet_JAN-15-201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QES/Projects/Enron%206792/140%20Florida%20PSD/Certosa%20Dade%20400/Revised%20Draft%20PSD/Certosa%20-%207FA%20Emissions%20Rev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DEPT\HHG\Calculation%20Sheets\Pump%20Calcs%20(Tyler)\Hayworth-%20PUMP_CALC%2033%20PK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idocs.houbp.cbi.com/5660POS/EQUIPMEN/ROTATING/EMERGEN/Dsh602%20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PROJECTS\EOG_Resources%20-%20LaBarge_Platform_EIS-60283834\Air%20Quality\Tasks\570-AERMOD\AERMOD_input_file_generation\Copy%20of%20AERMOD_input_file_spreadsheet_08_06_2013_with_updated_CM_link_FOR_MACRO%20(Autosaved).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y%20Documents/Projects/Duke%20-%202355/Duke%20Kaufman%20-%202355016/Old%20Kaufman%20Emission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dye/APPDATA/LOCAL/TEMP/DOCMGR/1-27_15_43_Valve%20li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Page 2"/>
      <sheetName val="Page 3"/>
      <sheetName val="Page 4"/>
      <sheetName val="Page 1"/>
      <sheetName val="Module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Max"/>
      <sheetName val="Comply Conditions"/>
      <sheetName val="NoORL"/>
      <sheetName val="GHGOnly-BothSeas"/>
      <sheetName val="ModelEmiss"/>
      <sheetName val="Report_Tables"/>
      <sheetName val="Discoverer Engines"/>
      <sheetName val="Fleet Engines"/>
      <sheetName val="BOEMRETables"/>
      <sheetName val="SCR-NH3 emis"/>
      <sheetName val="MethaneMass"/>
      <sheetName val="ApplicationEF"/>
      <sheetName val="PermitLimits"/>
    </sheetNames>
    <sheetDataSet>
      <sheetData sheetId="0"/>
      <sheetData sheetId="1">
        <row r="13">
          <cell r="FH13" t="str">
            <v>Max</v>
          </cell>
          <cell r="FI13" t="str">
            <v>MLC</v>
          </cell>
          <cell r="FJ13" t="str">
            <v>DRILL</v>
          </cell>
          <cell r="FK13" t="str">
            <v>C/L</v>
          </cell>
          <cell r="FL13" t="str">
            <v>TOTAL</v>
          </cell>
        </row>
        <row r="14">
          <cell r="BD14" t="str">
            <v>Source</v>
          </cell>
          <cell r="BE14" t="str">
            <v>Emission Factor</v>
          </cell>
          <cell r="BF14" t="str">
            <v>unit</v>
          </cell>
          <cell r="BH14" t="str">
            <v>lb/hr^</v>
          </cell>
          <cell r="BI14" t="str">
            <v>lb/hr</v>
          </cell>
          <cell r="BJ14" t="str">
            <v>lb/day^</v>
          </cell>
          <cell r="BK14" t="str">
            <v>lb/day</v>
          </cell>
          <cell r="BL14" t="str">
            <v>lb/day</v>
          </cell>
          <cell r="BM14" t="str">
            <v>lb/day</v>
          </cell>
          <cell r="BN14" t="str">
            <v>ton/year</v>
          </cell>
          <cell r="BU14" t="str">
            <v>Source</v>
          </cell>
          <cell r="BV14" t="str">
            <v>Emission Factor</v>
          </cell>
          <cell r="BW14" t="str">
            <v>unit</v>
          </cell>
          <cell r="BY14" t="str">
            <v>lb/hr^</v>
          </cell>
          <cell r="BZ14" t="str">
            <v>lb/hr</v>
          </cell>
          <cell r="CA14" t="str">
            <v>lb/day^</v>
          </cell>
          <cell r="CB14" t="str">
            <v>lb/day</v>
          </cell>
          <cell r="CC14" t="str">
            <v>lb/day</v>
          </cell>
          <cell r="CD14" t="str">
            <v>lb/day</v>
          </cell>
          <cell r="CE14" t="str">
            <v>ton/year</v>
          </cell>
          <cell r="CL14" t="str">
            <v>Source</v>
          </cell>
          <cell r="CM14" t="str">
            <v>Emission Factor</v>
          </cell>
          <cell r="CN14" t="str">
            <v>unit</v>
          </cell>
          <cell r="CP14" t="str">
            <v>lb/hr^</v>
          </cell>
          <cell r="CQ14" t="str">
            <v>lb/hr</v>
          </cell>
          <cell r="CR14" t="str">
            <v>lb/day^</v>
          </cell>
          <cell r="CS14" t="str">
            <v>lb/day</v>
          </cell>
          <cell r="CT14" t="str">
            <v>lb/day</v>
          </cell>
          <cell r="CU14" t="str">
            <v>lb/day</v>
          </cell>
          <cell r="CV14" t="str">
            <v>ton/year</v>
          </cell>
          <cell r="DC14" t="str">
            <v>Source</v>
          </cell>
          <cell r="DD14" t="str">
            <v>Emission Factor</v>
          </cell>
          <cell r="DE14" t="str">
            <v>unit</v>
          </cell>
          <cell r="DG14" t="str">
            <v>lb/hr^</v>
          </cell>
          <cell r="DH14" t="str">
            <v>lb/hr</v>
          </cell>
          <cell r="DI14" t="str">
            <v>lb/day^</v>
          </cell>
          <cell r="DJ14" t="str">
            <v>lb/day</v>
          </cell>
          <cell r="DK14" t="str">
            <v>lb/day</v>
          </cell>
          <cell r="DL14" t="str">
            <v>lb/day</v>
          </cell>
          <cell r="DM14" t="str">
            <v>ton/year</v>
          </cell>
          <cell r="DT14" t="str">
            <v>Source</v>
          </cell>
          <cell r="DU14" t="str">
            <v>Emission Factor</v>
          </cell>
          <cell r="DV14" t="str">
            <v>unit</v>
          </cell>
          <cell r="DX14" t="str">
            <v>lb/hr^</v>
          </cell>
          <cell r="DY14" t="str">
            <v>lb/hr</v>
          </cell>
          <cell r="DZ14" t="str">
            <v>lb/day^</v>
          </cell>
          <cell r="EA14" t="str">
            <v>lb/day</v>
          </cell>
          <cell r="EB14" t="str">
            <v>lb/day</v>
          </cell>
          <cell r="EC14" t="str">
            <v>lb/day</v>
          </cell>
          <cell r="ED14" t="str">
            <v>ton/year</v>
          </cell>
          <cell r="EK14" t="str">
            <v>Source</v>
          </cell>
          <cell r="EL14" t="str">
            <v>Emission Factor</v>
          </cell>
          <cell r="EM14" t="str">
            <v>unit</v>
          </cell>
          <cell r="EO14" t="str">
            <v>lb/hr^</v>
          </cell>
          <cell r="EP14" t="str">
            <v>lb/hr</v>
          </cell>
          <cell r="EQ14" t="str">
            <v>lb/day^</v>
          </cell>
          <cell r="ER14" t="str">
            <v>lb/day</v>
          </cell>
          <cell r="ES14" t="str">
            <v>lb/day</v>
          </cell>
          <cell r="ET14" t="str">
            <v>lb/day</v>
          </cell>
          <cell r="EU14" t="str">
            <v>ton/year</v>
          </cell>
          <cell r="FB14" t="str">
            <v>Source</v>
          </cell>
          <cell r="FC14" t="str">
            <v>Emission Factor</v>
          </cell>
          <cell r="FD14" t="str">
            <v>unit</v>
          </cell>
          <cell r="FF14" t="str">
            <v>lb/hr^</v>
          </cell>
          <cell r="FG14" t="str">
            <v>lb/hr</v>
          </cell>
          <cell r="FH14" t="str">
            <v>lb/day^</v>
          </cell>
          <cell r="FI14" t="str">
            <v>lb/day</v>
          </cell>
          <cell r="FJ14" t="str">
            <v>lb/day</v>
          </cell>
          <cell r="FK14" t="str">
            <v>lb/day</v>
          </cell>
          <cell r="FL14" t="str">
            <v>ton/year</v>
          </cell>
        </row>
        <row r="15">
          <cell r="S15" t="str">
            <v>Discoverer</v>
          </cell>
          <cell r="BC15" t="str">
            <v>Discoverer</v>
          </cell>
          <cell r="BT15" t="str">
            <v>Discoverer</v>
          </cell>
          <cell r="CK15" t="str">
            <v>Discoverer</v>
          </cell>
          <cell r="DB15" t="str">
            <v>Discoverer</v>
          </cell>
          <cell r="DS15" t="str">
            <v>Discoverer</v>
          </cell>
          <cell r="EJ15" t="str">
            <v>Discoverer</v>
          </cell>
          <cell r="FA15" t="str">
            <v>Discoverer</v>
          </cell>
        </row>
        <row r="16">
          <cell r="R16" t="str">
            <v>D_GEN</v>
          </cell>
          <cell r="T16" t="str">
            <v>Generation</v>
          </cell>
          <cell r="U16">
            <v>7950</v>
          </cell>
          <cell r="V16" t="str">
            <v>hp</v>
          </cell>
          <cell r="W16">
            <v>39.511499999999998</v>
          </cell>
          <cell r="X16">
            <v>296.86020826759233</v>
          </cell>
          <cell r="Z16">
            <v>948.27599999999995</v>
          </cell>
          <cell r="AA16">
            <v>7124.6449984222154</v>
          </cell>
          <cell r="AB16">
            <v>948.27599999999995</v>
          </cell>
          <cell r="AC16">
            <v>7124.6449984222154</v>
          </cell>
          <cell r="AD16">
            <v>667.8</v>
          </cell>
          <cell r="AE16">
            <v>5017.3556326917005</v>
          </cell>
          <cell r="BB16" t="str">
            <v>D_Gen</v>
          </cell>
          <cell r="BD16" t="str">
            <v>Generation</v>
          </cell>
          <cell r="BE16">
            <v>1.5641316688572514E-2</v>
          </cell>
          <cell r="BF16" t="str">
            <v>lb/gal</v>
          </cell>
          <cell r="BI16">
            <v>4.6432845297490042</v>
          </cell>
          <cell r="BJ16">
            <v>111.43882871397609</v>
          </cell>
          <cell r="BK16">
            <v>111.43882871397609</v>
          </cell>
          <cell r="BL16">
            <v>111.43882871397609</v>
          </cell>
          <cell r="BM16">
            <v>78.478048390124002</v>
          </cell>
          <cell r="BN16">
            <v>5.8293494344184111</v>
          </cell>
          <cell r="BS16" t="str">
            <v>D_Gen</v>
          </cell>
          <cell r="BU16" t="str">
            <v>Generation</v>
          </cell>
          <cell r="BV16">
            <v>3.9728944388974187E-3</v>
          </cell>
          <cell r="BW16" t="str">
            <v>lb/gal</v>
          </cell>
          <cell r="BZ16">
            <v>1.179394270556247</v>
          </cell>
          <cell r="CA16">
            <v>28.305462493349928</v>
          </cell>
          <cell r="CB16">
            <v>28.305462493349928</v>
          </cell>
          <cell r="CC16">
            <v>28.305462493349928</v>
          </cell>
          <cell r="CD16">
            <v>19.933424291091498</v>
          </cell>
          <cell r="CE16">
            <v>1.4806547563422765</v>
          </cell>
          <cell r="CJ16" t="str">
            <v>D_Gen</v>
          </cell>
          <cell r="CL16" t="str">
            <v>Generation</v>
          </cell>
          <cell r="CM16">
            <v>3.9728944388974187E-3</v>
          </cell>
          <cell r="CN16" t="str">
            <v>lb/gal</v>
          </cell>
          <cell r="CQ16">
            <v>1.179394270556247</v>
          </cell>
          <cell r="CR16">
            <v>28.305462493349928</v>
          </cell>
          <cell r="CS16">
            <v>28.305462493349928</v>
          </cell>
          <cell r="CT16">
            <v>28.305462493349928</v>
          </cell>
          <cell r="CU16">
            <v>19.933424291091498</v>
          </cell>
          <cell r="CV16">
            <v>1.4806547563422765</v>
          </cell>
          <cell r="DA16" t="str">
            <v>D_Gen</v>
          </cell>
          <cell r="DC16" t="str">
            <v>Generation</v>
          </cell>
          <cell r="DD16">
            <v>5.5995913745089596E-3</v>
          </cell>
          <cell r="DE16" t="str">
            <v>lb/gal</v>
          </cell>
          <cell r="DH16">
            <v>1.6622958616501433</v>
          </cell>
          <cell r="DI16">
            <v>39.895100679603438</v>
          </cell>
          <cell r="DJ16">
            <v>39.895100679603438</v>
          </cell>
          <cell r="DK16">
            <v>39.895100679603438</v>
          </cell>
          <cell r="DL16">
            <v>28.095141323664389</v>
          </cell>
          <cell r="DM16">
            <v>2.0869070975217912</v>
          </cell>
          <cell r="DR16" t="str">
            <v>D_Gen</v>
          </cell>
          <cell r="DT16" t="str">
            <v>Generation</v>
          </cell>
          <cell r="DU16">
            <v>2.1206021849780866E-4</v>
          </cell>
          <cell r="DV16" t="str">
            <v>lb/gal</v>
          </cell>
          <cell r="DY16">
            <v>6.2952240628530609E-2</v>
          </cell>
          <cell r="DZ16">
            <v>1.5108537750847346</v>
          </cell>
          <cell r="EA16">
            <v>1.5108537750847346</v>
          </cell>
          <cell r="EB16">
            <v>1.5108537750847346</v>
          </cell>
          <cell r="EC16">
            <v>1.0639815317498129</v>
          </cell>
          <cell r="ED16">
            <v>7.9032548178376114E-2</v>
          </cell>
          <cell r="EI16" t="str">
            <v>D_Gen</v>
          </cell>
          <cell r="EK16" t="str">
            <v>Generation</v>
          </cell>
          <cell r="EL16">
            <v>7.1950056767433579E-4</v>
          </cell>
          <cell r="EM16" t="str">
            <v>lb/gal</v>
          </cell>
          <cell r="EP16">
            <v>0.21359108836845422</v>
          </cell>
          <cell r="EQ16">
            <v>5.1261861208429016</v>
          </cell>
          <cell r="ER16">
            <v>5.1261861208429016</v>
          </cell>
          <cell r="ES16">
            <v>5.1261861208429016</v>
          </cell>
          <cell r="ET16">
            <v>3.6099902259457046</v>
          </cell>
          <cell r="EU16">
            <v>0.26815007398324697</v>
          </cell>
          <cell r="EZ16" t="str">
            <v>D_Gen</v>
          </cell>
          <cell r="FB16" t="str">
            <v>Generation</v>
          </cell>
          <cell r="FC16">
            <v>4.4019484249669836E-4</v>
          </cell>
          <cell r="FD16" t="str">
            <v>lb/gal</v>
          </cell>
          <cell r="FG16">
            <v>0.13067633262188988</v>
          </cell>
          <cell r="FH16">
            <v>3.1362319829253567</v>
          </cell>
          <cell r="FI16">
            <v>3.1362319829253567</v>
          </cell>
          <cell r="FJ16">
            <v>3.1362319829253567</v>
          </cell>
          <cell r="FK16">
            <v>2.2086140724826455</v>
          </cell>
          <cell r="FL16">
            <v>0.16405585330401093</v>
          </cell>
        </row>
        <row r="17">
          <cell r="R17" t="str">
            <v>D_MLC</v>
          </cell>
          <cell r="T17" t="str">
            <v>MLC Compressor</v>
          </cell>
          <cell r="U17">
            <v>1620</v>
          </cell>
          <cell r="V17" t="str">
            <v>hp</v>
          </cell>
          <cell r="W17">
            <v>7.56</v>
          </cell>
          <cell r="X17">
            <v>56.800252445566421</v>
          </cell>
          <cell r="Z17">
            <v>181.44</v>
          </cell>
          <cell r="AA17">
            <v>1363.2060586935943</v>
          </cell>
          <cell r="AB17">
            <v>0</v>
          </cell>
          <cell r="AC17">
            <v>0</v>
          </cell>
          <cell r="AD17">
            <v>0</v>
          </cell>
          <cell r="AE17">
            <v>0</v>
          </cell>
          <cell r="BB17" t="str">
            <v>D_MLC</v>
          </cell>
          <cell r="BD17" t="str">
            <v>MLC Compressor</v>
          </cell>
          <cell r="BE17">
            <v>0.12513053350858011</v>
          </cell>
          <cell r="BF17" t="str">
            <v>lb/gal</v>
          </cell>
          <cell r="BI17">
            <v>7.1074458919357584</v>
          </cell>
          <cell r="BJ17">
            <v>170.57870140645824</v>
          </cell>
          <cell r="BK17">
            <v>170.57870140645824</v>
          </cell>
          <cell r="BL17">
            <v>0</v>
          </cell>
          <cell r="BM17">
            <v>0</v>
          </cell>
          <cell r="BN17">
            <v>1.7057870140645821</v>
          </cell>
          <cell r="BS17" t="str">
            <v>D_MLC</v>
          </cell>
          <cell r="BU17" t="str">
            <v>MLC Compressor</v>
          </cell>
          <cell r="BV17">
            <v>3.1282633377145031E-3</v>
          </cell>
          <cell r="BW17" t="str">
            <v>lb/gal</v>
          </cell>
          <cell r="BZ17">
            <v>0.17768614729839399</v>
          </cell>
          <cell r="CA17">
            <v>4.2644675351614563</v>
          </cell>
          <cell r="CB17">
            <v>4.2644675351614563</v>
          </cell>
          <cell r="CC17">
            <v>0</v>
          </cell>
          <cell r="CD17">
            <v>0</v>
          </cell>
          <cell r="CE17">
            <v>4.2644675351614557E-2</v>
          </cell>
          <cell r="CJ17" t="str">
            <v>D_MLC</v>
          </cell>
          <cell r="CL17" t="str">
            <v>MLC Compressor</v>
          </cell>
          <cell r="CM17">
            <v>3.1282633377145031E-3</v>
          </cell>
          <cell r="CN17" t="str">
            <v>lb/gal</v>
          </cell>
          <cell r="CQ17">
            <v>0.17768614729839399</v>
          </cell>
          <cell r="CR17">
            <v>4.2644675351614563</v>
          </cell>
          <cell r="CS17">
            <v>4.2644675351614563</v>
          </cell>
          <cell r="CT17">
            <v>0</v>
          </cell>
          <cell r="CU17">
            <v>0</v>
          </cell>
          <cell r="CV17">
            <v>4.2644675351614557E-2</v>
          </cell>
          <cell r="DA17" t="str">
            <v>D_MLC</v>
          </cell>
          <cell r="DC17" t="str">
            <v>MLC Compressor</v>
          </cell>
          <cell r="DD17">
            <v>5.818569808148976E-2</v>
          </cell>
          <cell r="DE17" t="str">
            <v>lb/gal</v>
          </cell>
          <cell r="DH17">
            <v>3.3049623397501282</v>
          </cell>
          <cell r="DI17">
            <v>79.319096154003091</v>
          </cell>
          <cell r="DJ17">
            <v>79.319096154003091</v>
          </cell>
          <cell r="DK17">
            <v>0</v>
          </cell>
          <cell r="DL17">
            <v>0</v>
          </cell>
          <cell r="DM17">
            <v>0.79319096154003077</v>
          </cell>
          <cell r="DR17" t="str">
            <v>D_MLC</v>
          </cell>
          <cell r="DT17" t="str">
            <v>MLC Compressor</v>
          </cell>
          <cell r="DU17">
            <v>2.1206021849780866E-4</v>
          </cell>
          <cell r="DV17" t="str">
            <v>lb/gal</v>
          </cell>
          <cell r="DY17">
            <v>1.2045073944337506E-2</v>
          </cell>
          <cell r="DZ17">
            <v>0.28908177466410018</v>
          </cell>
          <cell r="EA17">
            <v>0.28908177466410018</v>
          </cell>
          <cell r="EB17">
            <v>0</v>
          </cell>
          <cell r="EC17">
            <v>0</v>
          </cell>
          <cell r="ED17">
            <v>2.8908177466410016E-3</v>
          </cell>
          <cell r="EI17" t="str">
            <v>D_MLC</v>
          </cell>
          <cell r="EK17" t="str">
            <v>MLC Compressor</v>
          </cell>
          <cell r="EL17">
            <v>0.12513053350858011</v>
          </cell>
          <cell r="EM17" t="str">
            <v>lb/gal</v>
          </cell>
          <cell r="EP17">
            <v>7.1074458919357584</v>
          </cell>
          <cell r="EQ17">
            <v>170.57870140645824</v>
          </cell>
          <cell r="ER17">
            <v>170.57870140645824</v>
          </cell>
          <cell r="ES17">
            <v>0</v>
          </cell>
          <cell r="ET17">
            <v>0</v>
          </cell>
          <cell r="EU17">
            <v>1.7057870140645821</v>
          </cell>
          <cell r="EZ17" t="str">
            <v>D_MLC</v>
          </cell>
          <cell r="FB17" t="str">
            <v>MLC Compressor</v>
          </cell>
          <cell r="FC17">
            <v>0</v>
          </cell>
          <cell r="FD17" t="str">
            <v>lb/gal</v>
          </cell>
          <cell r="FG17">
            <v>0</v>
          </cell>
          <cell r="FH17">
            <v>0</v>
          </cell>
          <cell r="FI17">
            <v>0</v>
          </cell>
          <cell r="FJ17">
            <v>0</v>
          </cell>
          <cell r="FK17">
            <v>0</v>
          </cell>
          <cell r="FL17">
            <v>0</v>
          </cell>
        </row>
        <row r="18">
          <cell r="R18" t="str">
            <v>D_HPU</v>
          </cell>
          <cell r="T18" t="str">
            <v>HPU Engines</v>
          </cell>
          <cell r="U18">
            <v>500</v>
          </cell>
          <cell r="V18" t="str">
            <v>hp</v>
          </cell>
          <cell r="W18">
            <v>3.5</v>
          </cell>
          <cell r="X18">
            <v>26.296413169243717</v>
          </cell>
          <cell r="Z18">
            <v>84</v>
          </cell>
          <cell r="AA18">
            <v>631.11391606184918</v>
          </cell>
          <cell r="AB18">
            <v>0</v>
          </cell>
          <cell r="AC18">
            <v>0</v>
          </cell>
          <cell r="AD18">
            <v>0</v>
          </cell>
          <cell r="AE18">
            <v>0</v>
          </cell>
          <cell r="BB18" t="str">
            <v>D_HPU</v>
          </cell>
          <cell r="BD18" t="str">
            <v>HPU Engines</v>
          </cell>
          <cell r="BE18">
            <v>0.12513053350858011</v>
          </cell>
          <cell r="BF18" t="str">
            <v>lb/gal</v>
          </cell>
          <cell r="BI18">
            <v>3.2904842092295183</v>
          </cell>
          <cell r="BJ18">
            <v>78.97162102150844</v>
          </cell>
          <cell r="BK18">
            <v>78.97162102150844</v>
          </cell>
          <cell r="BL18">
            <v>0</v>
          </cell>
          <cell r="BM18">
            <v>0</v>
          </cell>
          <cell r="BN18">
            <v>0.78971621021508431</v>
          </cell>
          <cell r="BS18" t="str">
            <v>D_HPU</v>
          </cell>
          <cell r="BU18" t="str">
            <v>HPU Engines</v>
          </cell>
          <cell r="BV18">
            <v>9.3847900131435085E-4</v>
          </cell>
          <cell r="BW18" t="str">
            <v>lb/gal</v>
          </cell>
          <cell r="BZ18">
            <v>2.4678631569221388E-2</v>
          </cell>
          <cell r="CA18">
            <v>0.59228715766131323</v>
          </cell>
          <cell r="CB18">
            <v>0.59228715766131323</v>
          </cell>
          <cell r="CC18">
            <v>0</v>
          </cell>
          <cell r="CD18">
            <v>0</v>
          </cell>
          <cell r="CE18">
            <v>5.9228715766131319E-3</v>
          </cell>
          <cell r="CJ18" t="str">
            <v>D_HPU</v>
          </cell>
          <cell r="CL18" t="str">
            <v>HPU Engines</v>
          </cell>
          <cell r="CM18">
            <v>9.3847900131435085E-4</v>
          </cell>
          <cell r="CN18" t="str">
            <v>lb/gal</v>
          </cell>
          <cell r="CQ18">
            <v>2.4678631569221388E-2</v>
          </cell>
          <cell r="CR18">
            <v>0.59228715766131323</v>
          </cell>
          <cell r="CS18">
            <v>0.59228715766131323</v>
          </cell>
          <cell r="CT18">
            <v>0</v>
          </cell>
          <cell r="CU18">
            <v>0</v>
          </cell>
          <cell r="CV18">
            <v>5.9228715766131319E-3</v>
          </cell>
          <cell r="DA18" t="str">
            <v>D_HPU</v>
          </cell>
          <cell r="DC18" t="str">
            <v>HPU Engines</v>
          </cell>
          <cell r="DD18">
            <v>2.1897843364001517E-2</v>
          </cell>
          <cell r="DE18" t="str">
            <v>lb/gal</v>
          </cell>
          <cell r="DH18">
            <v>0.5758347366151656</v>
          </cell>
          <cell r="DI18">
            <v>13.820033678763973</v>
          </cell>
          <cell r="DJ18">
            <v>13.820033678763973</v>
          </cell>
          <cell r="DK18">
            <v>0</v>
          </cell>
          <cell r="DL18">
            <v>0</v>
          </cell>
          <cell r="DM18">
            <v>0.13820033678763974</v>
          </cell>
          <cell r="DR18" t="str">
            <v>D_HPU</v>
          </cell>
          <cell r="DT18" t="str">
            <v>HPU Engines</v>
          </cell>
          <cell r="DU18">
            <v>2.1206021849780866E-4</v>
          </cell>
          <cell r="DV18" t="str">
            <v>lb/gal</v>
          </cell>
          <cell r="DY18">
            <v>5.5764231223784759E-3</v>
          </cell>
          <cell r="DZ18">
            <v>0.13383415493708342</v>
          </cell>
          <cell r="EA18">
            <v>0.13383415493708342</v>
          </cell>
          <cell r="EB18">
            <v>0</v>
          </cell>
          <cell r="EC18">
            <v>0</v>
          </cell>
          <cell r="ED18">
            <v>1.3383415493708343E-3</v>
          </cell>
          <cell r="EI18" t="str">
            <v>D_HPU</v>
          </cell>
          <cell r="EK18" t="str">
            <v>HPU Engines</v>
          </cell>
          <cell r="EL18">
            <v>0.12513053350858011</v>
          </cell>
          <cell r="EM18" t="str">
            <v>lb/gal</v>
          </cell>
          <cell r="EP18">
            <v>3.2904842092295183</v>
          </cell>
          <cell r="EQ18">
            <v>78.97162102150844</v>
          </cell>
          <cell r="ER18">
            <v>78.97162102150844</v>
          </cell>
          <cell r="ES18">
            <v>0</v>
          </cell>
          <cell r="ET18">
            <v>0</v>
          </cell>
          <cell r="EU18">
            <v>0.78971621021508431</v>
          </cell>
          <cell r="EZ18" t="str">
            <v>D_HPU</v>
          </cell>
          <cell r="FB18" t="str">
            <v>HPU Engines</v>
          </cell>
          <cell r="FC18">
            <v>0</v>
          </cell>
          <cell r="FD18" t="str">
            <v>lb/gal</v>
          </cell>
          <cell r="FG18">
            <v>0</v>
          </cell>
          <cell r="FH18">
            <v>0</v>
          </cell>
          <cell r="FI18">
            <v>0</v>
          </cell>
          <cell r="FJ18">
            <v>0</v>
          </cell>
          <cell r="FK18">
            <v>0</v>
          </cell>
          <cell r="FL18">
            <v>0</v>
          </cell>
        </row>
        <row r="19">
          <cell r="R19" t="str">
            <v>D_C</v>
          </cell>
          <cell r="T19" t="str">
            <v>Cranes</v>
          </cell>
          <cell r="U19">
            <v>730</v>
          </cell>
          <cell r="V19" t="str">
            <v>hp</v>
          </cell>
          <cell r="W19">
            <v>2.044</v>
          </cell>
          <cell r="X19">
            <v>15.35710529083833</v>
          </cell>
          <cell r="Z19">
            <v>14.716799999999999</v>
          </cell>
          <cell r="AA19">
            <v>110.57115809403598</v>
          </cell>
          <cell r="AB19">
            <v>14.716799999999999</v>
          </cell>
          <cell r="AC19">
            <v>110.57115809403598</v>
          </cell>
          <cell r="AD19">
            <v>24.527999999999999</v>
          </cell>
          <cell r="AE19">
            <v>184.28526349005995</v>
          </cell>
          <cell r="BB19" t="str">
            <v>D_C</v>
          </cell>
          <cell r="BD19" t="str">
            <v>Cranes</v>
          </cell>
          <cell r="BE19">
            <v>0.3230557548857767</v>
          </cell>
          <cell r="BF19" t="str">
            <v>lb/gal</v>
          </cell>
          <cell r="BI19">
            <v>4.9612012425921321</v>
          </cell>
          <cell r="BJ19">
            <v>59.534414911105578</v>
          </cell>
          <cell r="BK19">
            <v>35.720648946663353</v>
          </cell>
          <cell r="BL19">
            <v>35.720648946663353</v>
          </cell>
          <cell r="BM19">
            <v>59.534414911105578</v>
          </cell>
          <cell r="BN19">
            <v>2.7623968518752995</v>
          </cell>
          <cell r="BS19" t="str">
            <v>D_C</v>
          </cell>
          <cell r="BU19" t="str">
            <v>Cranes</v>
          </cell>
          <cell r="BV19">
            <v>2.2367082864658697E-3</v>
          </cell>
          <cell r="BW19" t="str">
            <v>lb/gal</v>
          </cell>
          <cell r="BZ19">
            <v>3.4349364660146944E-2</v>
          </cell>
          <cell r="CA19">
            <v>0.41219237592176328</v>
          </cell>
          <cell r="CB19">
            <v>0.24731542555305799</v>
          </cell>
          <cell r="CC19">
            <v>0.24731542555305799</v>
          </cell>
          <cell r="CD19">
            <v>0.41219237592176328</v>
          </cell>
          <cell r="CE19">
            <v>1.9125726242769817E-2</v>
          </cell>
          <cell r="CJ19" t="str">
            <v>D_C</v>
          </cell>
          <cell r="CL19" t="str">
            <v>Cranes</v>
          </cell>
          <cell r="CM19">
            <v>2.2367082864658697E-3</v>
          </cell>
          <cell r="CN19" t="str">
            <v>lb/gal</v>
          </cell>
          <cell r="CQ19">
            <v>3.4349364660146944E-2</v>
          </cell>
          <cell r="CR19">
            <v>0.41219237592176328</v>
          </cell>
          <cell r="CS19">
            <v>0.24731542555305799</v>
          </cell>
          <cell r="CT19">
            <v>0.24731542555305799</v>
          </cell>
          <cell r="CU19">
            <v>0.41219237592176328</v>
          </cell>
          <cell r="CV19">
            <v>1.9125726242769817E-2</v>
          </cell>
          <cell r="DA19" t="str">
            <v>D_C</v>
          </cell>
          <cell r="DC19" t="str">
            <v>Cranes</v>
          </cell>
          <cell r="DD19">
            <v>6.8821793429719074E-3</v>
          </cell>
          <cell r="DE19" t="str">
            <v>lb/gal</v>
          </cell>
          <cell r="DH19">
            <v>0.10569035280045214</v>
          </cell>
          <cell r="DI19">
            <v>1.2682842336054256</v>
          </cell>
          <cell r="DJ19">
            <v>0.76097054016325538</v>
          </cell>
          <cell r="DK19">
            <v>0.76097054016325538</v>
          </cell>
          <cell r="DL19">
            <v>1.2682842336054256</v>
          </cell>
          <cell r="DM19">
            <v>5.8848388439291757E-2</v>
          </cell>
          <cell r="DR19" t="str">
            <v>D_C</v>
          </cell>
          <cell r="DT19" t="str">
            <v>Cranes</v>
          </cell>
          <cell r="DU19">
            <v>2.1206021849780866E-4</v>
          </cell>
          <cell r="DV19" t="str">
            <v>lb/gal</v>
          </cell>
          <cell r="DY19">
            <v>3.2566311034690296E-3</v>
          </cell>
          <cell r="DZ19">
            <v>3.9079573241628356E-2</v>
          </cell>
          <cell r="EA19">
            <v>2.3447743944977013E-2</v>
          </cell>
          <cell r="EB19">
            <v>2.3447743944977013E-2</v>
          </cell>
          <cell r="EC19">
            <v>3.9079573241628356E-2</v>
          </cell>
          <cell r="ED19">
            <v>1.8132921984115561E-3</v>
          </cell>
          <cell r="EI19" t="str">
            <v>D_C</v>
          </cell>
          <cell r="EK19" t="str">
            <v>Cranes</v>
          </cell>
          <cell r="EL19">
            <v>2.0020885361372821E-3</v>
          </cell>
          <cell r="EM19" t="str">
            <v>lb/gal</v>
          </cell>
          <cell r="EP19">
            <v>3.0746284451040624E-2</v>
          </cell>
          <cell r="EQ19">
            <v>0.36895541341248744</v>
          </cell>
          <cell r="ER19">
            <v>0.22137324804749248</v>
          </cell>
          <cell r="ES19">
            <v>0.22137324804749248</v>
          </cell>
          <cell r="ET19">
            <v>0.36895541341248744</v>
          </cell>
          <cell r="EU19">
            <v>1.7119531182339422E-2</v>
          </cell>
          <cell r="EZ19" t="str">
            <v>D_C</v>
          </cell>
          <cell r="FB19" t="str">
            <v>Cranes</v>
          </cell>
          <cell r="FC19">
            <v>0</v>
          </cell>
          <cell r="FD19" t="str">
            <v>lb/gal</v>
          </cell>
          <cell r="FG19">
            <v>0</v>
          </cell>
          <cell r="FH19">
            <v>0</v>
          </cell>
          <cell r="FI19">
            <v>0</v>
          </cell>
          <cell r="FJ19">
            <v>0</v>
          </cell>
          <cell r="FK19">
            <v>0</v>
          </cell>
          <cell r="FL19">
            <v>0</v>
          </cell>
        </row>
        <row r="20">
          <cell r="R20" t="str">
            <v>D_C/L</v>
          </cell>
          <cell r="T20" t="str">
            <v>Cementing/Logging</v>
          </cell>
          <cell r="U20">
            <v>320</v>
          </cell>
          <cell r="V20" t="str">
            <v>gal/day</v>
          </cell>
          <cell r="W20">
            <v>1.77464</v>
          </cell>
          <cell r="X20">
            <v>13.333333333333334</v>
          </cell>
          <cell r="Z20">
            <v>0</v>
          </cell>
          <cell r="AA20">
            <v>0</v>
          </cell>
          <cell r="AB20">
            <v>0</v>
          </cell>
          <cell r="AC20">
            <v>0</v>
          </cell>
          <cell r="AD20">
            <v>42.591360000000002</v>
          </cell>
          <cell r="AE20">
            <v>320</v>
          </cell>
          <cell r="BB20" t="str">
            <v>D_C/L</v>
          </cell>
          <cell r="BD20" t="str">
            <v>Cementing/Logging</v>
          </cell>
          <cell r="BE20">
            <v>0.49166914878858842</v>
          </cell>
          <cell r="BF20" t="str">
            <v>lb/gal</v>
          </cell>
          <cell r="BI20">
            <v>6.5555886505145127</v>
          </cell>
          <cell r="BJ20">
            <v>157.33412761234828</v>
          </cell>
          <cell r="BK20">
            <v>0</v>
          </cell>
          <cell r="BL20">
            <v>0</v>
          </cell>
          <cell r="BM20">
            <v>157.33412761234828</v>
          </cell>
          <cell r="BN20">
            <v>4.0906873179210557</v>
          </cell>
          <cell r="BS20" t="str">
            <v>D_C/L</v>
          </cell>
          <cell r="BU20" t="str">
            <v>Cementing/Logging</v>
          </cell>
          <cell r="BV20">
            <v>1.2075096483577984E-2</v>
          </cell>
          <cell r="BW20" t="str">
            <v>lb/gal</v>
          </cell>
          <cell r="BZ20">
            <v>0.16100128644770645</v>
          </cell>
          <cell r="CA20">
            <v>3.8640308747449548</v>
          </cell>
          <cell r="CB20">
            <v>0</v>
          </cell>
          <cell r="CC20">
            <v>0</v>
          </cell>
          <cell r="CD20">
            <v>3.8640308747449548</v>
          </cell>
          <cell r="CE20">
            <v>0.10046480274336882</v>
          </cell>
          <cell r="CJ20" t="str">
            <v>D_C/L</v>
          </cell>
          <cell r="CL20" t="str">
            <v>Cementing/Logging</v>
          </cell>
          <cell r="CM20">
            <v>1.2075096483577984E-2</v>
          </cell>
          <cell r="CN20" t="str">
            <v>lb/gal</v>
          </cell>
          <cell r="CQ20">
            <v>0.16100128644770645</v>
          </cell>
          <cell r="CR20">
            <v>3.8640308747449548</v>
          </cell>
          <cell r="CS20">
            <v>0</v>
          </cell>
          <cell r="CT20">
            <v>0</v>
          </cell>
          <cell r="CU20">
            <v>3.8640308747449548</v>
          </cell>
          <cell r="CV20">
            <v>0.10046480274336882</v>
          </cell>
          <cell r="DA20" t="str">
            <v>D_C/L</v>
          </cell>
          <cell r="DC20" t="str">
            <v>Cementing/Logging</v>
          </cell>
          <cell r="DD20">
            <v>2.7528717371887629E-2</v>
          </cell>
          <cell r="DE20" t="str">
            <v>lb/gal</v>
          </cell>
          <cell r="DH20">
            <v>0.36704956495850172</v>
          </cell>
          <cell r="DI20">
            <v>8.8091895590040412</v>
          </cell>
          <cell r="DJ20">
            <v>0</v>
          </cell>
          <cell r="DK20">
            <v>0</v>
          </cell>
          <cell r="DL20">
            <v>8.8091895590040412</v>
          </cell>
          <cell r="DM20">
            <v>0.22903892853410507</v>
          </cell>
          <cell r="DR20" t="str">
            <v>D_C/L</v>
          </cell>
          <cell r="DT20" t="str">
            <v>Cementing/Logging</v>
          </cell>
          <cell r="DU20">
            <v>2.1206021849780866E-4</v>
          </cell>
          <cell r="DV20" t="str">
            <v>lb/gal</v>
          </cell>
          <cell r="DY20">
            <v>2.8274695799707823E-3</v>
          </cell>
          <cell r="DZ20">
            <v>6.7859269919298776E-2</v>
          </cell>
          <cell r="EA20">
            <v>0</v>
          </cell>
          <cell r="EB20">
            <v>0</v>
          </cell>
          <cell r="EC20">
            <v>6.7859269919298776E-2</v>
          </cell>
          <cell r="ED20">
            <v>1.764341017901768E-3</v>
          </cell>
          <cell r="EI20" t="str">
            <v>D_C/L</v>
          </cell>
          <cell r="EK20" t="str">
            <v>Cementing/Logging</v>
          </cell>
          <cell r="EL20">
            <v>1.5641316688572514E-2</v>
          </cell>
          <cell r="EM20" t="str">
            <v>lb/gal</v>
          </cell>
          <cell r="EP20">
            <v>0.20855088918096687</v>
          </cell>
          <cell r="EQ20">
            <v>5.0052213403432049</v>
          </cell>
          <cell r="ER20">
            <v>0</v>
          </cell>
          <cell r="ES20">
            <v>0</v>
          </cell>
          <cell r="ET20">
            <v>5.0052213403432049</v>
          </cell>
          <cell r="EU20">
            <v>0.13013575484892331</v>
          </cell>
          <cell r="EZ20" t="str">
            <v>D_C/L</v>
          </cell>
          <cell r="FB20" t="str">
            <v>Cementing/Logging</v>
          </cell>
          <cell r="FC20">
            <v>0</v>
          </cell>
          <cell r="FD20" t="str">
            <v>lb/gal</v>
          </cell>
          <cell r="FG20">
            <v>0</v>
          </cell>
          <cell r="FH20">
            <v>0</v>
          </cell>
          <cell r="FI20">
            <v>0</v>
          </cell>
          <cell r="FJ20">
            <v>0</v>
          </cell>
          <cell r="FK20">
            <v>0</v>
          </cell>
          <cell r="FL20">
            <v>0</v>
          </cell>
        </row>
        <row r="21">
          <cell r="R21" t="str">
            <v>D_H&amp;B</v>
          </cell>
          <cell r="T21" t="str">
            <v>Heaters &amp; Boilers</v>
          </cell>
          <cell r="U21">
            <v>15.94</v>
          </cell>
          <cell r="V21" t="str">
            <v>MMBtu/hr</v>
          </cell>
          <cell r="W21">
            <v>15.94</v>
          </cell>
          <cell r="X21">
            <v>119.76137883364137</v>
          </cell>
          <cell r="Z21">
            <v>382.56</v>
          </cell>
          <cell r="AA21">
            <v>2874.2730920073932</v>
          </cell>
          <cell r="AB21">
            <v>382.56</v>
          </cell>
          <cell r="AC21">
            <v>2874.2730920073932</v>
          </cell>
          <cell r="AD21">
            <v>382.56</v>
          </cell>
          <cell r="AE21">
            <v>2874.2730920073932</v>
          </cell>
          <cell r="BB21" t="str">
            <v>D_H&amp;B</v>
          </cell>
          <cell r="BD21" t="str">
            <v>Heaters &amp; Boilers</v>
          </cell>
          <cell r="BE21">
            <v>2.66196E-2</v>
          </cell>
          <cell r="BF21" t="str">
            <v>lb/gal</v>
          </cell>
          <cell r="BI21">
            <v>3.1879999999999997</v>
          </cell>
          <cell r="BJ21">
            <v>76.512</v>
          </cell>
          <cell r="BK21">
            <v>76.512</v>
          </cell>
          <cell r="BL21">
            <v>76.512</v>
          </cell>
          <cell r="BM21">
            <v>76.512</v>
          </cell>
          <cell r="BN21">
            <v>4.5907200000000001</v>
          </cell>
          <cell r="BS21" t="str">
            <v>D_H&amp;B</v>
          </cell>
          <cell r="BU21" t="str">
            <v>Heaters &amp; Boilers</v>
          </cell>
          <cell r="BV21">
            <v>3.1278029999999997E-3</v>
          </cell>
          <cell r="BW21" t="str">
            <v>lb/gal</v>
          </cell>
          <cell r="BZ21">
            <v>0.37458999999999998</v>
          </cell>
          <cell r="CA21">
            <v>8.9901599999999995</v>
          </cell>
          <cell r="CB21">
            <v>8.9901599999999995</v>
          </cell>
          <cell r="CC21">
            <v>8.9901599999999995</v>
          </cell>
          <cell r="CD21">
            <v>8.9901599999999995</v>
          </cell>
          <cell r="CE21">
            <v>0.53940959999999993</v>
          </cell>
          <cell r="CJ21" t="str">
            <v>D_H&amp;B</v>
          </cell>
          <cell r="CL21" t="str">
            <v>Heaters &amp; Boilers</v>
          </cell>
          <cell r="CM21">
            <v>3.1278029999999997E-3</v>
          </cell>
          <cell r="CN21" t="str">
            <v>lb/gal</v>
          </cell>
          <cell r="CQ21">
            <v>0.37458999999999998</v>
          </cell>
          <cell r="CR21">
            <v>8.9901599999999995</v>
          </cell>
          <cell r="CS21">
            <v>8.9901599999999995</v>
          </cell>
          <cell r="CT21">
            <v>8.9901599999999995</v>
          </cell>
          <cell r="CU21">
            <v>8.9901599999999995</v>
          </cell>
          <cell r="CV21">
            <v>0.53940959999999993</v>
          </cell>
          <cell r="DA21" t="str">
            <v>D_H&amp;B</v>
          </cell>
          <cell r="DC21" t="str">
            <v>Heaters &amp; Boilers</v>
          </cell>
          <cell r="DD21">
            <v>1.0248545999999999E-2</v>
          </cell>
          <cell r="DE21" t="str">
            <v>lb/gal</v>
          </cell>
          <cell r="DH21">
            <v>1.2273799999999999</v>
          </cell>
          <cell r="DI21">
            <v>29.45712</v>
          </cell>
          <cell r="DJ21">
            <v>29.45712</v>
          </cell>
          <cell r="DK21">
            <v>29.45712</v>
          </cell>
          <cell r="DL21">
            <v>29.45712</v>
          </cell>
          <cell r="DM21">
            <v>1.7674271999999998</v>
          </cell>
          <cell r="DR21" t="str">
            <v>D_H&amp;B</v>
          </cell>
          <cell r="DT21" t="str">
            <v>Heaters &amp; Boilers</v>
          </cell>
          <cell r="DU21">
            <v>2.1206021849780866E-4</v>
          </cell>
          <cell r="DV21" t="str">
            <v>lb/gal</v>
          </cell>
          <cell r="DY21">
            <v>2.5396624163060828E-2</v>
          </cell>
          <cell r="DZ21">
            <v>0.60951897991345994</v>
          </cell>
          <cell r="EA21">
            <v>0.60951897991345994</v>
          </cell>
          <cell r="EB21">
            <v>0.60951897991345994</v>
          </cell>
          <cell r="EC21">
            <v>0.60951897991345994</v>
          </cell>
          <cell r="ED21">
            <v>3.6571138794807591E-2</v>
          </cell>
          <cell r="EI21" t="str">
            <v>D_H&amp;B</v>
          </cell>
          <cell r="EK21" t="str">
            <v>Heaters &amp; Boilers</v>
          </cell>
          <cell r="EL21">
            <v>1.863372E-4</v>
          </cell>
          <cell r="EM21" t="str">
            <v>lb/gal</v>
          </cell>
          <cell r="EP21">
            <v>2.2315999999999999E-2</v>
          </cell>
          <cell r="EQ21">
            <v>0.53558400000000006</v>
          </cell>
          <cell r="ER21">
            <v>0.53558400000000006</v>
          </cell>
          <cell r="ES21">
            <v>0.53558400000000006</v>
          </cell>
          <cell r="ET21">
            <v>0.53558400000000006</v>
          </cell>
          <cell r="EU21">
            <v>3.2135040000000004E-2</v>
          </cell>
          <cell r="EZ21" t="str">
            <v>D_H&amp;B</v>
          </cell>
          <cell r="FB21" t="str">
            <v>Heaters &amp; Boilers</v>
          </cell>
          <cell r="FC21">
            <v>0</v>
          </cell>
          <cell r="FD21" t="str">
            <v>lb/gal</v>
          </cell>
          <cell r="FG21">
            <v>0</v>
          </cell>
          <cell r="FH21">
            <v>0</v>
          </cell>
          <cell r="FI21">
            <v>0</v>
          </cell>
          <cell r="FJ21">
            <v>0</v>
          </cell>
          <cell r="FK21">
            <v>0</v>
          </cell>
          <cell r="FL21">
            <v>0</v>
          </cell>
        </row>
        <row r="22">
          <cell r="R22" t="str">
            <v>D_SU</v>
          </cell>
          <cell r="T22" t="str">
            <v>Seldom-used units</v>
          </cell>
          <cell r="U22">
            <v>150</v>
          </cell>
          <cell r="V22" t="str">
            <v>gal/wk</v>
          </cell>
          <cell r="W22">
            <v>0.1188375</v>
          </cell>
          <cell r="X22">
            <v>0.8928571428571429</v>
          </cell>
          <cell r="Y22" t="str">
            <v>group limit</v>
          </cell>
          <cell r="Z22">
            <v>2.8521000000000001</v>
          </cell>
          <cell r="AA22">
            <v>21.428571428571431</v>
          </cell>
          <cell r="AB22">
            <v>2.8521000000000001</v>
          </cell>
          <cell r="AC22">
            <v>21.428571428571431</v>
          </cell>
          <cell r="AD22">
            <v>2.8521000000000001</v>
          </cell>
          <cell r="AE22">
            <v>21.428571428571431</v>
          </cell>
          <cell r="BB22" t="str">
            <v>D_SU</v>
          </cell>
          <cell r="BD22" t="str">
            <v>Seldom-used units</v>
          </cell>
          <cell r="BE22">
            <v>0.58696218</v>
          </cell>
          <cell r="BF22" t="str">
            <v>lb/gal</v>
          </cell>
          <cell r="BI22">
            <v>0.52407337500000006</v>
          </cell>
          <cell r="BJ22">
            <v>12.577761000000001</v>
          </cell>
          <cell r="BK22">
            <v>12.577761000000001</v>
          </cell>
          <cell r="BL22">
            <v>12.577761000000001</v>
          </cell>
          <cell r="BM22">
            <v>12.577761000000001</v>
          </cell>
          <cell r="BN22">
            <v>0.75466566000000002</v>
          </cell>
          <cell r="BS22" t="str">
            <v>D_SU</v>
          </cell>
          <cell r="BU22" t="str">
            <v>Seldom-used units</v>
          </cell>
          <cell r="BV22">
            <v>4.1260379999999999E-2</v>
          </cell>
          <cell r="BW22" t="str">
            <v>lb/gal</v>
          </cell>
          <cell r="BZ22">
            <v>3.6839625000000001E-2</v>
          </cell>
          <cell r="CA22">
            <v>0.88415100000000002</v>
          </cell>
          <cell r="CB22">
            <v>0.88415100000000002</v>
          </cell>
          <cell r="CC22">
            <v>0.88415100000000002</v>
          </cell>
          <cell r="CD22">
            <v>0.88415100000000002</v>
          </cell>
          <cell r="CE22">
            <v>5.3049060000000002E-2</v>
          </cell>
          <cell r="CJ22" t="str">
            <v>D_SU</v>
          </cell>
          <cell r="CL22" t="str">
            <v>Seldom-used units</v>
          </cell>
          <cell r="CM22">
            <v>4.1260379999999999E-2</v>
          </cell>
          <cell r="CN22" t="str">
            <v>lb/gal</v>
          </cell>
          <cell r="CQ22">
            <v>3.6839625000000001E-2</v>
          </cell>
          <cell r="CR22">
            <v>0.88415100000000002</v>
          </cell>
          <cell r="CS22">
            <v>0.88415100000000002</v>
          </cell>
          <cell r="CT22">
            <v>0.88415100000000002</v>
          </cell>
          <cell r="CU22">
            <v>0.88415100000000002</v>
          </cell>
          <cell r="CV22">
            <v>5.3049060000000002E-2</v>
          </cell>
          <cell r="DA22" t="str">
            <v>D_SU</v>
          </cell>
          <cell r="DC22" t="str">
            <v>Seldom-used units</v>
          </cell>
          <cell r="DD22">
            <v>0.12644309999999997</v>
          </cell>
          <cell r="DE22" t="str">
            <v>lb/gal</v>
          </cell>
          <cell r="DH22">
            <v>0.11289562499999999</v>
          </cell>
          <cell r="DI22">
            <v>2.7094949999999995</v>
          </cell>
          <cell r="DJ22">
            <v>2.7094949999999995</v>
          </cell>
          <cell r="DK22">
            <v>2.7094949999999995</v>
          </cell>
          <cell r="DL22">
            <v>2.7094949999999995</v>
          </cell>
          <cell r="DM22">
            <v>0.16256969999999998</v>
          </cell>
          <cell r="DR22" t="str">
            <v>D_SU</v>
          </cell>
          <cell r="DT22" t="str">
            <v>Seldom-used units</v>
          </cell>
          <cell r="DU22">
            <v>2.1206021849780866E-4</v>
          </cell>
          <cell r="DV22" t="str">
            <v>lb/gal</v>
          </cell>
          <cell r="DY22">
            <v>1.893394808016149E-4</v>
          </cell>
          <cell r="DZ22">
            <v>4.5441475392387571E-3</v>
          </cell>
          <cell r="EA22">
            <v>4.5441475392387571E-3</v>
          </cell>
          <cell r="EB22">
            <v>4.5441475392387571E-3</v>
          </cell>
          <cell r="EC22">
            <v>4.5441475392387571E-3</v>
          </cell>
          <cell r="ED22">
            <v>2.7264885235432548E-4</v>
          </cell>
          <cell r="EI22" t="str">
            <v>D_SU</v>
          </cell>
          <cell r="EK22" t="str">
            <v>Seldom-used units</v>
          </cell>
          <cell r="EL22">
            <v>4.6584299999999995E-2</v>
          </cell>
          <cell r="EM22" t="str">
            <v>lb/gal</v>
          </cell>
          <cell r="EP22">
            <v>4.1593124999999995E-2</v>
          </cell>
          <cell r="EQ22">
            <v>0.99823499999999998</v>
          </cell>
          <cell r="ER22">
            <v>0.99823499999999998</v>
          </cell>
          <cell r="ES22">
            <v>0.99823499999999998</v>
          </cell>
          <cell r="ET22">
            <v>0.99823499999999998</v>
          </cell>
          <cell r="EU22">
            <v>5.9894099999999992E-2</v>
          </cell>
          <cell r="EZ22" t="str">
            <v>D_SU</v>
          </cell>
          <cell r="FB22" t="str">
            <v>Seldom-used units</v>
          </cell>
          <cell r="FC22">
            <v>0</v>
          </cell>
          <cell r="FD22" t="str">
            <v>lb/gal</v>
          </cell>
          <cell r="FG22">
            <v>0</v>
          </cell>
          <cell r="FH22">
            <v>0</v>
          </cell>
          <cell r="FI22">
            <v>0</v>
          </cell>
          <cell r="FJ22">
            <v>0</v>
          </cell>
          <cell r="FK22">
            <v>0</v>
          </cell>
          <cell r="FL22">
            <v>0</v>
          </cell>
        </row>
        <row r="23">
          <cell r="R23" t="str">
            <v>D_EGEN</v>
          </cell>
          <cell r="T23" t="str">
            <v>Emergency Generator</v>
          </cell>
          <cell r="U23">
            <v>67.213632060586932</v>
          </cell>
          <cell r="V23" t="str">
            <v>gal/month</v>
          </cell>
          <cell r="W23">
            <v>4.4729999999999999</v>
          </cell>
          <cell r="X23">
            <v>33.606816030293466</v>
          </cell>
          <cell r="Z23">
            <v>8.9459999999999997</v>
          </cell>
          <cell r="AA23">
            <v>67.213632060586932</v>
          </cell>
          <cell r="AB23">
            <v>8.9459999999999997</v>
          </cell>
          <cell r="AC23">
            <v>67.213632060586932</v>
          </cell>
          <cell r="AD23">
            <v>8.9459999999999997</v>
          </cell>
          <cell r="AE23">
            <v>67.213632060586932</v>
          </cell>
          <cell r="BB23" t="str">
            <v>D_EGEN</v>
          </cell>
          <cell r="BD23" t="str">
            <v>Emergency Generator</v>
          </cell>
          <cell r="BE23">
            <v>0.58696218</v>
          </cell>
          <cell r="BF23" t="str">
            <v>lb/gal</v>
          </cell>
          <cell r="BI23">
            <v>19.725929999999998</v>
          </cell>
          <cell r="BJ23">
            <v>39.451859999999996</v>
          </cell>
          <cell r="BK23">
            <v>39.451859999999996</v>
          </cell>
          <cell r="BL23">
            <v>39.451859999999996</v>
          </cell>
          <cell r="BM23">
            <v>39.451859999999996</v>
          </cell>
          <cell r="BN23">
            <v>7.8903719999999997E-2</v>
          </cell>
          <cell r="BS23" t="str">
            <v>D_EGEN</v>
          </cell>
          <cell r="BU23" t="str">
            <v>Emergency Generator</v>
          </cell>
          <cell r="BV23">
            <v>4.1260379999999999E-2</v>
          </cell>
          <cell r="BW23" t="str">
            <v>lb/gal</v>
          </cell>
          <cell r="BZ23">
            <v>1.3866299999999998</v>
          </cell>
          <cell r="CA23">
            <v>2.7732599999999996</v>
          </cell>
          <cell r="CB23">
            <v>2.7732599999999996</v>
          </cell>
          <cell r="CC23">
            <v>2.7732599999999996</v>
          </cell>
          <cell r="CD23">
            <v>2.7732599999999996</v>
          </cell>
          <cell r="CE23">
            <v>5.5465199999999992E-3</v>
          </cell>
          <cell r="CJ23" t="str">
            <v>D_EGEN</v>
          </cell>
          <cell r="CL23" t="str">
            <v>Emergency Generator</v>
          </cell>
          <cell r="CM23">
            <v>4.1260379999999999E-2</v>
          </cell>
          <cell r="CN23" t="str">
            <v>lb/gal</v>
          </cell>
          <cell r="CQ23">
            <v>1.3866299999999998</v>
          </cell>
          <cell r="CR23">
            <v>2.7732599999999996</v>
          </cell>
          <cell r="CS23">
            <v>2.7732599999999996</v>
          </cell>
          <cell r="CT23">
            <v>2.7732599999999996</v>
          </cell>
          <cell r="CU23">
            <v>2.7732599999999996</v>
          </cell>
          <cell r="CV23">
            <v>5.5465199999999992E-3</v>
          </cell>
          <cell r="DA23" t="str">
            <v>D_EGEN</v>
          </cell>
          <cell r="DC23" t="str">
            <v>Emergency Generator</v>
          </cell>
          <cell r="DD23">
            <v>0.12644309999999997</v>
          </cell>
          <cell r="DE23" t="str">
            <v>lb/gal</v>
          </cell>
          <cell r="DH23">
            <v>4.2493499999999989</v>
          </cell>
          <cell r="DI23">
            <v>8.4986999999999977</v>
          </cell>
          <cell r="DJ23">
            <v>8.4986999999999977</v>
          </cell>
          <cell r="DK23">
            <v>8.4986999999999977</v>
          </cell>
          <cell r="DL23">
            <v>8.4986999999999977</v>
          </cell>
          <cell r="DM23">
            <v>1.6997399999999996E-2</v>
          </cell>
          <cell r="DR23" t="str">
            <v>D_EGEN</v>
          </cell>
          <cell r="DT23" t="str">
            <v>Emergency Generator</v>
          </cell>
          <cell r="DU23">
            <v>2.1206021849780866E-4</v>
          </cell>
          <cell r="DV23" t="str">
            <v>lb/gal</v>
          </cell>
          <cell r="DY23">
            <v>7.1266687503996912E-3</v>
          </cell>
          <cell r="DZ23">
            <v>1.4253337500799382E-2</v>
          </cell>
          <cell r="EA23">
            <v>1.4253337500799382E-2</v>
          </cell>
          <cell r="EB23">
            <v>1.4253337500799382E-2</v>
          </cell>
          <cell r="EC23">
            <v>1.4253337500799382E-2</v>
          </cell>
          <cell r="ED23">
            <v>2.8506675001598765E-5</v>
          </cell>
          <cell r="EI23" t="str">
            <v>D_EGEN</v>
          </cell>
          <cell r="EK23" t="str">
            <v>Emergency Generator</v>
          </cell>
          <cell r="EL23">
            <v>4.6584299999999995E-2</v>
          </cell>
          <cell r="EM23" t="str">
            <v>lb/gal</v>
          </cell>
          <cell r="EP23">
            <v>1.5655499999999998</v>
          </cell>
          <cell r="EQ23">
            <v>3.1310999999999996</v>
          </cell>
          <cell r="ER23">
            <v>3.1310999999999996</v>
          </cell>
          <cell r="ES23">
            <v>3.1310999999999996</v>
          </cell>
          <cell r="ET23">
            <v>3.1310999999999996</v>
          </cell>
          <cell r="EU23">
            <v>6.262199999999999E-3</v>
          </cell>
          <cell r="EZ23" t="str">
            <v>D_EGEN</v>
          </cell>
          <cell r="FB23" t="str">
            <v>Emergency Generator</v>
          </cell>
          <cell r="FC23">
            <v>0</v>
          </cell>
          <cell r="FD23" t="str">
            <v>lb/gal</v>
          </cell>
          <cell r="FG23">
            <v>0</v>
          </cell>
          <cell r="FH23">
            <v>0</v>
          </cell>
          <cell r="FI23">
            <v>0</v>
          </cell>
          <cell r="FJ23">
            <v>0</v>
          </cell>
          <cell r="FK23">
            <v>0</v>
          </cell>
          <cell r="FL23">
            <v>0</v>
          </cell>
        </row>
        <row r="24">
          <cell r="X24" t="str">
            <v>DISCOVERER -</v>
          </cell>
          <cell r="Y24" t="str">
            <v>SUBTOTAL</v>
          </cell>
          <cell r="AA24">
            <v>12192.451426768246</v>
          </cell>
          <cell r="AC24">
            <v>10198.131452012803</v>
          </cell>
          <cell r="AE24">
            <v>8484.5561916783117</v>
          </cell>
        </row>
        <row r="25">
          <cell r="S25" t="str">
            <v>Primary Ice Management</v>
          </cell>
          <cell r="BC25" t="str">
            <v>Primary Ice Management</v>
          </cell>
          <cell r="BT25" t="str">
            <v>Primary Ice Management</v>
          </cell>
          <cell r="CK25" t="str">
            <v>Primary Ice Management</v>
          </cell>
          <cell r="DB25" t="str">
            <v>Primary Ice Management</v>
          </cell>
          <cell r="DS25" t="str">
            <v>Primary Ice Management</v>
          </cell>
          <cell r="EJ25" t="str">
            <v>Primary Ice Management</v>
          </cell>
          <cell r="FA25" t="str">
            <v>Primary Ice Management</v>
          </cell>
        </row>
        <row r="26">
          <cell r="R26" t="str">
            <v>IB_P&amp;G</v>
          </cell>
          <cell r="T26" t="str">
            <v>Propulsion &amp; Generation</v>
          </cell>
          <cell r="U26">
            <v>31200</v>
          </cell>
          <cell r="V26" t="str">
            <v>hp</v>
          </cell>
          <cell r="W26">
            <v>174.72000000000003</v>
          </cell>
          <cell r="X26">
            <v>1312.7169454086466</v>
          </cell>
          <cell r="Z26">
            <v>4193.2800000000007</v>
          </cell>
          <cell r="AA26">
            <v>31505.206689807517</v>
          </cell>
          <cell r="AB26">
            <v>4193.2800000000007</v>
          </cell>
          <cell r="AC26">
            <v>31505.206689807517</v>
          </cell>
          <cell r="AD26">
            <v>4193.2800000000007</v>
          </cell>
          <cell r="AE26">
            <v>31505.206689807517</v>
          </cell>
          <cell r="BB26" t="str">
            <v>IB_P&amp;G</v>
          </cell>
          <cell r="BD26" t="str">
            <v>Propulsion &amp; Generation</v>
          </cell>
          <cell r="BE26">
            <v>5.005221340343205E-2</v>
          </cell>
          <cell r="BF26" t="str">
            <v>lb/gal</v>
          </cell>
          <cell r="BI26">
            <v>65.70438868989504</v>
          </cell>
          <cell r="BJ26">
            <v>1576.905328557481</v>
          </cell>
          <cell r="BK26">
            <v>1576.905328557481</v>
          </cell>
          <cell r="BL26">
            <v>1576.905328557481</v>
          </cell>
          <cell r="BM26">
            <v>1576.905328557481</v>
          </cell>
          <cell r="BN26">
            <v>35.953441491110567</v>
          </cell>
          <cell r="BS26" t="str">
            <v>IB_P&amp;G</v>
          </cell>
          <cell r="BU26" t="str">
            <v>Propulsion &amp; Generation</v>
          </cell>
          <cell r="BV26">
            <v>7.8206583442862569E-3</v>
          </cell>
          <cell r="BW26" t="str">
            <v>lb/gal</v>
          </cell>
          <cell r="BZ26">
            <v>10.266310732796098</v>
          </cell>
          <cell r="CA26">
            <v>246.39145758710637</v>
          </cell>
          <cell r="CB26">
            <v>246.39145758710637</v>
          </cell>
          <cell r="CC26">
            <v>246.39145758710637</v>
          </cell>
          <cell r="CD26">
            <v>246.39145758710637</v>
          </cell>
          <cell r="CE26">
            <v>5.6177252329860261</v>
          </cell>
          <cell r="CJ26" t="str">
            <v>IB_P&amp;G</v>
          </cell>
          <cell r="CL26" t="str">
            <v>Propulsion &amp; Generation</v>
          </cell>
          <cell r="CM26">
            <v>7.8206583442862569E-3</v>
          </cell>
          <cell r="CN26" t="str">
            <v>lb/gal</v>
          </cell>
          <cell r="CQ26">
            <v>10.266310732796098</v>
          </cell>
          <cell r="CR26">
            <v>246.39145758710637</v>
          </cell>
          <cell r="CS26">
            <v>246.39145758710637</v>
          </cell>
          <cell r="CT26">
            <v>246.39145758710637</v>
          </cell>
          <cell r="CU26">
            <v>246.39145758710637</v>
          </cell>
          <cell r="CV26">
            <v>5.6177252329860261</v>
          </cell>
          <cell r="DA26" t="str">
            <v>IB_P&amp;G</v>
          </cell>
          <cell r="DC26" t="str">
            <v>Propulsion &amp; Generation</v>
          </cell>
          <cell r="DD26">
            <v>2.2626659999999993E-2</v>
          </cell>
          <cell r="DE26" t="str">
            <v>lb/gal</v>
          </cell>
          <cell r="DH26">
            <v>29.702399999999997</v>
          </cell>
          <cell r="DI26">
            <v>712.85759999999993</v>
          </cell>
          <cell r="DJ26">
            <v>712.85759999999993</v>
          </cell>
          <cell r="DK26">
            <v>712.85759999999993</v>
          </cell>
          <cell r="DL26">
            <v>712.85759999999993</v>
          </cell>
          <cell r="DM26">
            <v>16.253153280000003</v>
          </cell>
          <cell r="DR26" t="str">
            <v>IB_P&amp;G</v>
          </cell>
          <cell r="DT26" t="str">
            <v>Propulsion &amp; Generation</v>
          </cell>
          <cell r="DU26">
            <v>2.1206021849780866E-4</v>
          </cell>
          <cell r="DV26" t="str">
            <v>lb/gal</v>
          </cell>
          <cell r="DY26">
            <v>0.27837504226913357</v>
          </cell>
          <cell r="DZ26">
            <v>6.6810010144592056</v>
          </cell>
          <cell r="EA26">
            <v>6.6810010144592056</v>
          </cell>
          <cell r="EB26">
            <v>6.6810010144592056</v>
          </cell>
          <cell r="EC26">
            <v>6.6810010144592056</v>
          </cell>
          <cell r="ED26">
            <v>0.15232682312966991</v>
          </cell>
          <cell r="EI26" t="str">
            <v>IB_P&amp;G</v>
          </cell>
          <cell r="EK26" t="str">
            <v>Propulsion &amp; Generation</v>
          </cell>
          <cell r="EL26">
            <v>3.5936460000000003E-3</v>
          </cell>
          <cell r="EM26" t="str">
            <v>lb/gal</v>
          </cell>
          <cell r="EP26">
            <v>4.7174400000000016</v>
          </cell>
          <cell r="EQ26">
            <v>113.21856000000004</v>
          </cell>
          <cell r="ER26">
            <v>113.21856000000004</v>
          </cell>
          <cell r="ES26">
            <v>113.21856000000004</v>
          </cell>
          <cell r="ET26">
            <v>113.21856000000004</v>
          </cell>
          <cell r="EU26">
            <v>2.5813831680000012</v>
          </cell>
          <cell r="EZ26" t="str">
            <v>IB_P&amp;G</v>
          </cell>
          <cell r="FB26" t="str">
            <v>Propulsion &amp; Generation</v>
          </cell>
          <cell r="FC26">
            <v>2.4403941585283623E-4</v>
          </cell>
          <cell r="FD26" t="str">
            <v>lb/gal</v>
          </cell>
          <cell r="FG26">
            <v>0.3203546765376456</v>
          </cell>
          <cell r="FH26">
            <v>7.6885122369034944</v>
          </cell>
          <cell r="FI26">
            <v>7.6885122369034944</v>
          </cell>
          <cell r="FJ26">
            <v>7.6885122369034944</v>
          </cell>
          <cell r="FK26">
            <v>7.6885122369034944</v>
          </cell>
          <cell r="FL26">
            <v>0.17529807900139971</v>
          </cell>
        </row>
        <row r="27">
          <cell r="R27" t="str">
            <v>IB_H&amp;B</v>
          </cell>
          <cell r="T27" t="str">
            <v>Heaters &amp; Boilers</v>
          </cell>
          <cell r="U27">
            <v>10</v>
          </cell>
          <cell r="V27" t="str">
            <v>MMBtu/hr</v>
          </cell>
          <cell r="W27">
            <v>10</v>
          </cell>
          <cell r="X27">
            <v>75.132609054982041</v>
          </cell>
          <cell r="Z27">
            <v>240</v>
          </cell>
          <cell r="AA27">
            <v>1803.1826173195691</v>
          </cell>
          <cell r="AB27">
            <v>240</v>
          </cell>
          <cell r="AC27">
            <v>1803.1826173195691</v>
          </cell>
          <cell r="AD27">
            <v>240</v>
          </cell>
          <cell r="AE27">
            <v>1803.1826173195691</v>
          </cell>
          <cell r="BB27" t="str">
            <v>IB_H&amp;B</v>
          </cell>
          <cell r="BD27" t="str">
            <v>Heaters &amp; Boilers</v>
          </cell>
          <cell r="BE27">
            <v>0.02</v>
          </cell>
          <cell r="BF27" t="str">
            <v>lb/gal</v>
          </cell>
          <cell r="BI27">
            <v>1.5026521810996409</v>
          </cell>
          <cell r="BJ27">
            <v>36.063652346391386</v>
          </cell>
          <cell r="BK27">
            <v>36.063652346391386</v>
          </cell>
          <cell r="BL27">
            <v>36.063652346391386</v>
          </cell>
          <cell r="BM27">
            <v>36.063652346391386</v>
          </cell>
          <cell r="BN27">
            <v>0.82225127349772342</v>
          </cell>
          <cell r="BS27" t="str">
            <v>IB_H&amp;B</v>
          </cell>
          <cell r="BU27" t="str">
            <v>Heaters &amp; Boilers</v>
          </cell>
          <cell r="BV27">
            <v>3.3E-3</v>
          </cell>
          <cell r="BW27" t="str">
            <v>lb/gal</v>
          </cell>
          <cell r="BZ27">
            <v>0.24793760988144073</v>
          </cell>
          <cell r="CA27">
            <v>5.9505026371545782</v>
          </cell>
          <cell r="CB27">
            <v>5.9505026371545782</v>
          </cell>
          <cell r="CC27">
            <v>5.9505026371545782</v>
          </cell>
          <cell r="CD27">
            <v>5.9505026371545782</v>
          </cell>
          <cell r="CE27">
            <v>0.13567146012712436</v>
          </cell>
          <cell r="CJ27" t="str">
            <v>IB_H&amp;B</v>
          </cell>
          <cell r="CL27" t="str">
            <v>Heaters &amp; Boilers</v>
          </cell>
          <cell r="CM27">
            <v>3.3E-3</v>
          </cell>
          <cell r="CN27" t="str">
            <v>lb/gal</v>
          </cell>
          <cell r="CQ27">
            <v>0.24793760988144073</v>
          </cell>
          <cell r="CR27">
            <v>5.9505026371545782</v>
          </cell>
          <cell r="CS27">
            <v>5.9505026371545782</v>
          </cell>
          <cell r="CT27">
            <v>5.9505026371545782</v>
          </cell>
          <cell r="CU27">
            <v>5.9505026371545782</v>
          </cell>
          <cell r="CV27">
            <v>0.13567146012712436</v>
          </cell>
          <cell r="DA27" t="str">
            <v>IB_H&amp;B</v>
          </cell>
          <cell r="DC27" t="str">
            <v>Heaters &amp; Boilers</v>
          </cell>
          <cell r="DD27">
            <v>5.0000000000000001E-3</v>
          </cell>
          <cell r="DE27" t="str">
            <v>lb/gal</v>
          </cell>
          <cell r="DH27">
            <v>0.37566304527491023</v>
          </cell>
          <cell r="DI27">
            <v>9.0159130865978465</v>
          </cell>
          <cell r="DJ27">
            <v>9.0159130865978465</v>
          </cell>
          <cell r="DK27">
            <v>9.0159130865978465</v>
          </cell>
          <cell r="DL27">
            <v>9.0159130865978465</v>
          </cell>
          <cell r="DM27">
            <v>0.20556281837443086</v>
          </cell>
          <cell r="DR27" t="str">
            <v>IB_H&amp;B</v>
          </cell>
          <cell r="DT27" t="str">
            <v>Heaters &amp; Boilers</v>
          </cell>
          <cell r="DU27">
            <v>2.1206021849780866E-4</v>
          </cell>
          <cell r="DV27" t="str">
            <v>lb/gal</v>
          </cell>
          <cell r="DY27">
            <v>1.5932637492509928E-2</v>
          </cell>
          <cell r="DZ27">
            <v>0.38238329982023833</v>
          </cell>
          <cell r="EA27">
            <v>0.38238329982023833</v>
          </cell>
          <cell r="EB27">
            <v>0.38238329982023833</v>
          </cell>
          <cell r="EC27">
            <v>0.38238329982023833</v>
          </cell>
          <cell r="ED27">
            <v>8.7183392359014341E-3</v>
          </cell>
          <cell r="EI27" t="str">
            <v>IB_H&amp;B</v>
          </cell>
          <cell r="EK27" t="str">
            <v>Heaters &amp; Boilers</v>
          </cell>
          <cell r="EL27">
            <v>3.4000000000000002E-4</v>
          </cell>
          <cell r="EM27" t="str">
            <v>lb/gal</v>
          </cell>
          <cell r="EP27">
            <v>2.5545087078693896E-2</v>
          </cell>
          <cell r="EQ27">
            <v>0.61308208988865354</v>
          </cell>
          <cell r="ER27">
            <v>0.61308208988865354</v>
          </cell>
          <cell r="ES27">
            <v>0.61308208988865354</v>
          </cell>
          <cell r="ET27">
            <v>0.61308208988865354</v>
          </cell>
          <cell r="EU27">
            <v>1.3978271649461299E-2</v>
          </cell>
          <cell r="EZ27" t="str">
            <v>IB_H&amp;B</v>
          </cell>
          <cell r="FB27" t="str">
            <v>Heaters &amp; Boilers</v>
          </cell>
          <cell r="FC27">
            <v>0</v>
          </cell>
          <cell r="FD27" t="str">
            <v>lb/gal</v>
          </cell>
          <cell r="FG27">
            <v>0</v>
          </cell>
          <cell r="FH27">
            <v>0</v>
          </cell>
          <cell r="FI27">
            <v>0</v>
          </cell>
          <cell r="FJ27">
            <v>0</v>
          </cell>
          <cell r="FK27">
            <v>0</v>
          </cell>
          <cell r="FL27">
            <v>0</v>
          </cell>
        </row>
        <row r="28">
          <cell r="R28" t="str">
            <v>IB_SU</v>
          </cell>
          <cell r="T28" t="str">
            <v>Seldom-used units</v>
          </cell>
          <cell r="U28">
            <v>100</v>
          </cell>
          <cell r="V28" t="str">
            <v>gal/wk</v>
          </cell>
          <cell r="W28">
            <v>7.922499999999999E-2</v>
          </cell>
          <cell r="X28">
            <v>0.59523809523809523</v>
          </cell>
          <cell r="Y28" t="str">
            <v>group limit</v>
          </cell>
          <cell r="Z28">
            <v>1.9013999999999998</v>
          </cell>
          <cell r="AA28">
            <v>14.285714285714285</v>
          </cell>
          <cell r="AB28">
            <v>1.9013999999999998</v>
          </cell>
          <cell r="AC28">
            <v>14.285714285714285</v>
          </cell>
          <cell r="AD28">
            <v>1.9013999999999998</v>
          </cell>
          <cell r="AE28">
            <v>14.285714285714285</v>
          </cell>
          <cell r="BB28" t="str">
            <v>IB_SU</v>
          </cell>
          <cell r="BD28" t="str">
            <v>Seldom-used units</v>
          </cell>
          <cell r="BE28">
            <v>0.58696218</v>
          </cell>
          <cell r="BF28" t="str">
            <v>lb/gal</v>
          </cell>
          <cell r="BI28">
            <v>0.34938225000000001</v>
          </cell>
          <cell r="BJ28">
            <v>8.3851739999999992</v>
          </cell>
          <cell r="BK28">
            <v>8.3851739999999992</v>
          </cell>
          <cell r="BL28">
            <v>8.3851739999999992</v>
          </cell>
          <cell r="BM28">
            <v>8.3851739999999992</v>
          </cell>
          <cell r="BN28">
            <v>0.19118196719999997</v>
          </cell>
          <cell r="BS28" t="str">
            <v>IB_SU</v>
          </cell>
          <cell r="BU28" t="str">
            <v>Seldom-used units</v>
          </cell>
          <cell r="BV28">
            <v>4.1260379999999999E-2</v>
          </cell>
          <cell r="BW28" t="str">
            <v>lb/gal</v>
          </cell>
          <cell r="BZ28">
            <v>2.4559749999999998E-2</v>
          </cell>
          <cell r="CA28">
            <v>0.5894339999999999</v>
          </cell>
          <cell r="CB28">
            <v>0.5894339999999999</v>
          </cell>
          <cell r="CC28">
            <v>0.5894339999999999</v>
          </cell>
          <cell r="CD28">
            <v>0.5894339999999999</v>
          </cell>
          <cell r="CE28">
            <v>1.3439095199999997E-2</v>
          </cell>
          <cell r="CJ28" t="str">
            <v>IB_SU</v>
          </cell>
          <cell r="CL28" t="str">
            <v>Seldom-used units</v>
          </cell>
          <cell r="CM28">
            <v>4.1260379999999999E-2</v>
          </cell>
          <cell r="CN28" t="str">
            <v>lb/gal</v>
          </cell>
          <cell r="CQ28">
            <v>2.4559749999999998E-2</v>
          </cell>
          <cell r="CR28">
            <v>0.5894339999999999</v>
          </cell>
          <cell r="CS28">
            <v>0.5894339999999999</v>
          </cell>
          <cell r="CT28">
            <v>0.5894339999999999</v>
          </cell>
          <cell r="CU28">
            <v>0.5894339999999999</v>
          </cell>
          <cell r="CV28">
            <v>1.3439095199999997E-2</v>
          </cell>
          <cell r="DA28" t="str">
            <v>IB_SU</v>
          </cell>
          <cell r="DC28" t="str">
            <v>Seldom-used units</v>
          </cell>
          <cell r="DD28">
            <v>0.12644309999999997</v>
          </cell>
          <cell r="DE28" t="str">
            <v>lb/gal</v>
          </cell>
          <cell r="DH28">
            <v>7.526374999999999E-2</v>
          </cell>
          <cell r="DI28">
            <v>1.8063299999999995</v>
          </cell>
          <cell r="DJ28">
            <v>1.8063299999999995</v>
          </cell>
          <cell r="DK28">
            <v>1.8063299999999995</v>
          </cell>
          <cell r="DL28">
            <v>1.8063299999999995</v>
          </cell>
          <cell r="DM28">
            <v>4.1184323999999981E-2</v>
          </cell>
          <cell r="DR28" t="str">
            <v>IB_SU</v>
          </cell>
          <cell r="DT28" t="str">
            <v>Seldom-used units</v>
          </cell>
          <cell r="DU28">
            <v>2.1206021849780866E-4</v>
          </cell>
          <cell r="DV28" t="str">
            <v>lb/gal</v>
          </cell>
          <cell r="DY28">
            <v>1.2622632053440992E-4</v>
          </cell>
          <cell r="DZ28">
            <v>3.0294316928258379E-3</v>
          </cell>
          <cell r="EA28">
            <v>3.0294316928258379E-3</v>
          </cell>
          <cell r="EB28">
            <v>3.0294316928258379E-3</v>
          </cell>
          <cell r="EC28">
            <v>3.0294316928258379E-3</v>
          </cell>
          <cell r="ED28">
            <v>6.90710425964291E-5</v>
          </cell>
          <cell r="EI28" t="str">
            <v>IB_SU</v>
          </cell>
          <cell r="EK28" t="str">
            <v>Seldom-used units</v>
          </cell>
          <cell r="EL28">
            <v>4.6584299999999995E-2</v>
          </cell>
          <cell r="EM28" t="str">
            <v>lb/gal</v>
          </cell>
          <cell r="EP28">
            <v>2.7728749999999996E-2</v>
          </cell>
          <cell r="EQ28">
            <v>0.66548999999999991</v>
          </cell>
          <cell r="ER28">
            <v>0.66548999999999991</v>
          </cell>
          <cell r="ES28">
            <v>0.66548999999999991</v>
          </cell>
          <cell r="ET28">
            <v>0.66548999999999991</v>
          </cell>
          <cell r="EU28">
            <v>1.5173171999999995E-2</v>
          </cell>
          <cell r="EZ28" t="str">
            <v>IB_SU</v>
          </cell>
          <cell r="FB28" t="str">
            <v>Seldom-used units</v>
          </cell>
          <cell r="FC28">
            <v>0</v>
          </cell>
          <cell r="FD28" t="str">
            <v>lb/gal</v>
          </cell>
          <cell r="FG28">
            <v>0</v>
          </cell>
          <cell r="FH28">
            <v>0</v>
          </cell>
          <cell r="FI28">
            <v>0</v>
          </cell>
          <cell r="FJ28">
            <v>0</v>
          </cell>
          <cell r="FK28">
            <v>0</v>
          </cell>
          <cell r="FL28">
            <v>0</v>
          </cell>
        </row>
        <row r="29">
          <cell r="X29" t="str">
            <v>ICE MANAGEMENT -</v>
          </cell>
          <cell r="Y29" t="str">
            <v>SUBTOTAL</v>
          </cell>
          <cell r="AA29">
            <v>33322.675021412804</v>
          </cell>
          <cell r="AC29">
            <v>33322.675021412804</v>
          </cell>
          <cell r="AE29">
            <v>33322.675021412804</v>
          </cell>
        </row>
        <row r="30">
          <cell r="S30" t="str">
            <v>Secondary Ice Management / Anchor Handler</v>
          </cell>
          <cell r="BC30" t="str">
            <v>Secondary Ice Management / Anchor Handler</v>
          </cell>
          <cell r="BT30" t="str">
            <v>Secondary Ice Management / Anchor Handler</v>
          </cell>
          <cell r="CK30" t="str">
            <v>Secondary Ice Management / Anchor Handler</v>
          </cell>
          <cell r="DB30" t="str">
            <v>Secondary Ice Management / Anchor Handler</v>
          </cell>
          <cell r="DS30" t="str">
            <v>Secondary Ice Management / Anchor Handler</v>
          </cell>
          <cell r="EJ30" t="str">
            <v>Secondary Ice Management / Anchor Handler</v>
          </cell>
          <cell r="FA30" t="str">
            <v>Secondary Ice Management / Anchor Handler</v>
          </cell>
        </row>
        <row r="31">
          <cell r="R31" t="str">
            <v>AH_P&amp;G</v>
          </cell>
          <cell r="T31" t="str">
            <v>Propulsion &amp; Generation</v>
          </cell>
          <cell r="U31">
            <v>32160.000000000004</v>
          </cell>
          <cell r="V31" t="str">
            <v>hp</v>
          </cell>
          <cell r="W31">
            <v>180.09600000000003</v>
          </cell>
          <cell r="X31">
            <v>1353.1082360366049</v>
          </cell>
          <cell r="Z31">
            <v>4322.304000000001</v>
          </cell>
          <cell r="AA31">
            <v>32474.597664878518</v>
          </cell>
          <cell r="AB31">
            <v>4322.304000000001</v>
          </cell>
          <cell r="AC31">
            <v>32474.597664878518</v>
          </cell>
          <cell r="AD31">
            <v>4322.304000000001</v>
          </cell>
          <cell r="AE31">
            <v>32474.597664878518</v>
          </cell>
          <cell r="BB31" t="str">
            <v>AH_P&amp;G</v>
          </cell>
          <cell r="BD31" t="str">
            <v>Propulsion &amp; Generation</v>
          </cell>
          <cell r="BE31">
            <v>5.005221340343205E-2</v>
          </cell>
          <cell r="BF31" t="str">
            <v>lb/gal</v>
          </cell>
          <cell r="BI31">
            <v>67.72606218804566</v>
          </cell>
          <cell r="BJ31">
            <v>1625.4254925130956</v>
          </cell>
          <cell r="BK31">
            <v>1625.4254925130956</v>
          </cell>
          <cell r="BL31">
            <v>1625.4254925130956</v>
          </cell>
          <cell r="BM31">
            <v>1625.4254925130956</v>
          </cell>
          <cell r="BN31">
            <v>37.059701229298582</v>
          </cell>
          <cell r="BS31" t="str">
            <v>AH_P&amp;G</v>
          </cell>
          <cell r="BU31" t="str">
            <v>Propulsion &amp; Generation</v>
          </cell>
          <cell r="BV31">
            <v>7.8206583442862569E-3</v>
          </cell>
          <cell r="BW31" t="str">
            <v>lb/gal</v>
          </cell>
          <cell r="BZ31">
            <v>10.582197216882133</v>
          </cell>
          <cell r="CA31">
            <v>253.97273320517118</v>
          </cell>
          <cell r="CB31">
            <v>253.97273320517118</v>
          </cell>
          <cell r="CC31">
            <v>253.97273320517118</v>
          </cell>
          <cell r="CD31">
            <v>253.97273320517118</v>
          </cell>
          <cell r="CE31">
            <v>5.7905783170779035</v>
          </cell>
          <cell r="CJ31" t="str">
            <v>AH_P&amp;G</v>
          </cell>
          <cell r="CL31" t="str">
            <v>Propulsion &amp; Generation</v>
          </cell>
          <cell r="CM31">
            <v>7.8206583442862569E-3</v>
          </cell>
          <cell r="CN31" t="str">
            <v>lb/gal</v>
          </cell>
          <cell r="CQ31">
            <v>10.582197216882133</v>
          </cell>
          <cell r="CR31">
            <v>253.97273320517118</v>
          </cell>
          <cell r="CS31">
            <v>253.97273320517118</v>
          </cell>
          <cell r="CT31">
            <v>253.97273320517118</v>
          </cell>
          <cell r="CU31">
            <v>253.97273320517118</v>
          </cell>
          <cell r="CV31">
            <v>5.7905783170779035</v>
          </cell>
          <cell r="DA31" t="str">
            <v>AH_P&amp;G</v>
          </cell>
          <cell r="DC31" t="str">
            <v>Propulsion &amp; Generation</v>
          </cell>
          <cell r="DD31">
            <v>2.2626659999999993E-2</v>
          </cell>
          <cell r="DE31" t="str">
            <v>lb/gal</v>
          </cell>
          <cell r="DH31">
            <v>30.616319999999998</v>
          </cell>
          <cell r="DI31">
            <v>734.79167999999993</v>
          </cell>
          <cell r="DJ31">
            <v>734.79167999999993</v>
          </cell>
          <cell r="DK31">
            <v>734.79167999999993</v>
          </cell>
          <cell r="DL31">
            <v>734.79167999999993</v>
          </cell>
          <cell r="DM31">
            <v>16.753250303999998</v>
          </cell>
          <cell r="DR31" t="str">
            <v>AH_P&amp;G</v>
          </cell>
          <cell r="DT31" t="str">
            <v>Propulsion &amp; Generation</v>
          </cell>
          <cell r="DU31">
            <v>2.1206021849780866E-4</v>
          </cell>
          <cell r="DV31" t="str">
            <v>lb/gal</v>
          </cell>
          <cell r="DY31">
            <v>0.2869404281851069</v>
          </cell>
          <cell r="DZ31">
            <v>6.8865702764425656</v>
          </cell>
          <cell r="EA31">
            <v>6.8865702764425656</v>
          </cell>
          <cell r="EB31">
            <v>6.8865702764425656</v>
          </cell>
          <cell r="EC31">
            <v>6.8865702764425656</v>
          </cell>
          <cell r="ED31">
            <v>0.1570138023028905</v>
          </cell>
          <cell r="EI31" t="str">
            <v>AH_P&amp;G</v>
          </cell>
          <cell r="EK31" t="str">
            <v>Propulsion &amp; Generation</v>
          </cell>
          <cell r="EL31">
            <v>3.5936460000000003E-3</v>
          </cell>
          <cell r="EM31" t="str">
            <v>lb/gal</v>
          </cell>
          <cell r="EP31">
            <v>4.8625920000000011</v>
          </cell>
          <cell r="EQ31">
            <v>116.70220800000004</v>
          </cell>
          <cell r="ER31">
            <v>116.70220800000004</v>
          </cell>
          <cell r="ES31">
            <v>116.70220800000004</v>
          </cell>
          <cell r="ET31">
            <v>116.70220800000004</v>
          </cell>
          <cell r="EU31">
            <v>2.6608103424000009</v>
          </cell>
          <cell r="EZ31" t="str">
            <v>AH_P&amp;G</v>
          </cell>
          <cell r="FB31" t="str">
            <v>Propulsion &amp; Generation</v>
          </cell>
          <cell r="FC31">
            <v>2.4403941585283623E-4</v>
          </cell>
          <cell r="FD31" t="str">
            <v>lb/gal</v>
          </cell>
          <cell r="FG31">
            <v>0.33021174350803473</v>
          </cell>
          <cell r="FH31">
            <v>7.9250818441928326</v>
          </cell>
          <cell r="FI31">
            <v>7.9250818441928326</v>
          </cell>
          <cell r="FJ31">
            <v>7.9250818441928326</v>
          </cell>
          <cell r="FK31">
            <v>7.9250818441928326</v>
          </cell>
          <cell r="FL31">
            <v>0.1806918660475966</v>
          </cell>
        </row>
        <row r="32">
          <cell r="R32" t="str">
            <v>AH_H&amp;B</v>
          </cell>
          <cell r="T32" t="str">
            <v>Heaters &amp; Boilers</v>
          </cell>
          <cell r="U32">
            <v>4</v>
          </cell>
          <cell r="V32" t="str">
            <v>MMBtu/hr</v>
          </cell>
          <cell r="W32">
            <v>4</v>
          </cell>
          <cell r="X32">
            <v>30.053043621992817</v>
          </cell>
          <cell r="Z32">
            <v>96</v>
          </cell>
          <cell r="AA32">
            <v>721.27304692782764</v>
          </cell>
          <cell r="AB32">
            <v>96</v>
          </cell>
          <cell r="AC32">
            <v>721.27304692782764</v>
          </cell>
          <cell r="AD32">
            <v>96</v>
          </cell>
          <cell r="AE32">
            <v>721.27304692782764</v>
          </cell>
          <cell r="BB32" t="str">
            <v>AH_H&amp;B</v>
          </cell>
          <cell r="BD32" t="str">
            <v>Heaters &amp; Boilers</v>
          </cell>
          <cell r="BE32">
            <v>0.02</v>
          </cell>
          <cell r="BF32" t="str">
            <v>lb/gal</v>
          </cell>
          <cell r="BI32">
            <v>0.6010608724398564</v>
          </cell>
          <cell r="BJ32">
            <v>14.425460938556553</v>
          </cell>
          <cell r="BK32">
            <v>14.425460938556553</v>
          </cell>
          <cell r="BL32">
            <v>14.425460938556553</v>
          </cell>
          <cell r="BM32">
            <v>14.425460938556553</v>
          </cell>
          <cell r="BN32">
            <v>0.32890050939908944</v>
          </cell>
          <cell r="BS32" t="str">
            <v>AH_H&amp;B</v>
          </cell>
          <cell r="BU32" t="str">
            <v>Heaters &amp; Boilers</v>
          </cell>
          <cell r="BV32">
            <v>3.3E-3</v>
          </cell>
          <cell r="BW32" t="str">
            <v>lb/gal</v>
          </cell>
          <cell r="BZ32">
            <v>9.91750439525763E-2</v>
          </cell>
          <cell r="CA32">
            <v>2.3802010548618311</v>
          </cell>
          <cell r="CB32">
            <v>2.3802010548618311</v>
          </cell>
          <cell r="CC32">
            <v>2.3802010548618311</v>
          </cell>
          <cell r="CD32">
            <v>2.3802010548618311</v>
          </cell>
          <cell r="CE32">
            <v>5.4268584050849757E-2</v>
          </cell>
          <cell r="CJ32" t="str">
            <v>AH_H&amp;B</v>
          </cell>
          <cell r="CL32" t="str">
            <v>Heaters &amp; Boilers</v>
          </cell>
          <cell r="CM32">
            <v>3.3E-3</v>
          </cell>
          <cell r="CN32" t="str">
            <v>lb/gal</v>
          </cell>
          <cell r="CQ32">
            <v>9.91750439525763E-2</v>
          </cell>
          <cell r="CR32">
            <v>2.3802010548618311</v>
          </cell>
          <cell r="CS32">
            <v>2.3802010548618311</v>
          </cell>
          <cell r="CT32">
            <v>2.3802010548618311</v>
          </cell>
          <cell r="CU32">
            <v>2.3802010548618311</v>
          </cell>
          <cell r="CV32">
            <v>5.4268584050849757E-2</v>
          </cell>
          <cell r="DA32" t="str">
            <v>AH_H&amp;B</v>
          </cell>
          <cell r="DC32" t="str">
            <v>Heaters &amp; Boilers</v>
          </cell>
          <cell r="DD32">
            <v>5.0000000000000001E-3</v>
          </cell>
          <cell r="DE32" t="str">
            <v>lb/gal</v>
          </cell>
          <cell r="DH32">
            <v>0.1502652181099641</v>
          </cell>
          <cell r="DI32">
            <v>3.6063652346391382</v>
          </cell>
          <cell r="DJ32">
            <v>3.6063652346391382</v>
          </cell>
          <cell r="DK32">
            <v>3.6063652346391382</v>
          </cell>
          <cell r="DL32">
            <v>3.6063652346391382</v>
          </cell>
          <cell r="DM32">
            <v>8.2225127349772359E-2</v>
          </cell>
          <cell r="DR32" t="str">
            <v>AH_H&amp;B</v>
          </cell>
          <cell r="DT32" t="str">
            <v>Heaters &amp; Boilers</v>
          </cell>
          <cell r="DU32">
            <v>2.1206021849780866E-4</v>
          </cell>
          <cell r="DV32" t="str">
            <v>lb/gal</v>
          </cell>
          <cell r="DY32">
            <v>6.373054997003972E-3</v>
          </cell>
          <cell r="DZ32">
            <v>0.15295331992809533</v>
          </cell>
          <cell r="EA32">
            <v>0.15295331992809533</v>
          </cell>
          <cell r="EB32">
            <v>0.15295331992809533</v>
          </cell>
          <cell r="EC32">
            <v>0.15295331992809533</v>
          </cell>
          <cell r="ED32">
            <v>3.4873356943605736E-3</v>
          </cell>
          <cell r="EI32" t="str">
            <v>AH_H&amp;B</v>
          </cell>
          <cell r="EK32" t="str">
            <v>Heaters &amp; Boilers</v>
          </cell>
          <cell r="EL32">
            <v>3.4000000000000002E-4</v>
          </cell>
          <cell r="EM32" t="str">
            <v>lb/gal</v>
          </cell>
          <cell r="EP32">
            <v>1.0218034831477558E-2</v>
          </cell>
          <cell r="EQ32">
            <v>0.24523283595546141</v>
          </cell>
          <cell r="ER32">
            <v>0.24523283595546141</v>
          </cell>
          <cell r="ES32">
            <v>0.24523283595546141</v>
          </cell>
          <cell r="ET32">
            <v>0.24523283595546141</v>
          </cell>
          <cell r="EU32">
            <v>5.591308659784521E-3</v>
          </cell>
          <cell r="EZ32" t="str">
            <v>AH_H&amp;B</v>
          </cell>
          <cell r="FB32" t="str">
            <v>Heaters &amp; Boilers</v>
          </cell>
          <cell r="FC32">
            <v>0</v>
          </cell>
          <cell r="FD32" t="str">
            <v>lb/gal</v>
          </cell>
          <cell r="FG32">
            <v>0</v>
          </cell>
          <cell r="FH32">
            <v>0</v>
          </cell>
          <cell r="FI32">
            <v>0</v>
          </cell>
          <cell r="FJ32">
            <v>0</v>
          </cell>
          <cell r="FK32">
            <v>0</v>
          </cell>
          <cell r="FL32">
            <v>0</v>
          </cell>
        </row>
        <row r="33">
          <cell r="R33" t="str">
            <v>AH_SU</v>
          </cell>
          <cell r="T33" t="str">
            <v>Seldom-used units</v>
          </cell>
          <cell r="U33">
            <v>100</v>
          </cell>
          <cell r="V33" t="str">
            <v>gal/wk</v>
          </cell>
          <cell r="W33">
            <v>7.922499999999999E-2</v>
          </cell>
          <cell r="X33">
            <v>0.59523809523809523</v>
          </cell>
          <cell r="Y33" t="str">
            <v>group limit</v>
          </cell>
          <cell r="Z33">
            <v>1.9013999999999998</v>
          </cell>
          <cell r="AA33">
            <v>14.285714285714285</v>
          </cell>
          <cell r="AB33">
            <v>1.9013999999999998</v>
          </cell>
          <cell r="AC33">
            <v>14.285714285714285</v>
          </cell>
          <cell r="AD33">
            <v>1.9013999999999998</v>
          </cell>
          <cell r="AE33">
            <v>14.285714285714285</v>
          </cell>
          <cell r="BB33" t="str">
            <v>AH_SU</v>
          </cell>
          <cell r="BD33" t="str">
            <v>Seldom-used units</v>
          </cell>
          <cell r="BE33">
            <v>0.58696218</v>
          </cell>
          <cell r="BF33" t="str">
            <v>lb/gal</v>
          </cell>
          <cell r="BI33">
            <v>0.34938225000000001</v>
          </cell>
          <cell r="BJ33">
            <v>8.3851739999999992</v>
          </cell>
          <cell r="BK33">
            <v>8.3851739999999992</v>
          </cell>
          <cell r="BL33">
            <v>8.3851739999999992</v>
          </cell>
          <cell r="BM33">
            <v>8.3851739999999992</v>
          </cell>
          <cell r="BN33">
            <v>0.19118196719999997</v>
          </cell>
          <cell r="BS33" t="str">
            <v>AH_SU</v>
          </cell>
          <cell r="BU33" t="str">
            <v>Seldom-used units</v>
          </cell>
          <cell r="BV33">
            <v>4.1260379999999999E-2</v>
          </cell>
          <cell r="BW33" t="str">
            <v>lb/gal</v>
          </cell>
          <cell r="BZ33">
            <v>2.4559749999999998E-2</v>
          </cell>
          <cell r="CA33">
            <v>0.5894339999999999</v>
          </cell>
          <cell r="CB33">
            <v>0.5894339999999999</v>
          </cell>
          <cell r="CC33">
            <v>0.5894339999999999</v>
          </cell>
          <cell r="CD33">
            <v>0.5894339999999999</v>
          </cell>
          <cell r="CE33">
            <v>1.3439095199999997E-2</v>
          </cell>
          <cell r="CJ33" t="str">
            <v>AH_SU</v>
          </cell>
          <cell r="CL33" t="str">
            <v>Seldom-used units</v>
          </cell>
          <cell r="CM33">
            <v>4.1260379999999999E-2</v>
          </cell>
          <cell r="CN33" t="str">
            <v>lb/gal</v>
          </cell>
          <cell r="CQ33">
            <v>2.4559749999999998E-2</v>
          </cell>
          <cell r="CR33">
            <v>0.5894339999999999</v>
          </cell>
          <cell r="CS33">
            <v>0.5894339999999999</v>
          </cell>
          <cell r="CT33">
            <v>0.5894339999999999</v>
          </cell>
          <cell r="CU33">
            <v>0.5894339999999999</v>
          </cell>
          <cell r="CV33">
            <v>1.3439095199999997E-2</v>
          </cell>
          <cell r="DA33" t="str">
            <v>AH_SU</v>
          </cell>
          <cell r="DC33" t="str">
            <v>Seldom-used units</v>
          </cell>
          <cell r="DD33">
            <v>0.12644309999999997</v>
          </cell>
          <cell r="DE33" t="str">
            <v>lb/gal</v>
          </cell>
          <cell r="DH33">
            <v>7.526374999999999E-2</v>
          </cell>
          <cell r="DI33">
            <v>1.8063299999999995</v>
          </cell>
          <cell r="DJ33">
            <v>1.8063299999999995</v>
          </cell>
          <cell r="DK33">
            <v>1.8063299999999995</v>
          </cell>
          <cell r="DL33">
            <v>1.8063299999999995</v>
          </cell>
          <cell r="DM33">
            <v>4.1184323999999981E-2</v>
          </cell>
          <cell r="DR33" t="str">
            <v>AH_SU</v>
          </cell>
          <cell r="DT33" t="str">
            <v>Seldom-used units</v>
          </cell>
          <cell r="DU33">
            <v>2.1206021849780866E-4</v>
          </cell>
          <cell r="DV33" t="str">
            <v>lb/gal</v>
          </cell>
          <cell r="DY33">
            <v>1.2622632053440992E-4</v>
          </cell>
          <cell r="DZ33">
            <v>3.0294316928258379E-3</v>
          </cell>
          <cell r="EA33">
            <v>3.0294316928258379E-3</v>
          </cell>
          <cell r="EB33">
            <v>3.0294316928258379E-3</v>
          </cell>
          <cell r="EC33">
            <v>3.0294316928258379E-3</v>
          </cell>
          <cell r="ED33">
            <v>6.90710425964291E-5</v>
          </cell>
          <cell r="EI33" t="str">
            <v>AH_SU</v>
          </cell>
          <cell r="EK33" t="str">
            <v>Seldom-used units</v>
          </cell>
          <cell r="EL33">
            <v>4.6584299999999995E-2</v>
          </cell>
          <cell r="EM33" t="str">
            <v>lb/gal</v>
          </cell>
          <cell r="EP33">
            <v>2.7728749999999996E-2</v>
          </cell>
          <cell r="EQ33">
            <v>0.66548999999999991</v>
          </cell>
          <cell r="ER33">
            <v>0.66548999999999991</v>
          </cell>
          <cell r="ES33">
            <v>0.66548999999999991</v>
          </cell>
          <cell r="ET33">
            <v>0.66548999999999991</v>
          </cell>
          <cell r="EU33">
            <v>1.5173171999999995E-2</v>
          </cell>
          <cell r="EZ33" t="str">
            <v>AH_SU</v>
          </cell>
          <cell r="FB33" t="str">
            <v>Seldom-used units</v>
          </cell>
          <cell r="FC33">
            <v>0</v>
          </cell>
          <cell r="FD33" t="str">
            <v>lb/gal</v>
          </cell>
          <cell r="FG33">
            <v>0</v>
          </cell>
          <cell r="FH33">
            <v>0</v>
          </cell>
          <cell r="FI33">
            <v>0</v>
          </cell>
          <cell r="FJ33">
            <v>0</v>
          </cell>
          <cell r="FK33">
            <v>0</v>
          </cell>
          <cell r="FL33">
            <v>0</v>
          </cell>
        </row>
        <row r="34">
          <cell r="X34" t="str">
            <v>ANCHOR HANDLER -</v>
          </cell>
          <cell r="Y34" t="str">
            <v>SUBTOTAL</v>
          </cell>
          <cell r="AA34">
            <v>33210.156426092064</v>
          </cell>
          <cell r="AC34">
            <v>33210.156426092064</v>
          </cell>
          <cell r="AE34">
            <v>33210.156426092064</v>
          </cell>
        </row>
        <row r="35">
          <cell r="S35" t="str">
            <v>Resupply Ship - transit mode</v>
          </cell>
          <cell r="BC35" t="str">
            <v>Resupply Ship - transit mode</v>
          </cell>
          <cell r="BT35" t="str">
            <v>Resupply Ship - transit mode</v>
          </cell>
          <cell r="CK35" t="str">
            <v>Resupply Ship - transit mode</v>
          </cell>
          <cell r="DB35" t="str">
            <v>Resupply Ship - transit mode</v>
          </cell>
          <cell r="DS35" t="str">
            <v>Resupply Ship - transit mode</v>
          </cell>
          <cell r="EJ35" t="str">
            <v>Resupply Ship - transit mode</v>
          </cell>
          <cell r="FA35" t="str">
            <v>Resupply Ship - transit mode</v>
          </cell>
        </row>
        <row r="36">
          <cell r="R36" t="str">
            <v>RST_P&amp;G</v>
          </cell>
          <cell r="T36" t="str">
            <v>Propulsion &amp; Generation</v>
          </cell>
          <cell r="U36">
            <v>12000</v>
          </cell>
          <cell r="V36" t="str">
            <v>hp</v>
          </cell>
          <cell r="W36">
            <v>84</v>
          </cell>
          <cell r="X36">
            <v>631.11391606184918</v>
          </cell>
          <cell r="Z36">
            <v>159.7176</v>
          </cell>
          <cell r="AA36">
            <v>1200</v>
          </cell>
          <cell r="AB36">
            <v>159.7176</v>
          </cell>
          <cell r="AC36">
            <v>1200</v>
          </cell>
          <cell r="AD36">
            <v>159.7176</v>
          </cell>
          <cell r="AE36">
            <v>1200</v>
          </cell>
          <cell r="BB36" t="str">
            <v>RST_P&amp;G</v>
          </cell>
          <cell r="BD36" t="str">
            <v>Propulsion &amp; Generation</v>
          </cell>
          <cell r="BE36">
            <v>0.58696218</v>
          </cell>
          <cell r="BF36" t="str">
            <v>lb/gal</v>
          </cell>
          <cell r="BH36">
            <v>370.44</v>
          </cell>
          <cell r="BI36">
            <v>0</v>
          </cell>
          <cell r="BJ36">
            <v>704.35461599999996</v>
          </cell>
          <cell r="BK36">
            <v>0</v>
          </cell>
          <cell r="BL36">
            <v>0</v>
          </cell>
          <cell r="BM36">
            <v>0</v>
          </cell>
          <cell r="BN36">
            <v>16.904510783999999</v>
          </cell>
          <cell r="BS36" t="str">
            <v>RST_P&amp;G</v>
          </cell>
          <cell r="BU36" t="str">
            <v>Propulsion &amp; Generation</v>
          </cell>
          <cell r="BV36">
            <v>1.5641316688572514E-2</v>
          </cell>
          <cell r="BW36" t="str">
            <v>lb/gal</v>
          </cell>
          <cell r="BY36">
            <v>9.871452627688555</v>
          </cell>
          <cell r="BZ36">
            <v>0</v>
          </cell>
          <cell r="CA36">
            <v>18.769580026287016</v>
          </cell>
          <cell r="CB36">
            <v>0</v>
          </cell>
          <cell r="CC36">
            <v>0</v>
          </cell>
          <cell r="CD36">
            <v>0</v>
          </cell>
          <cell r="CE36">
            <v>0.45046992063088842</v>
          </cell>
          <cell r="CJ36" t="str">
            <v>RST_P&amp;G</v>
          </cell>
          <cell r="CL36" t="str">
            <v>Propulsion &amp; Generation</v>
          </cell>
          <cell r="CM36">
            <v>1.5641316688572514E-2</v>
          </cell>
          <cell r="CN36" t="str">
            <v>lb/gal</v>
          </cell>
          <cell r="CP36">
            <v>9.871452627688555</v>
          </cell>
          <cell r="CQ36">
            <v>0</v>
          </cell>
          <cell r="CR36">
            <v>18.769580026287016</v>
          </cell>
          <cell r="CS36">
            <v>0</v>
          </cell>
          <cell r="CT36">
            <v>0</v>
          </cell>
          <cell r="CU36">
            <v>0</v>
          </cell>
          <cell r="CV36">
            <v>0.45046992063088842</v>
          </cell>
          <cell r="DA36" t="str">
            <v>RST_P&amp;G</v>
          </cell>
          <cell r="DC36" t="str">
            <v>Propulsion &amp; Generation</v>
          </cell>
          <cell r="DD36">
            <v>0.12644309999999997</v>
          </cell>
          <cell r="DE36" t="str">
            <v>lb/gal</v>
          </cell>
          <cell r="DG36">
            <v>79.799999999999983</v>
          </cell>
          <cell r="DH36">
            <v>0</v>
          </cell>
          <cell r="DI36">
            <v>151.73171999999997</v>
          </cell>
          <cell r="DJ36">
            <v>0</v>
          </cell>
          <cell r="DK36">
            <v>0</v>
          </cell>
          <cell r="DL36">
            <v>0</v>
          </cell>
          <cell r="DM36">
            <v>3.6415612799999995</v>
          </cell>
          <cell r="DR36" t="str">
            <v>RST_P&amp;G</v>
          </cell>
          <cell r="DT36" t="str">
            <v>Propulsion &amp; Generation</v>
          </cell>
          <cell r="DU36">
            <v>2.1206021849780866E-4</v>
          </cell>
          <cell r="DV36" t="str">
            <v>lb/gal</v>
          </cell>
          <cell r="DX36">
            <v>0.13383415493708342</v>
          </cell>
          <cell r="DY36">
            <v>0</v>
          </cell>
          <cell r="DZ36">
            <v>0.2544722621973704</v>
          </cell>
          <cell r="EA36">
            <v>0</v>
          </cell>
          <cell r="EB36">
            <v>0</v>
          </cell>
          <cell r="EC36">
            <v>0</v>
          </cell>
          <cell r="ED36">
            <v>6.1073342927368893E-3</v>
          </cell>
          <cell r="EI36" t="str">
            <v>RST_P&amp;G</v>
          </cell>
          <cell r="EK36" t="str">
            <v>Propulsion &amp; Generation</v>
          </cell>
          <cell r="EL36">
            <v>4.6584299999999995E-2</v>
          </cell>
          <cell r="EM36" t="str">
            <v>lb/gal</v>
          </cell>
          <cell r="EO36">
            <v>29.4</v>
          </cell>
          <cell r="EP36">
            <v>0</v>
          </cell>
          <cell r="EQ36">
            <v>55.901159999999997</v>
          </cell>
          <cell r="ER36">
            <v>0</v>
          </cell>
          <cell r="ES36">
            <v>0</v>
          </cell>
          <cell r="ET36">
            <v>0</v>
          </cell>
          <cell r="EU36">
            <v>1.3416278399999999</v>
          </cell>
          <cell r="EZ36" t="str">
            <v>RST_P&amp;G</v>
          </cell>
          <cell r="FB36" t="str">
            <v>Propulsion &amp; Generation</v>
          </cell>
          <cell r="FC36">
            <v>0</v>
          </cell>
          <cell r="FD36" t="str">
            <v>lb/gal</v>
          </cell>
          <cell r="FF36">
            <v>0</v>
          </cell>
          <cell r="FG36">
            <v>0</v>
          </cell>
          <cell r="FH36">
            <v>0</v>
          </cell>
          <cell r="FI36">
            <v>0</v>
          </cell>
          <cell r="FJ36">
            <v>0</v>
          </cell>
          <cell r="FK36">
            <v>0</v>
          </cell>
          <cell r="FL36">
            <v>0</v>
          </cell>
        </row>
        <row r="37">
          <cell r="S37" t="str">
            <v>Resupply Ship - DP mode</v>
          </cell>
          <cell r="BC37" t="str">
            <v>Resupply Ship - DP mode</v>
          </cell>
          <cell r="BT37" t="str">
            <v>Resupply Ship - DP mode</v>
          </cell>
          <cell r="CK37" t="str">
            <v>Resupply Ship - DP mode</v>
          </cell>
          <cell r="DB37" t="str">
            <v>Resupply Ship - DP mode</v>
          </cell>
          <cell r="DS37" t="str">
            <v>Resupply Ship - DP mode</v>
          </cell>
          <cell r="EJ37" t="str">
            <v>Resupply Ship - DP mode</v>
          </cell>
          <cell r="FA37" t="str">
            <v>Resupply Ship - DP mode</v>
          </cell>
        </row>
        <row r="38">
          <cell r="R38" t="str">
            <v>RSD_P&amp;G</v>
          </cell>
          <cell r="T38" t="str">
            <v>Propulsion &amp; Generation</v>
          </cell>
          <cell r="U38">
            <v>12000</v>
          </cell>
          <cell r="V38" t="str">
            <v>hp</v>
          </cell>
          <cell r="W38">
            <v>84</v>
          </cell>
          <cell r="X38">
            <v>631.11391606184918</v>
          </cell>
          <cell r="Z38">
            <v>638.87040000000002</v>
          </cell>
          <cell r="AA38">
            <v>4800</v>
          </cell>
          <cell r="AB38">
            <v>638.87040000000002</v>
          </cell>
          <cell r="AC38">
            <v>4800</v>
          </cell>
          <cell r="AD38">
            <v>638.87040000000002</v>
          </cell>
          <cell r="AE38">
            <v>4800</v>
          </cell>
          <cell r="BB38" t="str">
            <v>RSD_P&amp;G</v>
          </cell>
          <cell r="BC38" t="str">
            <v/>
          </cell>
          <cell r="BD38" t="str">
            <v>Propulsion &amp; Generation</v>
          </cell>
          <cell r="BE38">
            <v>0.58696218</v>
          </cell>
          <cell r="BF38" t="str">
            <v>lb/gal</v>
          </cell>
          <cell r="BI38">
            <v>370.44</v>
          </cell>
          <cell r="BJ38">
            <v>2817.4184639999999</v>
          </cell>
          <cell r="BK38">
            <v>2817.4184639999999</v>
          </cell>
          <cell r="BL38">
            <v>2817.4184639999999</v>
          </cell>
          <cell r="BM38">
            <v>2817.4184639999999</v>
          </cell>
          <cell r="BN38">
            <v>33.809021567999999</v>
          </cell>
          <cell r="BS38" t="str">
            <v>RSD_P&amp;G</v>
          </cell>
          <cell r="BT38" t="str">
            <v/>
          </cell>
          <cell r="BU38" t="str">
            <v>Propulsion &amp; Generation</v>
          </cell>
          <cell r="BV38">
            <v>1.5641316688572514E-2</v>
          </cell>
          <cell r="BW38" t="str">
            <v>lb/gal</v>
          </cell>
          <cell r="BZ38">
            <v>9.871452627688555</v>
          </cell>
          <cell r="CA38">
            <v>75.078320105148066</v>
          </cell>
          <cell r="CB38">
            <v>75.078320105148066</v>
          </cell>
          <cell r="CC38">
            <v>75.078320105148066</v>
          </cell>
          <cell r="CD38">
            <v>75.078320105148066</v>
          </cell>
          <cell r="CE38">
            <v>0.90093984126177684</v>
          </cell>
          <cell r="CJ38" t="str">
            <v>RSD_P&amp;G</v>
          </cell>
          <cell r="CK38" t="str">
            <v/>
          </cell>
          <cell r="CL38" t="str">
            <v>Propulsion &amp; Generation</v>
          </cell>
          <cell r="CM38">
            <v>1.5641316688572514E-2</v>
          </cell>
          <cell r="CN38" t="str">
            <v>lb/gal</v>
          </cell>
          <cell r="CQ38">
            <v>9.871452627688555</v>
          </cell>
          <cell r="CR38">
            <v>75.078320105148066</v>
          </cell>
          <cell r="CS38">
            <v>75.078320105148066</v>
          </cell>
          <cell r="CT38">
            <v>75.078320105148066</v>
          </cell>
          <cell r="CU38">
            <v>75.078320105148066</v>
          </cell>
          <cell r="CV38">
            <v>0.90093984126177684</v>
          </cell>
          <cell r="DA38" t="str">
            <v>RSD_P&amp;G</v>
          </cell>
          <cell r="DC38" t="str">
            <v>Propulsion &amp; Generation</v>
          </cell>
          <cell r="DD38">
            <v>0.12644309999999997</v>
          </cell>
          <cell r="DE38" t="str">
            <v>lb/gal</v>
          </cell>
          <cell r="DH38">
            <v>79.799999999999983</v>
          </cell>
          <cell r="DI38">
            <v>606.92687999999987</v>
          </cell>
          <cell r="DJ38">
            <v>606.92687999999987</v>
          </cell>
          <cell r="DK38">
            <v>606.92687999999987</v>
          </cell>
          <cell r="DL38">
            <v>606.92687999999987</v>
          </cell>
          <cell r="DM38">
            <v>7.2831225599999989</v>
          </cell>
          <cell r="DR38" t="str">
            <v>RSD_P&amp;G</v>
          </cell>
          <cell r="DS38" t="str">
            <v/>
          </cell>
          <cell r="DT38" t="str">
            <v>Propulsion &amp; Generation</v>
          </cell>
          <cell r="DU38">
            <v>2.1206021849780866E-4</v>
          </cell>
          <cell r="DV38" t="str">
            <v>lb/gal</v>
          </cell>
          <cell r="DY38">
            <v>0.13383415493708342</v>
          </cell>
          <cell r="DZ38">
            <v>1.0178890487894816</v>
          </cell>
          <cell r="EA38">
            <v>1.0178890487894816</v>
          </cell>
          <cell r="EB38">
            <v>1.0178890487894816</v>
          </cell>
          <cell r="EC38">
            <v>1.0178890487894816</v>
          </cell>
          <cell r="ED38">
            <v>1.2214668585473779E-2</v>
          </cell>
          <cell r="EI38" t="str">
            <v>RSD_P&amp;G</v>
          </cell>
          <cell r="EJ38" t="str">
            <v/>
          </cell>
          <cell r="EK38" t="str">
            <v>Propulsion &amp; Generation</v>
          </cell>
          <cell r="EL38">
            <v>4.6584299999999995E-2</v>
          </cell>
          <cell r="EM38" t="str">
            <v>lb/gal</v>
          </cell>
          <cell r="EP38">
            <v>29.4</v>
          </cell>
          <cell r="EQ38">
            <v>223.60463999999999</v>
          </cell>
          <cell r="ER38">
            <v>223.60463999999999</v>
          </cell>
          <cell r="ES38">
            <v>223.60463999999999</v>
          </cell>
          <cell r="ET38">
            <v>223.60463999999999</v>
          </cell>
          <cell r="EU38">
            <v>2.6832556799999998</v>
          </cell>
          <cell r="EZ38" t="str">
            <v>RSD_P&amp;G</v>
          </cell>
          <cell r="FA38" t="str">
            <v/>
          </cell>
          <cell r="FB38" t="str">
            <v>Propulsion &amp; Generation</v>
          </cell>
          <cell r="FC38">
            <v>0</v>
          </cell>
          <cell r="FD38" t="str">
            <v>lb/gal</v>
          </cell>
          <cell r="FG38">
            <v>0</v>
          </cell>
          <cell r="FH38">
            <v>0</v>
          </cell>
          <cell r="FI38">
            <v>0</v>
          </cell>
          <cell r="FJ38">
            <v>0</v>
          </cell>
          <cell r="FK38">
            <v>0</v>
          </cell>
          <cell r="FL38">
            <v>0</v>
          </cell>
        </row>
        <row r="39">
          <cell r="X39" t="str">
            <v>RESUPPLY SHIPS -</v>
          </cell>
          <cell r="Y39" t="str">
            <v>SUBTOTAL</v>
          </cell>
          <cell r="AA39">
            <v>6000</v>
          </cell>
          <cell r="AC39">
            <v>6000</v>
          </cell>
          <cell r="AE39">
            <v>6000</v>
          </cell>
        </row>
        <row r="40">
          <cell r="S40" t="str">
            <v>OSR vessel</v>
          </cell>
          <cell r="BC40" t="str">
            <v>OSR vessel</v>
          </cell>
          <cell r="BT40" t="str">
            <v>OSR vessel</v>
          </cell>
          <cell r="CK40" t="str">
            <v>OSR vessel</v>
          </cell>
          <cell r="DB40" t="str">
            <v>OSR vessel</v>
          </cell>
          <cell r="DS40" t="str">
            <v>OSR vessel</v>
          </cell>
          <cell r="EJ40" t="str">
            <v>OSR vessel</v>
          </cell>
          <cell r="FA40" t="str">
            <v>OSR vessel</v>
          </cell>
        </row>
        <row r="41">
          <cell r="R41" t="str">
            <v>OSR_P&amp;G</v>
          </cell>
          <cell r="T41" t="str">
            <v>Propulsion &amp; Generation</v>
          </cell>
          <cell r="U41">
            <v>9838.2727638460492</v>
          </cell>
          <cell r="V41" t="str">
            <v>hp</v>
          </cell>
          <cell r="W41">
            <v>21.07385</v>
          </cell>
          <cell r="X41">
            <v>158.33333333333334</v>
          </cell>
          <cell r="Z41">
            <v>505.7724</v>
          </cell>
          <cell r="AA41">
            <v>3800</v>
          </cell>
          <cell r="AB41">
            <v>505.7724</v>
          </cell>
          <cell r="AC41">
            <v>3800</v>
          </cell>
          <cell r="AD41">
            <v>505.7724</v>
          </cell>
          <cell r="AE41">
            <v>3800</v>
          </cell>
          <cell r="BB41" t="str">
            <v>OSR_P&amp;G</v>
          </cell>
          <cell r="BD41" t="str">
            <v>Propulsion &amp; Generation</v>
          </cell>
          <cell r="BE41">
            <v>0.42594433606320686</v>
          </cell>
          <cell r="BF41" t="str">
            <v>lb/gal</v>
          </cell>
          <cell r="BI41">
            <v>67.44118654334109</v>
          </cell>
          <cell r="BJ41">
            <v>1618.588477040186</v>
          </cell>
          <cell r="BK41">
            <v>1618.588477040186</v>
          </cell>
          <cell r="BL41">
            <v>1618.588477040186</v>
          </cell>
          <cell r="BM41">
            <v>1618.588477040186</v>
          </cell>
          <cell r="BN41">
            <v>97.115308622411163</v>
          </cell>
          <cell r="BS41" t="str">
            <v>OSR_P&amp;G</v>
          </cell>
          <cell r="BU41" t="str">
            <v>Propulsion &amp; Generation</v>
          </cell>
          <cell r="BV41">
            <v>7.9770715111719844E-4</v>
          </cell>
          <cell r="BW41" t="str">
            <v>lb/gal</v>
          </cell>
          <cell r="BZ41">
            <v>0.12630363226022309</v>
          </cell>
          <cell r="CA41">
            <v>3.031287174245354</v>
          </cell>
          <cell r="CB41">
            <v>3.031287174245354</v>
          </cell>
          <cell r="CC41">
            <v>3.031287174245354</v>
          </cell>
          <cell r="CD41">
            <v>3.031287174245354</v>
          </cell>
          <cell r="CE41">
            <v>0.18187723045472126</v>
          </cell>
          <cell r="CJ41" t="str">
            <v>OSR_P&amp;G</v>
          </cell>
          <cell r="CL41" t="str">
            <v>Propulsion &amp; Generation</v>
          </cell>
          <cell r="CM41">
            <v>7.9770715111719844E-4</v>
          </cell>
          <cell r="CN41" t="str">
            <v>lb/gal</v>
          </cell>
          <cell r="CQ41">
            <v>0.12630363226022309</v>
          </cell>
          <cell r="CR41">
            <v>3.031287174245354</v>
          </cell>
          <cell r="CS41">
            <v>3.031287174245354</v>
          </cell>
          <cell r="CT41">
            <v>3.031287174245354</v>
          </cell>
          <cell r="CU41">
            <v>3.031287174245354</v>
          </cell>
          <cell r="CV41">
            <v>0.18187723045472126</v>
          </cell>
          <cell r="DA41" t="str">
            <v>OSR_P&amp;G</v>
          </cell>
          <cell r="DC41" t="str">
            <v>Propulsion &amp; Generation</v>
          </cell>
          <cell r="DD41">
            <v>2.2836322365315867E-3</v>
          </cell>
          <cell r="DE41" t="str">
            <v>lb/gal</v>
          </cell>
          <cell r="DH41">
            <v>0.36157510411750127</v>
          </cell>
          <cell r="DI41">
            <v>8.6778024988200286</v>
          </cell>
          <cell r="DJ41">
            <v>8.6778024988200286</v>
          </cell>
          <cell r="DK41">
            <v>8.6778024988200286</v>
          </cell>
          <cell r="DL41">
            <v>8.6778024988200286</v>
          </cell>
          <cell r="DM41">
            <v>0.52066814992920174</v>
          </cell>
          <cell r="DR41" t="str">
            <v>OSR_P&amp;G</v>
          </cell>
          <cell r="DT41" t="str">
            <v>Propulsion &amp; Generation</v>
          </cell>
          <cell r="DU41">
            <v>2.1206021849780866E-4</v>
          </cell>
          <cell r="DV41" t="str">
            <v>lb/gal</v>
          </cell>
          <cell r="DY41">
            <v>3.3576201262153042E-2</v>
          </cell>
          <cell r="DZ41">
            <v>0.80582883029167285</v>
          </cell>
          <cell r="EA41">
            <v>0.80582883029167285</v>
          </cell>
          <cell r="EB41">
            <v>0.80582883029167285</v>
          </cell>
          <cell r="EC41">
            <v>0.80582883029167285</v>
          </cell>
          <cell r="ED41">
            <v>4.8349729817500374E-2</v>
          </cell>
          <cell r="EI41" t="str">
            <v>OSR_P&amp;G</v>
          </cell>
          <cell r="EK41" t="str">
            <v>Propulsion &amp; Generation</v>
          </cell>
          <cell r="EL41">
            <v>3.0969807043373571E-3</v>
          </cell>
          <cell r="EM41" t="str">
            <v>lb/gal</v>
          </cell>
          <cell r="EP41">
            <v>0.49035527818674823</v>
          </cell>
          <cell r="EQ41">
            <v>11.768526676481956</v>
          </cell>
          <cell r="ER41">
            <v>11.768526676481956</v>
          </cell>
          <cell r="ES41">
            <v>11.768526676481956</v>
          </cell>
          <cell r="ET41">
            <v>11.768526676481956</v>
          </cell>
          <cell r="EU41">
            <v>0.70611160058891742</v>
          </cell>
          <cell r="EZ41" t="str">
            <v>OSR_P&amp;G</v>
          </cell>
          <cell r="FB41" t="str">
            <v>Propulsion &amp; Generation</v>
          </cell>
          <cell r="FC41">
            <v>0</v>
          </cell>
          <cell r="FD41" t="str">
            <v>lb/gal</v>
          </cell>
          <cell r="FG41">
            <v>0</v>
          </cell>
          <cell r="FH41">
            <v>0</v>
          </cell>
          <cell r="FI41">
            <v>0</v>
          </cell>
          <cell r="FJ41">
            <v>0</v>
          </cell>
          <cell r="FK41">
            <v>0</v>
          </cell>
          <cell r="FL41">
            <v>0</v>
          </cell>
        </row>
        <row r="42">
          <cell r="R42" t="str">
            <v>OSR_SU</v>
          </cell>
          <cell r="T42" t="str">
            <v>Seldom-used units</v>
          </cell>
          <cell r="U42">
            <v>100</v>
          </cell>
          <cell r="V42" t="str">
            <v>gal/wk</v>
          </cell>
          <cell r="W42">
            <v>7.922499999999999E-2</v>
          </cell>
          <cell r="X42">
            <v>0.59523809523809523</v>
          </cell>
          <cell r="Y42" t="str">
            <v>group limit</v>
          </cell>
          <cell r="Z42">
            <v>1.9013999999999998</v>
          </cell>
          <cell r="AA42">
            <v>14.285714285714285</v>
          </cell>
          <cell r="AB42">
            <v>1.9013999999999998</v>
          </cell>
          <cell r="AC42">
            <v>14.285714285714285</v>
          </cell>
          <cell r="AD42">
            <v>1.9013999999999998</v>
          </cell>
          <cell r="AE42">
            <v>14.285714285714285</v>
          </cell>
          <cell r="BB42" t="str">
            <v>OSR_SU</v>
          </cell>
          <cell r="BD42" t="str">
            <v>Seldom-used units</v>
          </cell>
          <cell r="BE42">
            <v>0.58696218</v>
          </cell>
          <cell r="BF42" t="str">
            <v>lb/gal</v>
          </cell>
          <cell r="BI42">
            <v>0.34938225000000001</v>
          </cell>
          <cell r="BJ42">
            <v>8.3851739999999992</v>
          </cell>
          <cell r="BK42">
            <v>8.3851739999999992</v>
          </cell>
          <cell r="BL42">
            <v>8.3851739999999992</v>
          </cell>
          <cell r="BM42">
            <v>8.3851739999999992</v>
          </cell>
          <cell r="BN42">
            <v>0.50311043999999994</v>
          </cell>
          <cell r="BS42" t="str">
            <v>OSR_SU</v>
          </cell>
          <cell r="BU42" t="str">
            <v>Seldom-used units</v>
          </cell>
          <cell r="BV42">
            <v>4.1260379999999999E-2</v>
          </cell>
          <cell r="BW42" t="str">
            <v>lb/gal</v>
          </cell>
          <cell r="BZ42">
            <v>2.4559749999999998E-2</v>
          </cell>
          <cell r="CA42">
            <v>0.5894339999999999</v>
          </cell>
          <cell r="CB42">
            <v>0.5894339999999999</v>
          </cell>
          <cell r="CC42">
            <v>0.5894339999999999</v>
          </cell>
          <cell r="CD42">
            <v>0.5894339999999999</v>
          </cell>
          <cell r="CE42">
            <v>3.5366040000000001E-2</v>
          </cell>
          <cell r="CJ42" t="str">
            <v>OSR_SU</v>
          </cell>
          <cell r="CL42" t="str">
            <v>Seldom-used units</v>
          </cell>
          <cell r="CM42">
            <v>4.1260379999999999E-2</v>
          </cell>
          <cell r="CN42" t="str">
            <v>lb/gal</v>
          </cell>
          <cell r="CQ42">
            <v>2.4559749999999998E-2</v>
          </cell>
          <cell r="CR42">
            <v>0.5894339999999999</v>
          </cell>
          <cell r="CS42">
            <v>0.5894339999999999</v>
          </cell>
          <cell r="CT42">
            <v>0.5894339999999999</v>
          </cell>
          <cell r="CU42">
            <v>0.5894339999999999</v>
          </cell>
          <cell r="CV42">
            <v>3.5366040000000001E-2</v>
          </cell>
          <cell r="DA42" t="str">
            <v>OSR_SU</v>
          </cell>
          <cell r="DC42" t="str">
            <v>Seldom-used units</v>
          </cell>
          <cell r="DD42">
            <v>0.12644309999999997</v>
          </cell>
          <cell r="DE42" t="str">
            <v>lb/gal</v>
          </cell>
          <cell r="DH42">
            <v>7.526374999999999E-2</v>
          </cell>
          <cell r="DI42">
            <v>1.8063299999999995</v>
          </cell>
          <cell r="DJ42">
            <v>1.8063299999999995</v>
          </cell>
          <cell r="DK42">
            <v>1.8063299999999995</v>
          </cell>
          <cell r="DL42">
            <v>1.8063299999999995</v>
          </cell>
          <cell r="DM42">
            <v>0.10837979999999997</v>
          </cell>
          <cell r="DR42" t="str">
            <v>OSR_SU</v>
          </cell>
          <cell r="DT42" t="str">
            <v>Seldom-used units</v>
          </cell>
          <cell r="DU42">
            <v>2.1206021849780866E-4</v>
          </cell>
          <cell r="DV42" t="str">
            <v>lb/gal</v>
          </cell>
          <cell r="DY42">
            <v>1.2622632053440992E-4</v>
          </cell>
          <cell r="DZ42">
            <v>3.0294316928258379E-3</v>
          </cell>
          <cell r="EA42">
            <v>3.0294316928258379E-3</v>
          </cell>
          <cell r="EB42">
            <v>3.0294316928258379E-3</v>
          </cell>
          <cell r="EC42">
            <v>3.0294316928258379E-3</v>
          </cell>
          <cell r="ED42">
            <v>1.8176590156955026E-4</v>
          </cell>
          <cell r="EI42" t="str">
            <v>OSR_SU</v>
          </cell>
          <cell r="EK42" t="str">
            <v>Seldom-used units</v>
          </cell>
          <cell r="EL42">
            <v>4.6584299999999995E-2</v>
          </cell>
          <cell r="EM42" t="str">
            <v>lb/gal</v>
          </cell>
          <cell r="EP42">
            <v>2.7728749999999996E-2</v>
          </cell>
          <cell r="EQ42">
            <v>0.66548999999999991</v>
          </cell>
          <cell r="ER42">
            <v>0.66548999999999991</v>
          </cell>
          <cell r="ES42">
            <v>0.66548999999999991</v>
          </cell>
          <cell r="ET42">
            <v>0.66548999999999991</v>
          </cell>
          <cell r="EU42">
            <v>3.9929399999999997E-2</v>
          </cell>
          <cell r="EZ42" t="str">
            <v>OSR_SU</v>
          </cell>
          <cell r="FB42" t="str">
            <v>Seldom-used units</v>
          </cell>
          <cell r="FC42">
            <v>0</v>
          </cell>
          <cell r="FD42" t="str">
            <v>lb/gal</v>
          </cell>
          <cell r="FG42">
            <v>0</v>
          </cell>
          <cell r="FH42">
            <v>0</v>
          </cell>
          <cell r="FI42">
            <v>0</v>
          </cell>
          <cell r="FJ42">
            <v>0</v>
          </cell>
          <cell r="FK42">
            <v>0</v>
          </cell>
          <cell r="FL42">
            <v>0</v>
          </cell>
        </row>
        <row r="43">
          <cell r="S43" t="str">
            <v>OSR work boats</v>
          </cell>
          <cell r="BC43" t="str">
            <v>OSR work boats</v>
          </cell>
          <cell r="BT43" t="str">
            <v>OSR work boats</v>
          </cell>
          <cell r="CK43" t="str">
            <v>OSR work boats</v>
          </cell>
          <cell r="DB43" t="str">
            <v>OSR work boats</v>
          </cell>
          <cell r="DS43" t="str">
            <v>OSR work boats</v>
          </cell>
          <cell r="EJ43" t="str">
            <v>OSR work boats</v>
          </cell>
          <cell r="FA43" t="str">
            <v>OSR work boats</v>
          </cell>
        </row>
        <row r="44">
          <cell r="R44" t="str">
            <v>OWB_K</v>
          </cell>
          <cell r="T44" t="str">
            <v>Work Boats</v>
          </cell>
          <cell r="U44">
            <v>2856</v>
          </cell>
          <cell r="V44" t="str">
            <v>gal/wk</v>
          </cell>
          <cell r="W44">
            <v>2.2626659999999998</v>
          </cell>
          <cell r="X44">
            <v>17</v>
          </cell>
          <cell r="Z44">
            <v>54.303984</v>
          </cell>
          <cell r="AA44">
            <v>408</v>
          </cell>
          <cell r="AB44">
            <v>54.303984</v>
          </cell>
          <cell r="AC44">
            <v>408</v>
          </cell>
          <cell r="AD44">
            <v>54.303984</v>
          </cell>
          <cell r="AE44">
            <v>408</v>
          </cell>
          <cell r="BB44" t="str">
            <v>OWB_K</v>
          </cell>
          <cell r="BD44" t="str">
            <v>Work Boats</v>
          </cell>
          <cell r="BE44">
            <v>0.58696218</v>
          </cell>
          <cell r="BF44" t="str">
            <v>lb/gal</v>
          </cell>
          <cell r="BI44">
            <v>9.9783570600000004</v>
          </cell>
          <cell r="BJ44">
            <v>239.48056944000001</v>
          </cell>
          <cell r="BK44">
            <v>239.48056944000001</v>
          </cell>
          <cell r="BL44">
            <v>239.48056944000001</v>
          </cell>
          <cell r="BM44">
            <v>239.48056944000001</v>
          </cell>
          <cell r="BN44">
            <v>14.368834166399999</v>
          </cell>
          <cell r="BS44" t="str">
            <v>OWB_K</v>
          </cell>
          <cell r="BU44" t="str">
            <v>Work Boats</v>
          </cell>
          <cell r="BV44">
            <v>4.1260379999999999E-2</v>
          </cell>
          <cell r="BW44" t="str">
            <v>lb/gal</v>
          </cell>
          <cell r="BZ44">
            <v>0.70142645999999997</v>
          </cell>
          <cell r="CA44">
            <v>16.834235039999999</v>
          </cell>
          <cell r="CB44">
            <v>16.834235039999999</v>
          </cell>
          <cell r="CC44">
            <v>16.834235039999999</v>
          </cell>
          <cell r="CD44">
            <v>16.834235039999999</v>
          </cell>
          <cell r="CE44">
            <v>1.0100541024</v>
          </cell>
          <cell r="CJ44" t="str">
            <v>OWB_K</v>
          </cell>
          <cell r="CL44" t="str">
            <v>Work Boats</v>
          </cell>
          <cell r="CM44">
            <v>4.1260379999999999E-2</v>
          </cell>
          <cell r="CN44" t="str">
            <v>lb/gal</v>
          </cell>
          <cell r="CQ44">
            <v>0.70142645999999997</v>
          </cell>
          <cell r="CR44">
            <v>16.834235039999999</v>
          </cell>
          <cell r="CS44">
            <v>16.834235039999999</v>
          </cell>
          <cell r="CT44">
            <v>16.834235039999999</v>
          </cell>
          <cell r="CU44">
            <v>16.834235039999999</v>
          </cell>
          <cell r="CV44">
            <v>1.0100541024</v>
          </cell>
          <cell r="DA44" t="str">
            <v>OWB_K</v>
          </cell>
          <cell r="DC44" t="str">
            <v>Work Boats</v>
          </cell>
          <cell r="DD44">
            <v>0.12644309999999997</v>
          </cell>
          <cell r="DE44" t="str">
            <v>lb/gal</v>
          </cell>
          <cell r="DH44">
            <v>2.1495326999999995</v>
          </cell>
          <cell r="DI44">
            <v>51.588784799999992</v>
          </cell>
          <cell r="DJ44">
            <v>51.588784799999992</v>
          </cell>
          <cell r="DK44">
            <v>51.588784799999992</v>
          </cell>
          <cell r="DL44">
            <v>51.588784799999992</v>
          </cell>
          <cell r="DM44">
            <v>3.0953270879999994</v>
          </cell>
          <cell r="DR44" t="str">
            <v>OWB_K</v>
          </cell>
          <cell r="DT44" t="str">
            <v>Work Boats</v>
          </cell>
          <cell r="DU44">
            <v>2.1206021849780866E-4</v>
          </cell>
          <cell r="DV44" t="str">
            <v>lb/gal</v>
          </cell>
          <cell r="DY44">
            <v>3.6050237144627474E-3</v>
          </cell>
          <cell r="DZ44">
            <v>8.652056914710593E-2</v>
          </cell>
          <cell r="EA44">
            <v>8.652056914710593E-2</v>
          </cell>
          <cell r="EB44">
            <v>8.652056914710593E-2</v>
          </cell>
          <cell r="EC44">
            <v>8.652056914710593E-2</v>
          </cell>
          <cell r="ED44">
            <v>5.1912341488263561E-3</v>
          </cell>
          <cell r="EI44" t="str">
            <v>OWB_K</v>
          </cell>
          <cell r="EK44" t="str">
            <v>Work Boats</v>
          </cell>
          <cell r="EL44">
            <v>4.6584299999999995E-2</v>
          </cell>
          <cell r="EM44" t="str">
            <v>lb/gal</v>
          </cell>
          <cell r="EP44">
            <v>0.79193309999999995</v>
          </cell>
          <cell r="EQ44">
            <v>19.006394399999998</v>
          </cell>
          <cell r="ER44">
            <v>19.006394399999998</v>
          </cell>
          <cell r="ES44">
            <v>19.006394399999998</v>
          </cell>
          <cell r="ET44">
            <v>19.006394399999998</v>
          </cell>
          <cell r="EU44">
            <v>1.140383664</v>
          </cell>
          <cell r="EZ44" t="str">
            <v>OWB_K</v>
          </cell>
          <cell r="FB44" t="str">
            <v>Work Boats</v>
          </cell>
          <cell r="FC44">
            <v>0</v>
          </cell>
          <cell r="FD44" t="str">
            <v>lb/gal</v>
          </cell>
          <cell r="FG44">
            <v>0</v>
          </cell>
          <cell r="FH44">
            <v>0</v>
          </cell>
          <cell r="FI44">
            <v>0</v>
          </cell>
          <cell r="FJ44">
            <v>0</v>
          </cell>
          <cell r="FK44">
            <v>0</v>
          </cell>
          <cell r="FL44">
            <v>0</v>
          </cell>
        </row>
        <row r="45">
          <cell r="X45" t="str">
            <v>OSR SHIPS -</v>
          </cell>
          <cell r="Y45" t="str">
            <v>SUBTOTAL</v>
          </cell>
          <cell r="AA45">
            <v>4222.2857142857138</v>
          </cell>
          <cell r="AC45">
            <v>4222.2857142857138</v>
          </cell>
          <cell r="AE45">
            <v>4222.2857142857138</v>
          </cell>
        </row>
        <row r="46">
          <cell r="R46" t="str">
            <v>TOTAL</v>
          </cell>
          <cell r="Y46" t="str">
            <v>Total daily use</v>
          </cell>
          <cell r="AA46">
            <v>88947.568588558817</v>
          </cell>
          <cell r="AC46">
            <v>86953.248613803386</v>
          </cell>
          <cell r="AE46">
            <v>85239.673353468883</v>
          </cell>
          <cell r="BB46" t="str">
            <v>TOTAL</v>
          </cell>
          <cell r="BC46" t="str">
            <v>TOTAL</v>
          </cell>
          <cell r="BI46">
            <v>634.43786218384219</v>
          </cell>
          <cell r="BJ46">
            <v>9364.2168975011064</v>
          </cell>
          <cell r="BK46">
            <v>8478.7143879243158</v>
          </cell>
          <cell r="BL46">
            <v>8229.1640654963503</v>
          </cell>
          <cell r="BM46">
            <v>8377.351178749288</v>
          </cell>
          <cell r="BN46">
            <v>257.84967022701153</v>
          </cell>
          <cell r="BS46" t="str">
            <v>TOTAL</v>
          </cell>
          <cell r="BT46" t="str">
            <v>TOTAL</v>
          </cell>
          <cell r="BZ46">
            <v>35.343651898992746</v>
          </cell>
          <cell r="CA46">
            <v>674.26263026681374</v>
          </cell>
          <cell r="CB46">
            <v>651.46414241541299</v>
          </cell>
          <cell r="CC46">
            <v>646.60738772259026</v>
          </cell>
          <cell r="CD46">
            <v>642.26425734544534</v>
          </cell>
          <cell r="CE46">
            <v>16.450646931645935</v>
          </cell>
          <cell r="CJ46" t="str">
            <v>TOTAL</v>
          </cell>
          <cell r="CK46" t="str">
            <v>TOTAL</v>
          </cell>
          <cell r="CQ46">
            <v>35.343651898992746</v>
          </cell>
          <cell r="CR46">
            <v>674.26263026681374</v>
          </cell>
          <cell r="CS46">
            <v>651.46414241541299</v>
          </cell>
          <cell r="CT46">
            <v>646.60738772259026</v>
          </cell>
          <cell r="CU46">
            <v>642.26425734544534</v>
          </cell>
          <cell r="CV46">
            <v>16.450646931645935</v>
          </cell>
          <cell r="DA46" t="str">
            <v>TOTAL</v>
          </cell>
          <cell r="DB46" t="str">
            <v>TOTAL</v>
          </cell>
          <cell r="DH46">
            <v>154.98700579827675</v>
          </cell>
          <cell r="DI46">
            <v>2468.392754925037</v>
          </cell>
          <cell r="DJ46">
            <v>2307.3445316725906</v>
          </cell>
          <cell r="DK46">
            <v>2214.2054018398235</v>
          </cell>
          <cell r="DL46">
            <v>2211.7219457363303</v>
          </cell>
          <cell r="DM46">
            <v>53.278799068476253</v>
          </cell>
          <cell r="DR46" t="str">
            <v>TOTAL</v>
          </cell>
          <cell r="DS46" t="str">
            <v>TOTAL</v>
          </cell>
          <cell r="DY46">
            <v>0.87838569259200527</v>
          </cell>
          <cell r="DZ46">
            <v>18.945731928954558</v>
          </cell>
          <cell r="EA46">
            <v>18.607768567541239</v>
          </cell>
          <cell r="EB46">
            <v>18.184852637940054</v>
          </cell>
          <cell r="EC46">
            <v>17.821471493821079</v>
          </cell>
          <cell r="ED46">
            <v>0.51744081020698707</v>
          </cell>
          <cell r="EI46" t="str">
            <v>TOTAL</v>
          </cell>
          <cell r="EJ46" t="str">
            <v>TOTAL</v>
          </cell>
          <cell r="EP46">
            <v>52.861547238262666</v>
          </cell>
          <cell r="EQ46">
            <v>807.7718783048914</v>
          </cell>
          <cell r="ER46">
            <v>746.71791479918318</v>
          </cell>
          <cell r="ES46">
            <v>497.16759237121647</v>
          </cell>
          <cell r="ET46">
            <v>500.80419998202746</v>
          </cell>
          <cell r="EU46">
            <v>14.212617543592343</v>
          </cell>
          <cell r="EZ46" t="str">
            <v>TOTAL</v>
          </cell>
          <cell r="FA46" t="str">
            <v>TOTAL</v>
          </cell>
          <cell r="FG46">
            <v>0.78124275266757026</v>
          </cell>
          <cell r="FH46">
            <v>18.749826064021683</v>
          </cell>
          <cell r="FI46">
            <v>18.749826064021683</v>
          </cell>
          <cell r="FJ46">
            <v>18.749826064021683</v>
          </cell>
          <cell r="FK46">
            <v>17.822208153578973</v>
          </cell>
          <cell r="FL46">
            <v>0.52004579835300724</v>
          </cell>
        </row>
        <row r="54">
          <cell r="FA54" t="str">
            <v>INCINERATOR EMISSIONS</v>
          </cell>
        </row>
        <row r="55">
          <cell r="FH55" t="str">
            <v>NH3</v>
          </cell>
          <cell r="FJ55" t="str">
            <v>NH3</v>
          </cell>
          <cell r="FL55" t="str">
            <v>NH3</v>
          </cell>
        </row>
        <row r="56">
          <cell r="FB56" t="str">
            <v>Source</v>
          </cell>
          <cell r="FC56" t="str">
            <v>Emission Factor</v>
          </cell>
          <cell r="FD56" t="str">
            <v>unit</v>
          </cell>
          <cell r="FH56" t="str">
            <v>lb/hr</v>
          </cell>
          <cell r="FJ56" t="str">
            <v>lb/day</v>
          </cell>
          <cell r="FL56" t="str">
            <v>ton/year</v>
          </cell>
        </row>
        <row r="57">
          <cell r="BC57" t="str">
            <v>Incinerators</v>
          </cell>
          <cell r="BT57" t="str">
            <v>Incinerators</v>
          </cell>
          <cell r="CK57" t="str">
            <v>Incinerators</v>
          </cell>
          <cell r="DB57" t="str">
            <v>Incinerators</v>
          </cell>
          <cell r="DS57" t="str">
            <v>Incinerators</v>
          </cell>
          <cell r="EJ57" t="str">
            <v>Incinerators</v>
          </cell>
          <cell r="FA57" t="str">
            <v>Incinerators</v>
          </cell>
        </row>
        <row r="58">
          <cell r="BC58" t="str">
            <v>I_D</v>
          </cell>
          <cell r="BD58" t="str">
            <v>Discoverer</v>
          </cell>
          <cell r="BE58">
            <v>5</v>
          </cell>
          <cell r="BF58" t="str">
            <v>lb/ton</v>
          </cell>
          <cell r="BJ58">
            <v>0.69000000000000006</v>
          </cell>
          <cell r="BL58">
            <v>3.25</v>
          </cell>
          <cell r="BN58">
            <v>0.19500000000000001</v>
          </cell>
          <cell r="BT58" t="str">
            <v>I_D</v>
          </cell>
          <cell r="BU58" t="str">
            <v>Discoverer</v>
          </cell>
          <cell r="BV58">
            <v>7</v>
          </cell>
          <cell r="BW58" t="str">
            <v>lb/ton</v>
          </cell>
          <cell r="CA58">
            <v>0.96600000000000008</v>
          </cell>
          <cell r="CC58">
            <v>4.55</v>
          </cell>
          <cell r="CE58">
            <v>0.27300000000000002</v>
          </cell>
          <cell r="CK58" t="str">
            <v>I_D</v>
          </cell>
          <cell r="CL58" t="str">
            <v>Discoverer</v>
          </cell>
          <cell r="CM58">
            <v>8.1999999999999993</v>
          </cell>
          <cell r="CN58" t="str">
            <v>lb/ton</v>
          </cell>
          <cell r="CR58">
            <v>1.1315999999999999</v>
          </cell>
          <cell r="CT58">
            <v>5.33</v>
          </cell>
          <cell r="CV58">
            <v>0.31979999999999997</v>
          </cell>
          <cell r="DB58" t="str">
            <v>I_D</v>
          </cell>
          <cell r="DC58" t="str">
            <v>Discoverer</v>
          </cell>
          <cell r="DD58">
            <v>31</v>
          </cell>
          <cell r="DE58" t="str">
            <v>lb/ton</v>
          </cell>
          <cell r="DI58">
            <v>4.2780000000000005</v>
          </cell>
          <cell r="DK58">
            <v>20.150000000000002</v>
          </cell>
          <cell r="DM58">
            <v>1.2090000000000001</v>
          </cell>
          <cell r="DS58" t="str">
            <v>I_D</v>
          </cell>
          <cell r="DT58" t="str">
            <v>Discoverer</v>
          </cell>
          <cell r="DU58">
            <v>2.5</v>
          </cell>
          <cell r="DV58" t="str">
            <v>lb/ton</v>
          </cell>
          <cell r="DZ58">
            <v>0.34500000000000003</v>
          </cell>
          <cell r="EB58">
            <v>1.625</v>
          </cell>
          <cell r="ED58">
            <v>9.7500000000000003E-2</v>
          </cell>
          <cell r="EJ58" t="str">
            <v>I_D</v>
          </cell>
          <cell r="EK58" t="str">
            <v>Discoverer</v>
          </cell>
          <cell r="EL58">
            <v>3</v>
          </cell>
          <cell r="EM58" t="str">
            <v>lb/ton</v>
          </cell>
          <cell r="EQ58">
            <v>0.41400000000000003</v>
          </cell>
          <cell r="ES58">
            <v>1.9500000000000002</v>
          </cell>
          <cell r="EU58">
            <v>0.11700000000000001</v>
          </cell>
          <cell r="FA58" t="str">
            <v>I_D</v>
          </cell>
          <cell r="FB58" t="str">
            <v>Discoverer</v>
          </cell>
          <cell r="FC58">
            <v>0</v>
          </cell>
          <cell r="FD58" t="str">
            <v>lb/ton</v>
          </cell>
          <cell r="FH58">
            <v>0</v>
          </cell>
          <cell r="FJ58">
            <v>0</v>
          </cell>
          <cell r="FL58">
            <v>0</v>
          </cell>
        </row>
        <row r="59">
          <cell r="BC59" t="str">
            <v>I_IB</v>
          </cell>
          <cell r="BD59" t="str">
            <v>Ice Management</v>
          </cell>
          <cell r="BE59">
            <v>5</v>
          </cell>
          <cell r="BF59" t="str">
            <v>lb/ton</v>
          </cell>
          <cell r="BJ59">
            <v>0.38500000000000001</v>
          </cell>
          <cell r="BL59">
            <v>9.24</v>
          </cell>
          <cell r="BN59">
            <v>0.21067199999999997</v>
          </cell>
          <cell r="BT59" t="str">
            <v>I_IB</v>
          </cell>
          <cell r="BU59" t="str">
            <v>Ice Management</v>
          </cell>
          <cell r="BV59">
            <v>9.1</v>
          </cell>
          <cell r="BW59" t="str">
            <v>lb/ton</v>
          </cell>
          <cell r="CA59">
            <v>0.70069999999999999</v>
          </cell>
          <cell r="CC59">
            <v>16.816800000000001</v>
          </cell>
          <cell r="CE59">
            <v>0.38342303999999988</v>
          </cell>
          <cell r="CK59" t="str">
            <v>I_IB</v>
          </cell>
          <cell r="CL59" t="str">
            <v>Ice Management</v>
          </cell>
          <cell r="CM59">
            <v>13.3</v>
          </cell>
          <cell r="CN59" t="str">
            <v>lb/ton</v>
          </cell>
          <cell r="CR59">
            <v>1.0241</v>
          </cell>
          <cell r="CT59">
            <v>24.578400000000002</v>
          </cell>
          <cell r="CV59">
            <v>0.56038751999999992</v>
          </cell>
          <cell r="DB59" t="str">
            <v>I_IB</v>
          </cell>
          <cell r="DC59" t="str">
            <v>Ice Management</v>
          </cell>
          <cell r="DD59">
            <v>300</v>
          </cell>
          <cell r="DE59" t="str">
            <v>lb/ton</v>
          </cell>
          <cell r="DI59">
            <v>23.1</v>
          </cell>
          <cell r="DK59">
            <v>554.4</v>
          </cell>
          <cell r="DM59">
            <v>12.640319999999997</v>
          </cell>
          <cell r="DS59" t="str">
            <v>I_IB</v>
          </cell>
          <cell r="DT59" t="str">
            <v>Ice Management</v>
          </cell>
          <cell r="DU59">
            <v>2.5</v>
          </cell>
          <cell r="DV59" t="str">
            <v>lb/ton</v>
          </cell>
          <cell r="DZ59">
            <v>0.1925</v>
          </cell>
          <cell r="EB59">
            <v>4.62</v>
          </cell>
          <cell r="ED59">
            <v>0.10533599999999999</v>
          </cell>
          <cell r="EJ59" t="str">
            <v>I_IB</v>
          </cell>
          <cell r="EK59" t="str">
            <v>Ice Management</v>
          </cell>
          <cell r="EL59">
            <v>100</v>
          </cell>
          <cell r="EM59" t="str">
            <v>lb/ton</v>
          </cell>
          <cell r="EQ59">
            <v>7.7</v>
          </cell>
          <cell r="ES59">
            <v>184.8</v>
          </cell>
          <cell r="EU59">
            <v>4.2134399999999994</v>
          </cell>
          <cell r="FA59" t="str">
            <v>I_IB</v>
          </cell>
          <cell r="FB59" t="str">
            <v>Ice Management</v>
          </cell>
          <cell r="FC59">
            <v>0</v>
          </cell>
          <cell r="FD59" t="str">
            <v>lb/ton</v>
          </cell>
          <cell r="FH59">
            <v>0</v>
          </cell>
          <cell r="FJ59">
            <v>0</v>
          </cell>
          <cell r="FL59">
            <v>0</v>
          </cell>
        </row>
        <row r="60">
          <cell r="BC60" t="str">
            <v>I_AH</v>
          </cell>
          <cell r="BD60" t="str">
            <v>Anchor Handler</v>
          </cell>
          <cell r="BE60">
            <v>5</v>
          </cell>
          <cell r="BF60" t="str">
            <v>lb/ton</v>
          </cell>
          <cell r="BJ60">
            <v>0.38500000000000001</v>
          </cell>
          <cell r="BL60">
            <v>9.24</v>
          </cell>
          <cell r="BN60">
            <v>0.21067199999999997</v>
          </cell>
          <cell r="BT60" t="str">
            <v>I_AH</v>
          </cell>
          <cell r="BU60" t="str">
            <v>Anchor Handler</v>
          </cell>
          <cell r="BV60">
            <v>9.1</v>
          </cell>
          <cell r="BW60" t="str">
            <v>lb/ton</v>
          </cell>
          <cell r="CA60">
            <v>0.70069999999999999</v>
          </cell>
          <cell r="CC60">
            <v>16.816800000000001</v>
          </cell>
          <cell r="CE60">
            <v>0.38342303999999988</v>
          </cell>
          <cell r="CK60" t="str">
            <v>I_AH</v>
          </cell>
          <cell r="CL60" t="str">
            <v>Anchor Handler</v>
          </cell>
          <cell r="CM60">
            <v>13.3</v>
          </cell>
          <cell r="CN60" t="str">
            <v>lb/ton</v>
          </cell>
          <cell r="CR60">
            <v>1.0241</v>
          </cell>
          <cell r="CT60">
            <v>24.578400000000002</v>
          </cell>
          <cell r="CV60">
            <v>0.56038751999999992</v>
          </cell>
          <cell r="DB60" t="str">
            <v>I_AH</v>
          </cell>
          <cell r="DC60" t="str">
            <v>Anchor Handler</v>
          </cell>
          <cell r="DD60">
            <v>300</v>
          </cell>
          <cell r="DE60" t="str">
            <v>lb/ton</v>
          </cell>
          <cell r="DI60">
            <v>23.1</v>
          </cell>
          <cell r="DK60">
            <v>554.4</v>
          </cell>
          <cell r="DM60">
            <v>12.640319999999997</v>
          </cell>
          <cell r="DS60" t="str">
            <v>I_AH</v>
          </cell>
          <cell r="DT60" t="str">
            <v>Anchor Handler</v>
          </cell>
          <cell r="DU60">
            <v>2.5</v>
          </cell>
          <cell r="DV60" t="str">
            <v>lb/ton</v>
          </cell>
          <cell r="DZ60">
            <v>0.1925</v>
          </cell>
          <cell r="EB60">
            <v>4.62</v>
          </cell>
          <cell r="ED60">
            <v>0.10533599999999999</v>
          </cell>
          <cell r="EJ60" t="str">
            <v>I_AH</v>
          </cell>
          <cell r="EK60" t="str">
            <v>Anchor Handler</v>
          </cell>
          <cell r="EL60">
            <v>100</v>
          </cell>
          <cell r="EM60" t="str">
            <v>lb/ton</v>
          </cell>
          <cell r="EQ60">
            <v>7.7</v>
          </cell>
          <cell r="ES60">
            <v>184.8</v>
          </cell>
          <cell r="EU60">
            <v>4.2134399999999994</v>
          </cell>
          <cell r="FA60" t="str">
            <v>I_AH</v>
          </cell>
          <cell r="FB60" t="str">
            <v>Anchor Handler</v>
          </cell>
          <cell r="FC60">
            <v>0</v>
          </cell>
          <cell r="FD60" t="str">
            <v>lb/ton</v>
          </cell>
          <cell r="FH60">
            <v>0</v>
          </cell>
          <cell r="FJ60">
            <v>0</v>
          </cell>
          <cell r="FL60">
            <v>0</v>
          </cell>
        </row>
        <row r="61">
          <cell r="BC61" t="str">
            <v>I_OSR</v>
          </cell>
          <cell r="BD61" t="str">
            <v>OSR vessel</v>
          </cell>
          <cell r="BE61">
            <v>5</v>
          </cell>
          <cell r="BF61" t="str">
            <v>lb/ton</v>
          </cell>
          <cell r="BJ61">
            <v>0.3125</v>
          </cell>
          <cell r="BL61">
            <v>7.5</v>
          </cell>
          <cell r="BN61">
            <v>0.45</v>
          </cell>
          <cell r="BT61" t="str">
            <v>I_OSR</v>
          </cell>
          <cell r="BU61" t="str">
            <v>OSR vessel</v>
          </cell>
          <cell r="BV61">
            <v>9.1</v>
          </cell>
          <cell r="BW61" t="str">
            <v>lb/ton</v>
          </cell>
          <cell r="CA61">
            <v>0.56874999999999998</v>
          </cell>
          <cell r="CC61">
            <v>13.649999999999999</v>
          </cell>
          <cell r="CE61">
            <v>0.81899999999999995</v>
          </cell>
          <cell r="CK61" t="str">
            <v>I_OSR</v>
          </cell>
          <cell r="CL61" t="str">
            <v>OSR vessel</v>
          </cell>
          <cell r="CM61">
            <v>13.3</v>
          </cell>
          <cell r="CN61" t="str">
            <v>lb/ton</v>
          </cell>
          <cell r="CR61">
            <v>0.83125000000000004</v>
          </cell>
          <cell r="CT61">
            <v>19.950000000000003</v>
          </cell>
          <cell r="CV61">
            <v>1.1970000000000001</v>
          </cell>
          <cell r="DB61" t="str">
            <v>I_OSR</v>
          </cell>
          <cell r="DC61" t="str">
            <v>OSR vessel</v>
          </cell>
          <cell r="DD61">
            <v>300</v>
          </cell>
          <cell r="DE61" t="str">
            <v>lb/ton</v>
          </cell>
          <cell r="DI61">
            <v>18.75</v>
          </cell>
          <cell r="DK61">
            <v>450</v>
          </cell>
          <cell r="DM61">
            <v>27</v>
          </cell>
          <cell r="DS61" t="str">
            <v>I_OSR</v>
          </cell>
          <cell r="DT61" t="str">
            <v>OSR vessel</v>
          </cell>
          <cell r="DU61">
            <v>2.5</v>
          </cell>
          <cell r="DV61" t="str">
            <v>lb/ton</v>
          </cell>
          <cell r="DZ61">
            <v>0.15625</v>
          </cell>
          <cell r="EB61">
            <v>3.75</v>
          </cell>
          <cell r="ED61">
            <v>0.22500000000000001</v>
          </cell>
          <cell r="EJ61" t="str">
            <v>I_OSR</v>
          </cell>
          <cell r="EK61" t="str">
            <v>OSR vessel</v>
          </cell>
          <cell r="EL61">
            <v>100</v>
          </cell>
          <cell r="EM61" t="str">
            <v>lb/ton</v>
          </cell>
          <cell r="EQ61">
            <v>6.25</v>
          </cell>
          <cell r="ES61">
            <v>150</v>
          </cell>
          <cell r="EU61">
            <v>9</v>
          </cell>
          <cell r="FA61" t="str">
            <v>I_OSR</v>
          </cell>
          <cell r="FB61" t="str">
            <v>OSR vessel</v>
          </cell>
          <cell r="FC61">
            <v>0</v>
          </cell>
          <cell r="FD61" t="str">
            <v>lb/ton</v>
          </cell>
          <cell r="FH61">
            <v>0</v>
          </cell>
          <cell r="FJ61">
            <v>0</v>
          </cell>
          <cell r="FL61">
            <v>0</v>
          </cell>
        </row>
        <row r="62">
          <cell r="BC62" t="str">
            <v>TOTAL</v>
          </cell>
          <cell r="BJ62">
            <v>1.7725000000000002</v>
          </cell>
          <cell r="BL62">
            <v>29.23</v>
          </cell>
          <cell r="BN62">
            <v>1.066344</v>
          </cell>
          <cell r="BT62" t="str">
            <v>TOTAL</v>
          </cell>
          <cell r="CA62">
            <v>2.93615</v>
          </cell>
          <cell r="CC62">
            <v>51.833599999999997</v>
          </cell>
          <cell r="CE62">
            <v>1.8588460799999997</v>
          </cell>
          <cell r="CK62" t="str">
            <v>TOTAL</v>
          </cell>
          <cell r="CR62">
            <v>4.01105</v>
          </cell>
          <cell r="CT62">
            <v>74.436800000000005</v>
          </cell>
          <cell r="CV62">
            <v>2.6375750399999998</v>
          </cell>
          <cell r="DB62" t="str">
            <v>TOTAL</v>
          </cell>
          <cell r="DI62">
            <v>69.228000000000009</v>
          </cell>
          <cell r="DK62">
            <v>1578.9499999999998</v>
          </cell>
          <cell r="DM62">
            <v>53.489639999999994</v>
          </cell>
          <cell r="DS62" t="str">
            <v>TOTAL</v>
          </cell>
          <cell r="DZ62">
            <v>0.88625000000000009</v>
          </cell>
          <cell r="EB62">
            <v>14.615</v>
          </cell>
          <cell r="ED62">
            <v>0.53317199999999998</v>
          </cell>
          <cell r="EJ62" t="str">
            <v>TOTAL</v>
          </cell>
          <cell r="EQ62">
            <v>22.064</v>
          </cell>
          <cell r="ES62">
            <v>521.54999999999995</v>
          </cell>
          <cell r="EU62">
            <v>17.543879999999998</v>
          </cell>
          <cell r="FA62" t="str">
            <v>TOTAL</v>
          </cell>
          <cell r="FH62">
            <v>0</v>
          </cell>
          <cell r="FJ62">
            <v>0</v>
          </cell>
          <cell r="FL62">
            <v>0</v>
          </cell>
        </row>
        <row r="71">
          <cell r="BC71" t="str">
            <v>D_Gen</v>
          </cell>
          <cell r="BD71" t="str">
            <v>Generation</v>
          </cell>
          <cell r="BE71" t="str">
            <v>NOX</v>
          </cell>
          <cell r="BF71">
            <v>0.5</v>
          </cell>
          <cell r="BG71" t="str">
            <v>g/kW-hr</v>
          </cell>
          <cell r="BH71">
            <v>1.5641316688572514E-2</v>
          </cell>
          <cell r="BI71" t="str">
            <v>lb/gal</v>
          </cell>
          <cell r="BJ71" t="str">
            <v>Permit Condition</v>
          </cell>
          <cell r="BT71" t="str">
            <v>D_Gen</v>
          </cell>
          <cell r="BU71" t="str">
            <v>Generation</v>
          </cell>
          <cell r="BV71" t="str">
            <v>PM</v>
          </cell>
          <cell r="BW71">
            <v>0.127</v>
          </cell>
          <cell r="BX71" t="str">
            <v>g/kW-hr</v>
          </cell>
          <cell r="BY71">
            <v>3.9728944388974187E-3</v>
          </cell>
          <cell r="BZ71" t="str">
            <v>lb/gal</v>
          </cell>
          <cell r="CA71" t="str">
            <v>Permit Condition</v>
          </cell>
          <cell r="CK71" t="str">
            <v>D_Gen</v>
          </cell>
          <cell r="CL71" t="str">
            <v>Generation</v>
          </cell>
          <cell r="CM71" t="str">
            <v>PM</v>
          </cell>
          <cell r="CN71">
            <v>0.127</v>
          </cell>
          <cell r="CO71" t="str">
            <v>g/kW-hr</v>
          </cell>
          <cell r="CP71">
            <v>3.9728944388974187E-3</v>
          </cell>
          <cell r="CQ71" t="str">
            <v>lb/gal</v>
          </cell>
          <cell r="CR71" t="str">
            <v>Permit Condition</v>
          </cell>
          <cell r="DB71" t="str">
            <v>D_Gen</v>
          </cell>
          <cell r="DC71" t="str">
            <v>Generation</v>
          </cell>
          <cell r="DD71" t="str">
            <v>CO</v>
          </cell>
          <cell r="DE71">
            <v>0.17899999999999999</v>
          </cell>
          <cell r="DF71" t="str">
            <v>g/kW-hr</v>
          </cell>
          <cell r="DG71">
            <v>5.5995913745089596E-3</v>
          </cell>
          <cell r="DH71" t="str">
            <v>lb/gal</v>
          </cell>
          <cell r="DI71" t="str">
            <v>Permit Condition</v>
          </cell>
          <cell r="EJ71" t="str">
            <v>D_Gen</v>
          </cell>
          <cell r="EK71" t="str">
            <v>Generation</v>
          </cell>
          <cell r="EL71" t="str">
            <v>VOC</v>
          </cell>
          <cell r="EM71">
            <v>2.3E-2</v>
          </cell>
          <cell r="EN71" t="str">
            <v>g/kW-hr</v>
          </cell>
          <cell r="EO71">
            <v>7.1950056767433579E-4</v>
          </cell>
          <cell r="EP71" t="str">
            <v>lb/gal</v>
          </cell>
          <cell r="EQ71" t="str">
            <v>Permit Condition</v>
          </cell>
        </row>
        <row r="72">
          <cell r="BC72" t="str">
            <v>D_MLC</v>
          </cell>
          <cell r="BD72" t="str">
            <v>MLC Compressor</v>
          </cell>
          <cell r="BE72" t="str">
            <v>NOX</v>
          </cell>
          <cell r="BF72">
            <v>4</v>
          </cell>
          <cell r="BG72" t="str">
            <v>g/kW-hr</v>
          </cell>
          <cell r="BH72">
            <v>0.12513053350858011</v>
          </cell>
          <cell r="BI72" t="str">
            <v>lb/gal</v>
          </cell>
          <cell r="BJ72" t="str">
            <v>Permit Condition</v>
          </cell>
          <cell r="BT72" t="str">
            <v>D_MLC</v>
          </cell>
          <cell r="BU72" t="str">
            <v>MLC Compressor</v>
          </cell>
          <cell r="BV72" t="str">
            <v>PM</v>
          </cell>
          <cell r="BW72">
            <v>0.1</v>
          </cell>
          <cell r="BX72" t="str">
            <v>g/kW-hr</v>
          </cell>
          <cell r="BY72">
            <v>3.1282633377145031E-3</v>
          </cell>
          <cell r="BZ72" t="str">
            <v>lb/gal</v>
          </cell>
          <cell r="CA72" t="str">
            <v>Permit Condition</v>
          </cell>
          <cell r="CK72" t="str">
            <v>D_MLC</v>
          </cell>
          <cell r="CL72" t="str">
            <v>MLC Compressor</v>
          </cell>
          <cell r="CM72" t="str">
            <v>PM</v>
          </cell>
          <cell r="CN72">
            <v>0.1</v>
          </cell>
          <cell r="CO72" t="str">
            <v>g/kW-hr</v>
          </cell>
          <cell r="CP72">
            <v>3.1282633377145031E-3</v>
          </cell>
          <cell r="CQ72" t="str">
            <v>lb/gal</v>
          </cell>
          <cell r="CR72" t="str">
            <v>Permit Condition</v>
          </cell>
          <cell r="DB72" t="str">
            <v>D_MLC</v>
          </cell>
          <cell r="DC72" t="str">
            <v>MLC Compressor</v>
          </cell>
          <cell r="DD72" t="str">
            <v>CO</v>
          </cell>
          <cell r="DE72">
            <v>1.86</v>
          </cell>
          <cell r="DF72" t="str">
            <v>g/kW-hr</v>
          </cell>
          <cell r="DG72">
            <v>5.818569808148976E-2</v>
          </cell>
          <cell r="DH72" t="str">
            <v>lb/gal</v>
          </cell>
          <cell r="DI72" t="str">
            <v>Permit Condition</v>
          </cell>
          <cell r="EJ72" t="str">
            <v>D_MLC</v>
          </cell>
          <cell r="EK72" t="str">
            <v>MLC Compressor</v>
          </cell>
          <cell r="EL72" t="str">
            <v>VOC</v>
          </cell>
          <cell r="EM72">
            <v>4</v>
          </cell>
          <cell r="EN72" t="str">
            <v>g/kW-hr</v>
          </cell>
          <cell r="EO72">
            <v>0.12513053350858011</v>
          </cell>
          <cell r="EP72" t="str">
            <v>lb/gal</v>
          </cell>
          <cell r="EQ72" t="str">
            <v>Permit Condition</v>
          </cell>
        </row>
        <row r="73">
          <cell r="BC73" t="str">
            <v>D_HPU</v>
          </cell>
          <cell r="BD73" t="str">
            <v>HPU Engines</v>
          </cell>
          <cell r="BE73" t="str">
            <v>NOX</v>
          </cell>
          <cell r="BF73">
            <v>4</v>
          </cell>
          <cell r="BG73" t="str">
            <v>g/kW-hr</v>
          </cell>
          <cell r="BH73">
            <v>0.12513053350858011</v>
          </cell>
          <cell r="BI73" t="str">
            <v>lb/gal</v>
          </cell>
          <cell r="BJ73" t="str">
            <v>Permit Condition</v>
          </cell>
          <cell r="BT73" t="str">
            <v>D_HPU</v>
          </cell>
          <cell r="BU73" t="str">
            <v>HPU Engines</v>
          </cell>
          <cell r="BV73" t="str">
            <v>PM</v>
          </cell>
          <cell r="BW73">
            <v>0.03</v>
          </cell>
          <cell r="BX73" t="str">
            <v>g/kW-hr</v>
          </cell>
          <cell r="BY73">
            <v>9.3847900131435085E-4</v>
          </cell>
          <cell r="BZ73" t="str">
            <v>lb/gal</v>
          </cell>
          <cell r="CA73" t="str">
            <v>Permit Condition</v>
          </cell>
          <cell r="CK73" t="str">
            <v>D_HPU</v>
          </cell>
          <cell r="CL73" t="str">
            <v>HPU Engines</v>
          </cell>
          <cell r="CM73" t="str">
            <v>PM</v>
          </cell>
          <cell r="CN73">
            <v>0.03</v>
          </cell>
          <cell r="CO73" t="str">
            <v>g/kW-hr</v>
          </cell>
          <cell r="CP73">
            <v>9.3847900131435085E-4</v>
          </cell>
          <cell r="CQ73" t="str">
            <v>lb/gal</v>
          </cell>
          <cell r="CR73" t="str">
            <v>Permit Condition</v>
          </cell>
          <cell r="DB73" t="str">
            <v>D_HPU</v>
          </cell>
          <cell r="DC73" t="str">
            <v>HPU Engines</v>
          </cell>
          <cell r="DD73" t="str">
            <v>CO</v>
          </cell>
          <cell r="DE73">
            <v>0.7</v>
          </cell>
          <cell r="DF73" t="str">
            <v>g/kW-hr</v>
          </cell>
          <cell r="DG73">
            <v>2.1897843364001517E-2</v>
          </cell>
          <cell r="DH73" t="str">
            <v>lb/gal</v>
          </cell>
          <cell r="DI73" t="str">
            <v>Permit Condition</v>
          </cell>
          <cell r="EJ73" t="str">
            <v>D_HPU</v>
          </cell>
          <cell r="EK73" t="str">
            <v>HPU Engines</v>
          </cell>
          <cell r="EL73" t="str">
            <v>VOC</v>
          </cell>
          <cell r="EM73">
            <v>4</v>
          </cell>
          <cell r="EN73" t="str">
            <v>g/kW-hr</v>
          </cell>
          <cell r="EO73">
            <v>0.12513053350858011</v>
          </cell>
          <cell r="EP73" t="str">
            <v>lb/gal</v>
          </cell>
          <cell r="EQ73" t="str">
            <v>Permit Condition</v>
          </cell>
        </row>
        <row r="74">
          <cell r="BC74" t="str">
            <v>D_C</v>
          </cell>
          <cell r="BD74" t="str">
            <v>Cranes</v>
          </cell>
          <cell r="BE74" t="str">
            <v>NOX</v>
          </cell>
          <cell r="BF74">
            <v>10.327</v>
          </cell>
          <cell r="BG74" t="str">
            <v>g/kW-hr</v>
          </cell>
          <cell r="BH74">
            <v>0.3230557548857767</v>
          </cell>
          <cell r="BI74" t="str">
            <v>lb/gal</v>
          </cell>
          <cell r="BJ74" t="str">
            <v>Permit Condition</v>
          </cell>
          <cell r="BT74" t="str">
            <v>D_C</v>
          </cell>
          <cell r="BU74" t="str">
            <v>Cranes</v>
          </cell>
          <cell r="BV74" t="str">
            <v>PM</v>
          </cell>
          <cell r="BW74">
            <v>7.1499999999999994E-2</v>
          </cell>
          <cell r="BX74" t="str">
            <v>g/kW-hr</v>
          </cell>
          <cell r="BY74">
            <v>2.2367082864658697E-3</v>
          </cell>
          <cell r="BZ74" t="str">
            <v>lb/gal</v>
          </cell>
          <cell r="CA74" t="str">
            <v>Permit Condition</v>
          </cell>
          <cell r="CK74" t="str">
            <v>D_C</v>
          </cell>
          <cell r="CL74" t="str">
            <v>Cranes</v>
          </cell>
          <cell r="CM74" t="str">
            <v>PM</v>
          </cell>
          <cell r="CN74">
            <v>7.1499999999999994E-2</v>
          </cell>
          <cell r="CO74" t="str">
            <v>g/kW-hr</v>
          </cell>
          <cell r="CP74">
            <v>2.2367082864658697E-3</v>
          </cell>
          <cell r="CQ74" t="str">
            <v>lb/gal</v>
          </cell>
          <cell r="CR74" t="str">
            <v>Permit Condition</v>
          </cell>
          <cell r="DB74" t="str">
            <v>D_C</v>
          </cell>
          <cell r="DC74" t="str">
            <v>Cranes</v>
          </cell>
          <cell r="DD74" t="str">
            <v>CO</v>
          </cell>
          <cell r="DE74">
            <v>0.22</v>
          </cell>
          <cell r="DF74" t="str">
            <v>g/kW-hr</v>
          </cell>
          <cell r="DG74">
            <v>6.8821793429719074E-3</v>
          </cell>
          <cell r="DH74" t="str">
            <v>lb/gal</v>
          </cell>
          <cell r="DI74" t="str">
            <v>Permit Condition</v>
          </cell>
          <cell r="EJ74" t="str">
            <v>D_C</v>
          </cell>
          <cell r="EK74" t="str">
            <v>Cranes</v>
          </cell>
          <cell r="EL74" t="str">
            <v>VOC</v>
          </cell>
          <cell r="EM74">
            <v>6.4000000000000001E-2</v>
          </cell>
          <cell r="EN74" t="str">
            <v>g/kW-hr</v>
          </cell>
          <cell r="EO74">
            <v>2.0020885361372821E-3</v>
          </cell>
          <cell r="EP74" t="str">
            <v>lb/gal</v>
          </cell>
          <cell r="EQ74" t="str">
            <v>Permit Condition</v>
          </cell>
        </row>
        <row r="75">
          <cell r="BC75" t="str">
            <v>D_C/L</v>
          </cell>
          <cell r="BD75" t="str">
            <v>Cementing/Logging</v>
          </cell>
          <cell r="BE75" t="str">
            <v>NOX</v>
          </cell>
          <cell r="BF75">
            <v>15.717000000000001</v>
          </cell>
          <cell r="BG75" t="str">
            <v>g/kW-hr</v>
          </cell>
          <cell r="BH75">
            <v>0.49166914878858842</v>
          </cell>
          <cell r="BI75" t="str">
            <v>lb/gal</v>
          </cell>
          <cell r="BJ75" t="str">
            <v>Permit Condition</v>
          </cell>
          <cell r="BT75" t="str">
            <v>D_C/L</v>
          </cell>
          <cell r="BU75" t="str">
            <v>Cementing/Logging</v>
          </cell>
          <cell r="BV75" t="str">
            <v>PM</v>
          </cell>
          <cell r="BW75">
            <v>0.38600000000000001</v>
          </cell>
          <cell r="BX75" t="str">
            <v>g/kW-hr</v>
          </cell>
          <cell r="BY75">
            <v>1.2075096483577984E-2</v>
          </cell>
          <cell r="BZ75" t="str">
            <v>lb/gal</v>
          </cell>
          <cell r="CA75" t="str">
            <v>Permit Condition</v>
          </cell>
          <cell r="CK75" t="str">
            <v>D_C/L</v>
          </cell>
          <cell r="CL75" t="str">
            <v>Cementing/Logging</v>
          </cell>
          <cell r="CM75" t="str">
            <v>PM</v>
          </cell>
          <cell r="CN75">
            <v>0.38600000000000001</v>
          </cell>
          <cell r="CO75" t="str">
            <v>g/kW-hr</v>
          </cell>
          <cell r="CP75">
            <v>1.2075096483577984E-2</v>
          </cell>
          <cell r="CQ75" t="str">
            <v>lb/gal</v>
          </cell>
          <cell r="CR75" t="str">
            <v>Permit Condition</v>
          </cell>
          <cell r="DB75" t="str">
            <v>D_C/L</v>
          </cell>
          <cell r="DC75" t="str">
            <v>Cementing/Logging</v>
          </cell>
          <cell r="DD75" t="str">
            <v>CO</v>
          </cell>
          <cell r="DE75">
            <v>0.88</v>
          </cell>
          <cell r="DF75" t="str">
            <v>g/kW-hr</v>
          </cell>
          <cell r="DG75">
            <v>2.7528717371887629E-2</v>
          </cell>
          <cell r="DH75" t="str">
            <v>lb/gal</v>
          </cell>
          <cell r="DI75" t="str">
            <v>Permit Condition</v>
          </cell>
          <cell r="EJ75" t="str">
            <v>D_C/L</v>
          </cell>
          <cell r="EK75" t="str">
            <v>Cementing/Logging</v>
          </cell>
          <cell r="EL75" t="str">
            <v>VOC</v>
          </cell>
          <cell r="EM75">
            <v>0.5</v>
          </cell>
          <cell r="EN75" t="str">
            <v>g/kW-hr</v>
          </cell>
          <cell r="EO75">
            <v>1.5641316688572514E-2</v>
          </cell>
          <cell r="EP75" t="str">
            <v>lb/gal</v>
          </cell>
          <cell r="EQ75" t="str">
            <v>Permit Condition</v>
          </cell>
        </row>
        <row r="76">
          <cell r="BC76" t="str">
            <v>D_H&amp;B</v>
          </cell>
          <cell r="BD76" t="str">
            <v>Discoverer Heaters &amp; Boilers</v>
          </cell>
          <cell r="BE76" t="str">
            <v>NOX</v>
          </cell>
          <cell r="BF76">
            <v>0.2</v>
          </cell>
          <cell r="BG76" t="str">
            <v>lbs/MMBtu</v>
          </cell>
          <cell r="BH76">
            <v>2.66196E-2</v>
          </cell>
          <cell r="BI76" t="str">
            <v>lb/gal</v>
          </cell>
          <cell r="BJ76" t="str">
            <v>Permit Condition</v>
          </cell>
          <cell r="BT76" t="str">
            <v>D_H&amp;B</v>
          </cell>
          <cell r="BU76" t="str">
            <v>Discoverer Heaters &amp; Boilers</v>
          </cell>
          <cell r="BV76" t="str">
            <v>PM</v>
          </cell>
          <cell r="BW76">
            <v>2.35E-2</v>
          </cell>
          <cell r="BX76" t="str">
            <v>lbs/MMBtu</v>
          </cell>
          <cell r="BY76">
            <v>3.1278029999999997E-3</v>
          </cell>
          <cell r="BZ76" t="str">
            <v>lb/gal</v>
          </cell>
          <cell r="CA76" t="str">
            <v>Permit Condition</v>
          </cell>
          <cell r="CK76" t="str">
            <v>D_H&amp;B</v>
          </cell>
          <cell r="CL76" t="str">
            <v>Discoverer Heaters &amp; Boilers</v>
          </cell>
          <cell r="CM76" t="str">
            <v>PM</v>
          </cell>
          <cell r="CN76">
            <v>2.35E-2</v>
          </cell>
          <cell r="CO76" t="str">
            <v>lbs/MMBtu</v>
          </cell>
          <cell r="CP76">
            <v>3.1278029999999997E-3</v>
          </cell>
          <cell r="CQ76" t="str">
            <v>lb/gal</v>
          </cell>
          <cell r="CR76" t="str">
            <v>Permit Condition</v>
          </cell>
          <cell r="DB76" t="str">
            <v>D_H&amp;B</v>
          </cell>
          <cell r="DC76" t="str">
            <v>Discoverer Heaters &amp; Boilers</v>
          </cell>
          <cell r="DD76" t="str">
            <v>CO</v>
          </cell>
          <cell r="DE76">
            <v>7.6999999999999999E-2</v>
          </cell>
          <cell r="DF76" t="str">
            <v>lbs/MMBtu</v>
          </cell>
          <cell r="DG76">
            <v>1.0248545999999999E-2</v>
          </cell>
          <cell r="DH76" t="str">
            <v>lb/gal</v>
          </cell>
          <cell r="DI76" t="str">
            <v>Permit Condition</v>
          </cell>
          <cell r="EJ76" t="str">
            <v>D_H&amp;B</v>
          </cell>
          <cell r="EK76" t="str">
            <v>Discoverer Heaters &amp; Boilers</v>
          </cell>
          <cell r="EL76" t="str">
            <v>VOC</v>
          </cell>
          <cell r="EM76">
            <v>1.4E-3</v>
          </cell>
          <cell r="EN76" t="str">
            <v>lbs/MMBtu</v>
          </cell>
          <cell r="EO76">
            <v>1.863372E-4</v>
          </cell>
          <cell r="EP76" t="str">
            <v>lb/gal</v>
          </cell>
          <cell r="EQ76" t="str">
            <v>Permit Condition</v>
          </cell>
        </row>
        <row r="77">
          <cell r="BC77" t="str">
            <v>IB_P&amp;G</v>
          </cell>
          <cell r="BD77" t="str">
            <v>Ice Management Propulsion &amp; Generation</v>
          </cell>
          <cell r="BE77" t="str">
            <v>NOX</v>
          </cell>
          <cell r="BF77">
            <v>1.6</v>
          </cell>
          <cell r="BG77" t="str">
            <v>g/kW-hr</v>
          </cell>
          <cell r="BH77">
            <v>5.005221340343205E-2</v>
          </cell>
          <cell r="BI77" t="str">
            <v>lb/gal</v>
          </cell>
          <cell r="BJ77" t="str">
            <v>Shell ORL</v>
          </cell>
          <cell r="BT77" t="str">
            <v>IB_P&amp;G</v>
          </cell>
          <cell r="BU77" t="str">
            <v>Ice Management Propulsion &amp; Generation</v>
          </cell>
          <cell r="BV77" t="str">
            <v>PM2.5</v>
          </cell>
          <cell r="BW77">
            <v>0.25</v>
          </cell>
          <cell r="BX77" t="str">
            <v>g/kW-hr</v>
          </cell>
          <cell r="BY77">
            <v>7.8206583442862569E-3</v>
          </cell>
          <cell r="BZ77" t="str">
            <v>lb/gal</v>
          </cell>
          <cell r="CA77" t="str">
            <v>Shell ORL</v>
          </cell>
          <cell r="CK77" t="str">
            <v>IB_P&amp;G</v>
          </cell>
          <cell r="CL77" t="str">
            <v>Ice Management Propulsion &amp; Generation</v>
          </cell>
          <cell r="CM77" t="str">
            <v>PM10</v>
          </cell>
          <cell r="CN77">
            <v>0.25</v>
          </cell>
          <cell r="CO77" t="str">
            <v>g/kW-hr</v>
          </cell>
          <cell r="CP77">
            <v>7.8206583442862569E-3</v>
          </cell>
          <cell r="CQ77" t="str">
            <v>lb/gal</v>
          </cell>
          <cell r="CR77" t="str">
            <v>Shell ORL</v>
          </cell>
          <cell r="DC77" t="str">
            <v>Egen, Seldom Used, Resupply &amp; Work boats</v>
          </cell>
          <cell r="DD77" t="str">
            <v>CO</v>
          </cell>
          <cell r="DE77">
            <v>0.95</v>
          </cell>
          <cell r="DF77" t="str">
            <v>lb/MMBtu</v>
          </cell>
          <cell r="DG77">
            <v>0.12644309999999997</v>
          </cell>
          <cell r="DH77" t="str">
            <v>lb/gal</v>
          </cell>
          <cell r="DI77" t="str">
            <v>AP42 Table 3.3-1, 10/96</v>
          </cell>
          <cell r="EK77" t="str">
            <v>Egen, Seldom Used, Resupply &amp; Work boats</v>
          </cell>
          <cell r="EL77" t="str">
            <v>VOC</v>
          </cell>
          <cell r="EM77">
            <v>0.35</v>
          </cell>
          <cell r="EN77" t="str">
            <v>lb/MMBtu</v>
          </cell>
          <cell r="EO77">
            <v>4.6584299999999995E-2</v>
          </cell>
          <cell r="EP77" t="str">
            <v>lb/gal</v>
          </cell>
          <cell r="EQ77" t="str">
            <v>AP42 Table 3.3-1, 10/96</v>
          </cell>
        </row>
        <row r="78">
          <cell r="BC78" t="str">
            <v>AH_P&amp;G</v>
          </cell>
          <cell r="BD78" t="str">
            <v>Anchor Handler Propulsion &amp; Generation</v>
          </cell>
          <cell r="BE78" t="str">
            <v>NOX</v>
          </cell>
          <cell r="BF78">
            <v>1.6</v>
          </cell>
          <cell r="BG78" t="str">
            <v>g/kW-hr</v>
          </cell>
          <cell r="BH78">
            <v>5.005221340343205E-2</v>
          </cell>
          <cell r="BI78" t="str">
            <v>lb/gal</v>
          </cell>
          <cell r="BJ78" t="str">
            <v>Shell ORL</v>
          </cell>
          <cell r="BT78" t="str">
            <v>AH_P&amp;G</v>
          </cell>
          <cell r="BU78" t="str">
            <v>Anchor Handler Propulsion &amp; Generation</v>
          </cell>
          <cell r="BV78" t="str">
            <v>PM2.5</v>
          </cell>
          <cell r="BW78">
            <v>0.25</v>
          </cell>
          <cell r="BX78" t="str">
            <v>g/kW-hr</v>
          </cell>
          <cell r="BY78">
            <v>7.8206583442862569E-3</v>
          </cell>
          <cell r="BZ78" t="str">
            <v>lb/gal</v>
          </cell>
          <cell r="CA78" t="str">
            <v>Shell ORL</v>
          </cell>
          <cell r="CK78" t="str">
            <v>AH_P&amp;G</v>
          </cell>
          <cell r="CL78" t="str">
            <v>Anchor Handler Propulsion &amp; Generation</v>
          </cell>
          <cell r="CM78" t="str">
            <v>PM10</v>
          </cell>
          <cell r="CN78">
            <v>0.25</v>
          </cell>
          <cell r="CO78" t="str">
            <v>g/kW-hr</v>
          </cell>
          <cell r="CP78">
            <v>7.8206583442862569E-3</v>
          </cell>
          <cell r="CQ78" t="str">
            <v>lb/gal</v>
          </cell>
          <cell r="CR78" t="str">
            <v>Shell ORL</v>
          </cell>
          <cell r="DC78" t="str">
            <v>Ice Mngt, ICE Large w/OxyCat</v>
          </cell>
          <cell r="DD78" t="str">
            <v>CO</v>
          </cell>
          <cell r="DE78">
            <v>0.16999999999999996</v>
          </cell>
          <cell r="DF78" t="str">
            <v>lb/MMBtu</v>
          </cell>
          <cell r="DG78">
            <v>2.2626659999999993E-2</v>
          </cell>
          <cell r="DH78" t="str">
            <v>lb/gal</v>
          </cell>
          <cell r="DI78" t="str">
            <v>AP42 Table 3.4-1, 10/96</v>
          </cell>
          <cell r="EK78" t="str">
            <v>Ice Mngt, ICE Large w/OxyCat</v>
          </cell>
          <cell r="EL78" t="str">
            <v>VOC</v>
          </cell>
          <cell r="EM78">
            <v>2.7000000000000003E-2</v>
          </cell>
          <cell r="EN78" t="str">
            <v>lb/MMBtu</v>
          </cell>
          <cell r="EO78">
            <v>3.5936460000000003E-3</v>
          </cell>
          <cell r="EP78" t="str">
            <v>lb/gal</v>
          </cell>
          <cell r="EQ78" t="str">
            <v>AP42 Table 3.4-1, 10/96</v>
          </cell>
        </row>
        <row r="79">
          <cell r="BD79" t="str">
            <v>Egen, Seldom Used, Resupply &amp; Work boats</v>
          </cell>
          <cell r="BE79" t="str">
            <v>NOX</v>
          </cell>
          <cell r="BF79">
            <v>4.41</v>
          </cell>
          <cell r="BG79" t="str">
            <v>lb/MMBtu</v>
          </cell>
          <cell r="BH79">
            <v>0.58696218</v>
          </cell>
          <cell r="BI79" t="str">
            <v>lb/gal</v>
          </cell>
          <cell r="BJ79" t="str">
            <v>AP42 Table 3.3-1, 10/96</v>
          </cell>
          <cell r="BU79" t="str">
            <v>Egen, Seldom Used &amp; Work boats</v>
          </cell>
          <cell r="BV79" t="str">
            <v>PM</v>
          </cell>
          <cell r="BW79">
            <v>0.31</v>
          </cell>
          <cell r="BX79" t="str">
            <v>lb/MMBtu</v>
          </cell>
          <cell r="BY79">
            <v>4.1260379999999999E-2</v>
          </cell>
          <cell r="BZ79" t="str">
            <v>lb/gal</v>
          </cell>
          <cell r="CA79" t="str">
            <v>AP42 Table 3.3-1, 10/96</v>
          </cell>
          <cell r="CL79" t="str">
            <v>Egen, Seldom Used &amp; Work boats</v>
          </cell>
          <cell r="CM79" t="str">
            <v>PM</v>
          </cell>
          <cell r="CN79">
            <v>0.31</v>
          </cell>
          <cell r="CO79" t="str">
            <v>lb/MMBtu</v>
          </cell>
          <cell r="CP79">
            <v>4.1260379999999999E-2</v>
          </cell>
          <cell r="CQ79" t="str">
            <v>lb/gal</v>
          </cell>
          <cell r="CR79" t="str">
            <v>AP42 Table 3.3-1, 10/96</v>
          </cell>
          <cell r="DC79" t="str">
            <v>All other Heaters &amp; Boilers</v>
          </cell>
          <cell r="DD79" t="str">
            <v>CO</v>
          </cell>
          <cell r="DE79">
            <v>5</v>
          </cell>
          <cell r="DF79" t="str">
            <v>lb/kgal</v>
          </cell>
          <cell r="DG79">
            <v>5.0000000000000001E-3</v>
          </cell>
          <cell r="DH79" t="str">
            <v>lb/gal</v>
          </cell>
          <cell r="DI79" t="str">
            <v>AP42 Table 1.3-1, &lt; 100 MMBtu/hr, Distillate oil fired , 9/98</v>
          </cell>
          <cell r="EK79" t="str">
            <v>All other Heaters &amp; Boilers</v>
          </cell>
          <cell r="EL79" t="str">
            <v>VOC</v>
          </cell>
          <cell r="EM79">
            <v>0.34</v>
          </cell>
          <cell r="EN79" t="str">
            <v>lb/kgal</v>
          </cell>
          <cell r="EO79">
            <v>3.4000000000000002E-4</v>
          </cell>
          <cell r="EP79" t="str">
            <v>lb/gal</v>
          </cell>
          <cell r="EQ79" t="str">
            <v>AP42 Table 1.3-3, Commercial, Distillate oil fired , 9/98</v>
          </cell>
        </row>
        <row r="80">
          <cell r="BD80" t="str">
            <v>All other Heaters &amp; Boilers</v>
          </cell>
          <cell r="BE80" t="str">
            <v>NOX</v>
          </cell>
          <cell r="BF80">
            <v>20</v>
          </cell>
          <cell r="BG80" t="str">
            <v>lb/kgal</v>
          </cell>
          <cell r="BH80">
            <v>0.02</v>
          </cell>
          <cell r="BI80" t="str">
            <v>lb/gal</v>
          </cell>
          <cell r="BJ80" t="str">
            <v>AP42 Table 1.3-1, &lt; 100 MMBtu/hr, Distillate oil fired , 9/98</v>
          </cell>
          <cell r="BU80" t="str">
            <v>All other Heaters &amp; Boilers</v>
          </cell>
          <cell r="BV80" t="str">
            <v>PM</v>
          </cell>
          <cell r="BW80">
            <v>3.3</v>
          </cell>
          <cell r="BX80" t="str">
            <v>lb/kgal</v>
          </cell>
          <cell r="BY80">
            <v>3.3E-3</v>
          </cell>
          <cell r="BZ80" t="str">
            <v>lb/gal</v>
          </cell>
          <cell r="CA80" t="str">
            <v>AP42 Table 1.3-1 (filterable PM) &amp; Table 1.3-2 (total condensable)</v>
          </cell>
          <cell r="CL80" t="str">
            <v>All other Heaters &amp; Boilers</v>
          </cell>
          <cell r="CM80" t="str">
            <v>PM</v>
          </cell>
          <cell r="CN80">
            <v>3.3</v>
          </cell>
          <cell r="CO80" t="str">
            <v>lb/kgal</v>
          </cell>
          <cell r="CP80">
            <v>3.3E-3</v>
          </cell>
          <cell r="CQ80" t="str">
            <v>lb/gal</v>
          </cell>
          <cell r="CR80" t="str">
            <v>AP42 Table 1.3-1 (filterable PM) &amp; Table 1.3-2 (total condensable)</v>
          </cell>
          <cell r="DB80" t="str">
            <v>OSR_P&amp;G</v>
          </cell>
          <cell r="DC80" t="str">
            <v>OSR vessel Propulsion &amp; Generation</v>
          </cell>
          <cell r="DD80" t="str">
            <v>CO</v>
          </cell>
          <cell r="DE80">
            <v>7.2999999999999982E-2</v>
          </cell>
          <cell r="DF80" t="str">
            <v>g/kW-hr</v>
          </cell>
          <cell r="DG80">
            <v>2.2836322365315867E-3</v>
          </cell>
          <cell r="DH80" t="str">
            <v>lb/gal</v>
          </cell>
          <cell r="DI80" t="str">
            <v>Caterpillar 3608 Specification Sheet, DM5529, 10/06</v>
          </cell>
          <cell r="EJ80" t="str">
            <v>OSR_P&amp;G</v>
          </cell>
          <cell r="EK80" t="str">
            <v>OSR vessel Propulsion &amp; Generation</v>
          </cell>
          <cell r="EL80" t="str">
            <v>VOC</v>
          </cell>
          <cell r="EM80">
            <v>9.8999999999999977E-2</v>
          </cell>
          <cell r="EN80" t="str">
            <v>g/kW-hr</v>
          </cell>
          <cell r="EO80">
            <v>3.0969807043373571E-3</v>
          </cell>
          <cell r="EP80" t="str">
            <v>lb/gal</v>
          </cell>
          <cell r="EQ80" t="str">
            <v>Caterpillar 3608 Specification Sheet, DM5529, 10/06</v>
          </cell>
        </row>
        <row r="81">
          <cell r="BC81" t="str">
            <v>OSR_P&amp;G</v>
          </cell>
          <cell r="BD81" t="str">
            <v>OSR vessel Propulsion &amp; Generation</v>
          </cell>
          <cell r="BE81" t="str">
            <v>NOX</v>
          </cell>
          <cell r="BF81">
            <v>13.616000000000001</v>
          </cell>
          <cell r="BG81" t="str">
            <v>g/kW-hr</v>
          </cell>
          <cell r="BH81">
            <v>0.42594433606320686</v>
          </cell>
          <cell r="BI81" t="str">
            <v>lb/gal</v>
          </cell>
          <cell r="BJ81" t="str">
            <v>Caterpillar 3608 Specification Sheet, DM5529, 10/06</v>
          </cell>
          <cell r="BU81" t="str">
            <v>Resupply-transit &amp; DP</v>
          </cell>
          <cell r="BV81" t="str">
            <v>PM</v>
          </cell>
          <cell r="BW81">
            <v>0.5</v>
          </cell>
          <cell r="BX81" t="str">
            <v>g/kW-hr</v>
          </cell>
          <cell r="BY81">
            <v>1.5641316688572514E-2</v>
          </cell>
          <cell r="BZ81" t="str">
            <v>lb/gal</v>
          </cell>
          <cell r="CA81" t="str">
            <v>2010 Discoverer Stack Test data</v>
          </cell>
          <cell r="CL81" t="str">
            <v>Resupply-transit &amp; DP</v>
          </cell>
          <cell r="CM81" t="str">
            <v>PM</v>
          </cell>
          <cell r="CN81">
            <v>0.5</v>
          </cell>
          <cell r="CO81" t="str">
            <v>g/kW-hr</v>
          </cell>
          <cell r="CP81">
            <v>1.5641316688572514E-2</v>
          </cell>
          <cell r="CQ81" t="str">
            <v>lb/gal</v>
          </cell>
          <cell r="CR81" t="str">
            <v>2010 Discoverer Stack Test data</v>
          </cell>
          <cell r="DB81" t="str">
            <v>I_D</v>
          </cell>
          <cell r="DC81" t="str">
            <v>Discoverer Incinerator</v>
          </cell>
          <cell r="DD81" t="str">
            <v>CO</v>
          </cell>
          <cell r="DE81">
            <v>31</v>
          </cell>
          <cell r="DF81" t="str">
            <v>lb/ton</v>
          </cell>
          <cell r="DI81" t="str">
            <v xml:space="preserve">AP42 Table 2.2-1, multiple hearth </v>
          </cell>
          <cell r="EK81" t="str">
            <v>Discoverer Incinerator</v>
          </cell>
          <cell r="EL81" t="str">
            <v>VOC</v>
          </cell>
          <cell r="EM81">
            <v>3</v>
          </cell>
          <cell r="EN81" t="str">
            <v>lb/ton</v>
          </cell>
          <cell r="EQ81" t="str">
            <v>AP42 Table 2.1-12, 10/96</v>
          </cell>
        </row>
        <row r="82">
          <cell r="BC82" t="str">
            <v>I_D</v>
          </cell>
          <cell r="BD82" t="str">
            <v>Discoverer Incinerator</v>
          </cell>
          <cell r="BE82" t="str">
            <v>NOX</v>
          </cell>
          <cell r="BF82">
            <v>5</v>
          </cell>
          <cell r="BG82" t="str">
            <v>lb/ton</v>
          </cell>
          <cell r="BJ82" t="str">
            <v>AP42 Table 2.2-1, multiple hearth</v>
          </cell>
          <cell r="BT82" t="str">
            <v>OSR_P&amp;G</v>
          </cell>
          <cell r="BU82" t="str">
            <v>OSR vessel Propulsion &amp; Generation</v>
          </cell>
          <cell r="BV82" t="str">
            <v>PM</v>
          </cell>
          <cell r="BW82">
            <v>2.5500000000000005E-2</v>
          </cell>
          <cell r="BX82" t="str">
            <v>g/kW-hr</v>
          </cell>
          <cell r="BY82">
            <v>7.9770715111719844E-4</v>
          </cell>
          <cell r="BZ82" t="str">
            <v>lb/gal</v>
          </cell>
          <cell r="CA82" t="str">
            <v>Caterpillar 3608 Specification Sheet, DM5529, 10/06</v>
          </cell>
          <cell r="CK82" t="str">
            <v>OSR_P&amp;G</v>
          </cell>
          <cell r="CL82" t="str">
            <v>OSR vessel Propulsion &amp; Generation</v>
          </cell>
          <cell r="CM82" t="str">
            <v>PM</v>
          </cell>
          <cell r="CN82">
            <v>2.5500000000000005E-2</v>
          </cell>
          <cell r="CO82" t="str">
            <v>g/kW-hr</v>
          </cell>
          <cell r="CP82">
            <v>7.9770715111719844E-4</v>
          </cell>
          <cell r="CQ82" t="str">
            <v>lb/gal</v>
          </cell>
          <cell r="CR82" t="str">
            <v>Caterpillar 3608 Specification Sheet, DM5529, 10/06</v>
          </cell>
          <cell r="DC82" t="str">
            <v>All other Incinerators</v>
          </cell>
          <cell r="DD82" t="str">
            <v>CO</v>
          </cell>
          <cell r="DE82">
            <v>300</v>
          </cell>
          <cell r="DF82" t="str">
            <v>lb/ton</v>
          </cell>
          <cell r="DI82" t="str">
            <v>AP42 Table 2.1-12, 10/96</v>
          </cell>
          <cell r="EK82" t="str">
            <v>All other Incinerators</v>
          </cell>
          <cell r="EL82" t="str">
            <v>VOC</v>
          </cell>
          <cell r="EM82">
            <v>100</v>
          </cell>
          <cell r="EN82" t="str">
            <v>lb/ton</v>
          </cell>
          <cell r="EQ82" t="str">
            <v>AP42 Table 2.1-12, 10/96</v>
          </cell>
        </row>
        <row r="83">
          <cell r="BD83" t="str">
            <v>All other Incinerators</v>
          </cell>
          <cell r="BE83" t="str">
            <v>NOX</v>
          </cell>
          <cell r="BF83">
            <v>5</v>
          </cell>
          <cell r="BG83" t="str">
            <v>lb/ton</v>
          </cell>
          <cell r="BJ83" t="str">
            <v>AP42 Table 2.2-1, multiple hearth</v>
          </cell>
          <cell r="BT83" t="str">
            <v>I_D</v>
          </cell>
          <cell r="BU83" t="str">
            <v>Discoverer Incinerator</v>
          </cell>
          <cell r="BV83" t="str">
            <v>PM2.5</v>
          </cell>
          <cell r="BW83">
            <v>7</v>
          </cell>
          <cell r="BX83" t="str">
            <v>lb/ton</v>
          </cell>
          <cell r="CA83" t="str">
            <v>Permit Condition</v>
          </cell>
          <cell r="CK83" t="str">
            <v>I_D</v>
          </cell>
          <cell r="CL83" t="str">
            <v>Discoverer Incinerator</v>
          </cell>
          <cell r="CM83" t="str">
            <v>PM10</v>
          </cell>
          <cell r="CN83">
            <v>8.1999999999999993</v>
          </cell>
          <cell r="CO83" t="str">
            <v>lb/ton</v>
          </cell>
          <cell r="CR83" t="str">
            <v>Permit Condition</v>
          </cell>
        </row>
        <row r="84">
          <cell r="BU84" t="str">
            <v>All other Incinerators</v>
          </cell>
          <cell r="BV84" t="str">
            <v>PM2.5</v>
          </cell>
          <cell r="BW84">
            <v>9.1</v>
          </cell>
          <cell r="BX84" t="str">
            <v>lb/ton</v>
          </cell>
          <cell r="CA84" t="str">
            <v>AP42 Table 2.1-12, 10/96 &amp; Appendix B.1 2.1</v>
          </cell>
          <cell r="CL84" t="str">
            <v>All other Incinerators</v>
          </cell>
          <cell r="CM84" t="str">
            <v>PM10</v>
          </cell>
          <cell r="CN84">
            <v>13.3</v>
          </cell>
          <cell r="CO84" t="str">
            <v>lb/ton</v>
          </cell>
          <cell r="CR84" t="str">
            <v>AP42 Table 2.1-12, 10/96 &amp; Appendix B.1 2.1</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
      <sheetName val="Notes"/>
      <sheetName val="Corrib Haz"/>
      <sheetName val="Module1"/>
    </sheetNames>
    <sheetDataSet>
      <sheetData sheetId="0"/>
      <sheetData sheetId="1"/>
      <sheetData sheetId="2"/>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mpdata"/>
      <sheetName val="pumpcalc"/>
      <sheetName val="User inputs"/>
      <sheetName val="Data table"/>
      <sheetName val="REVISIONS"/>
      <sheetName val="Chart1"/>
      <sheetName val="Dialog1"/>
      <sheetName val="Dialog2"/>
      <sheetName val="Dialog3"/>
      <sheetName val="Limits"/>
      <sheetName val="Module1"/>
      <sheetName val="Module2"/>
      <sheetName val="pumpspread"/>
      <sheetName val="Pump Suction"/>
    </sheetNames>
    <definedNames>
      <definedName name="disclaim"/>
    </definedNames>
    <sheetDataSet>
      <sheetData sheetId="0"/>
      <sheetData sheetId="1"/>
      <sheetData sheetId="2"/>
      <sheetData sheetId="3"/>
      <sheetData sheetId="4"/>
      <sheetData sheetId="5" refreshError="1"/>
      <sheetData sheetId="6"/>
      <sheetData sheetId="7"/>
      <sheetData sheetId="8"/>
      <sheetData sheetId="9"/>
      <sheetData sheetId="10" refreshError="1"/>
      <sheetData sheetId="11" refreshError="1"/>
      <sheetData sheetId="12" refreshError="1"/>
      <sheetData sheetId="1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alc"/>
      <sheetName val="HP Case 1"/>
      <sheetName val="HP Flaresim - Case 1"/>
      <sheetName val="HP Case 2"/>
      <sheetName val="HP Flaresim - Case 2"/>
      <sheetName val="HP Case 3"/>
      <sheetName val="HP Flaresim - Case 3"/>
      <sheetName val="HP Case 4"/>
      <sheetName val="HP Flaresim - Case 4"/>
      <sheetName val="LP Case 1"/>
      <sheetName val="Stream_Data"/>
      <sheetName val="Equip List"/>
      <sheetName val="HPHV"/>
      <sheetName val="HP FLARE DRUM"/>
      <sheetName val="DS HPHV"/>
      <sheetName val="HP Pump_FEED"/>
      <sheetName val="DS HP Flare Pump"/>
      <sheetName val="HP Bonilla 1"/>
      <sheetName val="HP Bonilla 2"/>
      <sheetName val="LPHV"/>
      <sheetName val="LP FLARE DRUM"/>
      <sheetName val="DS LPHV"/>
      <sheetName val="LP Pump_FEED"/>
      <sheetName val="DS LP Flare Pump"/>
      <sheetName val="LP Bonilla 1"/>
      <sheetName val="LP Bonilla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ll&amp;Tube"/>
      <sheetName val="Data"/>
      <sheetName val="Data2"/>
      <sheetName val="Sketch"/>
      <sheetName val="Sketch2"/>
      <sheetName val="ExpJoint"/>
      <sheetName val="Revisions"/>
    </sheetNames>
    <sheetDataSet>
      <sheetData sheetId="0">
        <row r="89">
          <cell r="B89" t="str">
            <v>BafCut</v>
          </cell>
          <cell r="E89" t="str">
            <v>ShellPass</v>
          </cell>
          <cell r="H89" t="str">
            <v>TubeOD</v>
          </cell>
          <cell r="J89" t="str">
            <v>Noz</v>
          </cell>
          <cell r="M89" t="str">
            <v>Stamp</v>
          </cell>
          <cell r="O89" t="str">
            <v>TubeTk</v>
          </cell>
          <cell r="Q89" t="str">
            <v>TubePitch</v>
          </cell>
          <cell r="S89" t="str">
            <v>NozSize</v>
          </cell>
          <cell r="U89" t="str">
            <v>Material</v>
          </cell>
          <cell r="X89" t="str">
            <v>A</v>
          </cell>
          <cell r="Y89" t="str">
            <v>E</v>
          </cell>
          <cell r="Z89" t="str">
            <v>D</v>
          </cell>
          <cell r="AA89" t="str">
            <v>Corrosion</v>
          </cell>
          <cell r="AC89" t="str">
            <v>psig</v>
          </cell>
        </row>
        <row r="90">
          <cell r="B90" t="str">
            <v>Cut(%Diam)</v>
          </cell>
          <cell r="E90" t="str">
            <v xml:space="preserve"> </v>
          </cell>
          <cell r="H90" t="str">
            <v xml:space="preserve"> </v>
          </cell>
          <cell r="J90" t="str">
            <v xml:space="preserve"> </v>
          </cell>
          <cell r="M90" t="str">
            <v>YES</v>
          </cell>
          <cell r="O90" t="str">
            <v xml:space="preserve"> </v>
          </cell>
          <cell r="Q90" t="str">
            <v xml:space="preserve"> </v>
          </cell>
          <cell r="S90" t="str">
            <v xml:space="preserve"> </v>
          </cell>
          <cell r="U90" t="str">
            <v xml:space="preserve"> </v>
          </cell>
          <cell r="X90" t="str">
            <v>B</v>
          </cell>
          <cell r="Y90" t="str">
            <v>F</v>
          </cell>
          <cell r="Z90" t="str">
            <v>L</v>
          </cell>
          <cell r="AA90" t="str">
            <v xml:space="preserve"> </v>
          </cell>
          <cell r="AC90" t="str">
            <v>bar g</v>
          </cell>
        </row>
        <row r="91">
          <cell r="B91" t="str">
            <v>Cut(%NFA)</v>
          </cell>
          <cell r="E91">
            <v>1</v>
          </cell>
          <cell r="H91">
            <v>0.5</v>
          </cell>
          <cell r="J91" t="str">
            <v>INTERMEDIATE</v>
          </cell>
          <cell r="M91" t="str">
            <v>NO</v>
          </cell>
          <cell r="O91">
            <v>4.9000000000000002E-2</v>
          </cell>
          <cell r="Q91" t="e">
            <v>#N/A</v>
          </cell>
          <cell r="S91" t="str">
            <v>1"</v>
          </cell>
          <cell r="U91" t="str">
            <v>C.S.</v>
          </cell>
          <cell r="X91" t="str">
            <v>C</v>
          </cell>
          <cell r="Y91" t="str">
            <v>G</v>
          </cell>
          <cell r="Z91" t="str">
            <v>M</v>
          </cell>
          <cell r="AA91" t="str">
            <v>NONE</v>
          </cell>
          <cell r="AC91" t="str">
            <v>kg/cm² g</v>
          </cell>
        </row>
        <row r="92">
          <cell r="B92" t="str">
            <v>OVERLAP</v>
          </cell>
          <cell r="E92">
            <v>2</v>
          </cell>
          <cell r="H92">
            <v>0.625</v>
          </cell>
          <cell r="J92" t="str">
            <v>VENT</v>
          </cell>
          <cell r="M92" t="str">
            <v>Shell</v>
          </cell>
          <cell r="O92">
            <v>6.5000000000000002E-2</v>
          </cell>
          <cell r="Q92" t="e">
            <v>#N/A</v>
          </cell>
          <cell r="S92" t="str">
            <v>1.5"</v>
          </cell>
          <cell r="U92" t="str">
            <v>K.C.S.</v>
          </cell>
          <cell r="X92" t="str">
            <v>D</v>
          </cell>
          <cell r="Y92" t="str">
            <v>H</v>
          </cell>
          <cell r="Z92" t="str">
            <v>N</v>
          </cell>
          <cell r="AA92">
            <v>6.25E-2</v>
          </cell>
          <cell r="AC92" t="str">
            <v>kg/mm² g</v>
          </cell>
        </row>
        <row r="93">
          <cell r="B93" t="str">
            <v>TubeWall</v>
          </cell>
          <cell r="E93" t="str">
            <v>DIVIDED FLOW</v>
          </cell>
          <cell r="H93">
            <v>0.75</v>
          </cell>
          <cell r="J93" t="str">
            <v>DRAIN</v>
          </cell>
          <cell r="M93" t="str">
            <v>OD</v>
          </cell>
          <cell r="O93">
            <v>8.3000000000000004E-2</v>
          </cell>
          <cell r="Q93" t="e">
            <v>#N/A</v>
          </cell>
          <cell r="S93" t="str">
            <v>2"</v>
          </cell>
          <cell r="U93" t="str">
            <v>304 S.S.</v>
          </cell>
          <cell r="X93" t="str">
            <v>N</v>
          </cell>
          <cell r="Y93" t="str">
            <v>J</v>
          </cell>
          <cell r="Z93" t="str">
            <v>S</v>
          </cell>
          <cell r="AA93">
            <v>0.125</v>
          </cell>
          <cell r="AC93" t="str">
            <v>Pa g</v>
          </cell>
        </row>
        <row r="94">
          <cell r="B94" t="str">
            <v>(Min)</v>
          </cell>
          <cell r="E94" t="str">
            <v>CROSSFLOW</v>
          </cell>
          <cell r="H94">
            <v>1</v>
          </cell>
          <cell r="J94" t="str">
            <v>VENT w/BLIND</v>
          </cell>
          <cell r="M94" t="str">
            <v>ID</v>
          </cell>
          <cell r="O94">
            <v>9.5000000000000001E-2</v>
          </cell>
          <cell r="Q94" t="e">
            <v>#N/A</v>
          </cell>
          <cell r="S94" t="str">
            <v>3"</v>
          </cell>
          <cell r="U94" t="str">
            <v>304L S.S.</v>
          </cell>
          <cell r="Y94" t="str">
            <v>K</v>
          </cell>
          <cell r="Z94" t="str">
            <v>T</v>
          </cell>
          <cell r="AA94">
            <v>0.25</v>
          </cell>
          <cell r="AC94" t="str">
            <v>kPa g</v>
          </cell>
        </row>
        <row r="95">
          <cell r="B95" t="str">
            <v>(Avg)</v>
          </cell>
          <cell r="E95" t="str">
            <v>KETTLE</v>
          </cell>
          <cell r="H95">
            <v>1.25</v>
          </cell>
          <cell r="J95" t="str">
            <v>DRAIN w/BLIND</v>
          </cell>
          <cell r="M95" t="str">
            <v>NumNoz</v>
          </cell>
          <cell r="O95">
            <v>0.109</v>
          </cell>
          <cell r="S95" t="str">
            <v>4"</v>
          </cell>
          <cell r="U95" t="str">
            <v>316 S.S.</v>
          </cell>
          <cell r="Y95" t="str">
            <v>X</v>
          </cell>
          <cell r="Z95" t="str">
            <v>U</v>
          </cell>
          <cell r="AA95" t="str">
            <v>0.0625 ON C.S.</v>
          </cell>
          <cell r="AC95" t="str">
            <v>Mpa g</v>
          </cell>
        </row>
        <row r="96">
          <cell r="B96" t="str">
            <v>Orientation</v>
          </cell>
          <cell r="E96" t="str">
            <v>SPLIT FLOW</v>
          </cell>
          <cell r="H96">
            <v>1.5</v>
          </cell>
          <cell r="J96" t="str">
            <v>VENT w/PLUG</v>
          </cell>
          <cell r="M96" t="str">
            <v xml:space="preserve"> </v>
          </cell>
          <cell r="O96">
            <v>0.12</v>
          </cell>
          <cell r="S96" t="str">
            <v>6"</v>
          </cell>
          <cell r="U96" t="str">
            <v>316L S.S.</v>
          </cell>
          <cell r="AA96" t="str">
            <v>0.125 ON C.S.</v>
          </cell>
          <cell r="AC96" t="str">
            <v>atm</v>
          </cell>
        </row>
        <row r="97">
          <cell r="B97" t="str">
            <v xml:space="preserve"> </v>
          </cell>
          <cell r="E97" t="str">
            <v>DBL SPLIT FLOW</v>
          </cell>
          <cell r="H97">
            <v>1.75</v>
          </cell>
          <cell r="J97" t="str">
            <v>DRAIN w/PLUG</v>
          </cell>
          <cell r="M97">
            <v>1</v>
          </cell>
          <cell r="O97">
            <v>0.13400000000000001</v>
          </cell>
          <cell r="S97" t="str">
            <v>8"</v>
          </cell>
          <cell r="U97" t="str">
            <v>321 S.S.</v>
          </cell>
          <cell r="AA97" t="str">
            <v>0.25 ON C.S.</v>
          </cell>
          <cell r="AC97" t="str">
            <v xml:space="preserve"> </v>
          </cell>
          <cell r="AD97" t="str">
            <v>chart for tube pitch</v>
          </cell>
        </row>
        <row r="98">
          <cell r="B98" t="str">
            <v>(Horizontal)</v>
          </cell>
          <cell r="J98" t="str">
            <v>PI</v>
          </cell>
          <cell r="M98">
            <v>2</v>
          </cell>
          <cell r="O98">
            <v>0.16500000000000001</v>
          </cell>
          <cell r="S98" t="str">
            <v>10"</v>
          </cell>
          <cell r="U98" t="str">
            <v>347 S.S.</v>
          </cell>
          <cell r="X98" t="str">
            <v>NozRating</v>
          </cell>
          <cell r="AA98" t="str">
            <v>Class</v>
          </cell>
          <cell r="AD98">
            <v>0.5</v>
          </cell>
          <cell r="AE98">
            <v>0.625</v>
          </cell>
          <cell r="AF98">
            <v>0.65625</v>
          </cell>
          <cell r="AG98">
            <v>0.6875</v>
          </cell>
          <cell r="AH98">
            <v>0.71875</v>
          </cell>
        </row>
        <row r="99">
          <cell r="B99" t="str">
            <v>(Vertical)</v>
          </cell>
          <cell r="J99" t="str">
            <v>TI</v>
          </cell>
          <cell r="M99">
            <v>3</v>
          </cell>
          <cell r="O99">
            <v>0.18</v>
          </cell>
          <cell r="S99" t="str">
            <v>12"</v>
          </cell>
          <cell r="U99" t="str">
            <v>2½ Ni</v>
          </cell>
          <cell r="X99" t="str">
            <v xml:space="preserve"> </v>
          </cell>
          <cell r="AA99" t="str">
            <v>"R"</v>
          </cell>
          <cell r="AD99">
            <v>0.625</v>
          </cell>
          <cell r="AE99">
            <v>0.78125</v>
          </cell>
          <cell r="AF99">
            <v>0.8125</v>
          </cell>
          <cell r="AG99">
            <v>0.875</v>
          </cell>
          <cell r="AH99">
            <v>0.9375</v>
          </cell>
        </row>
        <row r="100">
          <cell r="B100" t="str">
            <v>tube/tubesheet joint</v>
          </cell>
          <cell r="J100" t="str">
            <v>TI (INTERMEDIATE)</v>
          </cell>
          <cell r="M100">
            <v>4</v>
          </cell>
          <cell r="S100" t="str">
            <v>14"</v>
          </cell>
          <cell r="U100" t="str">
            <v>3½ Ni</v>
          </cell>
          <cell r="X100" t="str">
            <v>150#</v>
          </cell>
          <cell r="AA100" t="str">
            <v>"C"</v>
          </cell>
          <cell r="AD100">
            <v>0.75</v>
          </cell>
          <cell r="AE100">
            <v>0.9375</v>
          </cell>
          <cell r="AF100">
            <v>1</v>
          </cell>
          <cell r="AG100">
            <v>1.0625</v>
          </cell>
          <cell r="AH100">
            <v>1.125</v>
          </cell>
        </row>
        <row r="101">
          <cell r="B101" t="str">
            <v xml:space="preserve"> </v>
          </cell>
          <cell r="J101" t="str">
            <v>PI (INTERMEDIATE)</v>
          </cell>
          <cell r="M101" t="str">
            <v>BaffleOrient</v>
          </cell>
          <cell r="P101" t="str">
            <v>BaffleType</v>
          </cell>
          <cell r="S101" t="str">
            <v>16"</v>
          </cell>
          <cell r="U101" t="str">
            <v>2 Ni - 1 Cu</v>
          </cell>
          <cell r="X101" t="str">
            <v>300#</v>
          </cell>
          <cell r="AA101" t="str">
            <v>"B"</v>
          </cell>
          <cell r="AD101">
            <v>0.875</v>
          </cell>
          <cell r="AE101">
            <v>1.09375</v>
          </cell>
          <cell r="AF101">
            <v>1.125</v>
          </cell>
          <cell r="AG101">
            <v>1.1875</v>
          </cell>
          <cell r="AH101">
            <v>1.25</v>
          </cell>
        </row>
        <row r="102">
          <cell r="B102" t="str">
            <v>2 GROOVES &amp; EXPAND</v>
          </cell>
          <cell r="M102" t="str">
            <v xml:space="preserve"> </v>
          </cell>
          <cell r="P102" t="str">
            <v xml:space="preserve"> </v>
          </cell>
          <cell r="S102" t="str">
            <v>18"</v>
          </cell>
          <cell r="U102" t="str">
            <v>1 Cr - ½ Mo</v>
          </cell>
          <cell r="X102" t="str">
            <v>600#</v>
          </cell>
          <cell r="AA102" t="str">
            <v>Shell cover</v>
          </cell>
          <cell r="AD102">
            <v>1</v>
          </cell>
          <cell r="AE102">
            <v>1.25</v>
          </cell>
          <cell r="AF102">
            <v>1.375</v>
          </cell>
          <cell r="AG102">
            <v>1.5</v>
          </cell>
          <cell r="AH102">
            <v>1.625</v>
          </cell>
        </row>
        <row r="103">
          <cell r="B103" t="str">
            <v>SEAL WELD</v>
          </cell>
          <cell r="M103" t="str">
            <v>HORIZ.</v>
          </cell>
          <cell r="P103" t="str">
            <v>SEG.</v>
          </cell>
          <cell r="S103" t="str">
            <v>20"</v>
          </cell>
          <cell r="U103" t="str">
            <v>1¼ Cr - ½ Mo</v>
          </cell>
          <cell r="X103" t="str">
            <v>900#</v>
          </cell>
          <cell r="AA103" t="str">
            <v xml:space="preserve"> </v>
          </cell>
          <cell r="AD103">
            <v>1.06</v>
          </cell>
          <cell r="AE103">
            <v>1.375</v>
          </cell>
          <cell r="AF103">
            <v>1.5</v>
          </cell>
          <cell r="AG103">
            <v>1.625</v>
          </cell>
          <cell r="AH103">
            <v>1.75</v>
          </cell>
        </row>
        <row r="104">
          <cell r="B104" t="str">
            <v>FULL STRENGTH WELD PER UW-20(a)(1)</v>
          </cell>
          <cell r="M104" t="str">
            <v>VERTICAL</v>
          </cell>
          <cell r="P104" t="str">
            <v>DBL. SEG.</v>
          </cell>
          <cell r="S104" t="str">
            <v>24"</v>
          </cell>
          <cell r="U104" t="str">
            <v>2¼ Cr - 1 Mo</v>
          </cell>
          <cell r="X104" t="str">
            <v>1500#</v>
          </cell>
          <cell r="AA104" t="str">
            <v>(Integ.)</v>
          </cell>
          <cell r="AD104">
            <v>1.25</v>
          </cell>
          <cell r="AE104">
            <v>1.5625</v>
          </cell>
          <cell r="AF104">
            <v>1.6875</v>
          </cell>
          <cell r="AG104">
            <v>1.8125</v>
          </cell>
          <cell r="AH104">
            <v>1.9375</v>
          </cell>
        </row>
        <row r="105">
          <cell r="B105" t="str">
            <v>2 GROOVES, EXPAND &amp; SEAL WELD</v>
          </cell>
          <cell r="M105" t="str">
            <v>PARALLEL</v>
          </cell>
          <cell r="P105" t="str">
            <v>SEG NTIW</v>
          </cell>
          <cell r="S105" t="str">
            <v>26"</v>
          </cell>
          <cell r="U105" t="str">
            <v>3 Cr - 1 Mo</v>
          </cell>
          <cell r="X105" t="str">
            <v>2500#</v>
          </cell>
          <cell r="AA105" t="str">
            <v>(Remov.)</v>
          </cell>
          <cell r="AD105">
            <v>1.31</v>
          </cell>
          <cell r="AE105">
            <v>1.6875</v>
          </cell>
          <cell r="AF105">
            <v>1.75</v>
          </cell>
          <cell r="AG105">
            <v>1.875</v>
          </cell>
          <cell r="AH105">
            <v>2</v>
          </cell>
        </row>
        <row r="106">
          <cell r="B106" t="str">
            <v>2 GROOVES, EXPAND &amp; FULL STR WELD</v>
          </cell>
          <cell r="M106" t="str">
            <v>PERPEN.</v>
          </cell>
          <cell r="P106" t="str">
            <v>SPIRAL</v>
          </cell>
          <cell r="S106" t="str">
            <v>28"</v>
          </cell>
          <cell r="U106" t="str">
            <v>5 Cr - ½ Mo</v>
          </cell>
          <cell r="X106" t="str">
            <v>6000#</v>
          </cell>
          <cell r="AA106" t="str">
            <v>TubeType</v>
          </cell>
          <cell r="AD106">
            <v>1.5</v>
          </cell>
          <cell r="AE106">
            <v>1.875</v>
          </cell>
          <cell r="AF106">
            <v>2</v>
          </cell>
          <cell r="AG106">
            <v>2.125</v>
          </cell>
          <cell r="AH106">
            <v>2.25</v>
          </cell>
        </row>
        <row r="107">
          <cell r="B107" t="str">
            <v>2 GRV, FULL DEPTH EXPAND &amp; SEAL WELD</v>
          </cell>
          <cell r="P107" t="str">
            <v>RODbaffle</v>
          </cell>
          <cell r="S107" t="str">
            <v>30"</v>
          </cell>
          <cell r="U107" t="str">
            <v>SANDVIK 2205</v>
          </cell>
          <cell r="X107" t="str">
            <v>SCH 40</v>
          </cell>
          <cell r="AA107" t="str">
            <v>(Welded)</v>
          </cell>
          <cell r="AD107">
            <v>1.66</v>
          </cell>
          <cell r="AE107">
            <v>2.125</v>
          </cell>
          <cell r="AF107">
            <v>2.25</v>
          </cell>
          <cell r="AG107">
            <v>2.375</v>
          </cell>
          <cell r="AH107">
            <v>2.5</v>
          </cell>
        </row>
        <row r="108">
          <cell r="B108" t="str">
            <v>2 GRV, FULL DEPTH EXPAND &amp; FULL STR WELD</v>
          </cell>
          <cell r="P108" t="str">
            <v>Disk&amp;D'nut</v>
          </cell>
          <cell r="S108" t="str">
            <v>36"</v>
          </cell>
          <cell r="U108" t="str">
            <v>MONEL 400</v>
          </cell>
          <cell r="X108" t="str">
            <v>SCH 80</v>
          </cell>
          <cell r="AA108" t="str">
            <v>(Seamless)</v>
          </cell>
          <cell r="AD108">
            <v>1.75</v>
          </cell>
          <cell r="AE108">
            <v>2.1875</v>
          </cell>
          <cell r="AF108">
            <v>2.3125</v>
          </cell>
          <cell r="AG108">
            <v>2.4375</v>
          </cell>
          <cell r="AH108">
            <v>2.5625</v>
          </cell>
        </row>
        <row r="109">
          <cell r="B109" t="str">
            <v>2 GRV, FULL DEPTH HYDRO EXPAND &amp; SEAL WELD</v>
          </cell>
          <cell r="S109" t="str">
            <v>42"</v>
          </cell>
          <cell r="U109" t="str">
            <v>ALLOY 600</v>
          </cell>
          <cell r="X109" t="str">
            <v>SCH 120</v>
          </cell>
          <cell r="AA109" t="str">
            <v>SERVICE:</v>
          </cell>
          <cell r="AD109">
            <v>2</v>
          </cell>
          <cell r="AE109">
            <v>2.5</v>
          </cell>
          <cell r="AF109">
            <v>2.625</v>
          </cell>
          <cell r="AG109">
            <v>2.75</v>
          </cell>
          <cell r="AH109">
            <v>2.875</v>
          </cell>
        </row>
        <row r="110">
          <cell r="B110" t="str">
            <v>2 GRV, FULL DEPTH HYDRO EXPAND &amp; FULL STR WELD</v>
          </cell>
          <cell r="S110" t="str">
            <v>48"</v>
          </cell>
          <cell r="U110" t="str">
            <v>ALLOY 625</v>
          </cell>
          <cell r="X110" t="str">
            <v>SCH 160</v>
          </cell>
          <cell r="AA110" t="str">
            <v>UNIT:</v>
          </cell>
        </row>
        <row r="111">
          <cell r="B111" t="str">
            <v>Gasket</v>
          </cell>
          <cell r="M111" t="str">
            <v>NozFace</v>
          </cell>
          <cell r="O111" t="str">
            <v>Imp plate</v>
          </cell>
          <cell r="Q111" t="str">
            <v>impingement</v>
          </cell>
          <cell r="S111" t="str">
            <v>54"</v>
          </cell>
          <cell r="U111" t="str">
            <v>ALLOY 800</v>
          </cell>
          <cell r="X111" t="str">
            <v>SCH XS</v>
          </cell>
        </row>
        <row r="112">
          <cell r="B112" t="str">
            <v xml:space="preserve"> </v>
          </cell>
          <cell r="M112" t="str">
            <v xml:space="preserve"> </v>
          </cell>
          <cell r="O112" t="str">
            <v xml:space="preserve"> </v>
          </cell>
          <cell r="Q112" t="str">
            <v xml:space="preserve"> </v>
          </cell>
          <cell r="S112" t="str">
            <v>60"</v>
          </cell>
          <cell r="U112" t="str">
            <v>90-10 Cu-Ni</v>
          </cell>
          <cell r="X112" t="str">
            <v>SCH XX</v>
          </cell>
        </row>
        <row r="113">
          <cell r="B113" t="str">
            <v>Metal Dbl Jktd Graphite Filled</v>
          </cell>
          <cell r="M113" t="str">
            <v>RF</v>
          </cell>
          <cell r="O113" t="str">
            <v>NONE</v>
          </cell>
          <cell r="Q113" t="str">
            <v>NONE</v>
          </cell>
          <cell r="U113" t="str">
            <v>70-30 Cu-Ni</v>
          </cell>
        </row>
        <row r="114">
          <cell r="B114" t="str">
            <v>SPIRAL WOUND</v>
          </cell>
          <cell r="M114" t="str">
            <v>WN RF</v>
          </cell>
          <cell r="O114" t="str">
            <v>CS</v>
          </cell>
          <cell r="Q114" t="str">
            <v>PLATE</v>
          </cell>
          <cell r="U114" t="str">
            <v>ADMIRALTY</v>
          </cell>
        </row>
        <row r="115">
          <cell r="B115" t="str">
            <v>SOLID METAL</v>
          </cell>
          <cell r="M115" t="str">
            <v>LWN RF</v>
          </cell>
          <cell r="O115" t="str">
            <v>304SS</v>
          </cell>
          <cell r="Q115" t="str">
            <v>RODS - 2 ROWS</v>
          </cell>
          <cell r="U115" t="str">
            <v>TITANIUM</v>
          </cell>
        </row>
        <row r="116">
          <cell r="B116" t="str">
            <v>Groved Metal Graphite Coated</v>
          </cell>
          <cell r="M116" t="str">
            <v>SO RF</v>
          </cell>
          <cell r="O116" t="str">
            <v>316SS</v>
          </cell>
          <cell r="Q116" t="str">
            <v>PERF PLATE</v>
          </cell>
          <cell r="U116" t="str">
            <v>TITANIUM</v>
          </cell>
          <cell r="X116" t="str">
            <v>Tube type</v>
          </cell>
        </row>
        <row r="117">
          <cell r="B117" t="str">
            <v>KAMMPROFILE</v>
          </cell>
          <cell r="M117" t="str">
            <v>FF</v>
          </cell>
          <cell r="Q117" t="str">
            <v>VAPOR BELT</v>
          </cell>
          <cell r="U117" t="str">
            <v>TITANIUM</v>
          </cell>
          <cell r="X117" t="str">
            <v>STRAIGHT</v>
          </cell>
        </row>
        <row r="118">
          <cell r="M118" t="str">
            <v>RTJ</v>
          </cell>
          <cell r="U118" t="str">
            <v>TITANIUM</v>
          </cell>
          <cell r="X118" t="str">
            <v>U-TUBE</v>
          </cell>
        </row>
        <row r="119">
          <cell r="M119" t="str">
            <v>STUB</v>
          </cell>
          <cell r="U119" t="str">
            <v>Horiz seal</v>
          </cell>
        </row>
        <row r="120">
          <cell r="M120" t="str">
            <v>CPLG</v>
          </cell>
          <cell r="U120" t="str">
            <v xml:space="preserve"> </v>
          </cell>
        </row>
        <row r="121">
          <cell r="A121" t="str">
            <v>ValFlowAngle</v>
          </cell>
          <cell r="U121" t="str">
            <v>WELD LONG BAFFLE TO SHELL</v>
          </cell>
        </row>
        <row r="122">
          <cell r="A122" t="str">
            <v>30o</v>
          </cell>
          <cell r="U122" t="str">
            <v>LAMIFLEX</v>
          </cell>
        </row>
        <row r="123">
          <cell r="A123" t="str">
            <v>45o</v>
          </cell>
        </row>
        <row r="124">
          <cell r="A124" t="str">
            <v>60o</v>
          </cell>
        </row>
        <row r="125">
          <cell r="A125" t="str">
            <v>90o</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First Page"/>
      <sheetName val="design cases"/>
      <sheetName val="hold up"/>
      <sheetName val="dimensions"/>
      <sheetName val="Datasheet (old)"/>
      <sheetName val="DS Cover"/>
      <sheetName val="DS Inputs and Holds"/>
      <sheetName val="DS Recondenser"/>
      <sheetName val="DS Packing"/>
      <sheetName val="Sheet1"/>
      <sheetName val="Stream_Data"/>
      <sheetName val="Pipe ID"/>
      <sheetName val="Data Pag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
      <sheetName val="DB email 28Apr"/>
      <sheetName val="Summary"/>
      <sheetName val="LS_Pipe_Specs"/>
    </sheetNames>
    <sheetDataSet>
      <sheetData sheetId="0" refreshError="1"/>
      <sheetData sheetId="1" refreshError="1">
        <row r="2">
          <cell r="K2">
            <v>9</v>
          </cell>
          <cell r="M2">
            <v>11</v>
          </cell>
          <cell r="O2">
            <v>13</v>
          </cell>
          <cell r="Q2">
            <v>15</v>
          </cell>
          <cell r="S2">
            <v>17</v>
          </cell>
        </row>
      </sheetData>
      <sheetData sheetId="2" refreshError="1"/>
      <sheetData sheetId="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
      <sheetName val="em"/>
      <sheetName val="SUM"/>
      <sheetName val="em (3)"/>
      <sheetName val="SUM (3)"/>
    </sheetNames>
    <sheetDataSet>
      <sheetData sheetId="0" refreshError="1"/>
      <sheetData sheetId="1" refreshError="1"/>
      <sheetData sheetId="2" refreshError="1"/>
      <sheetData sheetId="3" refreshError="1">
        <row r="2">
          <cell r="K2">
            <v>9</v>
          </cell>
          <cell r="M2">
            <v>11</v>
          </cell>
          <cell r="O2">
            <v>13</v>
          </cell>
          <cell r="Q2">
            <v>15</v>
          </cell>
          <cell r="S2">
            <v>17</v>
          </cell>
        </row>
      </sheetData>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ressor performance"/>
    </sheetNames>
    <sheetDataSet>
      <sheetData sheetId="0" refreshError="1">
        <row r="12">
          <cell r="B12">
            <v>14.2</v>
          </cell>
        </row>
        <row r="13">
          <cell r="B13">
            <v>46.2</v>
          </cell>
        </row>
        <row r="14">
          <cell r="B14">
            <v>1</v>
          </cell>
        </row>
        <row r="15">
          <cell r="B15">
            <v>1</v>
          </cell>
        </row>
        <row r="16">
          <cell r="B16">
            <v>-4</v>
          </cell>
        </row>
        <row r="19">
          <cell r="B19">
            <v>1.395</v>
          </cell>
        </row>
        <row r="20">
          <cell r="B20">
            <v>1544</v>
          </cell>
        </row>
        <row r="21">
          <cell r="B21">
            <v>28.17</v>
          </cell>
        </row>
        <row r="32">
          <cell r="B32">
            <v>215.52490222266317</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PARP1"/>
    </sheetNames>
    <definedNames>
      <definedName name="MAINMENU"/>
    </defined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ne Sizing"/>
      <sheetName val="LS_Criteria"/>
      <sheetName val="LS_Pipe_Specs"/>
      <sheetName val="Data Page"/>
      <sheetName val="Equip List"/>
      <sheetName val="Stream_Data"/>
      <sheetName val="Cover Sheet"/>
      <sheetName val="Basis"/>
      <sheetName val="Flaresim 2.4"/>
      <sheetName val="Att 5 - Flare PFD"/>
      <sheetName val="Att2 - master 1"/>
      <sheetName val="Att2 - master 2"/>
      <sheetName val="2. Future Expansion"/>
      <sheetName val="3. Base Case Check"/>
      <sheetName val="Att2 - master 3"/>
      <sheetName val="Att2 - Master 4"/>
      <sheetName val="Att2 - Master 5"/>
      <sheetName val="Att2 - Master 6"/>
      <sheetName val="Att2 - Bid Case 1 1"/>
      <sheetName val="Att2 - Bid Case 1 2"/>
      <sheetName val="Att2 - Bid Case 1 3"/>
      <sheetName val="Att2 - Bid Case 1 4"/>
      <sheetName val="Att2 - Bid Case 1 5"/>
      <sheetName val="Att2 - Bid Case 1 6"/>
      <sheetName val="Att2 - Case 1  1"/>
      <sheetName val="Att2 - Case 1  2"/>
      <sheetName val="Att2 - Case 2  1"/>
      <sheetName val="Att2 - Case 2  2"/>
      <sheetName val="Att2 - Case 3  1"/>
      <sheetName val="Att2 - Case 3  2"/>
      <sheetName val="Att2 - Case 4  1"/>
      <sheetName val="Att2 - Case 4  2"/>
      <sheetName val="Att2 - Case 5  1"/>
      <sheetName val="Att2 - Case 5  2"/>
      <sheetName val="Att2 - Case 6  1"/>
      <sheetName val="Att2 - Case 6  2"/>
      <sheetName val="Att2 - Case 7  1"/>
      <sheetName val="Att2 - Case 7  2"/>
      <sheetName val="Att2 - Bid Case 2 1"/>
      <sheetName val="Att2 - Bid Case 2 2"/>
      <sheetName val="Att2 - Bid Case 2 3"/>
      <sheetName val="Att2 - Bid Case 2 4"/>
      <sheetName val="Att2 - Bid Case 2 5"/>
      <sheetName val="Att2 - Bid Case 2 6"/>
      <sheetName val="Att2 - Bid Case 3 1 "/>
      <sheetName val="Att2 - Bid Case 3 2"/>
      <sheetName val="Att2 - Bid Case 3 3"/>
      <sheetName val="Att2 - Bid Case 3 4"/>
      <sheetName val="Att2 - Bid Case 3 5"/>
      <sheetName val="Att2 - Bid Case 3 6"/>
      <sheetName val="API - Case 1"/>
      <sheetName val="API - Case 7"/>
      <sheetName val="Bonilla - Single1"/>
      <sheetName val="Bonilla - Single2"/>
      <sheetName val="Bonilla - Single1 (Future)"/>
      <sheetName val="Bonilla - Single2 (Future)"/>
      <sheetName val="Bonilla - Future1 (Base)"/>
      <sheetName val="Bonilla - Future2 (Ba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row r="83">
          <cell r="C83" t="str">
            <v>Uw/Uj</v>
          </cell>
        </row>
      </sheetData>
      <sheetData sheetId="51"/>
      <sheetData sheetId="52"/>
      <sheetData sheetId="53"/>
      <sheetData sheetId="54"/>
      <sheetData sheetId="55"/>
      <sheetData sheetId="56"/>
      <sheetData sheetId="5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rCooler-lean"/>
      <sheetName val="Data-lean"/>
      <sheetName val="AirCooler-Rich"/>
      <sheetName val="Data-Rich"/>
      <sheetName val="Notes"/>
      <sheetName val="Revisions"/>
      <sheetName val="Revisions2"/>
    </sheetNames>
    <sheetDataSet>
      <sheetData sheetId="0"/>
      <sheetData sheetId="1"/>
      <sheetData sheetId="2">
        <row r="111">
          <cell r="T111" t="str">
            <v xml:space="preserve"> </v>
          </cell>
        </row>
        <row r="112">
          <cell r="T112" t="str">
            <v>RF</v>
          </cell>
        </row>
        <row r="113">
          <cell r="T113" t="str">
            <v>WN RF</v>
          </cell>
        </row>
        <row r="114">
          <cell r="T114" t="str">
            <v>LWN RF</v>
          </cell>
        </row>
        <row r="115">
          <cell r="T115" t="str">
            <v>FF</v>
          </cell>
        </row>
        <row r="116">
          <cell r="T116" t="str">
            <v>RTJ</v>
          </cell>
        </row>
        <row r="117">
          <cell r="T117" t="str">
            <v>STUB</v>
          </cell>
        </row>
        <row r="118">
          <cell r="T118" t="str">
            <v>CPLG</v>
          </cell>
        </row>
        <row r="119">
          <cell r="T119" t="str">
            <v>RF w/BD</v>
          </cell>
        </row>
        <row r="120">
          <cell r="T120" t="str">
            <v>CPLG w/PG</v>
          </cell>
        </row>
      </sheetData>
      <sheetData sheetId="3"/>
      <sheetData sheetId="4"/>
      <sheetData sheetId="5"/>
      <sheetData sheetId="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rCooler-lean"/>
      <sheetName val="Data-lean "/>
      <sheetName val="AirCooler-Rich"/>
      <sheetName val="Data-Rich"/>
      <sheetName val="Notes"/>
      <sheetName val="Revisions"/>
      <sheetName val="Revisions2"/>
    </sheetNames>
    <sheetDataSet>
      <sheetData sheetId="0"/>
      <sheetData sheetId="1" refreshError="1"/>
      <sheetData sheetId="2"/>
      <sheetData sheetId="3" refreshError="1"/>
      <sheetData sheetId="4" refreshError="1"/>
      <sheetData sheetId="5" refreshError="1"/>
      <sheetData sheetId="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Sheet5"/>
      <sheetName val="example_data"/>
      <sheetName val="copy_sheet_2"/>
    </sheetNames>
    <sheetDataSet>
      <sheetData sheetId="0" refreshError="1">
        <row r="20">
          <cell r="I20" t="str">
            <v>°F</v>
          </cell>
        </row>
        <row r="43">
          <cell r="M43" t="str">
            <v>psig</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VDVLP"/>
    </sheetNames>
    <definedNames>
      <definedName name="PrintPage"/>
    </defined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10_Annual"/>
      <sheetName val="PM10_24hr"/>
      <sheetName val="PM25_24hr"/>
      <sheetName val="PM25_Annual"/>
      <sheetName val="NOx_Annual"/>
      <sheetName val="CO"/>
      <sheetName val="SO2"/>
      <sheetName val="NOX_1hr"/>
      <sheetName val="Revision History"/>
      <sheetName val="v_params"/>
      <sheetName val="NOTES"/>
      <sheetName val="point_params"/>
      <sheetName val="Sheet2"/>
      <sheetName val="Input_Creator"/>
      <sheetName val="Att.D Source Specs"/>
      <sheetName val="Annual Emissions (tpy)"/>
      <sheetName val="Short-Term Emissions (lbhr)"/>
      <sheetName val="ST QA "/>
      <sheetName val="Sheet1 (2)"/>
      <sheetName val="Sheet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3">
          <cell r="C23" t="str">
            <v>U:\PROJECTS\Fulcrum Air Mod SPK-60309380\05 - Deliverables\modeling\AERMOD\EA\Iteration1_12-16\Feed_Processing_Facility\SO_Pathways</v>
          </cell>
        </row>
      </sheetData>
      <sheetData sheetId="14"/>
      <sheetData sheetId="15"/>
      <sheetData sheetId="16"/>
      <sheetData sheetId="17"/>
      <sheetData sheetId="18"/>
      <sheetData sheetId="19"/>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 viking"/>
      <sheetName val="Cash Flow phoenix"/>
      <sheetName val="Prices"/>
      <sheetName val="flows"/>
      <sheetName val="summary"/>
      <sheetName val="calc"/>
    </sheetNames>
    <sheetDataSet>
      <sheetData sheetId="0"/>
      <sheetData sheetId="1"/>
      <sheetData sheetId="2"/>
      <sheetData sheetId="3"/>
      <sheetData sheetId="4"/>
      <sheetData sheetId="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Specs"/>
      <sheetName val="Lookup"/>
      <sheetName val="Shallow"/>
      <sheetName val="vertical"/>
      <sheetName val="horizontal"/>
      <sheetName val="Revision History"/>
      <sheetName val="WHRU_point_params"/>
      <sheetName val="circular_area_params"/>
      <sheetName val="a_params"/>
      <sheetName val="Input_Creator"/>
      <sheetName val="v_params"/>
      <sheetName val="p_params"/>
      <sheetName val="Scenario1_ST"/>
      <sheetName val="Scenario2_ST"/>
      <sheetName val="Drill"/>
      <sheetName val="Constr"/>
      <sheetName val="Sheet2"/>
      <sheetName val="Sheet3"/>
      <sheetName val="Copy of AERMOD_input_file_sprea"/>
    </sheetNames>
    <sheetDataSet>
      <sheetData sheetId="0"/>
      <sheetData sheetId="1"/>
      <sheetData sheetId="2"/>
      <sheetData sheetId="3"/>
      <sheetData sheetId="4"/>
      <sheetData sheetId="5"/>
      <sheetData sheetId="6"/>
      <sheetData sheetId="7"/>
      <sheetData sheetId="8">
        <row r="5">
          <cell r="D5" t="str">
            <v>Scenarios</v>
          </cell>
        </row>
      </sheetData>
      <sheetData sheetId="9"/>
      <sheetData sheetId="10">
        <row r="5">
          <cell r="C5">
            <v>0</v>
          </cell>
        </row>
      </sheetData>
      <sheetData sheetId="11">
        <row r="5">
          <cell r="C5">
            <v>0</v>
          </cell>
        </row>
      </sheetData>
      <sheetData sheetId="12">
        <row r="3">
          <cell r="E3">
            <v>1</v>
          </cell>
        </row>
      </sheetData>
      <sheetData sheetId="13"/>
      <sheetData sheetId="14"/>
      <sheetData sheetId="15"/>
      <sheetData sheetId="16"/>
      <sheetData sheetId="17"/>
      <sheetData sheetId="1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d Analysis All Sources"/>
      <sheetName val="Q-d Analysis Selected Sources"/>
      <sheetName val="2008Original Data All Sources"/>
      <sheetName val="2011Original Data Other Sources"/>
      <sheetName val="2011Original Data Oil and Gas"/>
    </sheetNames>
    <sheetDataSet>
      <sheetData sheetId="0"/>
      <sheetData sheetId="1">
        <row r="4">
          <cell r="B4">
            <v>0.66811700000000018</v>
          </cell>
          <cell r="C4">
            <v>0.66811700000000018</v>
          </cell>
          <cell r="D4">
            <v>0.73188200000000014</v>
          </cell>
          <cell r="E4">
            <v>145.77000000000001</v>
          </cell>
          <cell r="F4">
            <v>1.4</v>
          </cell>
          <cell r="G4">
            <v>99.94</v>
          </cell>
          <cell r="H4">
            <v>343.13</v>
          </cell>
          <cell r="I4">
            <v>1.4000000000000006</v>
          </cell>
        </row>
        <row r="5">
          <cell r="B5">
            <v>53.419649999999997</v>
          </cell>
          <cell r="C5">
            <v>54.441789999999997</v>
          </cell>
          <cell r="D5">
            <v>41.998206000000003</v>
          </cell>
          <cell r="E5">
            <v>876.86</v>
          </cell>
          <cell r="F5">
            <v>95.417849999999987</v>
          </cell>
          <cell r="G5">
            <v>3461.75</v>
          </cell>
          <cell r="H5">
            <v>26.330000000000002</v>
          </cell>
          <cell r="I5">
            <v>96.44</v>
          </cell>
        </row>
        <row r="7">
          <cell r="B7">
            <v>0.9888840000000001</v>
          </cell>
          <cell r="C7">
            <v>0.9888840000000001</v>
          </cell>
          <cell r="D7">
            <v>0.67111600000000005</v>
          </cell>
          <cell r="E7">
            <v>125.08999999999999</v>
          </cell>
          <cell r="F7">
            <v>1.6600000000000001</v>
          </cell>
          <cell r="G7">
            <v>107.41</v>
          </cell>
          <cell r="H7">
            <v>0.15000000000000002</v>
          </cell>
          <cell r="I7">
            <v>1.6600000000000004</v>
          </cell>
        </row>
        <row r="8">
          <cell r="B8">
            <v>1.1127810000000002</v>
          </cell>
          <cell r="C8">
            <v>2.8127800000000001</v>
          </cell>
          <cell r="D8">
            <v>0.23721900000000001</v>
          </cell>
          <cell r="E8">
            <v>127.29000000000005</v>
          </cell>
          <cell r="F8">
            <v>1.35</v>
          </cell>
          <cell r="G8">
            <v>224.55000000000004</v>
          </cell>
          <cell r="H8">
            <v>204.51999999999998</v>
          </cell>
        </row>
        <row r="9">
          <cell r="B9">
            <v>4.0580809999999996</v>
          </cell>
          <cell r="C9">
            <v>4.0580809999999996</v>
          </cell>
          <cell r="D9">
            <v>2.8019189999999998</v>
          </cell>
          <cell r="E9">
            <v>121.53</v>
          </cell>
          <cell r="F9">
            <v>6.86</v>
          </cell>
          <cell r="G9">
            <v>195.47</v>
          </cell>
          <cell r="H9">
            <v>136.17999999999995</v>
          </cell>
          <cell r="I9">
            <v>6.8599999999999994</v>
          </cell>
        </row>
        <row r="10">
          <cell r="B10">
            <v>0.99381200000000014</v>
          </cell>
          <cell r="C10">
            <v>0.99381200000000014</v>
          </cell>
          <cell r="D10">
            <v>7.6188999999999993E-2</v>
          </cell>
          <cell r="E10">
            <v>9.3099999999999987</v>
          </cell>
          <cell r="F10">
            <v>1.07</v>
          </cell>
          <cell r="G10">
            <v>77.280000000000015</v>
          </cell>
          <cell r="H10">
            <v>3.9999999999999996</v>
          </cell>
          <cell r="I10">
            <v>1.07</v>
          </cell>
        </row>
        <row r="11">
          <cell r="B11">
            <v>20.630500000000001</v>
          </cell>
          <cell r="C11">
            <v>20.630500000000001</v>
          </cell>
          <cell r="D11">
            <v>16.8795</v>
          </cell>
          <cell r="E11">
            <v>421.21000000000004</v>
          </cell>
          <cell r="F11">
            <v>37.51</v>
          </cell>
          <cell r="G11">
            <v>1817.44</v>
          </cell>
          <cell r="H11">
            <v>0.32</v>
          </cell>
          <cell r="I11">
            <v>37.51</v>
          </cell>
        </row>
        <row r="12">
          <cell r="B12">
            <v>5.4508660000000004</v>
          </cell>
          <cell r="C12">
            <v>5.4508659999999995</v>
          </cell>
          <cell r="D12">
            <v>3.8691339999999999</v>
          </cell>
          <cell r="E12">
            <v>100.75999999999999</v>
          </cell>
          <cell r="F12">
            <v>9.32</v>
          </cell>
          <cell r="G12">
            <v>339.34000000000003</v>
          </cell>
          <cell r="H12">
            <v>37.590000000000003</v>
          </cell>
          <cell r="I12">
            <v>9.32</v>
          </cell>
        </row>
        <row r="13">
          <cell r="B13">
            <v>2.1800000000000002</v>
          </cell>
          <cell r="C13">
            <v>2.1800000000000002</v>
          </cell>
          <cell r="D13">
            <v>1.62</v>
          </cell>
          <cell r="E13">
            <v>26.18</v>
          </cell>
          <cell r="F13">
            <v>3.8</v>
          </cell>
          <cell r="G13">
            <v>79.64</v>
          </cell>
          <cell r="H13">
            <v>0.13</v>
          </cell>
          <cell r="I13">
            <v>3.8</v>
          </cell>
        </row>
        <row r="14">
          <cell r="B14">
            <v>25.717277999999997</v>
          </cell>
          <cell r="C14">
            <v>25.717277999999997</v>
          </cell>
          <cell r="D14">
            <v>1.9627019999999999</v>
          </cell>
          <cell r="E14">
            <v>331.20000000000005</v>
          </cell>
          <cell r="F14">
            <v>27.68</v>
          </cell>
          <cell r="G14">
            <v>315.8</v>
          </cell>
          <cell r="H14">
            <v>460.2</v>
          </cell>
          <cell r="I14">
            <v>27.68</v>
          </cell>
        </row>
        <row r="15">
          <cell r="B15">
            <v>0</v>
          </cell>
          <cell r="C15">
            <v>0</v>
          </cell>
          <cell r="D15">
            <v>0</v>
          </cell>
          <cell r="E15">
            <v>271</v>
          </cell>
          <cell r="F15">
            <v>22.5</v>
          </cell>
          <cell r="G15">
            <v>1048</v>
          </cell>
          <cell r="H15">
            <v>4.0999999999999996</v>
          </cell>
          <cell r="I15">
            <v>22.5</v>
          </cell>
        </row>
        <row r="16">
          <cell r="E16">
            <v>31.6</v>
          </cell>
          <cell r="F16">
            <v>1.8400000000000003</v>
          </cell>
          <cell r="G16">
            <v>92.520000000000024</v>
          </cell>
          <cell r="H16">
            <v>1.07</v>
          </cell>
          <cell r="I16">
            <v>1.8400000000000003</v>
          </cell>
        </row>
        <row r="17">
          <cell r="I17">
            <v>1.06</v>
          </cell>
        </row>
        <row r="20">
          <cell r="B20">
            <v>10.093244</v>
          </cell>
          <cell r="C20">
            <v>10.093244</v>
          </cell>
          <cell r="D20">
            <v>15.186755999999997</v>
          </cell>
        </row>
        <row r="21">
          <cell r="E21">
            <v>49.960000000000008</v>
          </cell>
          <cell r="F21">
            <v>4.93</v>
          </cell>
          <cell r="G21">
            <v>129.16999999999999</v>
          </cell>
          <cell r="H21">
            <v>91.710000000000008</v>
          </cell>
          <cell r="I21">
            <v>4.93</v>
          </cell>
        </row>
        <row r="22">
          <cell r="B22">
            <v>0.16500000000000001</v>
          </cell>
          <cell r="C22">
            <v>0.16500000000000001</v>
          </cell>
          <cell r="D22">
            <v>0.13500000000000001</v>
          </cell>
          <cell r="E22">
            <v>30.54</v>
          </cell>
          <cell r="F22">
            <v>0.3</v>
          </cell>
          <cell r="G22">
            <v>214.89</v>
          </cell>
          <cell r="H22">
            <v>0</v>
          </cell>
          <cell r="I22">
            <v>0.3</v>
          </cell>
        </row>
        <row r="23">
          <cell r="B23">
            <v>6.6</v>
          </cell>
          <cell r="C23">
            <v>6.6</v>
          </cell>
          <cell r="D23">
            <v>5.4</v>
          </cell>
        </row>
        <row r="24">
          <cell r="B24">
            <v>1.990313</v>
          </cell>
          <cell r="C24">
            <v>2.1229999999999998</v>
          </cell>
          <cell r="D24">
            <v>1.7370000000000001</v>
          </cell>
          <cell r="E24">
            <v>220.27</v>
          </cell>
          <cell r="F24">
            <v>4.8573110000000002</v>
          </cell>
          <cell r="G24">
            <v>318.25</v>
          </cell>
          <cell r="H24">
            <v>34.89</v>
          </cell>
          <cell r="I24">
            <v>4.99</v>
          </cell>
        </row>
        <row r="25">
          <cell r="B25">
            <v>1.3045310000000001</v>
          </cell>
          <cell r="C25">
            <v>1.3915</v>
          </cell>
          <cell r="D25">
            <v>1.1385000000000001</v>
          </cell>
          <cell r="E25">
            <v>349.53999999999996</v>
          </cell>
          <cell r="F25">
            <v>4.1130320000000005</v>
          </cell>
          <cell r="G25">
            <v>343.47999999999996</v>
          </cell>
          <cell r="H25">
            <v>8.5799999999999983</v>
          </cell>
          <cell r="I25">
            <v>4.2</v>
          </cell>
        </row>
        <row r="26">
          <cell r="E26">
            <v>55.069999999999993</v>
          </cell>
          <cell r="F26">
            <v>8.09</v>
          </cell>
          <cell r="G26">
            <v>182.06</v>
          </cell>
          <cell r="H26">
            <v>0.46</v>
          </cell>
          <cell r="I26">
            <v>8.09</v>
          </cell>
        </row>
        <row r="27">
          <cell r="B27">
            <v>9.3634629999999994</v>
          </cell>
          <cell r="C27">
            <v>9.4479259999999989</v>
          </cell>
          <cell r="D27">
            <v>7.3820740000000002</v>
          </cell>
          <cell r="E27">
            <v>200.78000000000003</v>
          </cell>
          <cell r="F27">
            <v>16.745536999999999</v>
          </cell>
          <cell r="G27">
            <v>1071.3199999999997</v>
          </cell>
          <cell r="H27">
            <v>7.0000000000000007E-2</v>
          </cell>
          <cell r="I27">
            <v>16.829999999999998</v>
          </cell>
        </row>
        <row r="28">
          <cell r="B28">
            <v>0</v>
          </cell>
          <cell r="C28">
            <v>0</v>
          </cell>
          <cell r="D28">
            <v>0</v>
          </cell>
          <cell r="E28">
            <v>3951.8170129999994</v>
          </cell>
          <cell r="F28">
            <v>59.482202999999998</v>
          </cell>
          <cell r="G28">
            <v>2274.9039559999978</v>
          </cell>
          <cell r="H28">
            <v>217.58702600000004</v>
          </cell>
          <cell r="I28">
            <v>61.519914</v>
          </cell>
        </row>
        <row r="29">
          <cell r="E29">
            <v>108.14000000000003</v>
          </cell>
          <cell r="F29">
            <v>3.1348720000000005</v>
          </cell>
          <cell r="G29">
            <v>152.04000000000002</v>
          </cell>
          <cell r="H29">
            <v>0.16</v>
          </cell>
          <cell r="I29">
            <v>3.14</v>
          </cell>
        </row>
        <row r="30">
          <cell r="E30">
            <v>38.25</v>
          </cell>
          <cell r="F30">
            <v>3.427969</v>
          </cell>
          <cell r="G30">
            <v>140.14999999999998</v>
          </cell>
          <cell r="H30">
            <v>22.299999999999997</v>
          </cell>
          <cell r="I30">
            <v>3.51</v>
          </cell>
        </row>
        <row r="31">
          <cell r="E31">
            <v>220.2</v>
          </cell>
          <cell r="F31">
            <v>36.9</v>
          </cell>
          <cell r="G31">
            <v>245.4</v>
          </cell>
          <cell r="H31">
            <v>12.1</v>
          </cell>
          <cell r="I31">
            <v>36.9</v>
          </cell>
        </row>
        <row r="33">
          <cell r="E33">
            <v>26.1</v>
          </cell>
          <cell r="F33">
            <v>2.1</v>
          </cell>
          <cell r="G33">
            <v>75.599999999999994</v>
          </cell>
          <cell r="H33">
            <v>1.1000000000000001</v>
          </cell>
          <cell r="I33">
            <v>2.1</v>
          </cell>
        </row>
        <row r="38">
          <cell r="E38">
            <v>1.2</v>
          </cell>
          <cell r="F38">
            <v>0.3</v>
          </cell>
          <cell r="G38">
            <v>4.5999999999999996</v>
          </cell>
          <cell r="H38">
            <v>0.04</v>
          </cell>
          <cell r="I38">
            <v>0.4</v>
          </cell>
        </row>
      </sheetData>
      <sheetData sheetId="2"/>
      <sheetData sheetId="3">
        <row r="77">
          <cell r="N77">
            <v>6.2</v>
          </cell>
        </row>
        <row r="78">
          <cell r="N78">
            <v>8</v>
          </cell>
        </row>
        <row r="79">
          <cell r="N79">
            <v>38.9</v>
          </cell>
        </row>
        <row r="493">
          <cell r="N493">
            <v>0.01</v>
          </cell>
        </row>
        <row r="494">
          <cell r="N494">
            <v>0.02</v>
          </cell>
        </row>
        <row r="500">
          <cell r="N500">
            <v>36.479999999999997</v>
          </cell>
        </row>
        <row r="501">
          <cell r="N501">
            <v>5.68</v>
          </cell>
        </row>
        <row r="502">
          <cell r="N502">
            <v>3.38</v>
          </cell>
        </row>
        <row r="504">
          <cell r="N504">
            <v>15.83</v>
          </cell>
        </row>
        <row r="505">
          <cell r="N505">
            <v>0.18</v>
          </cell>
        </row>
        <row r="506">
          <cell r="N506">
            <v>0.04</v>
          </cell>
        </row>
        <row r="507">
          <cell r="N507">
            <v>0.12</v>
          </cell>
        </row>
        <row r="508">
          <cell r="N508">
            <v>1.95</v>
          </cell>
        </row>
        <row r="509">
          <cell r="N509">
            <v>12.37</v>
          </cell>
        </row>
        <row r="510">
          <cell r="N510">
            <v>0.19</v>
          </cell>
        </row>
        <row r="511">
          <cell r="N511">
            <v>1.7</v>
          </cell>
        </row>
        <row r="512">
          <cell r="N512">
            <v>1.01</v>
          </cell>
        </row>
        <row r="513">
          <cell r="N513">
            <v>1.82</v>
          </cell>
        </row>
        <row r="514">
          <cell r="N514">
            <v>0.05</v>
          </cell>
        </row>
        <row r="516">
          <cell r="N516">
            <v>12.47</v>
          </cell>
        </row>
        <row r="517">
          <cell r="N517">
            <v>27.99</v>
          </cell>
        </row>
        <row r="518">
          <cell r="N518">
            <v>6.31</v>
          </cell>
        </row>
        <row r="520">
          <cell r="N520">
            <v>0.82</v>
          </cell>
        </row>
        <row r="521">
          <cell r="N521">
            <v>11.45</v>
          </cell>
        </row>
        <row r="522">
          <cell r="N522">
            <v>0</v>
          </cell>
        </row>
        <row r="523">
          <cell r="N523">
            <v>6.5</v>
          </cell>
        </row>
        <row r="524">
          <cell r="N524">
            <v>5.97</v>
          </cell>
        </row>
        <row r="525">
          <cell r="N525">
            <v>7.22</v>
          </cell>
        </row>
        <row r="526">
          <cell r="N526">
            <v>0.05</v>
          </cell>
        </row>
        <row r="527">
          <cell r="N527">
            <v>0.37</v>
          </cell>
        </row>
        <row r="528">
          <cell r="N528">
            <v>0.3</v>
          </cell>
        </row>
        <row r="529">
          <cell r="N529">
            <v>2.0099999999999998</v>
          </cell>
        </row>
        <row r="530">
          <cell r="N530">
            <v>0.06</v>
          </cell>
        </row>
        <row r="531">
          <cell r="N531">
            <v>19.829999999999998</v>
          </cell>
        </row>
        <row r="532">
          <cell r="N532">
            <v>2.61</v>
          </cell>
        </row>
        <row r="533">
          <cell r="N533">
            <v>1.46</v>
          </cell>
        </row>
        <row r="538">
          <cell r="N538">
            <v>0.02</v>
          </cell>
        </row>
        <row r="539">
          <cell r="N539">
            <v>0.01</v>
          </cell>
        </row>
        <row r="540">
          <cell r="N540">
            <v>10.16</v>
          </cell>
        </row>
        <row r="541">
          <cell r="N541">
            <v>3.64</v>
          </cell>
        </row>
        <row r="543">
          <cell r="N543">
            <v>0.33</v>
          </cell>
        </row>
        <row r="544">
          <cell r="N544">
            <v>24.96</v>
          </cell>
        </row>
        <row r="693">
          <cell r="N693">
            <v>2</v>
          </cell>
        </row>
        <row r="694">
          <cell r="N694">
            <v>0</v>
          </cell>
        </row>
        <row r="695">
          <cell r="N695">
            <v>0</v>
          </cell>
        </row>
        <row r="1310">
          <cell r="N1310">
            <v>24.3</v>
          </cell>
        </row>
        <row r="1311">
          <cell r="N1311">
            <v>6.8</v>
          </cell>
        </row>
        <row r="1312">
          <cell r="N1312">
            <v>56.8</v>
          </cell>
        </row>
        <row r="1725">
          <cell r="N1725">
            <v>0.11</v>
          </cell>
        </row>
        <row r="1726">
          <cell r="N1726">
            <v>0.14000000000000001</v>
          </cell>
        </row>
        <row r="1732">
          <cell r="N1732">
            <v>26.58</v>
          </cell>
        </row>
        <row r="1733">
          <cell r="N1733">
            <v>5.52</v>
          </cell>
        </row>
        <row r="1734">
          <cell r="N1734">
            <v>3.29</v>
          </cell>
        </row>
        <row r="1736">
          <cell r="N1736">
            <v>15.37</v>
          </cell>
        </row>
        <row r="1737">
          <cell r="N1737">
            <v>0.21</v>
          </cell>
        </row>
        <row r="1738">
          <cell r="N1738">
            <v>0.04</v>
          </cell>
        </row>
        <row r="1739">
          <cell r="N1739">
            <v>0.14000000000000001</v>
          </cell>
        </row>
        <row r="1740">
          <cell r="N1740">
            <v>2.3199999999999998</v>
          </cell>
        </row>
        <row r="1741">
          <cell r="N1741">
            <v>9.01</v>
          </cell>
        </row>
        <row r="1742">
          <cell r="N1742">
            <v>0.22</v>
          </cell>
        </row>
        <row r="1743">
          <cell r="N1743">
            <v>2.0299999999999998</v>
          </cell>
        </row>
        <row r="1744">
          <cell r="N1744">
            <v>1.2</v>
          </cell>
        </row>
        <row r="1745">
          <cell r="N1745">
            <v>2.16</v>
          </cell>
        </row>
        <row r="1746">
          <cell r="N1746">
            <v>0.06</v>
          </cell>
        </row>
        <row r="1748">
          <cell r="N1748">
            <v>12.11</v>
          </cell>
        </row>
        <row r="1749">
          <cell r="N1749">
            <v>93.32</v>
          </cell>
        </row>
        <row r="1750">
          <cell r="N1750">
            <v>7.51</v>
          </cell>
        </row>
        <row r="1752">
          <cell r="N1752">
            <v>3.83</v>
          </cell>
        </row>
        <row r="1753">
          <cell r="N1753">
            <v>13.64</v>
          </cell>
        </row>
        <row r="1754">
          <cell r="N1754">
            <v>0</v>
          </cell>
        </row>
        <row r="1755">
          <cell r="N1755">
            <v>6.31</v>
          </cell>
        </row>
        <row r="1756">
          <cell r="N1756">
            <v>7.11</v>
          </cell>
        </row>
        <row r="1757">
          <cell r="N1757">
            <v>8.59</v>
          </cell>
        </row>
        <row r="1758">
          <cell r="N1758">
            <v>0.06</v>
          </cell>
        </row>
        <row r="1759">
          <cell r="N1759">
            <v>0.44</v>
          </cell>
        </row>
        <row r="1760">
          <cell r="N1760">
            <v>0.36</v>
          </cell>
        </row>
        <row r="1761">
          <cell r="N1761">
            <v>2.44</v>
          </cell>
        </row>
        <row r="1762">
          <cell r="N1762">
            <v>0.73</v>
          </cell>
        </row>
        <row r="1763">
          <cell r="N1763">
            <v>14.45</v>
          </cell>
        </row>
        <row r="1764">
          <cell r="N1764">
            <v>4.0999999999999996</v>
          </cell>
        </row>
        <row r="1765">
          <cell r="N1765">
            <v>2.29</v>
          </cell>
        </row>
        <row r="1770">
          <cell r="N1770">
            <v>0.1</v>
          </cell>
        </row>
        <row r="1771">
          <cell r="N1771">
            <v>0.04</v>
          </cell>
        </row>
        <row r="1772">
          <cell r="N1772">
            <v>9.86</v>
          </cell>
        </row>
        <row r="1773">
          <cell r="N1773">
            <v>4.42</v>
          </cell>
        </row>
        <row r="1775">
          <cell r="N1775">
            <v>2.2000000000000002</v>
          </cell>
        </row>
        <row r="1776">
          <cell r="N1776">
            <v>18.190000000000001</v>
          </cell>
        </row>
        <row r="1925">
          <cell r="N1925">
            <v>455</v>
          </cell>
        </row>
        <row r="1926">
          <cell r="N1926">
            <v>0</v>
          </cell>
        </row>
        <row r="1927">
          <cell r="N1927">
            <v>0</v>
          </cell>
        </row>
        <row r="2794">
          <cell r="N2794">
            <v>0.5</v>
          </cell>
        </row>
        <row r="2795">
          <cell r="N2795">
            <v>0.19</v>
          </cell>
        </row>
        <row r="2796">
          <cell r="N2796">
            <v>1.3</v>
          </cell>
        </row>
        <row r="3171">
          <cell r="N3171">
            <v>0.01</v>
          </cell>
        </row>
        <row r="3172">
          <cell r="N3172">
            <v>0</v>
          </cell>
        </row>
        <row r="3178">
          <cell r="N3178">
            <v>3.3</v>
          </cell>
        </row>
        <row r="3179">
          <cell r="N3179">
            <v>0.51</v>
          </cell>
        </row>
        <row r="3180">
          <cell r="N3180">
            <v>0.31</v>
          </cell>
        </row>
        <row r="3182">
          <cell r="N3182">
            <v>1.43</v>
          </cell>
        </row>
        <row r="3183">
          <cell r="N3183">
            <v>0.02</v>
          </cell>
        </row>
        <row r="3184">
          <cell r="N3184">
            <v>0</v>
          </cell>
        </row>
        <row r="3185">
          <cell r="N3185">
            <v>0.01</v>
          </cell>
        </row>
        <row r="3186">
          <cell r="N3186">
            <v>0.18</v>
          </cell>
        </row>
        <row r="3187">
          <cell r="N3187">
            <v>1.1200000000000001</v>
          </cell>
        </row>
        <row r="3188">
          <cell r="N3188">
            <v>0.02</v>
          </cell>
        </row>
        <row r="3189">
          <cell r="N3189">
            <v>0.15</v>
          </cell>
        </row>
        <row r="3190">
          <cell r="N3190">
            <v>0.09</v>
          </cell>
        </row>
        <row r="3191">
          <cell r="N3191">
            <v>0.16</v>
          </cell>
        </row>
        <row r="3192">
          <cell r="N3192">
            <v>0</v>
          </cell>
        </row>
        <row r="3194">
          <cell r="N3194">
            <v>1.1299999999999999</v>
          </cell>
        </row>
        <row r="3195">
          <cell r="N3195">
            <v>2.5299999999999998</v>
          </cell>
        </row>
        <row r="3196">
          <cell r="N3196">
            <v>0.56999999999999995</v>
          </cell>
        </row>
        <row r="3198">
          <cell r="N3198">
            <v>0.27</v>
          </cell>
        </row>
        <row r="3199">
          <cell r="N3199">
            <v>1.04</v>
          </cell>
        </row>
        <row r="3200">
          <cell r="N3200">
            <v>0</v>
          </cell>
        </row>
        <row r="3201">
          <cell r="N3201">
            <v>0.59</v>
          </cell>
        </row>
        <row r="3202">
          <cell r="N3202">
            <v>0.54</v>
          </cell>
        </row>
        <row r="3203">
          <cell r="N3203">
            <v>0.65</v>
          </cell>
        </row>
        <row r="3204">
          <cell r="N3204">
            <v>0</v>
          </cell>
        </row>
        <row r="3205">
          <cell r="N3205">
            <v>0.03</v>
          </cell>
        </row>
        <row r="3206">
          <cell r="N3206">
            <v>0.03</v>
          </cell>
        </row>
        <row r="3207">
          <cell r="N3207">
            <v>0.18</v>
          </cell>
        </row>
        <row r="3208">
          <cell r="N3208">
            <v>0</v>
          </cell>
        </row>
        <row r="3209">
          <cell r="N3209">
            <v>1.79</v>
          </cell>
        </row>
        <row r="3210">
          <cell r="N3210">
            <v>0.24</v>
          </cell>
        </row>
        <row r="3211">
          <cell r="N3211">
            <v>0.13</v>
          </cell>
        </row>
        <row r="3216">
          <cell r="N3216">
            <v>0.01</v>
          </cell>
        </row>
        <row r="3217">
          <cell r="N3217">
            <v>0</v>
          </cell>
        </row>
        <row r="3218">
          <cell r="N3218">
            <v>0.92</v>
          </cell>
        </row>
        <row r="3219">
          <cell r="N3219">
            <v>0.33</v>
          </cell>
        </row>
        <row r="3221">
          <cell r="N3221">
            <v>0.06</v>
          </cell>
        </row>
        <row r="3222">
          <cell r="N3222">
            <v>2.2599999999999998</v>
          </cell>
        </row>
        <row r="3341">
          <cell r="N3341">
            <v>12</v>
          </cell>
        </row>
        <row r="3342">
          <cell r="N3342">
            <v>0</v>
          </cell>
        </row>
        <row r="3343">
          <cell r="N3343">
            <v>0</v>
          </cell>
        </row>
        <row r="4666">
          <cell r="N4666">
            <v>12</v>
          </cell>
        </row>
        <row r="4667">
          <cell r="N4667">
            <v>0</v>
          </cell>
        </row>
        <row r="4668">
          <cell r="N4668">
            <v>0</v>
          </cell>
        </row>
        <row r="5455">
          <cell r="N5455">
            <v>0.01</v>
          </cell>
        </row>
        <row r="5456">
          <cell r="N5456">
            <v>0</v>
          </cell>
        </row>
        <row r="5457">
          <cell r="N5457">
            <v>0.03</v>
          </cell>
        </row>
        <row r="5870">
          <cell r="N5870">
            <v>0</v>
          </cell>
        </row>
        <row r="5871">
          <cell r="N5871">
            <v>0</v>
          </cell>
        </row>
        <row r="5877">
          <cell r="N5877">
            <v>1.19</v>
          </cell>
        </row>
        <row r="5878">
          <cell r="N5878">
            <v>0.19</v>
          </cell>
        </row>
        <row r="5879">
          <cell r="N5879">
            <v>0.11</v>
          </cell>
        </row>
        <row r="5881">
          <cell r="N5881">
            <v>1.03</v>
          </cell>
        </row>
        <row r="5882">
          <cell r="N5882">
            <v>0</v>
          </cell>
        </row>
        <row r="5883">
          <cell r="N5883">
            <v>0</v>
          </cell>
        </row>
        <row r="5884">
          <cell r="N5884">
            <v>0</v>
          </cell>
        </row>
        <row r="5885">
          <cell r="N5885">
            <v>0.01</v>
          </cell>
        </row>
        <row r="5886">
          <cell r="N5886">
            <v>0.4</v>
          </cell>
        </row>
        <row r="5887">
          <cell r="N5887">
            <v>0</v>
          </cell>
        </row>
        <row r="5888">
          <cell r="N5888">
            <v>0.01</v>
          </cell>
        </row>
        <row r="5889">
          <cell r="N5889">
            <v>0.03</v>
          </cell>
        </row>
        <row r="5890">
          <cell r="N5890">
            <v>0.06</v>
          </cell>
        </row>
        <row r="5891">
          <cell r="N5891">
            <v>0</v>
          </cell>
        </row>
        <row r="5893">
          <cell r="N5893">
            <v>0.41</v>
          </cell>
        </row>
        <row r="5894">
          <cell r="N5894">
            <v>0.92</v>
          </cell>
        </row>
        <row r="5895">
          <cell r="N5895">
            <v>0.21</v>
          </cell>
        </row>
        <row r="5897">
          <cell r="N5897">
            <v>0</v>
          </cell>
        </row>
        <row r="5898">
          <cell r="N5898">
            <v>0.37</v>
          </cell>
        </row>
        <row r="5899">
          <cell r="N5899">
            <v>0</v>
          </cell>
        </row>
        <row r="5900">
          <cell r="N5900">
            <v>0.21</v>
          </cell>
        </row>
        <row r="5901">
          <cell r="N5901">
            <v>0.2</v>
          </cell>
        </row>
        <row r="5902">
          <cell r="N5902">
            <v>0.24</v>
          </cell>
        </row>
        <row r="5903">
          <cell r="N5903">
            <v>0</v>
          </cell>
        </row>
        <row r="5904">
          <cell r="N5904">
            <v>0</v>
          </cell>
        </row>
        <row r="5906">
          <cell r="N5906">
            <v>0</v>
          </cell>
        </row>
        <row r="5907">
          <cell r="N5907">
            <v>0.01</v>
          </cell>
        </row>
        <row r="5908">
          <cell r="N5908">
            <v>0</v>
          </cell>
        </row>
        <row r="5909">
          <cell r="N5909">
            <v>0.65</v>
          </cell>
        </row>
        <row r="5910">
          <cell r="N5910">
            <v>0.01</v>
          </cell>
        </row>
        <row r="5911">
          <cell r="N5911">
            <v>0</v>
          </cell>
        </row>
        <row r="5916">
          <cell r="N5916">
            <v>0</v>
          </cell>
        </row>
        <row r="5917">
          <cell r="N5917">
            <v>0</v>
          </cell>
        </row>
        <row r="5918">
          <cell r="N5918">
            <v>0.33</v>
          </cell>
        </row>
        <row r="5919">
          <cell r="N5919">
            <v>0.01</v>
          </cell>
        </row>
        <row r="5921">
          <cell r="N5921">
            <v>0.15</v>
          </cell>
        </row>
        <row r="5922">
          <cell r="N5922">
            <v>0.82</v>
          </cell>
        </row>
        <row r="6071">
          <cell r="N6071">
            <v>6</v>
          </cell>
        </row>
        <row r="6072">
          <cell r="N6072">
            <v>0</v>
          </cell>
        </row>
        <row r="6073">
          <cell r="N6073">
            <v>0</v>
          </cell>
        </row>
      </sheetData>
      <sheetData sheetId="4">
        <row r="179">
          <cell r="N179">
            <v>0.62</v>
          </cell>
        </row>
        <row r="180">
          <cell r="N180">
            <v>0.02</v>
          </cell>
        </row>
        <row r="181">
          <cell r="N181">
            <v>39.4</v>
          </cell>
        </row>
        <row r="182">
          <cell r="N182">
            <v>3.59</v>
          </cell>
        </row>
        <row r="183">
          <cell r="N183">
            <v>4.2699999999999996</v>
          </cell>
        </row>
        <row r="184">
          <cell r="N184">
            <v>3.7</v>
          </cell>
        </row>
        <row r="185">
          <cell r="N185">
            <v>16.86</v>
          </cell>
        </row>
        <row r="187">
          <cell r="N187">
            <v>39.340000000000003</v>
          </cell>
        </row>
        <row r="188">
          <cell r="N188">
            <v>58.26</v>
          </cell>
        </row>
        <row r="189">
          <cell r="N189">
            <v>0.06</v>
          </cell>
        </row>
        <row r="190">
          <cell r="N190">
            <v>2.44</v>
          </cell>
        </row>
        <row r="191">
          <cell r="N191">
            <v>0.03</v>
          </cell>
        </row>
        <row r="192">
          <cell r="N192">
            <v>0.03</v>
          </cell>
        </row>
        <row r="193">
          <cell r="N193">
            <v>20.3</v>
          </cell>
        </row>
        <row r="194">
          <cell r="N194">
            <v>8.2100000000000009</v>
          </cell>
        </row>
        <row r="267">
          <cell r="N267">
            <v>4.8899999999999997</v>
          </cell>
        </row>
        <row r="268">
          <cell r="N268">
            <v>107.27</v>
          </cell>
        </row>
        <row r="269">
          <cell r="N269">
            <v>89.49</v>
          </cell>
        </row>
        <row r="270">
          <cell r="N270">
            <v>0.41</v>
          </cell>
        </row>
        <row r="271">
          <cell r="N271">
            <v>0.97</v>
          </cell>
        </row>
        <row r="272">
          <cell r="N272">
            <v>0.13</v>
          </cell>
        </row>
        <row r="273">
          <cell r="N273">
            <v>14.43</v>
          </cell>
        </row>
        <row r="274">
          <cell r="N274">
            <v>2.67</v>
          </cell>
        </row>
        <row r="275">
          <cell r="N275">
            <v>108.55</v>
          </cell>
        </row>
        <row r="276">
          <cell r="N276">
            <v>15.68</v>
          </cell>
        </row>
        <row r="277">
          <cell r="N277">
            <v>5.05</v>
          </cell>
        </row>
        <row r="553">
          <cell r="N553">
            <v>0.26</v>
          </cell>
        </row>
        <row r="554">
          <cell r="N554">
            <v>2.9</v>
          </cell>
        </row>
        <row r="556">
          <cell r="N556">
            <v>0.15</v>
          </cell>
        </row>
        <row r="557">
          <cell r="N557">
            <v>0.11</v>
          </cell>
        </row>
        <row r="558">
          <cell r="N558">
            <v>5.09</v>
          </cell>
        </row>
        <row r="559">
          <cell r="N559">
            <v>25.95</v>
          </cell>
        </row>
        <row r="560">
          <cell r="N560">
            <v>3.74</v>
          </cell>
        </row>
        <row r="561">
          <cell r="N561">
            <v>4.08</v>
          </cell>
        </row>
        <row r="562">
          <cell r="N562">
            <v>144.88999999999999</v>
          </cell>
        </row>
        <row r="563">
          <cell r="N563">
            <v>179.03</v>
          </cell>
        </row>
        <row r="564">
          <cell r="N564">
            <v>0.14000000000000001</v>
          </cell>
        </row>
        <row r="565">
          <cell r="N565">
            <v>4.41</v>
          </cell>
        </row>
        <row r="566">
          <cell r="N566">
            <v>62.09</v>
          </cell>
        </row>
        <row r="567">
          <cell r="N567">
            <v>11.02</v>
          </cell>
        </row>
        <row r="568">
          <cell r="N568">
            <v>124.46</v>
          </cell>
        </row>
        <row r="641">
          <cell r="N641">
            <v>86.19</v>
          </cell>
        </row>
        <row r="642">
          <cell r="N642">
            <v>1.91</v>
          </cell>
        </row>
        <row r="643">
          <cell r="N643">
            <v>2.65</v>
          </cell>
        </row>
        <row r="644">
          <cell r="N644">
            <v>19.7</v>
          </cell>
        </row>
        <row r="645">
          <cell r="N645">
            <v>57.87</v>
          </cell>
        </row>
        <row r="646">
          <cell r="N646">
            <v>11.66</v>
          </cell>
        </row>
        <row r="647">
          <cell r="N647">
            <v>19.09</v>
          </cell>
        </row>
        <row r="648">
          <cell r="N648">
            <v>4.22</v>
          </cell>
        </row>
        <row r="649">
          <cell r="N649">
            <v>0.62</v>
          </cell>
        </row>
        <row r="650">
          <cell r="N650">
            <v>69.37</v>
          </cell>
        </row>
        <row r="651">
          <cell r="N651">
            <v>70.2</v>
          </cell>
        </row>
        <row r="1201">
          <cell r="N1201">
            <v>0.02</v>
          </cell>
        </row>
        <row r="1203">
          <cell r="N1203">
            <v>3.17</v>
          </cell>
        </row>
        <row r="1204">
          <cell r="N1204">
            <v>0.01</v>
          </cell>
        </row>
        <row r="1205">
          <cell r="N1205">
            <v>0.22</v>
          </cell>
        </row>
        <row r="1206">
          <cell r="N1206">
            <v>1.36</v>
          </cell>
        </row>
        <row r="1207">
          <cell r="N1207">
            <v>1.45</v>
          </cell>
        </row>
        <row r="1208">
          <cell r="N1208">
            <v>0.28999999999999998</v>
          </cell>
        </row>
        <row r="1209">
          <cell r="N1209">
            <v>4.6900000000000004</v>
          </cell>
        </row>
        <row r="1210">
          <cell r="N1210">
            <v>0.01</v>
          </cell>
        </row>
        <row r="1211">
          <cell r="N1211">
            <v>0.66</v>
          </cell>
        </row>
        <row r="1212">
          <cell r="N1212">
            <v>0.01</v>
          </cell>
        </row>
        <row r="1213">
          <cell r="N1213">
            <v>0.39</v>
          </cell>
        </row>
        <row r="1214">
          <cell r="N1214">
            <v>0.82</v>
          </cell>
        </row>
        <row r="1215">
          <cell r="N1215">
            <v>3.17</v>
          </cell>
        </row>
        <row r="1216">
          <cell r="N1216">
            <v>0.33</v>
          </cell>
        </row>
        <row r="1289">
          <cell r="N1289">
            <v>0.28999999999999998</v>
          </cell>
        </row>
        <row r="1290">
          <cell r="N1290">
            <v>0.24</v>
          </cell>
        </row>
        <row r="1291">
          <cell r="N1291">
            <v>0.23</v>
          </cell>
        </row>
        <row r="1292">
          <cell r="N1292">
            <v>0.04</v>
          </cell>
        </row>
        <row r="1293">
          <cell r="N1293">
            <v>0.28999999999999998</v>
          </cell>
        </row>
        <row r="1294">
          <cell r="N1294">
            <v>0.12</v>
          </cell>
        </row>
        <row r="1295">
          <cell r="N1295">
            <v>0.34</v>
          </cell>
        </row>
        <row r="1296">
          <cell r="N1296">
            <v>0.41</v>
          </cell>
        </row>
        <row r="1297">
          <cell r="N1297">
            <v>0.39</v>
          </cell>
        </row>
        <row r="1298">
          <cell r="N1298">
            <v>1.71</v>
          </cell>
        </row>
        <row r="1299">
          <cell r="N1299">
            <v>0.14000000000000001</v>
          </cell>
        </row>
        <row r="2488">
          <cell r="N2488">
            <v>0</v>
          </cell>
        </row>
        <row r="2489">
          <cell r="N2489">
            <v>0.08</v>
          </cell>
        </row>
        <row r="2490">
          <cell r="N2490">
            <v>0.04</v>
          </cell>
        </row>
        <row r="2491">
          <cell r="N2491">
            <v>0.02</v>
          </cell>
        </row>
        <row r="2492">
          <cell r="N2492">
            <v>0</v>
          </cell>
        </row>
        <row r="2493">
          <cell r="N2493">
            <v>0</v>
          </cell>
        </row>
        <row r="2494">
          <cell r="N2494">
            <v>0.02</v>
          </cell>
        </row>
        <row r="2495">
          <cell r="N2495">
            <v>0.28999999999999998</v>
          </cell>
        </row>
        <row r="2497">
          <cell r="N2497">
            <v>0</v>
          </cell>
        </row>
        <row r="2498">
          <cell r="N2498">
            <v>0.02</v>
          </cell>
        </row>
        <row r="2499">
          <cell r="N2499">
            <v>0.2</v>
          </cell>
        </row>
        <row r="2500">
          <cell r="N2500">
            <v>0.2</v>
          </cell>
        </row>
        <row r="2501">
          <cell r="N2501">
            <v>0.01</v>
          </cell>
        </row>
        <row r="2503">
          <cell r="N2503">
            <v>0.02</v>
          </cell>
        </row>
        <row r="2504">
          <cell r="N2504">
            <v>0.05</v>
          </cell>
        </row>
        <row r="2575">
          <cell r="N2575">
            <v>2.89</v>
          </cell>
        </row>
        <row r="2576">
          <cell r="N2576">
            <v>0.01</v>
          </cell>
        </row>
        <row r="2577">
          <cell r="N2577">
            <v>0.01</v>
          </cell>
        </row>
        <row r="2578">
          <cell r="N2578">
            <v>0.12</v>
          </cell>
        </row>
        <row r="2579">
          <cell r="N2579">
            <v>0.71</v>
          </cell>
        </row>
        <row r="2580">
          <cell r="N2580">
            <v>2.8</v>
          </cell>
        </row>
        <row r="2581">
          <cell r="N2581">
            <v>1.96</v>
          </cell>
        </row>
        <row r="2582">
          <cell r="N2582">
            <v>0.01</v>
          </cell>
        </row>
        <row r="2583">
          <cell r="N2583">
            <v>0.02</v>
          </cell>
        </row>
        <row r="2584">
          <cell r="N2584">
            <v>0.01</v>
          </cell>
        </row>
        <row r="2585">
          <cell r="N2585">
            <v>0.04</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 Stack Parameters"/>
      <sheetName val="Tesoro Stack Parameters from FO"/>
    </sheetNames>
    <sheetDataSet>
      <sheetData sheetId="0">
        <row r="2">
          <cell r="A2" t="str">
            <v>TR1</v>
          </cell>
          <cell r="B2" t="str">
            <v>001</v>
          </cell>
          <cell r="C2" t="str">
            <v>Crude Heater H-101A, Unit 0001</v>
          </cell>
          <cell r="D2" t="str">
            <v>Vertical</v>
          </cell>
          <cell r="E2">
            <v>52</v>
          </cell>
          <cell r="F2">
            <v>5</v>
          </cell>
          <cell r="G2">
            <v>624</v>
          </cell>
          <cell r="H2">
            <v>22</v>
          </cell>
          <cell r="I2">
            <v>25800</v>
          </cell>
          <cell r="J2">
            <v>60.685130000000001</v>
          </cell>
          <cell r="K2">
            <v>-151.37020000000001</v>
          </cell>
          <cell r="L2">
            <v>15.849600000000001</v>
          </cell>
          <cell r="M2">
            <v>602.03888888888889</v>
          </cell>
          <cell r="N2">
            <v>6.7056000000000004</v>
          </cell>
          <cell r="O2">
            <v>1.524</v>
          </cell>
        </row>
        <row r="3">
          <cell r="A3" t="str">
            <v>TR2</v>
          </cell>
          <cell r="B3" t="str">
            <v>002</v>
          </cell>
          <cell r="C3" t="str">
            <v>Crude Heater H-101B, Unit 0002</v>
          </cell>
          <cell r="D3" t="str">
            <v>Vertical</v>
          </cell>
          <cell r="E3">
            <v>87</v>
          </cell>
          <cell r="F3">
            <v>4</v>
          </cell>
          <cell r="G3">
            <v>496</v>
          </cell>
          <cell r="H3">
            <v>20</v>
          </cell>
          <cell r="I3">
            <v>15080</v>
          </cell>
          <cell r="J3">
            <v>60.685200000000002</v>
          </cell>
          <cell r="K3">
            <v>-151.37029999999999</v>
          </cell>
          <cell r="L3">
            <v>26.517600000000002</v>
          </cell>
          <cell r="M3">
            <v>530.92777777777769</v>
          </cell>
          <cell r="N3">
            <v>6.0960000000000001</v>
          </cell>
          <cell r="O3">
            <v>1.2192000000000001</v>
          </cell>
        </row>
        <row r="4">
          <cell r="A4" t="str">
            <v>TR3_5</v>
          </cell>
          <cell r="B4" t="str">
            <v>003</v>
          </cell>
          <cell r="C4" t="str">
            <v>Powerformer Preheater H-201, Unit 0003 - 0005</v>
          </cell>
          <cell r="D4" t="str">
            <v>Vertical</v>
          </cell>
          <cell r="E4">
            <v>106</v>
          </cell>
          <cell r="F4">
            <v>7</v>
          </cell>
          <cell r="G4">
            <v>854</v>
          </cell>
          <cell r="H4">
            <v>14</v>
          </cell>
          <cell r="I4">
            <v>28080</v>
          </cell>
          <cell r="J4">
            <v>60.68515</v>
          </cell>
          <cell r="K4">
            <v>-151.36859999999999</v>
          </cell>
          <cell r="L4">
            <v>32.308800000000005</v>
          </cell>
          <cell r="M4">
            <v>729.81666666666661</v>
          </cell>
          <cell r="N4">
            <v>4.2671999999999999</v>
          </cell>
          <cell r="O4">
            <v>2.1335999999999999</v>
          </cell>
        </row>
        <row r="5">
          <cell r="A5" t="str">
            <v>TR6</v>
          </cell>
          <cell r="B5" t="str">
            <v>006</v>
          </cell>
          <cell r="C5" t="str">
            <v xml:space="preserve">Powerformer Reheater H-204, Unit 0006 </v>
          </cell>
          <cell r="D5" t="str">
            <v>Vertical</v>
          </cell>
          <cell r="E5">
            <v>152</v>
          </cell>
          <cell r="F5">
            <v>5</v>
          </cell>
          <cell r="G5">
            <v>500</v>
          </cell>
          <cell r="H5">
            <v>20</v>
          </cell>
          <cell r="I5">
            <v>22860</v>
          </cell>
          <cell r="J5">
            <v>60.685229999999997</v>
          </cell>
          <cell r="K5">
            <v>-151.36869999999999</v>
          </cell>
          <cell r="L5">
            <v>46.329599999999999</v>
          </cell>
          <cell r="M5">
            <v>533.15</v>
          </cell>
          <cell r="N5">
            <v>6.0960000000000001</v>
          </cell>
          <cell r="O5">
            <v>1.524</v>
          </cell>
        </row>
        <row r="6">
          <cell r="A6" t="str">
            <v>TR7</v>
          </cell>
          <cell r="B6" t="str">
            <v>007</v>
          </cell>
          <cell r="C6" t="str">
            <v xml:space="preserve">Powerformer Reheater H-205, Unit 0007 </v>
          </cell>
          <cell r="D6" t="str">
            <v>Vertical</v>
          </cell>
          <cell r="E6">
            <v>152</v>
          </cell>
          <cell r="F6">
            <v>5</v>
          </cell>
          <cell r="G6">
            <v>500</v>
          </cell>
          <cell r="H6">
            <v>20</v>
          </cell>
          <cell r="I6">
            <v>22860</v>
          </cell>
          <cell r="J6">
            <v>60.685229999999997</v>
          </cell>
          <cell r="K6">
            <v>-151.36869999999999</v>
          </cell>
          <cell r="L6">
            <v>46.329599999999999</v>
          </cell>
          <cell r="M6">
            <v>533.15</v>
          </cell>
          <cell r="N6">
            <v>6.0960000000000001</v>
          </cell>
          <cell r="O6">
            <v>1.524</v>
          </cell>
        </row>
        <row r="7">
          <cell r="A7" t="str">
            <v>TR8</v>
          </cell>
          <cell r="B7" t="str">
            <v>008</v>
          </cell>
          <cell r="C7" t="str">
            <v>Hydrocracker Recycle Gas Heater, H-401, Unit 0008</v>
          </cell>
          <cell r="D7" t="str">
            <v>Vertical</v>
          </cell>
          <cell r="E7">
            <v>85</v>
          </cell>
          <cell r="F7">
            <v>4</v>
          </cell>
          <cell r="G7">
            <v>498</v>
          </cell>
          <cell r="H7">
            <v>17</v>
          </cell>
          <cell r="I7">
            <v>14880</v>
          </cell>
          <cell r="J7">
            <v>60.685360000000003</v>
          </cell>
          <cell r="K7">
            <v>-151.3673</v>
          </cell>
          <cell r="L7">
            <v>25.908000000000001</v>
          </cell>
          <cell r="M7">
            <v>532.03888888888889</v>
          </cell>
          <cell r="N7">
            <v>5.1816000000000004</v>
          </cell>
          <cell r="O7">
            <v>1.2192000000000001</v>
          </cell>
        </row>
        <row r="8">
          <cell r="A8" t="str">
            <v>TR9</v>
          </cell>
          <cell r="B8" t="str">
            <v>009</v>
          </cell>
          <cell r="C8" t="str">
            <v>Hydrocracker Recycle Gas Heater, H-402, Unit 0009</v>
          </cell>
          <cell r="D8" t="str">
            <v>Vertical</v>
          </cell>
          <cell r="E8">
            <v>77</v>
          </cell>
          <cell r="F8">
            <v>4</v>
          </cell>
          <cell r="G8">
            <v>456</v>
          </cell>
          <cell r="H8">
            <v>10</v>
          </cell>
          <cell r="I8">
            <v>7020</v>
          </cell>
          <cell r="J8">
            <v>60.685369999999999</v>
          </cell>
          <cell r="K8">
            <v>-151.3674</v>
          </cell>
          <cell r="L8">
            <v>23.4696</v>
          </cell>
          <cell r="M8">
            <v>508.70555555555552</v>
          </cell>
          <cell r="N8">
            <v>3.048</v>
          </cell>
          <cell r="O8">
            <v>1.2192000000000001</v>
          </cell>
        </row>
        <row r="9">
          <cell r="A9" t="str">
            <v>TR10</v>
          </cell>
          <cell r="B9" t="str">
            <v>010</v>
          </cell>
          <cell r="C9" t="str">
            <v>Hydrocracker Fractionater Reboiler, H-403, Unit 0010</v>
          </cell>
          <cell r="D9" t="str">
            <v>Vertical</v>
          </cell>
          <cell r="E9">
            <v>75</v>
          </cell>
          <cell r="F9">
            <v>4</v>
          </cell>
          <cell r="G9">
            <v>556</v>
          </cell>
          <cell r="H9">
            <v>25</v>
          </cell>
          <cell r="I9">
            <v>14340</v>
          </cell>
          <cell r="J9">
            <v>60.685360000000003</v>
          </cell>
          <cell r="K9">
            <v>-151.36760000000001</v>
          </cell>
          <cell r="L9">
            <v>22.86</v>
          </cell>
          <cell r="M9">
            <v>564.26111111111118</v>
          </cell>
          <cell r="N9">
            <v>7.62</v>
          </cell>
          <cell r="O9">
            <v>1.2192000000000001</v>
          </cell>
        </row>
        <row r="10">
          <cell r="A10" t="str">
            <v>TR11</v>
          </cell>
          <cell r="B10" t="str">
            <v>011</v>
          </cell>
          <cell r="C10" t="str">
            <v>Hydrocracker Fractionater Reboiler, H-404, Unit 0011</v>
          </cell>
          <cell r="D10" t="str">
            <v>Vertical</v>
          </cell>
          <cell r="E10">
            <v>77</v>
          </cell>
          <cell r="F10">
            <v>5</v>
          </cell>
          <cell r="G10">
            <v>551</v>
          </cell>
          <cell r="H10">
            <v>18</v>
          </cell>
          <cell r="I10">
            <v>21600</v>
          </cell>
          <cell r="J10">
            <v>60.685360000000003</v>
          </cell>
          <cell r="K10">
            <v>-151.36770000000001</v>
          </cell>
          <cell r="L10">
            <v>23.4696</v>
          </cell>
          <cell r="M10">
            <v>561.48333333333335</v>
          </cell>
          <cell r="N10">
            <v>5.4864000000000006</v>
          </cell>
          <cell r="O10">
            <v>1.524</v>
          </cell>
        </row>
        <row r="11">
          <cell r="A11" t="str">
            <v>TR12</v>
          </cell>
          <cell r="B11" t="str">
            <v>012</v>
          </cell>
          <cell r="C11" t="str">
            <v>Hot Oil Heater, H-609, Unit 0012</v>
          </cell>
          <cell r="D11" t="str">
            <v>Vertical</v>
          </cell>
          <cell r="E11">
            <v>55</v>
          </cell>
          <cell r="F11">
            <v>3</v>
          </cell>
          <cell r="G11">
            <v>536</v>
          </cell>
          <cell r="H11">
            <v>35</v>
          </cell>
          <cell r="I11">
            <v>14760</v>
          </cell>
          <cell r="J11">
            <v>60.683500000000002</v>
          </cell>
          <cell r="K11">
            <v>-151.3732</v>
          </cell>
          <cell r="L11">
            <v>16.763999999999999</v>
          </cell>
          <cell r="M11">
            <v>553.15</v>
          </cell>
          <cell r="N11">
            <v>10.668000000000001</v>
          </cell>
          <cell r="O11">
            <v>0.9144000000000001</v>
          </cell>
        </row>
        <row r="12">
          <cell r="A12" t="str">
            <v>TR15</v>
          </cell>
          <cell r="B12" t="str">
            <v>015</v>
          </cell>
          <cell r="C12" t="str">
            <v>Fired Steam Generator, H-701, Unit 0015</v>
          </cell>
          <cell r="D12" t="str">
            <v>Vertical</v>
          </cell>
          <cell r="E12">
            <v>40</v>
          </cell>
          <cell r="F12">
            <v>2</v>
          </cell>
          <cell r="G12">
            <v>541</v>
          </cell>
          <cell r="H12">
            <v>30</v>
          </cell>
          <cell r="I12">
            <v>7380</v>
          </cell>
          <cell r="J12">
            <v>60.685459999999999</v>
          </cell>
          <cell r="K12">
            <v>-151.3698</v>
          </cell>
          <cell r="L12">
            <v>12.192</v>
          </cell>
          <cell r="M12">
            <v>555.92777777777769</v>
          </cell>
          <cell r="N12">
            <v>9.1440000000000001</v>
          </cell>
          <cell r="O12">
            <v>0.60960000000000003</v>
          </cell>
        </row>
        <row r="13">
          <cell r="A13" t="str">
            <v>TR16</v>
          </cell>
          <cell r="B13" t="str">
            <v>016</v>
          </cell>
          <cell r="C13" t="str">
            <v>Fired Steam Generator, H-702, Unit 0016</v>
          </cell>
          <cell r="D13" t="str">
            <v>Vertical</v>
          </cell>
          <cell r="E13">
            <v>40</v>
          </cell>
          <cell r="F13">
            <v>2</v>
          </cell>
          <cell r="G13">
            <v>541</v>
          </cell>
          <cell r="H13">
            <v>30</v>
          </cell>
          <cell r="I13">
            <v>7380</v>
          </cell>
          <cell r="J13">
            <v>60.685459999999999</v>
          </cell>
          <cell r="K13">
            <v>-151.37</v>
          </cell>
          <cell r="L13">
            <v>12.192</v>
          </cell>
          <cell r="M13">
            <v>555.92777777777769</v>
          </cell>
          <cell r="N13">
            <v>9.1440000000000001</v>
          </cell>
          <cell r="O13">
            <v>0.60960000000000003</v>
          </cell>
        </row>
        <row r="14">
          <cell r="A14" t="str">
            <v>TR17</v>
          </cell>
          <cell r="B14" t="str">
            <v>017</v>
          </cell>
          <cell r="C14" t="str">
            <v>Natural Gas Supply Heater, H-704, Unit 0017</v>
          </cell>
          <cell r="D14" t="str">
            <v>Vertical</v>
          </cell>
          <cell r="E14">
            <v>16</v>
          </cell>
          <cell r="F14">
            <v>0.1</v>
          </cell>
          <cell r="G14">
            <v>620</v>
          </cell>
          <cell r="H14">
            <v>216</v>
          </cell>
          <cell r="I14">
            <v>1560</v>
          </cell>
          <cell r="J14">
            <v>60.683210000000003</v>
          </cell>
          <cell r="K14">
            <v>-151.36840000000001</v>
          </cell>
          <cell r="L14">
            <v>4.8768000000000002</v>
          </cell>
          <cell r="M14">
            <v>599.81666666666661</v>
          </cell>
          <cell r="N14">
            <v>65.836799999999997</v>
          </cell>
          <cell r="O14">
            <v>3.0480000000000004E-2</v>
          </cell>
        </row>
        <row r="15">
          <cell r="A15" t="str">
            <v>TR18</v>
          </cell>
          <cell r="B15" t="str">
            <v>018</v>
          </cell>
          <cell r="C15" t="str">
            <v>Fired Steam Generator, H-801, Unit 0018</v>
          </cell>
          <cell r="D15" t="str">
            <v>Vertical</v>
          </cell>
          <cell r="E15">
            <v>40</v>
          </cell>
          <cell r="F15">
            <v>2</v>
          </cell>
          <cell r="G15">
            <v>351</v>
          </cell>
          <cell r="H15">
            <v>28</v>
          </cell>
          <cell r="I15">
            <v>6300</v>
          </cell>
          <cell r="J15">
            <v>60.685450000000003</v>
          </cell>
          <cell r="K15">
            <v>-151.37029999999999</v>
          </cell>
          <cell r="L15">
            <v>12.192</v>
          </cell>
          <cell r="M15">
            <v>450.37222222222221</v>
          </cell>
          <cell r="N15">
            <v>8.5343999999999998</v>
          </cell>
          <cell r="O15">
            <v>0.60960000000000003</v>
          </cell>
        </row>
        <row r="16">
          <cell r="A16" t="str">
            <v>TR19</v>
          </cell>
          <cell r="B16" t="str">
            <v>019</v>
          </cell>
          <cell r="C16" t="str">
            <v>Hot Glycol Heater, H-802, Unit 0019</v>
          </cell>
          <cell r="D16" t="str">
            <v>Vertical</v>
          </cell>
          <cell r="E16">
            <v>15</v>
          </cell>
          <cell r="F16">
            <v>3</v>
          </cell>
          <cell r="G16">
            <v>350</v>
          </cell>
          <cell r="H16">
            <v>8</v>
          </cell>
          <cell r="I16">
            <v>3300</v>
          </cell>
          <cell r="J16">
            <v>60.685250000000003</v>
          </cell>
          <cell r="K16">
            <v>-151.36789999999999</v>
          </cell>
          <cell r="L16">
            <v>4.5720000000000001</v>
          </cell>
          <cell r="M16">
            <v>449.81666666666666</v>
          </cell>
          <cell r="N16">
            <v>2.4384000000000001</v>
          </cell>
          <cell r="O16">
            <v>0.9144000000000001</v>
          </cell>
        </row>
        <row r="17">
          <cell r="A17" t="str">
            <v>TR20</v>
          </cell>
          <cell r="B17" t="str">
            <v>020</v>
          </cell>
          <cell r="C17" t="str">
            <v>Hydrogen Reformer Furnace, H-1001, Unit 0020</v>
          </cell>
          <cell r="D17" t="str">
            <v>Vertical</v>
          </cell>
          <cell r="E17">
            <v>70</v>
          </cell>
          <cell r="F17">
            <v>4</v>
          </cell>
          <cell r="G17">
            <v>344</v>
          </cell>
          <cell r="H17">
            <v>69</v>
          </cell>
          <cell r="I17">
            <v>51960</v>
          </cell>
          <cell r="J17">
            <v>60.685490000000001</v>
          </cell>
          <cell r="K17">
            <v>-151.3663</v>
          </cell>
          <cell r="L17">
            <v>21.336000000000002</v>
          </cell>
          <cell r="M17">
            <v>446.48333333333335</v>
          </cell>
          <cell r="N17">
            <v>21.031200000000002</v>
          </cell>
          <cell r="O17">
            <v>1.2192000000000001</v>
          </cell>
        </row>
        <row r="18">
          <cell r="A18" t="str">
            <v>TR21_26</v>
          </cell>
          <cell r="B18" t="str">
            <v>021</v>
          </cell>
          <cell r="C18" t="str">
            <v>Heaters, H-1101-1106, Units 0021-0026 (common stack for these units)</v>
          </cell>
          <cell r="D18" t="str">
            <v>Vertical</v>
          </cell>
          <cell r="E18">
            <v>100</v>
          </cell>
          <cell r="F18">
            <v>3</v>
          </cell>
          <cell r="G18">
            <v>350</v>
          </cell>
          <cell r="H18">
            <v>3</v>
          </cell>
          <cell r="I18">
            <v>1380</v>
          </cell>
          <cell r="J18">
            <v>60.685490000000001</v>
          </cell>
          <cell r="K18">
            <v>-151.3663</v>
          </cell>
          <cell r="L18">
            <v>30.48</v>
          </cell>
          <cell r="M18">
            <v>449.81666666666666</v>
          </cell>
          <cell r="N18">
            <v>0.9144000000000001</v>
          </cell>
          <cell r="O18">
            <v>0.9144000000000001</v>
          </cell>
        </row>
        <row r="19">
          <cell r="A19" t="str">
            <v>TR27</v>
          </cell>
          <cell r="B19" t="str">
            <v>027</v>
          </cell>
          <cell r="C19" t="str">
            <v>Prip Absorber Feed Furnace, H-1201/1203, Unit 0027</v>
          </cell>
          <cell r="D19" t="str">
            <v>Vertical</v>
          </cell>
          <cell r="E19">
            <v>46</v>
          </cell>
          <cell r="F19">
            <v>3</v>
          </cell>
          <cell r="G19">
            <v>601</v>
          </cell>
          <cell r="H19">
            <v>2</v>
          </cell>
          <cell r="I19">
            <v>600</v>
          </cell>
          <cell r="J19">
            <v>60.685360000000003</v>
          </cell>
          <cell r="K19">
            <v>-151.36859999999999</v>
          </cell>
          <cell r="L19">
            <v>14.020800000000001</v>
          </cell>
          <cell r="M19">
            <v>589.26111111111118</v>
          </cell>
          <cell r="N19">
            <v>0.60960000000000003</v>
          </cell>
          <cell r="O19">
            <v>0.9144000000000001</v>
          </cell>
        </row>
        <row r="20">
          <cell r="A20" t="str">
            <v>TR28</v>
          </cell>
          <cell r="B20" t="str">
            <v>028</v>
          </cell>
          <cell r="C20" t="str">
            <v>Prip Recycle H2 Furnace, H-1202, Unit 0028</v>
          </cell>
          <cell r="D20" t="str">
            <v>Vertical</v>
          </cell>
          <cell r="E20">
            <v>52</v>
          </cell>
          <cell r="F20">
            <v>3</v>
          </cell>
          <cell r="G20">
            <v>423</v>
          </cell>
          <cell r="H20">
            <v>9</v>
          </cell>
          <cell r="I20">
            <v>3360</v>
          </cell>
          <cell r="J20">
            <v>60.685360000000003</v>
          </cell>
          <cell r="K20">
            <v>-151.36859999999999</v>
          </cell>
          <cell r="L20">
            <v>15.849600000000001</v>
          </cell>
          <cell r="M20">
            <v>490.37222222222221</v>
          </cell>
          <cell r="N20">
            <v>2.7432000000000003</v>
          </cell>
          <cell r="O20">
            <v>0.9144000000000001</v>
          </cell>
        </row>
        <row r="21">
          <cell r="A21" t="str">
            <v>TR29</v>
          </cell>
          <cell r="B21" t="str">
            <v>029</v>
          </cell>
          <cell r="C21" t="str">
            <v>Vacuum Tower Heater, H-1701, Unit 0029</v>
          </cell>
          <cell r="D21" t="str">
            <v>Vertical</v>
          </cell>
          <cell r="E21">
            <v>76</v>
          </cell>
          <cell r="F21">
            <v>4</v>
          </cell>
          <cell r="G21">
            <v>399</v>
          </cell>
          <cell r="H21">
            <v>35</v>
          </cell>
          <cell r="I21">
            <v>26040</v>
          </cell>
          <cell r="J21">
            <v>60.685580000000002</v>
          </cell>
          <cell r="K21">
            <v>-151.37110000000001</v>
          </cell>
          <cell r="L21">
            <v>23.1648</v>
          </cell>
          <cell r="M21">
            <v>477.03888888888889</v>
          </cell>
          <cell r="N21">
            <v>10.668000000000001</v>
          </cell>
          <cell r="O21">
            <v>1.2192000000000001</v>
          </cell>
        </row>
        <row r="22">
          <cell r="A22" t="str">
            <v>TR32</v>
          </cell>
          <cell r="B22" t="str">
            <v>031</v>
          </cell>
          <cell r="C22" t="str">
            <v>Solar Centaur Turbine,  GT-1400</v>
          </cell>
          <cell r="D22" t="str">
            <v>Vertical</v>
          </cell>
          <cell r="E22">
            <v>28</v>
          </cell>
          <cell r="F22">
            <v>4</v>
          </cell>
          <cell r="G22">
            <v>326</v>
          </cell>
          <cell r="H22">
            <v>74</v>
          </cell>
          <cell r="I22">
            <v>54420</v>
          </cell>
          <cell r="J22">
            <v>60.686039999999998</v>
          </cell>
          <cell r="K22">
            <v>-151.36519999999999</v>
          </cell>
          <cell r="L22">
            <v>8.5343999999999998</v>
          </cell>
          <cell r="M22">
            <v>436.48333333333335</v>
          </cell>
          <cell r="N22">
            <v>22.555200000000003</v>
          </cell>
          <cell r="O22">
            <v>1.2192000000000001</v>
          </cell>
        </row>
        <row r="23">
          <cell r="A23" t="str">
            <v>TR33</v>
          </cell>
          <cell r="B23" t="str">
            <v>033</v>
          </cell>
          <cell r="C23" t="str">
            <v>Solar Centaur Turbine, GT-1410, Unit 0033</v>
          </cell>
          <cell r="D23" t="str">
            <v>Vertical</v>
          </cell>
          <cell r="E23">
            <v>28</v>
          </cell>
          <cell r="F23">
            <v>4</v>
          </cell>
          <cell r="G23">
            <v>320</v>
          </cell>
          <cell r="H23">
            <v>74</v>
          </cell>
          <cell r="I23">
            <v>53220</v>
          </cell>
          <cell r="J23">
            <v>60.686039999999998</v>
          </cell>
          <cell r="K23">
            <v>-151.36519999999999</v>
          </cell>
          <cell r="L23">
            <v>8.5343999999999998</v>
          </cell>
          <cell r="M23">
            <v>433.15</v>
          </cell>
          <cell r="N23">
            <v>22.555200000000003</v>
          </cell>
          <cell r="O23">
            <v>1.2192000000000001</v>
          </cell>
        </row>
        <row r="24">
          <cell r="A24" t="str">
            <v>TR34</v>
          </cell>
          <cell r="B24" t="str">
            <v>034</v>
          </cell>
          <cell r="C24" t="str">
            <v>Electrical Generator CAT 3412, EG-704 Unit 0034</v>
          </cell>
          <cell r="D24" t="str">
            <v>Vertical</v>
          </cell>
          <cell r="E24">
            <v>10</v>
          </cell>
          <cell r="F24">
            <v>1</v>
          </cell>
          <cell r="G24">
            <v>620</v>
          </cell>
          <cell r="H24">
            <v>160</v>
          </cell>
          <cell r="I24">
            <v>4680</v>
          </cell>
          <cell r="J24">
            <v>60.685540000000003</v>
          </cell>
          <cell r="K24">
            <v>-151.36969999999999</v>
          </cell>
          <cell r="L24">
            <v>7</v>
          </cell>
          <cell r="M24">
            <v>599.81666666666661</v>
          </cell>
          <cell r="N24">
            <v>48.768000000000001</v>
          </cell>
          <cell r="O24">
            <v>0.30480000000000002</v>
          </cell>
        </row>
        <row r="25">
          <cell r="A25" t="str">
            <v>TR35</v>
          </cell>
          <cell r="B25" t="str">
            <v>035</v>
          </cell>
          <cell r="C25" t="str">
            <v>Stewart-Stevens Generator, EG-801, Unit 0035</v>
          </cell>
          <cell r="D25" t="str">
            <v>Vertical</v>
          </cell>
          <cell r="E25">
            <v>10</v>
          </cell>
          <cell r="F25">
            <v>1</v>
          </cell>
          <cell r="G25">
            <v>620</v>
          </cell>
          <cell r="H25">
            <v>35</v>
          </cell>
          <cell r="I25">
            <v>1020</v>
          </cell>
          <cell r="J25">
            <v>60.684330000000003</v>
          </cell>
          <cell r="K25">
            <v>-151.36732000000001</v>
          </cell>
          <cell r="L25">
            <v>3.048</v>
          </cell>
          <cell r="M25">
            <v>599.81666666666661</v>
          </cell>
          <cell r="N25">
            <v>10.668000000000001</v>
          </cell>
          <cell r="O25">
            <v>0.30480000000000002</v>
          </cell>
        </row>
        <row r="26">
          <cell r="A26" t="str">
            <v>TR36</v>
          </cell>
          <cell r="B26" t="str">
            <v>036</v>
          </cell>
          <cell r="C26" t="str">
            <v>North Caterpillar CAT G399, P-605A, Unit 0036</v>
          </cell>
          <cell r="D26" t="str">
            <v>Vertical</v>
          </cell>
          <cell r="E26">
            <v>15</v>
          </cell>
          <cell r="F26">
            <v>1</v>
          </cell>
          <cell r="G26">
            <v>620</v>
          </cell>
          <cell r="H26">
            <v>105</v>
          </cell>
          <cell r="I26">
            <v>4800</v>
          </cell>
          <cell r="J26">
            <v>60.683660000000003</v>
          </cell>
          <cell r="K26">
            <v>-151.37270000000001</v>
          </cell>
          <cell r="L26">
            <v>4.5720000000000001</v>
          </cell>
          <cell r="M26">
            <v>599.81666666666661</v>
          </cell>
          <cell r="N26">
            <v>32.004000000000005</v>
          </cell>
          <cell r="O26">
            <v>0.30480000000000002</v>
          </cell>
        </row>
        <row r="27">
          <cell r="A27" t="str">
            <v>TR37</v>
          </cell>
          <cell r="B27" t="str">
            <v>037</v>
          </cell>
          <cell r="C27" t="str">
            <v>South Caterpillar CAT G399, P-605B, Unit 0037</v>
          </cell>
          <cell r="D27" t="str">
            <v>Vertical</v>
          </cell>
          <cell r="E27">
            <v>20</v>
          </cell>
          <cell r="F27">
            <v>1</v>
          </cell>
          <cell r="G27">
            <v>620</v>
          </cell>
          <cell r="H27">
            <v>105</v>
          </cell>
          <cell r="I27">
            <v>4800</v>
          </cell>
          <cell r="J27">
            <v>60.683100000000003</v>
          </cell>
          <cell r="K27">
            <v>-151.37339</v>
          </cell>
          <cell r="L27">
            <v>6.0960000000000001</v>
          </cell>
          <cell r="M27">
            <v>599.81666666666661</v>
          </cell>
          <cell r="N27">
            <v>32.004000000000005</v>
          </cell>
          <cell r="O27">
            <v>0.30480000000000002</v>
          </cell>
        </row>
        <row r="28">
          <cell r="A28" t="str">
            <v>TR38</v>
          </cell>
          <cell r="B28" t="str">
            <v>038</v>
          </cell>
          <cell r="C28" t="str">
            <v>North Cummins NHS6-1F, P-708A, Unit 0038</v>
          </cell>
          <cell r="D28" t="str">
            <v>Vertical</v>
          </cell>
          <cell r="E28">
            <v>12</v>
          </cell>
          <cell r="F28">
            <v>0.1</v>
          </cell>
          <cell r="G28">
            <v>620</v>
          </cell>
          <cell r="H28">
            <v>60</v>
          </cell>
          <cell r="I28">
            <v>240</v>
          </cell>
          <cell r="J28">
            <v>60.683959999999999</v>
          </cell>
          <cell r="K28">
            <v>-151.37700000000001</v>
          </cell>
          <cell r="L28">
            <v>3.6576000000000004</v>
          </cell>
          <cell r="M28">
            <v>599.81666666666661</v>
          </cell>
          <cell r="N28">
            <v>18.288</v>
          </cell>
          <cell r="O28">
            <v>3.0480000000000004E-2</v>
          </cell>
        </row>
        <row r="29">
          <cell r="B29" t="str">
            <v>039</v>
          </cell>
          <cell r="C29" t="str">
            <v>South Cummins NHS6-1F, P-708B, Unit 0039</v>
          </cell>
          <cell r="D29" t="str">
            <v>Vertical</v>
          </cell>
          <cell r="E29">
            <v>12</v>
          </cell>
          <cell r="F29">
            <v>1</v>
          </cell>
          <cell r="G29">
            <v>620</v>
          </cell>
          <cell r="H29">
            <v>60</v>
          </cell>
          <cell r="I29">
            <v>240</v>
          </cell>
          <cell r="J29">
            <v>60.683929999999997</v>
          </cell>
          <cell r="K29">
            <v>-151.37700000000001</v>
          </cell>
          <cell r="L29">
            <v>3.6576000000000004</v>
          </cell>
          <cell r="M29">
            <v>599.81666666666661</v>
          </cell>
          <cell r="N29">
            <v>18.288</v>
          </cell>
          <cell r="O29">
            <v>0.30480000000000002</v>
          </cell>
        </row>
        <row r="30">
          <cell r="A30" t="str">
            <v>TR41</v>
          </cell>
          <cell r="B30" t="str">
            <v>041</v>
          </cell>
          <cell r="C30" t="str">
            <v>Cooling Tower CAT G333. P-719C, Unit 0041</v>
          </cell>
          <cell r="D30" t="str">
            <v>Vertical</v>
          </cell>
          <cell r="E30">
            <v>8</v>
          </cell>
          <cell r="F30">
            <v>1</v>
          </cell>
          <cell r="G30">
            <v>620</v>
          </cell>
          <cell r="H30">
            <v>34</v>
          </cell>
          <cell r="I30">
            <v>120</v>
          </cell>
          <cell r="J30">
            <v>60.684109999999997</v>
          </cell>
          <cell r="K30">
            <v>-151.36959999999999</v>
          </cell>
          <cell r="L30">
            <v>2.4384000000000001</v>
          </cell>
          <cell r="M30">
            <v>599.81666666666661</v>
          </cell>
          <cell r="N30">
            <v>10.363200000000001</v>
          </cell>
          <cell r="O30">
            <v>0.30480000000000002</v>
          </cell>
        </row>
        <row r="31">
          <cell r="A31" t="str">
            <v>TR42</v>
          </cell>
          <cell r="B31" t="str">
            <v>042</v>
          </cell>
          <cell r="C31" t="str">
            <v>Refinery Flare, J-801, Unit 0042</v>
          </cell>
          <cell r="D31" t="str">
            <v>Vertical</v>
          </cell>
          <cell r="E31">
            <v>100</v>
          </cell>
          <cell r="F31">
            <v>1</v>
          </cell>
          <cell r="G31">
            <v>350</v>
          </cell>
          <cell r="H31">
            <v>3</v>
          </cell>
          <cell r="I31">
            <v>300</v>
          </cell>
          <cell r="J31">
            <v>60.685369999999999</v>
          </cell>
          <cell r="K31">
            <v>-151.3638</v>
          </cell>
          <cell r="L31">
            <v>30.48</v>
          </cell>
          <cell r="M31">
            <v>449.81666666666666</v>
          </cell>
          <cell r="N31">
            <v>0.9144000000000001</v>
          </cell>
          <cell r="O31">
            <v>0.30480000000000002</v>
          </cell>
        </row>
        <row r="32">
          <cell r="A32" t="str">
            <v>TR43</v>
          </cell>
          <cell r="B32" t="str">
            <v>043</v>
          </cell>
          <cell r="C32" t="str">
            <v>SRU Flare, Unit 0043</v>
          </cell>
          <cell r="D32" t="str">
            <v>Vertical</v>
          </cell>
          <cell r="E32">
            <v>103</v>
          </cell>
          <cell r="F32">
            <v>5</v>
          </cell>
          <cell r="G32">
            <v>624</v>
          </cell>
          <cell r="H32">
            <v>22</v>
          </cell>
          <cell r="I32">
            <v>21638</v>
          </cell>
          <cell r="J32">
            <v>60.985489999999999</v>
          </cell>
          <cell r="K32">
            <v>-151.3665</v>
          </cell>
          <cell r="L32">
            <v>31.394400000000001</v>
          </cell>
          <cell r="M32">
            <v>602.03888888888889</v>
          </cell>
          <cell r="N32">
            <v>6.7056000000000004</v>
          </cell>
          <cell r="O32">
            <v>1.524</v>
          </cell>
        </row>
        <row r="33">
          <cell r="A33" t="str">
            <v>TR44</v>
          </cell>
          <cell r="B33" t="str">
            <v>044</v>
          </cell>
          <cell r="C33" t="str">
            <v>Soil Vapor Extraction Unit, E77 SVE/TO, Unit 0044</v>
          </cell>
          <cell r="D33" t="str">
            <v>Vertical</v>
          </cell>
          <cell r="E33">
            <v>10</v>
          </cell>
          <cell r="F33">
            <v>1</v>
          </cell>
          <cell r="G33">
            <v>1450</v>
          </cell>
          <cell r="H33">
            <v>6</v>
          </cell>
          <cell r="I33">
            <v>360</v>
          </cell>
          <cell r="J33">
            <v>60.683920000000001</v>
          </cell>
          <cell r="K33">
            <v>-151.36529999999999</v>
          </cell>
          <cell r="L33">
            <v>3.048</v>
          </cell>
          <cell r="M33">
            <v>1060.9277777777779</v>
          </cell>
          <cell r="N33">
            <v>1.8288000000000002</v>
          </cell>
          <cell r="O33">
            <v>0.30480000000000002</v>
          </cell>
        </row>
        <row r="34">
          <cell r="A34" t="str">
            <v>TR45</v>
          </cell>
          <cell r="B34" t="str">
            <v>045</v>
          </cell>
          <cell r="C34" t="str">
            <v>Soil Vapor Extraction Unit, LTF SVE, Unit 0045</v>
          </cell>
          <cell r="D34" t="str">
            <v>Vertical</v>
          </cell>
          <cell r="E34">
            <v>8</v>
          </cell>
          <cell r="F34">
            <v>3</v>
          </cell>
          <cell r="G34">
            <v>1450</v>
          </cell>
          <cell r="H34">
            <v>4</v>
          </cell>
          <cell r="I34">
            <v>1740</v>
          </cell>
          <cell r="J34">
            <v>60.68553</v>
          </cell>
          <cell r="K34">
            <v>-151.37520000000001</v>
          </cell>
          <cell r="L34">
            <v>2.4384000000000001</v>
          </cell>
          <cell r="M34">
            <v>1060.9277777777779</v>
          </cell>
          <cell r="N34">
            <v>1.2192000000000001</v>
          </cell>
          <cell r="O34">
            <v>0.9144000000000001</v>
          </cell>
        </row>
        <row r="35">
          <cell r="B35" t="str">
            <v>117</v>
          </cell>
          <cell r="C35" t="str">
            <v>DDU Heater H1601, Unit 117</v>
          </cell>
          <cell r="D35" t="str">
            <v>Vertical</v>
          </cell>
          <cell r="E35">
            <v>86</v>
          </cell>
          <cell r="F35">
            <v>4</v>
          </cell>
          <cell r="G35">
            <v>584</v>
          </cell>
          <cell r="H35">
            <v>19</v>
          </cell>
          <cell r="I35">
            <v>11299</v>
          </cell>
          <cell r="J35">
            <v>60.685160000000003</v>
          </cell>
          <cell r="K35">
            <v>-145.3655</v>
          </cell>
          <cell r="L35">
            <v>26.212800000000001</v>
          </cell>
          <cell r="M35">
            <v>579.81666666666661</v>
          </cell>
          <cell r="N35">
            <v>5.7911999999999999</v>
          </cell>
          <cell r="O35">
            <v>1.2192000000000001</v>
          </cell>
        </row>
        <row r="36">
          <cell r="A36" t="str">
            <v>TR118</v>
          </cell>
          <cell r="B36" t="str">
            <v>118</v>
          </cell>
          <cell r="C36" t="str">
            <v>DDU Fractionator Reboiler, H1602 Unit 118</v>
          </cell>
          <cell r="D36" t="str">
            <v>Vertical</v>
          </cell>
          <cell r="E36">
            <v>88</v>
          </cell>
          <cell r="F36">
            <v>4</v>
          </cell>
          <cell r="G36">
            <v>584</v>
          </cell>
          <cell r="H36">
            <v>19</v>
          </cell>
          <cell r="I36">
            <v>13118</v>
          </cell>
          <cell r="J36">
            <v>60.685160000000003</v>
          </cell>
          <cell r="K36">
            <v>-151.36519999999999</v>
          </cell>
          <cell r="L36">
            <v>26.822400000000002</v>
          </cell>
          <cell r="M36">
            <v>579.81666666666661</v>
          </cell>
          <cell r="N36">
            <v>5.7911999999999999</v>
          </cell>
          <cell r="O36">
            <v>1.2192000000000001</v>
          </cell>
        </row>
        <row r="37">
          <cell r="A37" t="str">
            <v>TR119</v>
          </cell>
          <cell r="B37" t="str">
            <v>119</v>
          </cell>
          <cell r="C37" t="str">
            <v>H-1801-Naptha Splitter Reboiler Heater</v>
          </cell>
          <cell r="D37" t="str">
            <v>Vertical</v>
          </cell>
          <cell r="E37">
            <v>1</v>
          </cell>
          <cell r="F37">
            <v>0.1</v>
          </cell>
          <cell r="G37">
            <v>30</v>
          </cell>
          <cell r="H37">
            <v>0.1</v>
          </cell>
          <cell r="I37">
            <v>0.1</v>
          </cell>
          <cell r="J37">
            <v>60.685299999999998</v>
          </cell>
          <cell r="K37">
            <v>-151.37010000000001</v>
          </cell>
          <cell r="L37">
            <v>0.30480000000000002</v>
          </cell>
          <cell r="M37">
            <v>272.03888888888889</v>
          </cell>
          <cell r="N37">
            <v>3.0480000000000004E-2</v>
          </cell>
          <cell r="O37">
            <v>3.0480000000000004E-2</v>
          </cell>
        </row>
        <row r="38">
          <cell r="A38" t="str">
            <v>TR121</v>
          </cell>
          <cell r="B38" t="str">
            <v>121</v>
          </cell>
          <cell r="C38" t="str">
            <v>Cooling Tower</v>
          </cell>
          <cell r="D38" t="str">
            <v>Vertical</v>
          </cell>
          <cell r="E38">
            <v>30</v>
          </cell>
          <cell r="F38">
            <v>20</v>
          </cell>
          <cell r="G38">
            <v>30</v>
          </cell>
          <cell r="H38">
            <v>1</v>
          </cell>
          <cell r="I38" t="str">
            <v/>
          </cell>
          <cell r="J38">
            <v>60.684029000000002</v>
          </cell>
          <cell r="K38">
            <v>-151.36930899999999</v>
          </cell>
          <cell r="L38">
            <v>9.1440000000000001</v>
          </cell>
          <cell r="M38">
            <v>272.03888888888889</v>
          </cell>
          <cell r="N38">
            <v>0.30480000000000002</v>
          </cell>
          <cell r="O38">
            <v>6.0960000000000001</v>
          </cell>
        </row>
      </sheetData>
      <sheetData sheetId="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inery Inventory"/>
      <sheetName val="Pipeline Facility Inventory"/>
      <sheetName val="Terminal Inventory"/>
      <sheetName val="Modeled Sources - NOx"/>
      <sheetName val="Modeled Sources - CO"/>
      <sheetName val="Modeled Sources - SO2"/>
      <sheetName val="Modeled Sources - PM"/>
    </sheetNames>
    <sheetDataSet>
      <sheetData sheetId="0"/>
      <sheetData sheetId="1"/>
      <sheetData sheetId="2"/>
      <sheetData sheetId="3">
        <row r="4">
          <cell r="A4" t="str">
            <v>TR1</v>
          </cell>
          <cell r="B4" t="str">
            <v>H-101A</v>
          </cell>
          <cell r="C4" t="str">
            <v>Crude Heater</v>
          </cell>
          <cell r="D4">
            <v>140</v>
          </cell>
          <cell r="E4" t="str">
            <v>MMBtu/hr</v>
          </cell>
          <cell r="F4">
            <v>8760</v>
          </cell>
          <cell r="G4" t="str">
            <v>Source Test Data</v>
          </cell>
          <cell r="H4">
            <v>0.25</v>
          </cell>
          <cell r="I4" t="str">
            <v>lb/MMBtu</v>
          </cell>
          <cell r="J4">
            <v>153.30000000000001</v>
          </cell>
          <cell r="M4">
            <v>35</v>
          </cell>
          <cell r="O4">
            <v>4.409926111111111</v>
          </cell>
          <cell r="P4">
            <v>4.409926111111111</v>
          </cell>
        </row>
        <row r="5">
          <cell r="A5" t="str">
            <v>TR2</v>
          </cell>
          <cell r="B5" t="str">
            <v>H-101B</v>
          </cell>
          <cell r="C5" t="str">
            <v>Crude Heater</v>
          </cell>
          <cell r="D5">
            <v>165</v>
          </cell>
          <cell r="E5" t="str">
            <v>MMBtu/hr</v>
          </cell>
          <cell r="F5">
            <v>8760</v>
          </cell>
          <cell r="G5" t="str">
            <v>Low NOx Burners</v>
          </cell>
          <cell r="H5">
            <v>0.06</v>
          </cell>
          <cell r="I5" t="str">
            <v>lb/MMBtu</v>
          </cell>
          <cell r="J5">
            <v>43.362000000000002</v>
          </cell>
          <cell r="M5">
            <v>9.9</v>
          </cell>
          <cell r="O5">
            <v>1.2473791000000001</v>
          </cell>
          <cell r="P5">
            <v>1.2473790999999999</v>
          </cell>
        </row>
        <row r="6">
          <cell r="A6" t="str">
            <v>TR3</v>
          </cell>
          <cell r="B6" t="str">
            <v>H-201</v>
          </cell>
          <cell r="C6" t="str">
            <v>Powerformer Preheater H201</v>
          </cell>
          <cell r="D6">
            <v>31.8</v>
          </cell>
          <cell r="E6" t="str">
            <v>MMBtu/hr</v>
          </cell>
          <cell r="F6">
            <v>8760</v>
          </cell>
          <cell r="G6" t="str">
            <v>Source Test Data</v>
          </cell>
          <cell r="H6">
            <v>0.25</v>
          </cell>
          <cell r="I6" t="str">
            <v>lb/MMBtu</v>
          </cell>
          <cell r="J6">
            <v>34.820999999999998</v>
          </cell>
          <cell r="M6">
            <v>7.95</v>
          </cell>
          <cell r="O6">
            <v>1.0016832166666667</v>
          </cell>
          <cell r="P6">
            <v>1.0016832166666665</v>
          </cell>
        </row>
        <row r="7">
          <cell r="A7" t="str">
            <v>TR4</v>
          </cell>
          <cell r="B7" t="str">
            <v>H-202</v>
          </cell>
          <cell r="C7" t="str">
            <v>Powerformer Preheater H202</v>
          </cell>
          <cell r="D7">
            <v>51</v>
          </cell>
          <cell r="E7" t="str">
            <v>MMBtu/hr</v>
          </cell>
          <cell r="F7">
            <v>8760</v>
          </cell>
          <cell r="G7" t="str">
            <v>Source Test Data</v>
          </cell>
          <cell r="H7">
            <v>0.25</v>
          </cell>
          <cell r="I7" t="str">
            <v>lb/MMBtu</v>
          </cell>
          <cell r="J7">
            <v>55.844999999999999</v>
          </cell>
          <cell r="M7">
            <v>12.75</v>
          </cell>
          <cell r="O7">
            <v>1.6064730833333332</v>
          </cell>
          <cell r="P7">
            <v>1.6064730833333332</v>
          </cell>
        </row>
        <row r="8">
          <cell r="A8" t="str">
            <v>TR5</v>
          </cell>
          <cell r="B8" t="str">
            <v>H-203</v>
          </cell>
          <cell r="C8" t="str">
            <v>Powerformer Preheater H203</v>
          </cell>
          <cell r="D8">
            <v>27.9</v>
          </cell>
          <cell r="E8" t="str">
            <v>MMBtu/hr</v>
          </cell>
          <cell r="F8">
            <v>8760</v>
          </cell>
          <cell r="G8" t="str">
            <v>Source Test Data</v>
          </cell>
          <cell r="H8">
            <v>0.25</v>
          </cell>
          <cell r="I8" t="str">
            <v>lb/MMBtu</v>
          </cell>
          <cell r="J8">
            <v>30.5505</v>
          </cell>
          <cell r="M8">
            <v>6.9749999999999996</v>
          </cell>
          <cell r="O8">
            <v>0.87883527499999992</v>
          </cell>
          <cell r="P8">
            <v>0.8788352749999998</v>
          </cell>
        </row>
        <row r="9">
          <cell r="A9" t="str">
            <v>TR6</v>
          </cell>
          <cell r="B9" t="str">
            <v>H-204</v>
          </cell>
          <cell r="C9" t="str">
            <v>Powerformer Preheater</v>
          </cell>
          <cell r="D9">
            <v>53.8</v>
          </cell>
          <cell r="E9" t="str">
            <v>MMBtu/hr</v>
          </cell>
          <cell r="F9">
            <v>8760</v>
          </cell>
          <cell r="G9" t="str">
            <v>Permit Limit</v>
          </cell>
          <cell r="H9">
            <v>0.08</v>
          </cell>
          <cell r="I9" t="str">
            <v>lb/MMBtu</v>
          </cell>
          <cell r="J9">
            <v>18.851520000000001</v>
          </cell>
          <cell r="M9">
            <v>4.3040000000000003</v>
          </cell>
          <cell r="O9">
            <v>0.54229491377777783</v>
          </cell>
          <cell r="P9">
            <v>0.54229491377777772</v>
          </cell>
        </row>
        <row r="10">
          <cell r="A10" t="str">
            <v>TR7</v>
          </cell>
          <cell r="B10" t="str">
            <v>H-205</v>
          </cell>
          <cell r="C10" t="str">
            <v>Powerformer Preheater</v>
          </cell>
          <cell r="D10">
            <v>48.8</v>
          </cell>
          <cell r="E10" t="str">
            <v>MMBtu/hr</v>
          </cell>
          <cell r="F10">
            <v>8760</v>
          </cell>
          <cell r="G10" t="str">
            <v>Permit Limit</v>
          </cell>
          <cell r="H10">
            <v>0.08</v>
          </cell>
          <cell r="I10" t="str">
            <v>lb/MMBtu</v>
          </cell>
          <cell r="J10">
            <v>17.099520000000002</v>
          </cell>
          <cell r="M10">
            <v>3.9039999999999999</v>
          </cell>
          <cell r="O10">
            <v>0.4918957582222222</v>
          </cell>
          <cell r="P10">
            <v>0.4918957582222222</v>
          </cell>
        </row>
        <row r="11">
          <cell r="A11" t="str">
            <v>TR8</v>
          </cell>
          <cell r="B11" t="str">
            <v>H-401</v>
          </cell>
          <cell r="C11" t="str">
            <v>Hydrocracker Recycle Gas Heater</v>
          </cell>
          <cell r="D11">
            <v>38.9</v>
          </cell>
          <cell r="E11" t="str">
            <v>MMBtu/hr</v>
          </cell>
          <cell r="F11">
            <v>8760</v>
          </cell>
          <cell r="G11" t="str">
            <v>Permit Limit</v>
          </cell>
          <cell r="H11">
            <v>0.08</v>
          </cell>
          <cell r="I11" t="str">
            <v>lb/MMBtu</v>
          </cell>
          <cell r="J11">
            <v>13.630560000000001</v>
          </cell>
          <cell r="M11">
            <v>3.1120000000000001</v>
          </cell>
          <cell r="O11">
            <v>0.39210543022222222</v>
          </cell>
          <cell r="P11">
            <v>0.39210543022222216</v>
          </cell>
        </row>
        <row r="12">
          <cell r="A12" t="str">
            <v>TR9</v>
          </cell>
          <cell r="B12" t="str">
            <v>H-402</v>
          </cell>
          <cell r="C12" t="str">
            <v>Hydrocracker Recycle Gas Heater</v>
          </cell>
          <cell r="D12">
            <v>38</v>
          </cell>
          <cell r="E12" t="str">
            <v>MMBtu/hr</v>
          </cell>
          <cell r="F12">
            <v>8760</v>
          </cell>
          <cell r="G12" t="str">
            <v>Permit Limit</v>
          </cell>
          <cell r="H12">
            <v>0.08</v>
          </cell>
          <cell r="I12" t="str">
            <v>lb/MMBtu</v>
          </cell>
          <cell r="J12">
            <v>13.315200000000001</v>
          </cell>
          <cell r="M12">
            <v>3.04</v>
          </cell>
          <cell r="O12">
            <v>0.38303358222222222</v>
          </cell>
          <cell r="P12">
            <v>0.38303358222222217</v>
          </cell>
        </row>
        <row r="13">
          <cell r="A13" t="str">
            <v>TR10</v>
          </cell>
          <cell r="B13" t="str">
            <v>H-403N</v>
          </cell>
          <cell r="C13" t="str">
            <v>Hydrocracker Fractionator Reboiler</v>
          </cell>
          <cell r="D13">
            <v>50</v>
          </cell>
          <cell r="E13" t="str">
            <v>MMBtu/hr</v>
          </cell>
          <cell r="F13">
            <v>8760</v>
          </cell>
          <cell r="G13" t="str">
            <v>Low NOx Burners</v>
          </cell>
          <cell r="H13">
            <v>0.06</v>
          </cell>
          <cell r="I13" t="str">
            <v>lb/MMBtu</v>
          </cell>
          <cell r="J13">
            <v>13.14</v>
          </cell>
          <cell r="M13">
            <v>3</v>
          </cell>
          <cell r="O13">
            <v>0.37799366666666667</v>
          </cell>
          <cell r="P13">
            <v>0.37799366666666662</v>
          </cell>
        </row>
        <row r="14">
          <cell r="A14" t="str">
            <v>TR11</v>
          </cell>
          <cell r="B14" t="str">
            <v>H-404</v>
          </cell>
          <cell r="C14" t="str">
            <v>Hydrocracker Fractionator Reboiler</v>
          </cell>
          <cell r="D14">
            <v>64.400000000000006</v>
          </cell>
          <cell r="E14" t="str">
            <v>MMBtu/hr</v>
          </cell>
          <cell r="F14">
            <v>8760</v>
          </cell>
          <cell r="G14" t="str">
            <v>Permit Limit</v>
          </cell>
          <cell r="H14">
            <v>0.08</v>
          </cell>
          <cell r="I14" t="str">
            <v>lb/MMBtu</v>
          </cell>
          <cell r="J14">
            <v>22.565760000000004</v>
          </cell>
          <cell r="M14">
            <v>5.1520000000000001</v>
          </cell>
          <cell r="O14">
            <v>0.64914112355555553</v>
          </cell>
          <cell r="P14">
            <v>0.64914112355555564</v>
          </cell>
        </row>
        <row r="15">
          <cell r="A15" t="str">
            <v>TR12</v>
          </cell>
          <cell r="B15" t="str">
            <v>H-609</v>
          </cell>
          <cell r="C15" t="str">
            <v>Hot Oil Heater</v>
          </cell>
          <cell r="D15">
            <v>56</v>
          </cell>
          <cell r="E15" t="str">
            <v>MMBtu/hr</v>
          </cell>
          <cell r="F15">
            <v>8760</v>
          </cell>
          <cell r="G15" t="str">
            <v>Source Test Data</v>
          </cell>
          <cell r="H15">
            <v>0.25</v>
          </cell>
          <cell r="I15" t="str">
            <v>lb/MMBtu</v>
          </cell>
          <cell r="J15">
            <v>61.32</v>
          </cell>
          <cell r="M15">
            <v>14</v>
          </cell>
          <cell r="O15">
            <v>1.7639704444444444</v>
          </cell>
          <cell r="P15">
            <v>1.7639704444444442</v>
          </cell>
        </row>
        <row r="16">
          <cell r="A16">
            <v>0</v>
          </cell>
          <cell r="B16" t="str">
            <v>H612</v>
          </cell>
          <cell r="C16" t="str">
            <v>Residual Oil Heater</v>
          </cell>
          <cell r="D16" t="str">
            <v>N/A</v>
          </cell>
          <cell r="E16" t="str">
            <v>MMBtu/hr</v>
          </cell>
          <cell r="F16">
            <v>125</v>
          </cell>
          <cell r="G16" t="str">
            <v>AP-42, Table 1.4-1</v>
          </cell>
          <cell r="H16">
            <v>9.8039215686274508E-2</v>
          </cell>
          <cell r="I16" t="str">
            <v>lb/MMBtu</v>
          </cell>
          <cell r="J16">
            <v>0.1</v>
          </cell>
          <cell r="K16" t="str">
            <v>No longer in use</v>
          </cell>
          <cell r="M16">
            <v>0</v>
          </cell>
          <cell r="O16">
            <v>0</v>
          </cell>
          <cell r="P16">
            <v>2.8766641298833078E-3</v>
          </cell>
        </row>
        <row r="17">
          <cell r="A17">
            <v>0</v>
          </cell>
          <cell r="B17" t="str">
            <v>H-650</v>
          </cell>
          <cell r="C17" t="str">
            <v>Asphalt Plant Heater</v>
          </cell>
          <cell r="D17">
            <v>4.2300000000000004</v>
          </cell>
          <cell r="E17" t="str">
            <v>MMBtu/hr</v>
          </cell>
          <cell r="F17">
            <v>8760</v>
          </cell>
          <cell r="G17" t="str">
            <v>AP-42, Table 1.4-1</v>
          </cell>
          <cell r="H17">
            <v>9.8039215686274508E-2</v>
          </cell>
          <cell r="I17" t="str">
            <v>lb/MMBtu</v>
          </cell>
          <cell r="J17">
            <v>1.8164117647058824</v>
          </cell>
          <cell r="K17" t="str">
            <v>No longer in use</v>
          </cell>
          <cell r="M17">
            <v>0.4147058823529412</v>
          </cell>
          <cell r="O17">
            <v>5.225206568627451E-2</v>
          </cell>
          <cell r="P17">
            <v>5.2252065686274503E-2</v>
          </cell>
        </row>
        <row r="18">
          <cell r="A18" t="str">
            <v>TR15</v>
          </cell>
          <cell r="B18" t="str">
            <v>H-701</v>
          </cell>
          <cell r="C18" t="str">
            <v>Fired Steam Generator</v>
          </cell>
          <cell r="D18">
            <v>36.549999999999997</v>
          </cell>
          <cell r="E18" t="str">
            <v>MMBtu/hr</v>
          </cell>
          <cell r="F18">
            <v>8760</v>
          </cell>
          <cell r="G18" t="str">
            <v>AP-42, Table 1.4-1</v>
          </cell>
          <cell r="H18">
            <v>9.8039215686274508E-2</v>
          </cell>
          <cell r="I18" t="str">
            <v>lb/MMBtu</v>
          </cell>
          <cell r="J18">
            <v>15.694999999999999</v>
          </cell>
          <cell r="M18">
            <v>3.583333333333333</v>
          </cell>
          <cell r="O18">
            <v>0.45149243518518511</v>
          </cell>
          <cell r="P18">
            <v>0.45149243518518506</v>
          </cell>
        </row>
        <row r="19">
          <cell r="A19" t="str">
            <v>TR16</v>
          </cell>
          <cell r="B19" t="str">
            <v>H-702</v>
          </cell>
          <cell r="C19" t="str">
            <v>Fired Steam Generator</v>
          </cell>
          <cell r="D19">
            <v>36.549999999999997</v>
          </cell>
          <cell r="E19" t="str">
            <v>MMBtu/hr</v>
          </cell>
          <cell r="F19">
            <v>8760</v>
          </cell>
          <cell r="G19" t="str">
            <v>AP-42, Table 1.4-1</v>
          </cell>
          <cell r="H19">
            <v>9.8039215686274508E-2</v>
          </cell>
          <cell r="I19" t="str">
            <v>lb/MMBtu</v>
          </cell>
          <cell r="J19">
            <v>15.694999999999999</v>
          </cell>
          <cell r="M19">
            <v>3.583333333333333</v>
          </cell>
          <cell r="O19">
            <v>0.45149243518518511</v>
          </cell>
          <cell r="P19">
            <v>0.45149243518518506</v>
          </cell>
        </row>
        <row r="20">
          <cell r="A20" t="str">
            <v>TR17</v>
          </cell>
          <cell r="B20" t="str">
            <v>H-704</v>
          </cell>
          <cell r="C20" t="str">
            <v>Natural Gas Supply Heater</v>
          </cell>
          <cell r="D20">
            <v>2</v>
          </cell>
          <cell r="E20" t="str">
            <v>MMBtu/hr</v>
          </cell>
          <cell r="F20">
            <v>8760</v>
          </cell>
          <cell r="G20" t="str">
            <v>Permit Limit</v>
          </cell>
          <cell r="H20">
            <v>0.1</v>
          </cell>
          <cell r="I20" t="str">
            <v>lb/MMBtu</v>
          </cell>
          <cell r="J20">
            <v>0.876</v>
          </cell>
          <cell r="M20">
            <v>0.2</v>
          </cell>
          <cell r="O20">
            <v>2.5199577777777777E-2</v>
          </cell>
          <cell r="P20">
            <v>2.5199577777777774E-2</v>
          </cell>
        </row>
        <row r="21">
          <cell r="A21" t="str">
            <v>TR18</v>
          </cell>
          <cell r="B21" t="str">
            <v>H-801</v>
          </cell>
          <cell r="C21" t="str">
            <v>Fired Steam Generator</v>
          </cell>
          <cell r="D21">
            <v>32</v>
          </cell>
          <cell r="E21" t="str">
            <v>MMBtu/hr</v>
          </cell>
          <cell r="F21">
            <v>8760</v>
          </cell>
          <cell r="G21" t="str">
            <v>Permit Limit</v>
          </cell>
          <cell r="H21">
            <v>0.1</v>
          </cell>
          <cell r="I21" t="str">
            <v>lb/MMBtu</v>
          </cell>
          <cell r="J21">
            <v>14.016</v>
          </cell>
          <cell r="M21">
            <v>3.2</v>
          </cell>
          <cell r="O21">
            <v>0.40319324444444443</v>
          </cell>
          <cell r="P21">
            <v>0.40319324444444438</v>
          </cell>
        </row>
        <row r="22">
          <cell r="A22" t="str">
            <v>TR19</v>
          </cell>
          <cell r="B22" t="str">
            <v>H-802</v>
          </cell>
          <cell r="C22" t="str">
            <v>Hot Glycol Heater</v>
          </cell>
          <cell r="D22">
            <v>10.8</v>
          </cell>
          <cell r="E22" t="str">
            <v>MMBtu/hr</v>
          </cell>
          <cell r="F22">
            <v>8760</v>
          </cell>
          <cell r="G22" t="str">
            <v>Permit Limit</v>
          </cell>
          <cell r="H22">
            <v>0.1</v>
          </cell>
          <cell r="I22" t="str">
            <v>lb/MMBtu</v>
          </cell>
          <cell r="J22">
            <v>4.7304000000000004</v>
          </cell>
          <cell r="M22">
            <v>1.08</v>
          </cell>
          <cell r="O22">
            <v>0.13607772000000001</v>
          </cell>
          <cell r="P22">
            <v>0.13607771999999999</v>
          </cell>
        </row>
        <row r="23">
          <cell r="A23" t="str">
            <v>TR20</v>
          </cell>
          <cell r="B23" t="str">
            <v>H-1001</v>
          </cell>
          <cell r="C23" t="str">
            <v>Hydrogen Reformer Furnace</v>
          </cell>
          <cell r="D23">
            <v>152.30000000000001</v>
          </cell>
          <cell r="E23" t="str">
            <v>MMBtu/hr</v>
          </cell>
          <cell r="F23">
            <v>8760</v>
          </cell>
          <cell r="G23" t="str">
            <v>Permit Limit</v>
          </cell>
          <cell r="H23">
            <v>0.08</v>
          </cell>
          <cell r="I23" t="str">
            <v>lb/MMBtu</v>
          </cell>
          <cell r="J23">
            <v>53.36592000000001</v>
          </cell>
          <cell r="M23">
            <v>12.184000000000001</v>
          </cell>
          <cell r="O23">
            <v>1.5351582782222222</v>
          </cell>
          <cell r="P23">
            <v>1.5351582782222222</v>
          </cell>
        </row>
        <row r="24">
          <cell r="B24" t="str">
            <v>H1101</v>
          </cell>
          <cell r="C24" t="str">
            <v>Reaction Furnace Burner</v>
          </cell>
          <cell r="D24" t="str">
            <v>N/A</v>
          </cell>
          <cell r="E24" t="str">
            <v>MMBtu/hr</v>
          </cell>
          <cell r="F24">
            <v>8760</v>
          </cell>
          <cell r="G24" t="str">
            <v>AP-42, Table 1.4-1</v>
          </cell>
          <cell r="H24">
            <v>9.8039215686274508E-2</v>
          </cell>
          <cell r="I24" t="str">
            <v>lb/MMBtu</v>
          </cell>
          <cell r="J24">
            <v>2.2000000000000002</v>
          </cell>
          <cell r="K24" t="str">
            <v>No longer in use</v>
          </cell>
          <cell r="M24">
            <v>0</v>
          </cell>
          <cell r="O24">
            <v>0</v>
          </cell>
          <cell r="P24">
            <v>6.3286610857432771E-2</v>
          </cell>
        </row>
        <row r="25">
          <cell r="A25" t="str">
            <v>TR21</v>
          </cell>
          <cell r="B25" t="str">
            <v>H-1102</v>
          </cell>
          <cell r="C25" t="str">
            <v>#1 Reheater</v>
          </cell>
          <cell r="D25">
            <v>1.65</v>
          </cell>
          <cell r="E25" t="str">
            <v>MMBtu/hr</v>
          </cell>
          <cell r="F25">
            <v>8760</v>
          </cell>
          <cell r="G25" t="str">
            <v>AP-42, Table 1.4-1</v>
          </cell>
          <cell r="H25">
            <v>9.8039215686274508E-2</v>
          </cell>
          <cell r="I25" t="str">
            <v>lb/MMBtu</v>
          </cell>
          <cell r="J25">
            <v>0.70852941176470574</v>
          </cell>
          <cell r="M25">
            <v>0.16176470588235292</v>
          </cell>
          <cell r="O25">
            <v>2.0382011437908493E-2</v>
          </cell>
          <cell r="P25">
            <v>2.0382011437908489E-2</v>
          </cell>
        </row>
        <row r="26">
          <cell r="A26" t="str">
            <v>TR22</v>
          </cell>
          <cell r="B26" t="str">
            <v>H-1103</v>
          </cell>
          <cell r="C26" t="str">
            <v>#1 Reheater</v>
          </cell>
          <cell r="D26">
            <v>1.1499999999999999</v>
          </cell>
          <cell r="E26" t="str">
            <v>MMBtu/hr</v>
          </cell>
          <cell r="F26">
            <v>8760</v>
          </cell>
          <cell r="G26" t="str">
            <v>AP-42, Table 1.4-1</v>
          </cell>
          <cell r="H26">
            <v>9.8039215686274508E-2</v>
          </cell>
          <cell r="I26" t="str">
            <v>lb/MMBtu</v>
          </cell>
          <cell r="J26">
            <v>0.49382352941176466</v>
          </cell>
          <cell r="M26">
            <v>0.11274509803921567</v>
          </cell>
          <cell r="O26">
            <v>1.4205644335511981E-2</v>
          </cell>
          <cell r="P26">
            <v>1.4205644335511979E-2</v>
          </cell>
        </row>
        <row r="27">
          <cell r="A27" t="str">
            <v>TR23</v>
          </cell>
          <cell r="B27" t="str">
            <v>H-1104</v>
          </cell>
          <cell r="C27" t="str">
            <v>#1 Reheater</v>
          </cell>
          <cell r="D27">
            <v>1.05</v>
          </cell>
          <cell r="E27" t="str">
            <v>MMBtu/hr</v>
          </cell>
          <cell r="F27">
            <v>8760</v>
          </cell>
          <cell r="G27" t="str">
            <v>AP-42, Table 1.4-1</v>
          </cell>
          <cell r="H27">
            <v>9.8039215686274508E-2</v>
          </cell>
          <cell r="I27" t="str">
            <v>lb/MMBtu</v>
          </cell>
          <cell r="J27">
            <v>0.45088235294117646</v>
          </cell>
          <cell r="M27">
            <v>0.10294117647058824</v>
          </cell>
          <cell r="O27">
            <v>1.297037091503268E-2</v>
          </cell>
          <cell r="P27">
            <v>1.2970370915032678E-2</v>
          </cell>
        </row>
        <row r="28">
          <cell r="A28" t="str">
            <v>TR24</v>
          </cell>
          <cell r="B28" t="str">
            <v>H-1105</v>
          </cell>
          <cell r="C28" t="str">
            <v>Tail Gas Burner</v>
          </cell>
          <cell r="D28">
            <v>2</v>
          </cell>
          <cell r="E28" t="str">
            <v>MMBtu/hr</v>
          </cell>
          <cell r="F28">
            <v>8760</v>
          </cell>
          <cell r="G28" t="str">
            <v>AP-42, Table 1.4-1</v>
          </cell>
          <cell r="H28">
            <v>9.8039215686274508E-2</v>
          </cell>
          <cell r="I28" t="str">
            <v>lb/MMBtu</v>
          </cell>
          <cell r="J28">
            <v>0.85882352941176465</v>
          </cell>
          <cell r="M28">
            <v>0.19607843137254902</v>
          </cell>
          <cell r="O28">
            <v>2.4705468409586054E-2</v>
          </cell>
          <cell r="P28">
            <v>2.470546840958605E-2</v>
          </cell>
        </row>
        <row r="29">
          <cell r="A29" t="str">
            <v>TR25</v>
          </cell>
          <cell r="B29" t="str">
            <v>H-1106</v>
          </cell>
          <cell r="C29" t="str">
            <v>#4 Reheater</v>
          </cell>
          <cell r="D29">
            <v>1.9</v>
          </cell>
          <cell r="E29" t="str">
            <v>MMBtu/hr</v>
          </cell>
          <cell r="F29">
            <v>8760</v>
          </cell>
          <cell r="G29" t="str">
            <v>AP-42, Table 1.4-1</v>
          </cell>
          <cell r="H29">
            <v>9.8039215686274508E-2</v>
          </cell>
          <cell r="I29" t="str">
            <v>lb/MMBtu</v>
          </cell>
          <cell r="J29">
            <v>0.81588235294117639</v>
          </cell>
          <cell r="M29">
            <v>0.18627450980392155</v>
          </cell>
          <cell r="O29">
            <v>2.3470194989106751E-2</v>
          </cell>
          <cell r="P29">
            <v>2.3470194989106748E-2</v>
          </cell>
        </row>
        <row r="30">
          <cell r="A30" t="str">
            <v>TR26</v>
          </cell>
          <cell r="B30" t="str">
            <v>SRU</v>
          </cell>
          <cell r="C30" t="str">
            <v>Sulfur Recovery Unit</v>
          </cell>
          <cell r="D30">
            <v>0</v>
          </cell>
          <cell r="E30">
            <v>0</v>
          </cell>
          <cell r="F30">
            <v>0</v>
          </cell>
          <cell r="G30">
            <v>0</v>
          </cell>
          <cell r="H30">
            <v>0</v>
          </cell>
          <cell r="I30">
            <v>0</v>
          </cell>
          <cell r="J30">
            <v>0</v>
          </cell>
          <cell r="M30">
            <v>0</v>
          </cell>
          <cell r="O30">
            <v>0</v>
          </cell>
          <cell r="P30">
            <v>0</v>
          </cell>
        </row>
        <row r="31">
          <cell r="A31" t="str">
            <v>TR27</v>
          </cell>
          <cell r="B31" t="str">
            <v>H-1201/1203</v>
          </cell>
          <cell r="C31" t="str">
            <v>PRIP Absorber Feed Furnace</v>
          </cell>
          <cell r="D31">
            <v>10.4</v>
          </cell>
          <cell r="E31" t="str">
            <v>MMBtu/hr</v>
          </cell>
          <cell r="F31">
            <v>8760</v>
          </cell>
          <cell r="G31" t="str">
            <v>Permit Limit</v>
          </cell>
          <cell r="H31">
            <v>0.1</v>
          </cell>
          <cell r="I31" t="str">
            <v>lb/MMBtu</v>
          </cell>
          <cell r="J31">
            <v>4.5552000000000001</v>
          </cell>
          <cell r="M31">
            <v>1.04</v>
          </cell>
          <cell r="O31">
            <v>0.13103780444444443</v>
          </cell>
          <cell r="P31">
            <v>0.13103780444444443</v>
          </cell>
        </row>
        <row r="32">
          <cell r="A32" t="str">
            <v>TR28</v>
          </cell>
          <cell r="B32" t="str">
            <v>H-1202</v>
          </cell>
          <cell r="C32" t="str">
            <v>PRIP Recycle H2 Furnace</v>
          </cell>
          <cell r="D32">
            <v>11.2</v>
          </cell>
          <cell r="E32" t="str">
            <v>MMBtu/hr</v>
          </cell>
          <cell r="F32">
            <v>8760</v>
          </cell>
          <cell r="G32" t="str">
            <v>Permit Limit</v>
          </cell>
          <cell r="H32">
            <v>0.1</v>
          </cell>
          <cell r="I32" t="str">
            <v>lb/MMBtu</v>
          </cell>
          <cell r="J32">
            <v>4.9055999999999997</v>
          </cell>
          <cell r="M32">
            <v>1.1199999999999999</v>
          </cell>
          <cell r="O32">
            <v>0.14111763555555554</v>
          </cell>
          <cell r="P32">
            <v>0.14111763555555554</v>
          </cell>
        </row>
        <row r="33">
          <cell r="A33" t="str">
            <v>TR29</v>
          </cell>
          <cell r="B33" t="str">
            <v>H-1701</v>
          </cell>
          <cell r="C33" t="str">
            <v>Vacuum Tower Heater, H1701</v>
          </cell>
          <cell r="D33">
            <v>91</v>
          </cell>
          <cell r="E33" t="str">
            <v>MMBtu/hr</v>
          </cell>
          <cell r="F33">
            <v>8760</v>
          </cell>
          <cell r="G33" t="str">
            <v>Permit Limit</v>
          </cell>
          <cell r="H33">
            <v>0.06</v>
          </cell>
          <cell r="I33" t="str">
            <v>lb/MMBtu</v>
          </cell>
          <cell r="J33">
            <v>23.9148</v>
          </cell>
          <cell r="M33">
            <v>5.46</v>
          </cell>
          <cell r="O33">
            <v>0.68794847333333331</v>
          </cell>
          <cell r="P33">
            <v>0.6879484733333332</v>
          </cell>
        </row>
        <row r="34">
          <cell r="A34" t="str">
            <v>TR32</v>
          </cell>
          <cell r="B34" t="str">
            <v>GT-1400</v>
          </cell>
          <cell r="C34" t="str">
            <v>Solar Centaur Turbine 4.4 mW</v>
          </cell>
          <cell r="D34">
            <v>50.9</v>
          </cell>
          <cell r="E34" t="str">
            <v>MMBtu/hr</v>
          </cell>
          <cell r="F34">
            <v>8760</v>
          </cell>
          <cell r="G34" t="str">
            <v>Permit Limita</v>
          </cell>
          <cell r="H34">
            <v>12.4</v>
          </cell>
          <cell r="I34" t="str">
            <v>lb/hr</v>
          </cell>
          <cell r="J34">
            <v>54.311999999999998</v>
          </cell>
          <cell r="M34">
            <v>12.4</v>
          </cell>
          <cell r="O34">
            <v>1.5623738222222221</v>
          </cell>
          <cell r="P34">
            <v>1.5623738222222219</v>
          </cell>
        </row>
        <row r="35">
          <cell r="B35" t="str">
            <v>E-1400</v>
          </cell>
          <cell r="C35" t="str">
            <v>Duct Burner</v>
          </cell>
          <cell r="D35">
            <v>36.5</v>
          </cell>
          <cell r="E35" t="str">
            <v>MMBtu/hr</v>
          </cell>
          <cell r="F35">
            <v>8760</v>
          </cell>
          <cell r="G35">
            <v>0</v>
          </cell>
          <cell r="H35">
            <v>0</v>
          </cell>
          <cell r="I35">
            <v>0</v>
          </cell>
          <cell r="J35">
            <v>0</v>
          </cell>
          <cell r="P35">
            <v>0</v>
          </cell>
        </row>
        <row r="36">
          <cell r="A36" t="str">
            <v>TR33</v>
          </cell>
          <cell r="B36" t="str">
            <v>GT-1410</v>
          </cell>
          <cell r="C36" t="str">
            <v>Solar Centaur Turbine 4.4 mW</v>
          </cell>
          <cell r="D36">
            <v>50.9</v>
          </cell>
          <cell r="E36" t="str">
            <v>MMBtu/hr</v>
          </cell>
          <cell r="F36">
            <v>8760</v>
          </cell>
          <cell r="G36" t="str">
            <v>Permit Limita</v>
          </cell>
          <cell r="H36">
            <v>12.4</v>
          </cell>
          <cell r="I36" t="str">
            <v>lb/hr</v>
          </cell>
          <cell r="J36">
            <v>54.311999999999998</v>
          </cell>
          <cell r="M36">
            <v>12.4</v>
          </cell>
          <cell r="O36">
            <v>1.5623738222222221</v>
          </cell>
          <cell r="P36">
            <v>1.5623738222222219</v>
          </cell>
        </row>
        <row r="37">
          <cell r="A37">
            <v>0</v>
          </cell>
          <cell r="B37" t="str">
            <v>E-1410</v>
          </cell>
          <cell r="C37" t="str">
            <v>Duct Burner</v>
          </cell>
          <cell r="D37">
            <v>36.5</v>
          </cell>
          <cell r="E37" t="str">
            <v>MMBtu/hr</v>
          </cell>
          <cell r="F37">
            <v>8760</v>
          </cell>
          <cell r="G37">
            <v>0</v>
          </cell>
          <cell r="H37">
            <v>0</v>
          </cell>
          <cell r="I37">
            <v>0</v>
          </cell>
          <cell r="J37">
            <v>0</v>
          </cell>
          <cell r="P37">
            <v>0</v>
          </cell>
        </row>
        <row r="38">
          <cell r="A38" t="str">
            <v>TR34</v>
          </cell>
          <cell r="B38" t="str">
            <v>EG-704</v>
          </cell>
          <cell r="C38" t="str">
            <v>Electrical Generator CAT 3412-500 kW</v>
          </cell>
          <cell r="D38" t="str">
            <v>4.8</v>
          </cell>
          <cell r="E38" t="str">
            <v>MMBtu/hr</v>
          </cell>
          <cell r="F38">
            <v>200</v>
          </cell>
          <cell r="G38" t="str">
            <v>AP-42, Table 3.4-1</v>
          </cell>
          <cell r="H38">
            <v>3.2</v>
          </cell>
          <cell r="I38" t="str">
            <v>lb/MMBtu</v>
          </cell>
          <cell r="J38">
            <v>1.536</v>
          </cell>
          <cell r="M38">
            <v>15.36</v>
          </cell>
          <cell r="O38">
            <v>4.4185561035007599E-2</v>
          </cell>
          <cell r="P38">
            <v>4.4185561035007606E-2</v>
          </cell>
        </row>
        <row r="39">
          <cell r="A39" t="str">
            <v>TR35</v>
          </cell>
          <cell r="B39" t="str">
            <v>EG-801</v>
          </cell>
          <cell r="C39" t="str">
            <v>Stewart-Stevenson Generator - 580 kW</v>
          </cell>
          <cell r="D39" t="str">
            <v>6.1</v>
          </cell>
          <cell r="E39" t="str">
            <v>MMBtu/hr</v>
          </cell>
          <cell r="F39">
            <v>200</v>
          </cell>
          <cell r="G39" t="str">
            <v>AP-42, Table 3.4-1</v>
          </cell>
          <cell r="H39">
            <v>3.2</v>
          </cell>
          <cell r="I39" t="str">
            <v>lb/MMBtu</v>
          </cell>
          <cell r="J39">
            <v>1.952</v>
          </cell>
          <cell r="M39">
            <v>19.52</v>
          </cell>
          <cell r="O39">
            <v>5.6152483815322167E-2</v>
          </cell>
          <cell r="P39">
            <v>5.615248381532216E-2</v>
          </cell>
        </row>
        <row r="40">
          <cell r="A40" t="str">
            <v>TR36</v>
          </cell>
          <cell r="B40" t="str">
            <v>P-605A</v>
          </cell>
          <cell r="C40" t="str">
            <v>North Caterpillar CAT G399 - 830 hpb</v>
          </cell>
          <cell r="D40" t="str">
            <v>5.6</v>
          </cell>
          <cell r="E40" t="str">
            <v>MMBtu/hr</v>
          </cell>
          <cell r="F40">
            <v>1250</v>
          </cell>
          <cell r="G40" t="str">
            <v>AP-42, Table 3.2-2</v>
          </cell>
          <cell r="H40">
            <v>4.08</v>
          </cell>
          <cell r="I40" t="str">
            <v>lb/MMBtu</v>
          </cell>
          <cell r="J40">
            <v>14.28</v>
          </cell>
          <cell r="M40">
            <v>22.847999999999999</v>
          </cell>
          <cell r="O40">
            <v>2.878799765333333</v>
          </cell>
          <cell r="P40">
            <v>0.41078763774733629</v>
          </cell>
        </row>
        <row r="41">
          <cell r="A41" t="str">
            <v>TR37</v>
          </cell>
          <cell r="B41" t="str">
            <v>P-605B</v>
          </cell>
          <cell r="C41" t="str">
            <v>South Caterpillar CAT G399 - 830 hpb</v>
          </cell>
          <cell r="D41" t="str">
            <v>5.6</v>
          </cell>
          <cell r="E41" t="str">
            <v>MMBtu/hr</v>
          </cell>
          <cell r="F41">
            <v>1250</v>
          </cell>
          <cell r="G41" t="str">
            <v>AP-42, Table 3.2-2</v>
          </cell>
          <cell r="H41">
            <v>4.08</v>
          </cell>
          <cell r="I41" t="str">
            <v>lb/MMBtu</v>
          </cell>
          <cell r="J41">
            <v>14.28</v>
          </cell>
          <cell r="M41">
            <v>22.847999999999999</v>
          </cell>
          <cell r="O41">
            <v>2.878799765333333</v>
          </cell>
          <cell r="P41">
            <v>0.41078763774733629</v>
          </cell>
        </row>
        <row r="42">
          <cell r="A42" t="str">
            <v>TR38</v>
          </cell>
          <cell r="B42" t="str">
            <v>P-708A</v>
          </cell>
          <cell r="C42" t="str">
            <v>North Cummins NHS6-IF 290 hpc</v>
          </cell>
          <cell r="D42" t="str">
            <v>2.0</v>
          </cell>
          <cell r="E42" t="str">
            <v>MMBtu/hr</v>
          </cell>
          <cell r="F42">
            <v>600</v>
          </cell>
          <cell r="G42" t="str">
            <v>AP-42, Table 3.3-1</v>
          </cell>
          <cell r="H42">
            <v>4.41</v>
          </cell>
          <cell r="I42" t="str">
            <v>lb/MMBtu</v>
          </cell>
          <cell r="J42">
            <v>2.6459999999999999</v>
          </cell>
          <cell r="M42">
            <v>8.82</v>
          </cell>
          <cell r="O42">
            <v>7.6116532876712328E-2</v>
          </cell>
          <cell r="P42">
            <v>7.6116532876712314E-2</v>
          </cell>
        </row>
        <row r="43">
          <cell r="A43">
            <v>0</v>
          </cell>
          <cell r="B43" t="str">
            <v>P-708B</v>
          </cell>
          <cell r="C43" t="str">
            <v>South Cummins NHS6-IF 290 hpc</v>
          </cell>
          <cell r="D43" t="str">
            <v>2.0</v>
          </cell>
          <cell r="E43" t="str">
            <v>MMBtu/hr</v>
          </cell>
          <cell r="F43">
            <v>600</v>
          </cell>
          <cell r="G43" t="str">
            <v>AP-42, Table 3.3-1</v>
          </cell>
          <cell r="H43">
            <v>4.41</v>
          </cell>
          <cell r="I43" t="str">
            <v>lb/MMBtu</v>
          </cell>
          <cell r="J43">
            <v>2.6459999999999999</v>
          </cell>
          <cell r="M43">
            <v>8.82</v>
          </cell>
          <cell r="O43">
            <v>7.6116532876712328E-2</v>
          </cell>
          <cell r="P43">
            <v>7.6116532876712314E-2</v>
          </cell>
        </row>
        <row r="44">
          <cell r="A44" t="str">
            <v>TR40</v>
          </cell>
          <cell r="B44" t="str">
            <v>P-708C</v>
          </cell>
          <cell r="C44" t="str">
            <v>Upper Tank Farm Cat 3412DT 660 hp</v>
          </cell>
          <cell r="D44" t="str">
            <v>4.3</v>
          </cell>
          <cell r="E44" t="str">
            <v>MMBtu/hr</v>
          </cell>
          <cell r="F44">
            <v>600</v>
          </cell>
          <cell r="G44" t="str">
            <v>AP-42, Table 3.4-1</v>
          </cell>
          <cell r="H44">
            <v>3.2</v>
          </cell>
          <cell r="I44" t="str">
            <v>lb/MMBtu</v>
          </cell>
          <cell r="J44">
            <v>4.1280000000000001</v>
          </cell>
          <cell r="M44">
            <v>13.76</v>
          </cell>
          <cell r="O44">
            <v>0.11874869528158294</v>
          </cell>
          <cell r="P44">
            <v>0.11874869528158294</v>
          </cell>
        </row>
        <row r="45">
          <cell r="A45" t="str">
            <v>TR41</v>
          </cell>
          <cell r="B45" t="str">
            <v>P-719C</v>
          </cell>
          <cell r="C45" t="str">
            <v>Cooling Tower CAT G333 140 hp</v>
          </cell>
          <cell r="D45" t="str">
            <v>1.1</v>
          </cell>
          <cell r="E45" t="str">
            <v>MMBtu/hr</v>
          </cell>
          <cell r="F45">
            <v>1000</v>
          </cell>
          <cell r="G45" t="str">
            <v>AP-42, Table 3.2-2</v>
          </cell>
          <cell r="H45">
            <v>4.08</v>
          </cell>
          <cell r="I45" t="str">
            <v>lb/MMBtu</v>
          </cell>
          <cell r="J45">
            <v>2.2440000000000002</v>
          </cell>
          <cell r="M45">
            <v>4.4880000000000004</v>
          </cell>
          <cell r="O45">
            <v>0.56547852533333332</v>
          </cell>
          <cell r="P45">
            <v>6.4552343074581423E-2</v>
          </cell>
        </row>
        <row r="46">
          <cell r="A46" t="str">
            <v>TR42</v>
          </cell>
          <cell r="B46" t="str">
            <v>J-801</v>
          </cell>
          <cell r="C46" t="str">
            <v>Refinery Flare, Pilot</v>
          </cell>
          <cell r="D46">
            <v>3</v>
          </cell>
          <cell r="E46" t="str">
            <v>MMBtu/hr</v>
          </cell>
          <cell r="F46">
            <v>8760</v>
          </cell>
          <cell r="G46" t="str">
            <v>AP-42, Table 1.4-1</v>
          </cell>
          <cell r="H46">
            <v>9.8039215686274508E-2</v>
          </cell>
          <cell r="I46" t="str">
            <v>lb/MMBtu</v>
          </cell>
          <cell r="J46">
            <v>1.2882352941176469</v>
          </cell>
          <cell r="M46">
            <v>0.29411764705882354</v>
          </cell>
          <cell r="O46">
            <v>3.7058202614379081E-2</v>
          </cell>
          <cell r="P46">
            <v>3.7058202614379074E-2</v>
          </cell>
        </row>
        <row r="47">
          <cell r="A47" t="str">
            <v>TR44</v>
          </cell>
          <cell r="B47" t="str">
            <v>E77 SVE/TO</v>
          </cell>
          <cell r="C47" t="str">
            <v>E77 Soil Vapor Extraction System</v>
          </cell>
          <cell r="D47">
            <v>0.5</v>
          </cell>
          <cell r="E47" t="str">
            <v>MMBtu/hr</v>
          </cell>
          <cell r="F47">
            <v>8760</v>
          </cell>
          <cell r="G47" t="str">
            <v>AP-42, Table 1.4-1</v>
          </cell>
          <cell r="H47">
            <v>9.8039215686274508E-2</v>
          </cell>
          <cell r="I47" t="str">
            <v>lb/MMBtu</v>
          </cell>
          <cell r="J47">
            <v>0.21470588235294116</v>
          </cell>
          <cell r="M47">
            <v>4.9019607843137254E-2</v>
          </cell>
          <cell r="N47">
            <v>0</v>
          </cell>
          <cell r="O47">
            <v>6.1763671023965135E-3</v>
          </cell>
          <cell r="P47">
            <v>6.1763671023965126E-3</v>
          </cell>
        </row>
        <row r="48">
          <cell r="A48" t="str">
            <v>TR45</v>
          </cell>
          <cell r="B48" t="str">
            <v>LTF SVE/TO</v>
          </cell>
          <cell r="C48" t="str">
            <v>LTF Soil Vapor Extraction System</v>
          </cell>
          <cell r="D48">
            <v>2</v>
          </cell>
          <cell r="E48" t="str">
            <v>MMBtu/hr</v>
          </cell>
          <cell r="F48">
            <v>8760</v>
          </cell>
          <cell r="G48" t="str">
            <v>AP-42, Table 1.4-1</v>
          </cell>
          <cell r="H48">
            <v>9.8039215686274508E-2</v>
          </cell>
          <cell r="I48" t="str">
            <v>lb/MMBtu</v>
          </cell>
          <cell r="J48">
            <v>0.85882352941176465</v>
          </cell>
          <cell r="M48">
            <v>0.19607843137254902</v>
          </cell>
          <cell r="N48">
            <v>0</v>
          </cell>
          <cell r="O48">
            <v>2.4705468409586054E-2</v>
          </cell>
          <cell r="P48">
            <v>2.470546840958605E-2</v>
          </cell>
        </row>
        <row r="49">
          <cell r="A49">
            <v>0</v>
          </cell>
          <cell r="B49" t="str">
            <v>SI SVE/TO</v>
          </cell>
          <cell r="C49" t="str">
            <v>SI Soil Vapor Extraction System</v>
          </cell>
          <cell r="D49">
            <v>0.5</v>
          </cell>
          <cell r="E49" t="str">
            <v>MMBtu/hr</v>
          </cell>
          <cell r="F49">
            <v>8760</v>
          </cell>
          <cell r="G49" t="str">
            <v>AP-42, Table 1.4-1</v>
          </cell>
          <cell r="H49">
            <v>9.8039215686274508E-2</v>
          </cell>
          <cell r="I49" t="str">
            <v>lb/MMBtu</v>
          </cell>
          <cell r="J49">
            <v>0.21470588235294116</v>
          </cell>
          <cell r="K49" t="str">
            <v>No longer in use</v>
          </cell>
          <cell r="M49">
            <v>4.9019607843137254E-2</v>
          </cell>
          <cell r="N49">
            <v>0</v>
          </cell>
          <cell r="O49">
            <v>6.1763671023965135E-3</v>
          </cell>
          <cell r="P49">
            <v>6.1763671023965126E-3</v>
          </cell>
        </row>
        <row r="50">
          <cell r="A50">
            <v>0</v>
          </cell>
          <cell r="B50" t="str">
            <v>Tank Clean</v>
          </cell>
          <cell r="C50" t="str">
            <v>Tank Cleaning Equipment</v>
          </cell>
          <cell r="D50">
            <v>48.8</v>
          </cell>
          <cell r="E50" t="str">
            <v>MMBtu/hr</v>
          </cell>
          <cell r="F50">
            <v>0</v>
          </cell>
          <cell r="G50">
            <v>0</v>
          </cell>
          <cell r="H50">
            <v>0</v>
          </cell>
          <cell r="I50">
            <v>0</v>
          </cell>
          <cell r="J50">
            <v>31.23</v>
          </cell>
          <cell r="M50">
            <v>7.1301369863013697</v>
          </cell>
          <cell r="N50">
            <v>0</v>
          </cell>
          <cell r="O50">
            <v>0.89838220776255706</v>
          </cell>
          <cell r="P50">
            <v>0.89838220776255695</v>
          </cell>
        </row>
      </sheetData>
      <sheetData sheetId="4">
        <row r="6">
          <cell r="A6" t="str">
            <v>TR1</v>
          </cell>
          <cell r="B6" t="str">
            <v>H-101A</v>
          </cell>
          <cell r="C6" t="str">
            <v>Crude Heater</v>
          </cell>
          <cell r="D6">
            <v>140</v>
          </cell>
          <cell r="E6" t="str">
            <v>MMBtu/hr</v>
          </cell>
          <cell r="F6">
            <v>8760</v>
          </cell>
          <cell r="G6" t="str">
            <v>AP-42, Table 1.4-1</v>
          </cell>
          <cell r="H6">
            <v>8.2352941176470587E-2</v>
          </cell>
          <cell r="I6" t="str">
            <v>lb/MMBtu</v>
          </cell>
          <cell r="J6">
            <v>50.498823529411759</v>
          </cell>
          <cell r="M6">
            <v>11.529411764705882</v>
          </cell>
          <cell r="O6">
            <v>1.4526815424836601</v>
          </cell>
          <cell r="P6">
            <v>1.4526815424836601</v>
          </cell>
        </row>
        <row r="7">
          <cell r="A7" t="str">
            <v>TR2</v>
          </cell>
          <cell r="B7" t="str">
            <v>H-101B</v>
          </cell>
          <cell r="C7" t="str">
            <v>Crude Heater</v>
          </cell>
          <cell r="D7">
            <v>165</v>
          </cell>
          <cell r="E7" t="str">
            <v>MMBtu/hr</v>
          </cell>
          <cell r="F7">
            <v>8760</v>
          </cell>
          <cell r="G7" t="str">
            <v>AP-42, Table 1.4-1</v>
          </cell>
          <cell r="H7">
            <v>8.2352941176470587E-2</v>
          </cell>
          <cell r="I7" t="str">
            <v>lb/MMBtu</v>
          </cell>
          <cell r="J7">
            <v>59.516470588235293</v>
          </cell>
          <cell r="M7">
            <v>13.588235294117647</v>
          </cell>
          <cell r="O7">
            <v>1.7120889607843135</v>
          </cell>
          <cell r="P7">
            <v>1.7120889607843135</v>
          </cell>
        </row>
        <row r="8">
          <cell r="A8" t="str">
            <v>TR3</v>
          </cell>
          <cell r="B8" t="str">
            <v>H-201</v>
          </cell>
          <cell r="C8" t="str">
            <v>Powerformer Preheater H201</v>
          </cell>
          <cell r="D8">
            <v>31.8</v>
          </cell>
          <cell r="E8" t="str">
            <v>MMBtu/hr</v>
          </cell>
          <cell r="F8">
            <v>8760</v>
          </cell>
          <cell r="G8" t="str">
            <v>AP-42, Table 1.4-1</v>
          </cell>
          <cell r="H8">
            <v>8.2352941176470587E-2</v>
          </cell>
          <cell r="I8" t="str">
            <v>lb/MMBtu</v>
          </cell>
          <cell r="J8">
            <v>11.470447058823529</v>
          </cell>
          <cell r="M8">
            <v>2.6188235294117646</v>
          </cell>
          <cell r="O8">
            <v>0.32996623607843134</v>
          </cell>
          <cell r="P8">
            <v>0.32996623607843134</v>
          </cell>
        </row>
        <row r="9">
          <cell r="A9" t="str">
            <v>TR4</v>
          </cell>
          <cell r="B9" t="str">
            <v>H-202</v>
          </cell>
          <cell r="C9" t="str">
            <v>Powerformer Preheater H202</v>
          </cell>
          <cell r="D9">
            <v>51</v>
          </cell>
          <cell r="E9" t="str">
            <v>MMBtu/hr</v>
          </cell>
          <cell r="F9">
            <v>8760</v>
          </cell>
          <cell r="G9" t="str">
            <v>AP-42, Table 1.4-1</v>
          </cell>
          <cell r="H9">
            <v>8.2352941176470587E-2</v>
          </cell>
          <cell r="I9" t="str">
            <v>lb/MMBtu</v>
          </cell>
          <cell r="J9">
            <v>18.396000000000001</v>
          </cell>
          <cell r="M9">
            <v>4.2</v>
          </cell>
          <cell r="O9">
            <v>0.52919113333333334</v>
          </cell>
          <cell r="P9">
            <v>0.52919113333333334</v>
          </cell>
        </row>
        <row r="10">
          <cell r="A10" t="str">
            <v>TR5</v>
          </cell>
          <cell r="B10" t="str">
            <v>H-203</v>
          </cell>
          <cell r="C10" t="str">
            <v>Powerformer Preheater H203</v>
          </cell>
          <cell r="D10">
            <v>27.9</v>
          </cell>
          <cell r="E10" t="str">
            <v>MMBtu/hr</v>
          </cell>
          <cell r="F10">
            <v>8760</v>
          </cell>
          <cell r="G10" t="str">
            <v>AP-42, Table 1.4-1</v>
          </cell>
          <cell r="H10">
            <v>8.2352941176470587E-2</v>
          </cell>
          <cell r="I10" t="str">
            <v>lb/MMBtu</v>
          </cell>
          <cell r="J10">
            <v>10.063694117647056</v>
          </cell>
          <cell r="M10">
            <v>2.2976470588235292</v>
          </cell>
          <cell r="O10">
            <v>0.28949867882352937</v>
          </cell>
          <cell r="P10">
            <v>0.28949867882352937</v>
          </cell>
        </row>
        <row r="11">
          <cell r="A11" t="str">
            <v>TR6</v>
          </cell>
          <cell r="B11" t="str">
            <v>H-204</v>
          </cell>
          <cell r="C11" t="str">
            <v>Powerformer Preheater</v>
          </cell>
          <cell r="D11">
            <v>53.8</v>
          </cell>
          <cell r="E11" t="str">
            <v>MMBtu/hr</v>
          </cell>
          <cell r="F11">
            <v>8760</v>
          </cell>
          <cell r="G11" t="str">
            <v>AP-42, Table 1.4-1</v>
          </cell>
          <cell r="H11">
            <v>8.2352941176470587E-2</v>
          </cell>
          <cell r="I11" t="str">
            <v>lb/MMBtu</v>
          </cell>
          <cell r="J11">
            <v>19.405976470588232</v>
          </cell>
          <cell r="M11">
            <v>4.4305882352941177</v>
          </cell>
          <cell r="O11">
            <v>0.5582447641830065</v>
          </cell>
          <cell r="P11">
            <v>0.5582447641830065</v>
          </cell>
        </row>
        <row r="12">
          <cell r="A12" t="str">
            <v>TR7</v>
          </cell>
          <cell r="B12" t="str">
            <v>H-205</v>
          </cell>
          <cell r="C12" t="str">
            <v>Powerformer Preheater</v>
          </cell>
          <cell r="D12">
            <v>48.8</v>
          </cell>
          <cell r="E12" t="str">
            <v>MMBtu/hr</v>
          </cell>
          <cell r="F12">
            <v>8760</v>
          </cell>
          <cell r="G12" t="str">
            <v>AP-42, Table 1.4-1</v>
          </cell>
          <cell r="H12">
            <v>8.2352941176470587E-2</v>
          </cell>
          <cell r="I12" t="str">
            <v>lb/MMBtu</v>
          </cell>
          <cell r="J12">
            <v>17.602447058823529</v>
          </cell>
          <cell r="M12">
            <v>4.0188235294117645</v>
          </cell>
          <cell r="O12">
            <v>0.50636328052287571</v>
          </cell>
          <cell r="P12">
            <v>0.50636328052287571</v>
          </cell>
        </row>
        <row r="13">
          <cell r="A13" t="str">
            <v>TR8</v>
          </cell>
          <cell r="B13" t="str">
            <v>H-401</v>
          </cell>
          <cell r="C13" t="str">
            <v>Hydrocracker Recycle Gas Heater</v>
          </cell>
          <cell r="D13">
            <v>38.9</v>
          </cell>
          <cell r="E13" t="str">
            <v>MMBtu/hr</v>
          </cell>
          <cell r="F13">
            <v>8760</v>
          </cell>
          <cell r="G13" t="str">
            <v>AP-42, Table 1.4-1</v>
          </cell>
          <cell r="H13">
            <v>8.2352941176470587E-2</v>
          </cell>
          <cell r="I13" t="str">
            <v>lb/MMBtu</v>
          </cell>
          <cell r="J13">
            <v>14.031458823529411</v>
          </cell>
          <cell r="M13">
            <v>3.2035294117647055</v>
          </cell>
          <cell r="O13">
            <v>0.40363794287581695</v>
          </cell>
          <cell r="P13">
            <v>0.40363794287581695</v>
          </cell>
        </row>
        <row r="14">
          <cell r="A14" t="str">
            <v>TR9</v>
          </cell>
          <cell r="B14" t="str">
            <v>H-402</v>
          </cell>
          <cell r="C14" t="str">
            <v>Hydrocracker Recycle Gas Heater</v>
          </cell>
          <cell r="D14">
            <v>38</v>
          </cell>
          <cell r="E14" t="str">
            <v>MMBtu/hr</v>
          </cell>
          <cell r="F14">
            <v>8760</v>
          </cell>
          <cell r="G14" t="str">
            <v>AP-42, Table 1.4-1</v>
          </cell>
          <cell r="H14">
            <v>8.2352941176470587E-2</v>
          </cell>
          <cell r="I14" t="str">
            <v>lb/MMBtu</v>
          </cell>
          <cell r="J14">
            <v>13.706823529411764</v>
          </cell>
          <cell r="M14">
            <v>3.1294117647058823</v>
          </cell>
          <cell r="O14">
            <v>0.39429927581699342</v>
          </cell>
          <cell r="P14">
            <v>0.39429927581699342</v>
          </cell>
        </row>
        <row r="15">
          <cell r="A15" t="str">
            <v>TR10</v>
          </cell>
          <cell r="B15" t="str">
            <v>H-403N</v>
          </cell>
          <cell r="C15" t="str">
            <v>Hydrocracker Fractionator Reboiler</v>
          </cell>
          <cell r="D15">
            <v>50</v>
          </cell>
          <cell r="E15" t="str">
            <v>MMBtu/hr</v>
          </cell>
          <cell r="F15">
            <v>8760</v>
          </cell>
          <cell r="G15" t="str">
            <v>AP-42, Table 1.4-1</v>
          </cell>
          <cell r="H15">
            <v>8.2352941176470587E-2</v>
          </cell>
          <cell r="I15" t="str">
            <v>lb/MMBtu</v>
          </cell>
          <cell r="J15">
            <v>18.035294117647059</v>
          </cell>
          <cell r="M15">
            <v>4.117647058823529</v>
          </cell>
          <cell r="O15">
            <v>0.51881483660130712</v>
          </cell>
          <cell r="P15">
            <v>0.51881483660130712</v>
          </cell>
        </row>
        <row r="16">
          <cell r="A16" t="str">
            <v>TR11</v>
          </cell>
          <cell r="B16" t="str">
            <v>H-404</v>
          </cell>
          <cell r="C16" t="str">
            <v>Hydrocracker Fractionator Reboiler</v>
          </cell>
          <cell r="D16">
            <v>64.400000000000006</v>
          </cell>
          <cell r="E16" t="str">
            <v>MMBtu/hr</v>
          </cell>
          <cell r="F16">
            <v>8760</v>
          </cell>
          <cell r="G16" t="str">
            <v>AP-42, Table 1.4-1</v>
          </cell>
          <cell r="H16">
            <v>8.2352941176470587E-2</v>
          </cell>
          <cell r="I16" t="str">
            <v>lb/MMBtu</v>
          </cell>
          <cell r="J16">
            <v>23.229458823529413</v>
          </cell>
          <cell r="M16">
            <v>5.303529411764706</v>
          </cell>
          <cell r="O16">
            <v>0.66823350954248362</v>
          </cell>
          <cell r="P16">
            <v>0.66823350954248362</v>
          </cell>
        </row>
        <row r="17">
          <cell r="A17" t="str">
            <v>TR12</v>
          </cell>
          <cell r="B17" t="str">
            <v>H-609</v>
          </cell>
          <cell r="C17" t="str">
            <v>Hot Oil Heater</v>
          </cell>
          <cell r="D17">
            <v>56</v>
          </cell>
          <cell r="E17" t="str">
            <v>MMBtu/hr</v>
          </cell>
          <cell r="F17">
            <v>8760</v>
          </cell>
          <cell r="G17" t="str">
            <v>AP-42, Table 1.4-1</v>
          </cell>
          <cell r="H17">
            <v>8.2352941176470587E-2</v>
          </cell>
          <cell r="I17" t="str">
            <v>lb/MMBtu</v>
          </cell>
          <cell r="J17">
            <v>20.199529411764708</v>
          </cell>
          <cell r="M17">
            <v>4.6117647058823525</v>
          </cell>
          <cell r="O17">
            <v>0.58107261699346402</v>
          </cell>
          <cell r="P17">
            <v>0.58107261699346402</v>
          </cell>
        </row>
        <row r="18">
          <cell r="A18">
            <v>0</v>
          </cell>
          <cell r="B18" t="str">
            <v>H612</v>
          </cell>
          <cell r="C18" t="str">
            <v>Residual Oil Heater</v>
          </cell>
          <cell r="D18" t="str">
            <v>N/A</v>
          </cell>
          <cell r="E18" t="str">
            <v>MMBtu/hr</v>
          </cell>
          <cell r="F18">
            <v>125</v>
          </cell>
          <cell r="G18" t="str">
            <v>AP-42, Table 1.4-1</v>
          </cell>
          <cell r="H18">
            <v>8.2352941176470587E-2</v>
          </cell>
          <cell r="I18" t="str">
            <v>lb/MMBtu</v>
          </cell>
          <cell r="J18">
            <v>0</v>
          </cell>
          <cell r="K18" t="str">
            <v>No longer in use</v>
          </cell>
          <cell r="M18">
            <v>0</v>
          </cell>
          <cell r="O18">
            <v>0</v>
          </cell>
          <cell r="P18">
            <v>0</v>
          </cell>
        </row>
        <row r="19">
          <cell r="A19">
            <v>0</v>
          </cell>
          <cell r="B19" t="str">
            <v>H-650</v>
          </cell>
          <cell r="C19" t="str">
            <v>Asphalt Plant Heater</v>
          </cell>
          <cell r="D19">
            <v>4.2300000000000004</v>
          </cell>
          <cell r="E19" t="str">
            <v>MMBtu/hr</v>
          </cell>
          <cell r="F19">
            <v>8760</v>
          </cell>
          <cell r="G19" t="str">
            <v>AP-42, Table 1.4-1</v>
          </cell>
          <cell r="H19">
            <v>8.2352941176470587E-2</v>
          </cell>
          <cell r="I19" t="str">
            <v>lb/MMBtu</v>
          </cell>
          <cell r="J19">
            <v>1.5257858823529413</v>
          </cell>
          <cell r="K19" t="str">
            <v>No longer in use</v>
          </cell>
          <cell r="M19">
            <v>0.34835294117647064</v>
          </cell>
          <cell r="O19">
            <v>4.3891735176470589E-2</v>
          </cell>
          <cell r="P19">
            <v>4.3891735176470589E-2</v>
          </cell>
        </row>
        <row r="20">
          <cell r="A20" t="str">
            <v>TR15</v>
          </cell>
          <cell r="B20" t="str">
            <v>H-701</v>
          </cell>
          <cell r="C20" t="str">
            <v>Fired Steam Generator</v>
          </cell>
          <cell r="D20">
            <v>36.549999999999997</v>
          </cell>
          <cell r="E20" t="str">
            <v>MMBtu/hr</v>
          </cell>
          <cell r="F20">
            <v>8760</v>
          </cell>
          <cell r="G20" t="str">
            <v>AP-42, Table 1.4-1</v>
          </cell>
          <cell r="H20">
            <v>8.2352941176470587E-2</v>
          </cell>
          <cell r="I20" t="str">
            <v>lb/MMBtu</v>
          </cell>
          <cell r="J20">
            <v>13.1838</v>
          </cell>
          <cell r="M20">
            <v>3.01</v>
          </cell>
          <cell r="O20">
            <v>0.37925364555555552</v>
          </cell>
          <cell r="P20">
            <v>0.37925364555555552</v>
          </cell>
        </row>
        <row r="21">
          <cell r="A21" t="str">
            <v>TR16</v>
          </cell>
          <cell r="B21" t="str">
            <v>H-702</v>
          </cell>
          <cell r="C21" t="str">
            <v>Fired Steam Generator</v>
          </cell>
          <cell r="D21">
            <v>36.549999999999997</v>
          </cell>
          <cell r="E21" t="str">
            <v>MMBtu/hr</v>
          </cell>
          <cell r="F21">
            <v>8760</v>
          </cell>
          <cell r="G21" t="str">
            <v>AP-42, Table 1.4-1</v>
          </cell>
          <cell r="H21">
            <v>8.2352941176470587E-2</v>
          </cell>
          <cell r="I21" t="str">
            <v>lb/MMBtu</v>
          </cell>
          <cell r="J21">
            <v>13.1838</v>
          </cell>
          <cell r="M21">
            <v>3.01</v>
          </cell>
          <cell r="O21">
            <v>0.37925364555555552</v>
          </cell>
          <cell r="P21">
            <v>0.37925364555555552</v>
          </cell>
        </row>
        <row r="22">
          <cell r="A22" t="str">
            <v>TR17</v>
          </cell>
          <cell r="B22" t="str">
            <v>H-704</v>
          </cell>
          <cell r="C22" t="str">
            <v>Natural Gas Supply Heater</v>
          </cell>
          <cell r="D22">
            <v>2</v>
          </cell>
          <cell r="E22" t="str">
            <v>MMBtu/hr</v>
          </cell>
          <cell r="F22">
            <v>8760</v>
          </cell>
          <cell r="G22" t="str">
            <v>AP-42, Table 1.4-1</v>
          </cell>
          <cell r="H22">
            <v>8.2352941176470587E-2</v>
          </cell>
          <cell r="I22" t="str">
            <v>lb/MMBtu</v>
          </cell>
          <cell r="J22">
            <v>0.72141176470588231</v>
          </cell>
          <cell r="M22">
            <v>0.16470588235294117</v>
          </cell>
          <cell r="O22">
            <v>2.0752593464052286E-2</v>
          </cell>
          <cell r="P22">
            <v>2.0752593464052286E-2</v>
          </cell>
        </row>
        <row r="23">
          <cell r="A23" t="str">
            <v>TR18</v>
          </cell>
          <cell r="B23" t="str">
            <v>H-801</v>
          </cell>
          <cell r="C23" t="str">
            <v>Fired Steam Generator</v>
          </cell>
          <cell r="D23">
            <v>32</v>
          </cell>
          <cell r="E23" t="str">
            <v>MMBtu/hr</v>
          </cell>
          <cell r="F23">
            <v>8760</v>
          </cell>
          <cell r="G23" t="str">
            <v>AP-42, Table 1.4-1</v>
          </cell>
          <cell r="H23">
            <v>8.2352941176470587E-2</v>
          </cell>
          <cell r="I23" t="str">
            <v>lb/MMBtu</v>
          </cell>
          <cell r="J23">
            <v>11.542588235294117</v>
          </cell>
          <cell r="M23">
            <v>2.6352941176470588</v>
          </cell>
          <cell r="O23">
            <v>0.33204149542483657</v>
          </cell>
          <cell r="P23">
            <v>0.33204149542483657</v>
          </cell>
        </row>
        <row r="24">
          <cell r="A24" t="str">
            <v>TR19</v>
          </cell>
          <cell r="B24" t="str">
            <v>H-802</v>
          </cell>
          <cell r="C24" t="str">
            <v>Hot Glycol Heater</v>
          </cell>
          <cell r="D24">
            <v>10.8</v>
          </cell>
          <cell r="E24" t="str">
            <v>MMBtu/hr</v>
          </cell>
          <cell r="F24">
            <v>8760</v>
          </cell>
          <cell r="G24" t="str">
            <v>AP-42, Table 1.4-1</v>
          </cell>
          <cell r="H24">
            <v>8.2352941176470587E-2</v>
          </cell>
          <cell r="I24" t="str">
            <v>lb/MMBtu</v>
          </cell>
          <cell r="J24">
            <v>3.8956235294117647</v>
          </cell>
          <cell r="M24">
            <v>0.88941176470588235</v>
          </cell>
          <cell r="O24">
            <v>0.11206400470588235</v>
          </cell>
          <cell r="P24">
            <v>0.11206400470588235</v>
          </cell>
        </row>
        <row r="25">
          <cell r="A25" t="str">
            <v>TR20</v>
          </cell>
          <cell r="B25" t="str">
            <v>H-1001</v>
          </cell>
          <cell r="C25" t="str">
            <v>Hydrogen Reformer Furnace</v>
          </cell>
          <cell r="D25">
            <v>152.30000000000001</v>
          </cell>
          <cell r="E25" t="str">
            <v>MMBtu/hr</v>
          </cell>
          <cell r="F25">
            <v>8760</v>
          </cell>
          <cell r="G25" t="str">
            <v>AP-42, Table 1.4-1</v>
          </cell>
          <cell r="H25">
            <v>8.2352941176470587E-2</v>
          </cell>
          <cell r="I25" t="str">
            <v>lb/MMBtu</v>
          </cell>
          <cell r="J25">
            <v>54.935505882352942</v>
          </cell>
          <cell r="M25">
            <v>12.542352941176471</v>
          </cell>
          <cell r="O25">
            <v>1.5803099922875816</v>
          </cell>
          <cell r="P25">
            <v>1.5803099922875816</v>
          </cell>
        </row>
        <row r="26">
          <cell r="B26" t="str">
            <v>H1101</v>
          </cell>
          <cell r="C26" t="str">
            <v>Reaction Furnace Burner</v>
          </cell>
          <cell r="D26" t="str">
            <v>N/A</v>
          </cell>
          <cell r="E26" t="str">
            <v>MMBtu/hr</v>
          </cell>
          <cell r="F26">
            <v>8760</v>
          </cell>
          <cell r="G26" t="str">
            <v>AP-42, Table 1.4-1</v>
          </cell>
          <cell r="H26">
            <v>8.2352941176470587E-2</v>
          </cell>
          <cell r="I26" t="str">
            <v>lb/MMBtu</v>
          </cell>
          <cell r="J26">
            <v>0</v>
          </cell>
          <cell r="K26" t="str">
            <v>No longer in use</v>
          </cell>
          <cell r="M26">
            <v>0</v>
          </cell>
          <cell r="O26">
            <v>0</v>
          </cell>
          <cell r="P26">
            <v>0</v>
          </cell>
        </row>
        <row r="27">
          <cell r="A27" t="str">
            <v>TR21</v>
          </cell>
          <cell r="B27" t="str">
            <v>H-1102</v>
          </cell>
          <cell r="C27" t="str">
            <v>#1 Reheater</v>
          </cell>
          <cell r="D27">
            <v>1.65</v>
          </cell>
          <cell r="E27" t="str">
            <v>MMBtu/hr</v>
          </cell>
          <cell r="F27">
            <v>8760</v>
          </cell>
          <cell r="G27" t="str">
            <v>AP-42, Table 1.4-1</v>
          </cell>
          <cell r="H27">
            <v>8.2352941176470587E-2</v>
          </cell>
          <cell r="I27" t="str">
            <v>lb/MMBtu</v>
          </cell>
          <cell r="J27">
            <v>0.59516470588235293</v>
          </cell>
          <cell r="M27">
            <v>0.13588235294117645</v>
          </cell>
          <cell r="O27">
            <v>1.7120889607843134E-2</v>
          </cell>
          <cell r="P27">
            <v>1.7120889607843134E-2</v>
          </cell>
        </row>
        <row r="28">
          <cell r="A28" t="str">
            <v>TR22</v>
          </cell>
          <cell r="B28" t="str">
            <v>H-1103</v>
          </cell>
          <cell r="C28" t="str">
            <v>#1 Reheater</v>
          </cell>
          <cell r="D28">
            <v>1.1499999999999999</v>
          </cell>
          <cell r="E28" t="str">
            <v>MMBtu/hr</v>
          </cell>
          <cell r="F28">
            <v>8760</v>
          </cell>
          <cell r="G28" t="str">
            <v>AP-42, Table 1.4-1</v>
          </cell>
          <cell r="H28">
            <v>8.2352941176470587E-2</v>
          </cell>
          <cell r="I28" t="str">
            <v>lb/MMBtu</v>
          </cell>
          <cell r="J28">
            <v>0.41481176470588232</v>
          </cell>
          <cell r="M28">
            <v>9.4705882352941168E-2</v>
          </cell>
          <cell r="O28">
            <v>1.1932741241830063E-2</v>
          </cell>
          <cell r="P28">
            <v>1.1932741241830063E-2</v>
          </cell>
        </row>
        <row r="29">
          <cell r="A29" t="str">
            <v>TR23</v>
          </cell>
          <cell r="B29" t="str">
            <v>H-1104</v>
          </cell>
          <cell r="C29" t="str">
            <v>#1 Reheater</v>
          </cell>
          <cell r="D29">
            <v>1.05</v>
          </cell>
          <cell r="E29" t="str">
            <v>MMBtu/hr</v>
          </cell>
          <cell r="F29">
            <v>8760</v>
          </cell>
          <cell r="G29" t="str">
            <v>AP-42, Table 1.4-1</v>
          </cell>
          <cell r="H29">
            <v>8.2352941176470587E-2</v>
          </cell>
          <cell r="I29" t="str">
            <v>lb/MMBtu</v>
          </cell>
          <cell r="J29">
            <v>0.37874117647058825</v>
          </cell>
          <cell r="M29">
            <v>8.6470588235294119E-2</v>
          </cell>
          <cell r="O29">
            <v>1.089511156862745E-2</v>
          </cell>
          <cell r="P29">
            <v>1.089511156862745E-2</v>
          </cell>
        </row>
        <row r="30">
          <cell r="A30" t="str">
            <v>TR24</v>
          </cell>
          <cell r="B30" t="str">
            <v>H-1105</v>
          </cell>
          <cell r="C30" t="str">
            <v>Tail Gas Burner</v>
          </cell>
          <cell r="D30">
            <v>2</v>
          </cell>
          <cell r="E30" t="str">
            <v>MMBtu/hr</v>
          </cell>
          <cell r="F30">
            <v>8760</v>
          </cell>
          <cell r="G30" t="str">
            <v>AP-42, Table 1.4-1</v>
          </cell>
          <cell r="H30">
            <v>8.2352941176470587E-2</v>
          </cell>
          <cell r="I30" t="str">
            <v>lb/MMBtu</v>
          </cell>
          <cell r="J30">
            <v>0.72141176470588231</v>
          </cell>
          <cell r="M30">
            <v>0.16470588235294117</v>
          </cell>
          <cell r="O30">
            <v>2.0752593464052286E-2</v>
          </cell>
          <cell r="P30">
            <v>2.0752593464052286E-2</v>
          </cell>
        </row>
        <row r="31">
          <cell r="A31" t="str">
            <v>TR25</v>
          </cell>
          <cell r="B31" t="str">
            <v>H-1106</v>
          </cell>
          <cell r="C31" t="str">
            <v>#4 Reheater</v>
          </cell>
          <cell r="D31">
            <v>1.9</v>
          </cell>
          <cell r="E31" t="str">
            <v>MMBtu/hr</v>
          </cell>
          <cell r="F31">
            <v>8760</v>
          </cell>
          <cell r="G31" t="str">
            <v>AP-42, Table 1.4-1</v>
          </cell>
          <cell r="H31">
            <v>8.2352941176470587E-2</v>
          </cell>
          <cell r="I31" t="str">
            <v>lb/MMBtu</v>
          </cell>
          <cell r="J31">
            <v>0.68534117647058812</v>
          </cell>
          <cell r="M31">
            <v>0.15647058823529411</v>
          </cell>
          <cell r="O31">
            <v>1.9714963790849672E-2</v>
          </cell>
          <cell r="P31">
            <v>1.9714963790849672E-2</v>
          </cell>
        </row>
        <row r="32">
          <cell r="A32" t="str">
            <v>TR26</v>
          </cell>
          <cell r="B32" t="str">
            <v>SRU</v>
          </cell>
          <cell r="C32" t="str">
            <v>Sulfur Recovery Unit</v>
          </cell>
          <cell r="D32">
            <v>0</v>
          </cell>
          <cell r="E32">
            <v>0</v>
          </cell>
          <cell r="F32">
            <v>0</v>
          </cell>
          <cell r="G32">
            <v>0</v>
          </cell>
          <cell r="H32">
            <v>0</v>
          </cell>
          <cell r="I32">
            <v>0</v>
          </cell>
          <cell r="J32">
            <v>0</v>
          </cell>
          <cell r="M32">
            <v>0</v>
          </cell>
          <cell r="O32">
            <v>0</v>
          </cell>
          <cell r="P32">
            <v>0</v>
          </cell>
        </row>
        <row r="33">
          <cell r="A33" t="str">
            <v>TR27</v>
          </cell>
          <cell r="B33" t="str">
            <v>H-1201/1203</v>
          </cell>
          <cell r="C33" t="str">
            <v>PRIP Absorber Feed Furnace</v>
          </cell>
          <cell r="D33">
            <v>10.4</v>
          </cell>
          <cell r="E33" t="str">
            <v>MMBtu/hr</v>
          </cell>
          <cell r="F33">
            <v>8760</v>
          </cell>
          <cell r="G33" t="str">
            <v>AP-42, Table 1.4-1</v>
          </cell>
          <cell r="H33">
            <v>8.2352941176470587E-2</v>
          </cell>
          <cell r="I33" t="str">
            <v>lb/MMBtu</v>
          </cell>
          <cell r="J33">
            <v>3.7513411764705884</v>
          </cell>
          <cell r="M33">
            <v>0.85647058823529409</v>
          </cell>
          <cell r="O33">
            <v>0.10791348601307188</v>
          </cell>
          <cell r="P33">
            <v>0.10791348601307188</v>
          </cell>
        </row>
        <row r="34">
          <cell r="A34" t="str">
            <v>TR28</v>
          </cell>
          <cell r="B34" t="str">
            <v>H-1202</v>
          </cell>
          <cell r="C34" t="str">
            <v>PRIP Recycle H2 Furnace</v>
          </cell>
          <cell r="D34">
            <v>11.2</v>
          </cell>
          <cell r="E34" t="str">
            <v>MMBtu/hr</v>
          </cell>
          <cell r="F34">
            <v>8760</v>
          </cell>
          <cell r="G34" t="str">
            <v>AP-42, Table 1.4-1</v>
          </cell>
          <cell r="H34">
            <v>8.2352941176470587E-2</v>
          </cell>
          <cell r="I34" t="str">
            <v>lb/MMBtu</v>
          </cell>
          <cell r="J34">
            <v>4.039905882352941</v>
          </cell>
          <cell r="M34">
            <v>0.92235294117647049</v>
          </cell>
          <cell r="O34">
            <v>0.11621452339869279</v>
          </cell>
          <cell r="P34">
            <v>0.11621452339869279</v>
          </cell>
        </row>
        <row r="35">
          <cell r="A35" t="str">
            <v>TR29</v>
          </cell>
          <cell r="B35" t="str">
            <v>H-1701</v>
          </cell>
          <cell r="C35" t="str">
            <v>Vacuum Tower Heater, H1701</v>
          </cell>
          <cell r="D35">
            <v>91</v>
          </cell>
          <cell r="E35" t="str">
            <v>MMBtu/hr</v>
          </cell>
          <cell r="F35">
            <v>8760</v>
          </cell>
          <cell r="G35" t="str">
            <v>AP-42, Table 1.4-1</v>
          </cell>
          <cell r="H35">
            <v>8.2352941176470587E-2</v>
          </cell>
          <cell r="I35" t="str">
            <v>lb/MMBtu</v>
          </cell>
          <cell r="J35">
            <v>32.824235294117642</v>
          </cell>
          <cell r="M35">
            <v>7.4941176470588236</v>
          </cell>
          <cell r="O35">
            <v>0.94424300261437899</v>
          </cell>
          <cell r="P35">
            <v>0.94424300261437899</v>
          </cell>
        </row>
        <row r="36">
          <cell r="A36" t="str">
            <v>TR42</v>
          </cell>
          <cell r="B36" t="str">
            <v>J-801</v>
          </cell>
          <cell r="C36" t="str">
            <v>Refinery Flare, Pilot</v>
          </cell>
          <cell r="D36">
            <v>3</v>
          </cell>
          <cell r="E36" t="str">
            <v>MMBtu/hr</v>
          </cell>
          <cell r="F36">
            <v>8760</v>
          </cell>
          <cell r="G36" t="str">
            <v>AP-42, Table 1.4-1</v>
          </cell>
          <cell r="H36">
            <v>8.2352941176470587E-2</v>
          </cell>
          <cell r="I36" t="str">
            <v>lb/MMBtu</v>
          </cell>
          <cell r="J36">
            <v>1.0821176470588234</v>
          </cell>
          <cell r="M36">
            <v>0.24705882352941178</v>
          </cell>
          <cell r="O36">
            <v>3.1128890196078431E-2</v>
          </cell>
          <cell r="P36">
            <v>3.1128890196078431E-2</v>
          </cell>
        </row>
        <row r="37">
          <cell r="A37" t="str">
            <v>TR34</v>
          </cell>
          <cell r="B37" t="str">
            <v>EG-704</v>
          </cell>
          <cell r="C37" t="str">
            <v>Electrical Generator CAT 3412-500 kW</v>
          </cell>
          <cell r="D37" t="str">
            <v>4.8</v>
          </cell>
          <cell r="E37" t="str">
            <v>MMBtu/hr</v>
          </cell>
          <cell r="F37">
            <v>200</v>
          </cell>
          <cell r="G37" t="str">
            <v>AP-42, Table 3.4-1</v>
          </cell>
          <cell r="H37">
            <v>0.85</v>
          </cell>
          <cell r="I37" t="str">
            <v>lb/MMBtu</v>
          </cell>
          <cell r="J37">
            <v>0.40799999999999997</v>
          </cell>
          <cell r="M37">
            <v>4.08</v>
          </cell>
          <cell r="O37">
            <v>0.51407138666666663</v>
          </cell>
          <cell r="P37">
            <v>0.51407138666666663</v>
          </cell>
        </row>
        <row r="38">
          <cell r="A38" t="str">
            <v>TR35</v>
          </cell>
          <cell r="B38" t="str">
            <v>EG-801</v>
          </cell>
          <cell r="C38" t="str">
            <v>Stewart-Stevenson Generator - 580 kW</v>
          </cell>
          <cell r="D38" t="str">
            <v>6.1</v>
          </cell>
          <cell r="E38" t="str">
            <v>MMBtu/hr</v>
          </cell>
          <cell r="F38">
            <v>200</v>
          </cell>
          <cell r="G38" t="str">
            <v>AP-42, Table 3.4-1</v>
          </cell>
          <cell r="H38">
            <v>0.85</v>
          </cell>
          <cell r="I38" t="str">
            <v>lb/MMBtu</v>
          </cell>
          <cell r="J38">
            <v>0.51849999999999996</v>
          </cell>
          <cell r="M38">
            <v>5.1849999999999996</v>
          </cell>
          <cell r="O38">
            <v>0.65329905388888876</v>
          </cell>
          <cell r="P38">
            <v>0.65329905388888876</v>
          </cell>
        </row>
        <row r="39">
          <cell r="A39" t="str">
            <v>TR36</v>
          </cell>
          <cell r="B39" t="str">
            <v>P-605A</v>
          </cell>
          <cell r="C39" t="str">
            <v>North Caterpillar CAT G399 - 830 hpa</v>
          </cell>
          <cell r="D39" t="str">
            <v>5.6</v>
          </cell>
          <cell r="E39" t="str">
            <v>MMBtu/hr</v>
          </cell>
          <cell r="F39">
            <v>1250</v>
          </cell>
          <cell r="G39" t="str">
            <v>AP-42, Table 3.2-2</v>
          </cell>
          <cell r="H39">
            <v>0.317</v>
          </cell>
          <cell r="I39" t="str">
            <v>lb/MMBtu</v>
          </cell>
          <cell r="J39">
            <v>1.1094999999999999</v>
          </cell>
          <cell r="M39">
            <v>1.7751999999999999</v>
          </cell>
          <cell r="O39">
            <v>0.22367145235555552</v>
          </cell>
          <cell r="P39">
            <v>0.22367145235555552</v>
          </cell>
        </row>
        <row r="40">
          <cell r="A40" t="str">
            <v>TR37</v>
          </cell>
          <cell r="B40" t="str">
            <v>P-605B</v>
          </cell>
          <cell r="C40" t="str">
            <v>South Caterpillar CAT G399 - 830 hpa</v>
          </cell>
          <cell r="D40" t="str">
            <v>5.6</v>
          </cell>
          <cell r="E40" t="str">
            <v>MMBtu/hr</v>
          </cell>
          <cell r="F40">
            <v>1250</v>
          </cell>
          <cell r="G40" t="str">
            <v>AP-42, Table 3.2-2</v>
          </cell>
          <cell r="H40">
            <v>0.317</v>
          </cell>
          <cell r="I40" t="str">
            <v>lb/MMBtu</v>
          </cell>
          <cell r="J40">
            <v>1.1094999999999999</v>
          </cell>
          <cell r="M40">
            <v>1.7751999999999999</v>
          </cell>
          <cell r="O40">
            <v>0.22367145235555552</v>
          </cell>
          <cell r="P40">
            <v>0.22367145235555552</v>
          </cell>
        </row>
        <row r="41">
          <cell r="A41" t="str">
            <v>TR38</v>
          </cell>
          <cell r="B41" t="str">
            <v>P-708A</v>
          </cell>
          <cell r="C41" t="str">
            <v>North Cummins NHS6-IF 290 hpc</v>
          </cell>
          <cell r="D41" t="str">
            <v>2.0</v>
          </cell>
          <cell r="E41" t="str">
            <v>MMBtu/hr</v>
          </cell>
          <cell r="F41">
            <v>600</v>
          </cell>
          <cell r="G41" t="str">
            <v>AP-42, Table 3.3-1</v>
          </cell>
          <cell r="H41">
            <v>0.95</v>
          </cell>
          <cell r="I41" t="str">
            <v>lb/MMBtu</v>
          </cell>
          <cell r="J41">
            <v>0.56999999999999995</v>
          </cell>
          <cell r="M41">
            <v>1.9</v>
          </cell>
          <cell r="O41">
            <v>0.23939598888888886</v>
          </cell>
          <cell r="P41">
            <v>0.23939598888888886</v>
          </cell>
        </row>
        <row r="42">
          <cell r="A42">
            <v>0</v>
          </cell>
          <cell r="B42" t="str">
            <v>P-708B</v>
          </cell>
          <cell r="C42" t="str">
            <v>South Cummins NHS6-IF 290 hpc</v>
          </cell>
          <cell r="D42" t="str">
            <v>2.0</v>
          </cell>
          <cell r="E42" t="str">
            <v>MMBtu/hr</v>
          </cell>
          <cell r="F42">
            <v>600</v>
          </cell>
          <cell r="G42" t="str">
            <v>AP-42, Table 3.3-1</v>
          </cell>
          <cell r="H42">
            <v>0.95</v>
          </cell>
          <cell r="I42" t="str">
            <v>lb/MMBtu</v>
          </cell>
          <cell r="J42">
            <v>0.56999999999999995</v>
          </cell>
          <cell r="M42">
            <v>1.9</v>
          </cell>
          <cell r="O42">
            <v>0.23939598888888886</v>
          </cell>
          <cell r="P42">
            <v>0.23939598888888886</v>
          </cell>
        </row>
        <row r="43">
          <cell r="A43" t="str">
            <v>TR40</v>
          </cell>
          <cell r="B43" t="str">
            <v>P-708C</v>
          </cell>
          <cell r="C43" t="str">
            <v>Upper Tank Farm Cat 3412DT 660 hp</v>
          </cell>
          <cell r="D43" t="str">
            <v>4.3</v>
          </cell>
          <cell r="E43" t="str">
            <v>MMBtu/hr</v>
          </cell>
          <cell r="F43">
            <v>600</v>
          </cell>
          <cell r="G43" t="str">
            <v>AP-42, Table 3.4-1</v>
          </cell>
          <cell r="H43">
            <v>0.85</v>
          </cell>
          <cell r="I43" t="str">
            <v>lb/MMBtu</v>
          </cell>
          <cell r="J43">
            <v>1.0965</v>
          </cell>
          <cell r="M43">
            <v>3.6549999999999998</v>
          </cell>
          <cell r="O43">
            <v>0.46052228388888883</v>
          </cell>
          <cell r="P43">
            <v>0.46052228388888883</v>
          </cell>
        </row>
        <row r="44">
          <cell r="A44" t="str">
            <v>TR41</v>
          </cell>
          <cell r="B44" t="str">
            <v>P-719C</v>
          </cell>
          <cell r="C44" t="str">
            <v>Cooling Tower CAT G333 140 hp</v>
          </cell>
          <cell r="D44" t="str">
            <v>1.1</v>
          </cell>
          <cell r="E44" t="str">
            <v>MMBtu/hr</v>
          </cell>
          <cell r="F44">
            <v>1000</v>
          </cell>
          <cell r="G44" t="str">
            <v>AP-42, Table 3.2-2</v>
          </cell>
          <cell r="H44">
            <v>0.317</v>
          </cell>
          <cell r="I44" t="str">
            <v>lb/MMBtu</v>
          </cell>
          <cell r="J44">
            <v>0.17435000000000003</v>
          </cell>
          <cell r="M44">
            <v>0.34870000000000001</v>
          </cell>
          <cell r="O44">
            <v>4.3935463855555551E-2</v>
          </cell>
          <cell r="P44">
            <v>4.3935463855555551E-2</v>
          </cell>
        </row>
        <row r="45">
          <cell r="A45" t="str">
            <v>TR32</v>
          </cell>
          <cell r="B45" t="str">
            <v>GT-1400</v>
          </cell>
          <cell r="C45" t="str">
            <v>Solar Centaur Turbine 4.4 mW</v>
          </cell>
          <cell r="D45">
            <v>50.9</v>
          </cell>
          <cell r="E45" t="str">
            <v>MMBtu/hr</v>
          </cell>
          <cell r="F45">
            <v>8760</v>
          </cell>
          <cell r="G45" t="str">
            <v>Permit Limit</v>
          </cell>
          <cell r="H45">
            <v>5.5</v>
          </cell>
          <cell r="I45" t="str">
            <v>lb/hr</v>
          </cell>
          <cell r="J45">
            <v>24.09</v>
          </cell>
          <cell r="M45">
            <v>5.5</v>
          </cell>
          <cell r="O45">
            <v>0.69298838888888881</v>
          </cell>
          <cell r="P45">
            <v>0.69298838888888881</v>
          </cell>
        </row>
        <row r="46">
          <cell r="A46">
            <v>0</v>
          </cell>
          <cell r="B46" t="str">
            <v>E-1400</v>
          </cell>
          <cell r="C46" t="str">
            <v>Duct Burner</v>
          </cell>
          <cell r="D46">
            <v>36.5</v>
          </cell>
          <cell r="E46" t="str">
            <v>MMBtu/hr</v>
          </cell>
          <cell r="F46">
            <v>8760</v>
          </cell>
          <cell r="G46">
            <v>0</v>
          </cell>
          <cell r="H46">
            <v>0</v>
          </cell>
          <cell r="I46">
            <v>0</v>
          </cell>
          <cell r="J46">
            <v>0</v>
          </cell>
          <cell r="M46">
            <v>0</v>
          </cell>
          <cell r="O46">
            <v>0</v>
          </cell>
          <cell r="P46">
            <v>0</v>
          </cell>
        </row>
        <row r="47">
          <cell r="A47" t="str">
            <v>TR33</v>
          </cell>
          <cell r="B47" t="str">
            <v>GT-1410</v>
          </cell>
          <cell r="C47" t="str">
            <v>Solar Centaur Turbine 4.4 mW</v>
          </cell>
          <cell r="D47">
            <v>50.9</v>
          </cell>
          <cell r="E47" t="str">
            <v>MMBtu/hr</v>
          </cell>
          <cell r="F47">
            <v>8760</v>
          </cell>
          <cell r="G47" t="str">
            <v>Permit Limit</v>
          </cell>
          <cell r="H47">
            <v>5.5</v>
          </cell>
          <cell r="I47" t="str">
            <v>lb/hr</v>
          </cell>
          <cell r="J47">
            <v>24.09</v>
          </cell>
          <cell r="M47">
            <v>5.5</v>
          </cell>
          <cell r="O47">
            <v>0.69298838888888881</v>
          </cell>
          <cell r="P47">
            <v>0.69298838888888881</v>
          </cell>
        </row>
        <row r="48">
          <cell r="A48">
            <v>0</v>
          </cell>
          <cell r="B48" t="str">
            <v>E-1410</v>
          </cell>
          <cell r="C48" t="str">
            <v>Duct Burner</v>
          </cell>
          <cell r="D48">
            <v>36.5</v>
          </cell>
          <cell r="E48" t="str">
            <v>MMBtu/hr</v>
          </cell>
          <cell r="F48">
            <v>8760</v>
          </cell>
          <cell r="G48">
            <v>0</v>
          </cell>
          <cell r="H48">
            <v>0</v>
          </cell>
          <cell r="I48">
            <v>0</v>
          </cell>
          <cell r="J48">
            <v>0</v>
          </cell>
          <cell r="M48">
            <v>0</v>
          </cell>
          <cell r="O48">
            <v>0</v>
          </cell>
          <cell r="P48">
            <v>0</v>
          </cell>
        </row>
        <row r="49">
          <cell r="A49" t="str">
            <v>TR44</v>
          </cell>
          <cell r="B49" t="str">
            <v>E77 SVE</v>
          </cell>
          <cell r="C49" t="str">
            <v>E77 Soil Vapor Extraction System</v>
          </cell>
          <cell r="D49">
            <v>0.5</v>
          </cell>
          <cell r="E49" t="str">
            <v>MMBtu/hr</v>
          </cell>
          <cell r="F49">
            <v>8760</v>
          </cell>
          <cell r="G49" t="str">
            <v>AP-42, Table 1.4-1</v>
          </cell>
          <cell r="H49">
            <v>8.2352941176470587E-2</v>
          </cell>
          <cell r="I49" t="str">
            <v>lb/MMBtu</v>
          </cell>
          <cell r="J49">
            <v>0.18035294117647058</v>
          </cell>
          <cell r="M49">
            <v>4.1176470588235294E-2</v>
          </cell>
          <cell r="N49">
            <v>0</v>
          </cell>
          <cell r="O49">
            <v>5.1881483660130715E-3</v>
          </cell>
          <cell r="P49">
            <v>5.1881483660130715E-3</v>
          </cell>
        </row>
        <row r="50">
          <cell r="A50" t="str">
            <v>TR45</v>
          </cell>
          <cell r="B50" t="str">
            <v>LTF SCE</v>
          </cell>
          <cell r="C50" t="str">
            <v>LTF Soil Vapor Extraction System</v>
          </cell>
          <cell r="D50">
            <v>2</v>
          </cell>
          <cell r="E50" t="str">
            <v>MMBtu/hr</v>
          </cell>
          <cell r="F50">
            <v>8760</v>
          </cell>
          <cell r="G50" t="str">
            <v>AP-42, Table 1.4-1</v>
          </cell>
          <cell r="H50">
            <v>8.2352941176470587E-2</v>
          </cell>
          <cell r="I50" t="str">
            <v>lb/MMBtu</v>
          </cell>
          <cell r="J50">
            <v>0.72141176470588231</v>
          </cell>
          <cell r="M50">
            <v>0.16470588235294117</v>
          </cell>
          <cell r="N50">
            <v>0</v>
          </cell>
          <cell r="O50">
            <v>2.0752593464052286E-2</v>
          </cell>
          <cell r="P50">
            <v>2.0752593464052286E-2</v>
          </cell>
        </row>
        <row r="51">
          <cell r="A51">
            <v>0</v>
          </cell>
          <cell r="B51" t="str">
            <v>SI SVE</v>
          </cell>
          <cell r="C51" t="str">
            <v>SI Soil Vapor Extraction System</v>
          </cell>
          <cell r="D51">
            <v>0.5</v>
          </cell>
          <cell r="E51" t="str">
            <v>MMBtu/hr</v>
          </cell>
          <cell r="F51">
            <v>8760</v>
          </cell>
          <cell r="G51" t="str">
            <v>AP-42, Table 1.4-1</v>
          </cell>
          <cell r="H51">
            <v>8.2352941176470587E-2</v>
          </cell>
          <cell r="I51" t="str">
            <v>lb/MMBtu</v>
          </cell>
          <cell r="J51">
            <v>0.18035294117647058</v>
          </cell>
          <cell r="K51" t="str">
            <v>No longer in use</v>
          </cell>
          <cell r="M51">
            <v>4.1176470588235294E-2</v>
          </cell>
          <cell r="N51">
            <v>0</v>
          </cell>
          <cell r="O51">
            <v>5.1881483660130715E-3</v>
          </cell>
          <cell r="P51">
            <v>5.1881483660130715E-3</v>
          </cell>
        </row>
        <row r="52">
          <cell r="A52">
            <v>0</v>
          </cell>
          <cell r="B52" t="str">
            <v>Tank Clean</v>
          </cell>
          <cell r="C52" t="str">
            <v>Tank Cleaning Equipment</v>
          </cell>
          <cell r="D52">
            <v>48.8</v>
          </cell>
          <cell r="E52" t="str">
            <v>MMBtu/hr</v>
          </cell>
          <cell r="F52">
            <v>0</v>
          </cell>
          <cell r="G52">
            <v>0</v>
          </cell>
          <cell r="H52">
            <v>0</v>
          </cell>
          <cell r="I52">
            <v>0</v>
          </cell>
          <cell r="J52">
            <v>6.66</v>
          </cell>
          <cell r="M52">
            <v>1.5205479452054795</v>
          </cell>
          <cell r="N52">
            <v>0</v>
          </cell>
          <cell r="O52">
            <v>0.19158583105022831</v>
          </cell>
          <cell r="P52">
            <v>0.19158583105022831</v>
          </cell>
        </row>
      </sheetData>
      <sheetData sheetId="5">
        <row r="6">
          <cell r="A6" t="str">
            <v>TR1</v>
          </cell>
          <cell r="B6" t="str">
            <v>H-101A</v>
          </cell>
          <cell r="C6" t="str">
            <v>Crude Heater</v>
          </cell>
          <cell r="D6">
            <v>140</v>
          </cell>
          <cell r="E6" t="str">
            <v>MMBtu/hr</v>
          </cell>
          <cell r="F6">
            <v>8760</v>
          </cell>
          <cell r="G6" t="str">
            <v>Allowable Fuel S Content</v>
          </cell>
          <cell r="H6">
            <v>2.6891760663330096E-2</v>
          </cell>
          <cell r="I6" t="str">
            <v>lb/MMBtua</v>
          </cell>
          <cell r="J6">
            <v>16.490027638754015</v>
          </cell>
          <cell r="M6">
            <v>3.7648464928662135</v>
          </cell>
          <cell r="O6">
            <v>0.47436271009188014</v>
          </cell>
          <cell r="P6">
            <v>0.47436271009188014</v>
          </cell>
          <cell r="Q6">
            <v>0.47436271009188014</v>
          </cell>
          <cell r="R6">
            <v>0.47436271009188008</v>
          </cell>
        </row>
        <row r="7">
          <cell r="A7" t="str">
            <v>TR2</v>
          </cell>
          <cell r="B7" t="str">
            <v>H-101B</v>
          </cell>
          <cell r="C7" t="str">
            <v>Crude Heater</v>
          </cell>
          <cell r="D7">
            <v>165</v>
          </cell>
          <cell r="E7" t="str">
            <v>MMBtu/hr</v>
          </cell>
          <cell r="F7">
            <v>8760</v>
          </cell>
          <cell r="G7" t="str">
            <v>Allowable Fuel S Content</v>
          </cell>
          <cell r="H7">
            <v>2.6891760663330096E-2</v>
          </cell>
          <cell r="I7" t="str">
            <v>lb/MMBtua</v>
          </cell>
          <cell r="J7">
            <v>19.434675431388662</v>
          </cell>
          <cell r="M7">
            <v>4.437140509449466</v>
          </cell>
          <cell r="O7">
            <v>0.55907033689400165</v>
          </cell>
          <cell r="P7">
            <v>0.55907033689400165</v>
          </cell>
          <cell r="Q7">
            <v>0.55907033689400165</v>
          </cell>
          <cell r="R7">
            <v>0.55907033689400165</v>
          </cell>
        </row>
        <row r="8">
          <cell r="A8" t="str">
            <v>TR3</v>
          </cell>
          <cell r="B8" t="str">
            <v>H-201</v>
          </cell>
          <cell r="C8" t="str">
            <v>Powerformer Preheater H201</v>
          </cell>
          <cell r="D8">
            <v>31.8</v>
          </cell>
          <cell r="E8" t="str">
            <v>MMBtu/hr</v>
          </cell>
          <cell r="F8">
            <v>8760</v>
          </cell>
          <cell r="G8" t="str">
            <v>Allowable Fuel S Content</v>
          </cell>
          <cell r="H8">
            <v>2.6891760663330096E-2</v>
          </cell>
          <cell r="I8" t="str">
            <v>lb/MMBtua</v>
          </cell>
          <cell r="J8">
            <v>3.7455919922312697</v>
          </cell>
          <cell r="M8">
            <v>0.85515798909389706</v>
          </cell>
          <cell r="O8">
            <v>0.10774810129229849</v>
          </cell>
          <cell r="P8">
            <v>0.10774810129229849</v>
          </cell>
          <cell r="Q8">
            <v>0.10774810129229849</v>
          </cell>
          <cell r="R8">
            <v>0.1077481012922985</v>
          </cell>
        </row>
        <row r="9">
          <cell r="A9" t="str">
            <v>TR4</v>
          </cell>
          <cell r="B9" t="str">
            <v>H-202</v>
          </cell>
          <cell r="C9" t="str">
            <v>Powerformer Preheater H202</v>
          </cell>
          <cell r="D9">
            <v>51</v>
          </cell>
          <cell r="E9" t="str">
            <v>MMBtu/hr</v>
          </cell>
          <cell r="F9">
            <v>8760</v>
          </cell>
          <cell r="G9" t="str">
            <v>Allowable Fuel S Content</v>
          </cell>
          <cell r="H9">
            <v>2.6891760663330096E-2</v>
          </cell>
          <cell r="I9" t="str">
            <v>lb/MMBtua</v>
          </cell>
          <cell r="J9">
            <v>6.0070814969746769</v>
          </cell>
          <cell r="M9">
            <v>1.3714797938298349</v>
          </cell>
          <cell r="O9">
            <v>0.17280355867632777</v>
          </cell>
          <cell r="P9">
            <v>0.17280355867632777</v>
          </cell>
          <cell r="Q9">
            <v>0.17280355867632777</v>
          </cell>
          <cell r="R9">
            <v>0.17280355867632774</v>
          </cell>
        </row>
        <row r="10">
          <cell r="A10" t="str">
            <v>TR5</v>
          </cell>
          <cell r="B10" t="str">
            <v>H-203</v>
          </cell>
          <cell r="C10" t="str">
            <v>Powerformer Preheater H203</v>
          </cell>
          <cell r="D10">
            <v>27.9</v>
          </cell>
          <cell r="E10" t="str">
            <v>MMBtu/hr</v>
          </cell>
          <cell r="F10">
            <v>8760</v>
          </cell>
          <cell r="G10" t="str">
            <v>Allowable Fuel S Content</v>
          </cell>
          <cell r="H10">
            <v>2.6891760663330096E-2</v>
          </cell>
          <cell r="I10" t="str">
            <v>lb/MMBtua</v>
          </cell>
          <cell r="J10">
            <v>3.2862269365802645</v>
          </cell>
          <cell r="M10">
            <v>0.75028012250690967</v>
          </cell>
          <cell r="O10">
            <v>9.4533711511167545E-2</v>
          </cell>
          <cell r="P10">
            <v>9.4533711511167545E-2</v>
          </cell>
          <cell r="Q10">
            <v>9.4533711511167545E-2</v>
          </cell>
          <cell r="R10">
            <v>9.4533711511167545E-2</v>
          </cell>
        </row>
        <row r="11">
          <cell r="A11" t="str">
            <v>TR6</v>
          </cell>
          <cell r="B11" t="str">
            <v>H-204</v>
          </cell>
          <cell r="C11" t="str">
            <v>Powerformer Preheater</v>
          </cell>
          <cell r="D11">
            <v>53.8</v>
          </cell>
          <cell r="E11" t="str">
            <v>MMBtu/hr</v>
          </cell>
          <cell r="F11">
            <v>8760</v>
          </cell>
          <cell r="G11" t="str">
            <v>Allowable Fuel S Content</v>
          </cell>
          <cell r="H11">
            <v>2.6891760663330096E-2</v>
          </cell>
          <cell r="I11" t="str">
            <v>lb/MMBtua</v>
          </cell>
          <cell r="J11">
            <v>6.3368820497497573</v>
          </cell>
          <cell r="M11">
            <v>1.4467767236871591</v>
          </cell>
          <cell r="O11">
            <v>0.18229081287816537</v>
          </cell>
          <cell r="P11">
            <v>0.18229081287816537</v>
          </cell>
          <cell r="Q11">
            <v>0.18229081287816537</v>
          </cell>
          <cell r="R11">
            <v>0.18229081287816537</v>
          </cell>
        </row>
        <row r="12">
          <cell r="A12" t="str">
            <v>TR7</v>
          </cell>
          <cell r="B12" t="str">
            <v>H-205</v>
          </cell>
          <cell r="C12" t="str">
            <v>Powerformer Preheater</v>
          </cell>
          <cell r="D12">
            <v>48.8</v>
          </cell>
          <cell r="E12" t="str">
            <v>MMBtu/hr</v>
          </cell>
          <cell r="F12">
            <v>8760</v>
          </cell>
          <cell r="G12" t="str">
            <v>Allowable Fuel S Content</v>
          </cell>
          <cell r="H12">
            <v>2.6891760663330096E-2</v>
          </cell>
          <cell r="I12" t="str">
            <v>lb/MMBtua</v>
          </cell>
          <cell r="J12">
            <v>5.7479524912228284</v>
          </cell>
          <cell r="M12">
            <v>1.3123179203705087</v>
          </cell>
          <cell r="O12">
            <v>0.16534928751774108</v>
          </cell>
          <cell r="P12">
            <v>0.16534928751774108</v>
          </cell>
          <cell r="Q12">
            <v>0.16534928751774108</v>
          </cell>
          <cell r="R12">
            <v>0.16534928751774108</v>
          </cell>
        </row>
        <row r="13">
          <cell r="A13" t="str">
            <v>TR8</v>
          </cell>
          <cell r="B13" t="str">
            <v>H-401</v>
          </cell>
          <cell r="C13" t="str">
            <v>Hydrocracker Recycle Gas Heater</v>
          </cell>
          <cell r="D13">
            <v>38.9</v>
          </cell>
          <cell r="E13" t="str">
            <v>MMBtu/hr</v>
          </cell>
          <cell r="F13">
            <v>8760</v>
          </cell>
          <cell r="G13" t="str">
            <v>Allowable Fuel S Content</v>
          </cell>
          <cell r="H13">
            <v>2.6891760663330096E-2</v>
          </cell>
          <cell r="I13" t="str">
            <v>lb/MMBtua</v>
          </cell>
          <cell r="J13">
            <v>4.5818719653395084</v>
          </cell>
          <cell r="M13">
            <v>1.0460894898035407</v>
          </cell>
          <cell r="O13">
            <v>0.13180506730410096</v>
          </cell>
          <cell r="P13">
            <v>0.13180506730410096</v>
          </cell>
          <cell r="Q13">
            <v>0.13180506730410096</v>
          </cell>
          <cell r="R13">
            <v>0.13180506730410096</v>
          </cell>
        </row>
        <row r="14">
          <cell r="A14" t="str">
            <v>TR9</v>
          </cell>
          <cell r="B14" t="str">
            <v>H-402</v>
          </cell>
          <cell r="C14" t="str">
            <v>Hydrocracker Recycle Gas Heater</v>
          </cell>
          <cell r="D14">
            <v>38</v>
          </cell>
          <cell r="E14" t="str">
            <v>MMBtu/hr</v>
          </cell>
          <cell r="F14">
            <v>8760</v>
          </cell>
          <cell r="G14" t="str">
            <v>Allowable Fuel S Content</v>
          </cell>
          <cell r="H14">
            <v>2.6891760663330096E-2</v>
          </cell>
          <cell r="I14" t="str">
            <v>lb/MMBtua</v>
          </cell>
          <cell r="J14">
            <v>4.4758646448046608</v>
          </cell>
          <cell r="M14">
            <v>1.0218869052065436</v>
          </cell>
          <cell r="O14">
            <v>0.1287555927392246</v>
          </cell>
          <cell r="P14">
            <v>0.1287555927392246</v>
          </cell>
          <cell r="Q14">
            <v>0.1287555927392246</v>
          </cell>
          <cell r="R14">
            <v>0.1287555927392246</v>
          </cell>
        </row>
        <row r="15">
          <cell r="A15" t="str">
            <v>TR10</v>
          </cell>
          <cell r="B15" t="str">
            <v>H-403N</v>
          </cell>
          <cell r="C15" t="str">
            <v>Hydrocracker Fractionator Reboiler</v>
          </cell>
          <cell r="D15">
            <v>50</v>
          </cell>
          <cell r="E15" t="str">
            <v>MMBtu/hr</v>
          </cell>
          <cell r="F15">
            <v>8760</v>
          </cell>
          <cell r="G15" t="str">
            <v>Allowable Fuel S Content</v>
          </cell>
          <cell r="H15">
            <v>2.6891760663330096E-2</v>
          </cell>
          <cell r="I15" t="str">
            <v>lb/MMBtua</v>
          </cell>
          <cell r="J15">
            <v>5.8892955852692914</v>
          </cell>
          <cell r="M15">
            <v>1.3445880331665048</v>
          </cell>
          <cell r="O15">
            <v>0.16941525360424289</v>
          </cell>
          <cell r="P15">
            <v>0.16941525360424289</v>
          </cell>
          <cell r="Q15">
            <v>0.16941525360424289</v>
          </cell>
          <cell r="R15">
            <v>0.16941525360424289</v>
          </cell>
        </row>
        <row r="16">
          <cell r="A16" t="str">
            <v>TR11</v>
          </cell>
          <cell r="B16" t="str">
            <v>H-404</v>
          </cell>
          <cell r="C16" t="str">
            <v>Hydrocracker Fractionator Reboiler</v>
          </cell>
          <cell r="D16">
            <v>64.400000000000006</v>
          </cell>
          <cell r="E16" t="str">
            <v>MMBtu/hr</v>
          </cell>
          <cell r="F16">
            <v>8760</v>
          </cell>
          <cell r="G16" t="str">
            <v>Allowable Fuel S Content</v>
          </cell>
          <cell r="H16">
            <v>2.6891760663330096E-2</v>
          </cell>
          <cell r="I16" t="str">
            <v>lb/MMBtua</v>
          </cell>
          <cell r="J16">
            <v>7.5854127138268481</v>
          </cell>
          <cell r="M16">
            <v>1.7318293867184584</v>
          </cell>
          <cell r="O16">
            <v>0.21820684664226489</v>
          </cell>
          <cell r="P16">
            <v>0.21820684664226489</v>
          </cell>
          <cell r="Q16">
            <v>0.21820684664226489</v>
          </cell>
          <cell r="R16">
            <v>0.21820684664226489</v>
          </cell>
        </row>
        <row r="17">
          <cell r="A17" t="str">
            <v>TR12</v>
          </cell>
          <cell r="B17" t="str">
            <v>H-609</v>
          </cell>
          <cell r="C17" t="str">
            <v>Hot Oil Heater</v>
          </cell>
          <cell r="D17">
            <v>56</v>
          </cell>
          <cell r="E17" t="str">
            <v>MMBtu/hr</v>
          </cell>
          <cell r="F17">
            <v>8760</v>
          </cell>
          <cell r="G17" t="str">
            <v>Allowable Fuel S Content</v>
          </cell>
          <cell r="H17">
            <v>2.6891760663330096E-2</v>
          </cell>
          <cell r="I17" t="str">
            <v>lb/MMBtua</v>
          </cell>
          <cell r="J17">
            <v>6.5960110555016067</v>
          </cell>
          <cell r="M17">
            <v>1.5059385971464854</v>
          </cell>
          <cell r="O17">
            <v>0.18974508403675205</v>
          </cell>
          <cell r="P17">
            <v>0.18974508403675205</v>
          </cell>
          <cell r="Q17">
            <v>0.18974508403675205</v>
          </cell>
          <cell r="R17">
            <v>0.18974508403675205</v>
          </cell>
        </row>
        <row r="18">
          <cell r="A18">
            <v>0</v>
          </cell>
          <cell r="B18" t="str">
            <v>H612</v>
          </cell>
          <cell r="C18" t="str">
            <v>Residual Oil Heater</v>
          </cell>
          <cell r="D18" t="str">
            <v>N/A</v>
          </cell>
          <cell r="E18" t="str">
            <v>MMBtu/hr</v>
          </cell>
          <cell r="F18">
            <v>125</v>
          </cell>
          <cell r="G18" t="str">
            <v>Allowable Fuel S Content</v>
          </cell>
          <cell r="H18">
            <v>2.6891760663330096E-2</v>
          </cell>
          <cell r="I18" t="str">
            <v>lb/MMBtua</v>
          </cell>
          <cell r="J18">
            <v>0</v>
          </cell>
          <cell r="K18" t="str">
            <v>No longer in use</v>
          </cell>
          <cell r="M18">
            <v>0</v>
          </cell>
          <cell r="O18">
            <v>0</v>
          </cell>
          <cell r="P18">
            <v>0</v>
          </cell>
          <cell r="Q18">
            <v>0</v>
          </cell>
          <cell r="R18">
            <v>0</v>
          </cell>
        </row>
        <row r="19">
          <cell r="A19">
            <v>0</v>
          </cell>
          <cell r="B19" t="str">
            <v>H-650</v>
          </cell>
          <cell r="C19" t="str">
            <v>Asphalt Plant Heater</v>
          </cell>
          <cell r="D19">
            <v>4.2300000000000004</v>
          </cell>
          <cell r="E19" t="str">
            <v>MMBtu/hr</v>
          </cell>
          <cell r="F19">
            <v>8760</v>
          </cell>
          <cell r="G19" t="str">
            <v>Allowable Fuel S Content</v>
          </cell>
          <cell r="H19">
            <v>1.6599852261314874E-2</v>
          </cell>
          <cell r="I19" t="str">
            <v>lb/MMBtub</v>
          </cell>
          <cell r="J19">
            <v>0.3075521027862852</v>
          </cell>
          <cell r="K19" t="str">
            <v>No longer in use</v>
          </cell>
          <cell r="M19">
            <v>7.0217375065361923E-2</v>
          </cell>
          <cell r="O19">
            <v>8.8472410215549076E-3</v>
          </cell>
          <cell r="P19">
            <v>8.8472410215549076E-3</v>
          </cell>
          <cell r="Q19">
            <v>8.8472410215549076E-3</v>
          </cell>
          <cell r="R19">
            <v>8.8472410215549059E-3</v>
          </cell>
        </row>
        <row r="20">
          <cell r="A20" t="str">
            <v>TR15</v>
          </cell>
          <cell r="B20" t="str">
            <v>H-701</v>
          </cell>
          <cell r="C20" t="str">
            <v>Fired Steam Generator</v>
          </cell>
          <cell r="D20">
            <v>36.549999999999997</v>
          </cell>
          <cell r="E20" t="str">
            <v>MMBtu/hr</v>
          </cell>
          <cell r="F20">
            <v>8760</v>
          </cell>
          <cell r="G20" t="str">
            <v>Allowable Fuel S Content</v>
          </cell>
          <cell r="H20">
            <v>2.6891760663330096E-2</v>
          </cell>
          <cell r="I20" t="str">
            <v>lb/MMBtua</v>
          </cell>
          <cell r="J20">
            <v>4.3050750728318521</v>
          </cell>
          <cell r="M20">
            <v>0.98289385224471493</v>
          </cell>
          <cell r="O20">
            <v>0.12384255038470156</v>
          </cell>
          <cell r="P20">
            <v>0.12384255038470156</v>
          </cell>
          <cell r="Q20">
            <v>0.12384255038470156</v>
          </cell>
          <cell r="R20">
            <v>0.12384255038470157</v>
          </cell>
        </row>
        <row r="21">
          <cell r="A21" t="str">
            <v>TR16</v>
          </cell>
          <cell r="B21" t="str">
            <v>H-702</v>
          </cell>
          <cell r="C21" t="str">
            <v>Fired Steam Generator</v>
          </cell>
          <cell r="D21">
            <v>36.549999999999997</v>
          </cell>
          <cell r="E21" t="str">
            <v>MMBtu/hr</v>
          </cell>
          <cell r="F21">
            <v>8760</v>
          </cell>
          <cell r="G21" t="str">
            <v>Allowable Fuel S Content</v>
          </cell>
          <cell r="H21">
            <v>2.6891760663330096E-2</v>
          </cell>
          <cell r="I21" t="str">
            <v>lb/MMBtua</v>
          </cell>
          <cell r="J21">
            <v>4.3050750728318521</v>
          </cell>
          <cell r="M21">
            <v>0.98289385224471493</v>
          </cell>
          <cell r="O21">
            <v>0.12384255038470156</v>
          </cell>
          <cell r="P21">
            <v>0.12384255038470156</v>
          </cell>
          <cell r="Q21">
            <v>0.12384255038470156</v>
          </cell>
          <cell r="R21">
            <v>0.12384255038470157</v>
          </cell>
        </row>
        <row r="22">
          <cell r="A22" t="str">
            <v>TR17</v>
          </cell>
          <cell r="B22" t="str">
            <v>H-704</v>
          </cell>
          <cell r="C22" t="str">
            <v>Natural Gas Supply Heater</v>
          </cell>
          <cell r="D22">
            <v>2</v>
          </cell>
          <cell r="E22" t="str">
            <v>MMBtu/hr</v>
          </cell>
          <cell r="F22">
            <v>8760</v>
          </cell>
          <cell r="G22" t="str">
            <v>Allowable Fuel S Content</v>
          </cell>
          <cell r="H22">
            <v>2.6891760663330096E-2</v>
          </cell>
          <cell r="I22" t="str">
            <v>lb/MMBtua</v>
          </cell>
          <cell r="J22">
            <v>0.23557182341077165</v>
          </cell>
          <cell r="M22">
            <v>5.3783521326660193E-2</v>
          </cell>
          <cell r="O22">
            <v>6.7766101441697167E-3</v>
          </cell>
          <cell r="P22">
            <v>6.7766101441697167E-3</v>
          </cell>
          <cell r="Q22">
            <v>6.7766101441697167E-3</v>
          </cell>
          <cell r="R22">
            <v>6.7766101441697158E-3</v>
          </cell>
        </row>
        <row r="23">
          <cell r="A23" t="str">
            <v>TR18</v>
          </cell>
          <cell r="B23" t="str">
            <v>H-801</v>
          </cell>
          <cell r="C23" t="str">
            <v>Fired Steam Generator</v>
          </cell>
          <cell r="D23">
            <v>32</v>
          </cell>
          <cell r="E23" t="str">
            <v>MMBtu/hr</v>
          </cell>
          <cell r="F23">
            <v>8760</v>
          </cell>
          <cell r="G23" t="str">
            <v>Allowable Fuel S Content</v>
          </cell>
          <cell r="H23">
            <v>2.6891760663330096E-2</v>
          </cell>
          <cell r="I23" t="str">
            <v>lb/MMBtua</v>
          </cell>
          <cell r="J23">
            <v>3.7691491745723464</v>
          </cell>
          <cell r="M23">
            <v>0.86053634122656308</v>
          </cell>
          <cell r="O23">
            <v>0.10842576230671547</v>
          </cell>
          <cell r="P23">
            <v>0.10842576230671547</v>
          </cell>
          <cell r="Q23">
            <v>0.10842576230671547</v>
          </cell>
          <cell r="R23">
            <v>0.10842576230671545</v>
          </cell>
        </row>
        <row r="24">
          <cell r="A24" t="str">
            <v>TR19</v>
          </cell>
          <cell r="B24" t="str">
            <v>H-802</v>
          </cell>
          <cell r="C24" t="str">
            <v>Hot Glycol Heater</v>
          </cell>
          <cell r="D24">
            <v>10.8</v>
          </cell>
          <cell r="E24" t="str">
            <v>MMBtu/hr</v>
          </cell>
          <cell r="F24">
            <v>8760</v>
          </cell>
          <cell r="G24" t="str">
            <v>Allowable Fuel S Content</v>
          </cell>
          <cell r="H24">
            <v>2.6891760663330096E-2</v>
          </cell>
          <cell r="I24" t="str">
            <v>lb/MMBtua</v>
          </cell>
          <cell r="J24">
            <v>1.2720878464181669</v>
          </cell>
          <cell r="M24">
            <v>0.29043101516396508</v>
          </cell>
          <cell r="O24">
            <v>3.6593694778516477E-2</v>
          </cell>
          <cell r="P24">
            <v>3.6593694778516477E-2</v>
          </cell>
          <cell r="Q24">
            <v>3.6593694778516477E-2</v>
          </cell>
          <cell r="R24">
            <v>3.6593694778516463E-2</v>
          </cell>
        </row>
        <row r="25">
          <cell r="A25" t="str">
            <v>TR20</v>
          </cell>
          <cell r="B25" t="str">
            <v>H-1001</v>
          </cell>
          <cell r="C25" t="str">
            <v>Hydrogen Reformer Furnace</v>
          </cell>
          <cell r="D25">
            <v>152.30000000000001</v>
          </cell>
          <cell r="E25" t="str">
            <v>MMBtu/hr</v>
          </cell>
          <cell r="F25">
            <v>8760</v>
          </cell>
          <cell r="G25" t="str">
            <v>Allowable Fuel S Content</v>
          </cell>
          <cell r="H25">
            <v>2.6891760663330096E-2</v>
          </cell>
          <cell r="I25" t="str">
            <v>lb/MMBtua</v>
          </cell>
          <cell r="J25">
            <v>17.938794352730262</v>
          </cell>
          <cell r="M25">
            <v>4.095615149025174</v>
          </cell>
          <cell r="O25">
            <v>0.51603886247852393</v>
          </cell>
          <cell r="P25">
            <v>0.51603886247852393</v>
          </cell>
          <cell r="Q25">
            <v>0.51603886247852393</v>
          </cell>
          <cell r="R25">
            <v>0.51603886247852393</v>
          </cell>
        </row>
        <row r="26">
          <cell r="B26" t="str">
            <v>H1101</v>
          </cell>
          <cell r="C26" t="str">
            <v>Reaction Furnace Burner</v>
          </cell>
          <cell r="D26" t="str">
            <v>N/A</v>
          </cell>
          <cell r="E26" t="str">
            <v>MMBtu/hr</v>
          </cell>
          <cell r="F26">
            <v>8760</v>
          </cell>
          <cell r="G26" t="str">
            <v>Allowable Fuel S Content</v>
          </cell>
          <cell r="H26">
            <v>2.6891760663330096E-2</v>
          </cell>
          <cell r="I26" t="str">
            <v>lb/MMBtua</v>
          </cell>
          <cell r="J26">
            <v>0</v>
          </cell>
          <cell r="K26" t="str">
            <v>No longer in use</v>
          </cell>
          <cell r="M26">
            <v>0</v>
          </cell>
          <cell r="O26">
            <v>0</v>
          </cell>
          <cell r="P26">
            <v>0</v>
          </cell>
          <cell r="Q26">
            <v>0</v>
          </cell>
          <cell r="R26">
            <v>0</v>
          </cell>
        </row>
        <row r="27">
          <cell r="A27" t="str">
            <v>TR21</v>
          </cell>
          <cell r="B27" t="str">
            <v>H-1102</v>
          </cell>
          <cell r="C27" t="str">
            <v>#1 Reheater</v>
          </cell>
          <cell r="D27">
            <v>1.65</v>
          </cell>
          <cell r="E27" t="str">
            <v>MMBtu/hr</v>
          </cell>
          <cell r="F27">
            <v>8760</v>
          </cell>
          <cell r="G27" t="str">
            <v>Allowable Fuel S Content</v>
          </cell>
          <cell r="H27">
            <v>1.6599852261314874E-2</v>
          </cell>
          <cell r="I27" t="str">
            <v>lb/MMBtub</v>
          </cell>
          <cell r="J27">
            <v>0.11996713229252258</v>
          </cell>
          <cell r="M27">
            <v>2.738975623116954E-2</v>
          </cell>
          <cell r="O27">
            <v>3.4510514623086515E-3</v>
          </cell>
          <cell r="P27">
            <v>3.4510514623086515E-3</v>
          </cell>
          <cell r="Q27">
            <v>3.4510514623086515E-3</v>
          </cell>
          <cell r="R27">
            <v>3.4510514623086511E-3</v>
          </cell>
        </row>
        <row r="28">
          <cell r="A28" t="str">
            <v>TR22</v>
          </cell>
          <cell r="B28" t="str">
            <v>H-1103</v>
          </cell>
          <cell r="C28" t="str">
            <v>#1 Reheater</v>
          </cell>
          <cell r="D28">
            <v>1.1499999999999999</v>
          </cell>
          <cell r="E28" t="str">
            <v>MMBtu/hr</v>
          </cell>
          <cell r="F28">
            <v>8760</v>
          </cell>
          <cell r="G28" t="str">
            <v>Allowable Fuel S Content</v>
          </cell>
          <cell r="H28">
            <v>1.6599852261314874E-2</v>
          </cell>
          <cell r="I28" t="str">
            <v>lb/MMBtub</v>
          </cell>
          <cell r="J28">
            <v>8.3613455840243003E-2</v>
          </cell>
          <cell r="M28">
            <v>1.9089830100512104E-2</v>
          </cell>
          <cell r="O28">
            <v>2.4052782919120907E-3</v>
          </cell>
          <cell r="P28">
            <v>2.4052782919120907E-3</v>
          </cell>
          <cell r="Q28">
            <v>2.4052782919120907E-3</v>
          </cell>
          <cell r="R28">
            <v>2.4052782919120898E-3</v>
          </cell>
        </row>
        <row r="29">
          <cell r="A29" t="str">
            <v>TR23</v>
          </cell>
          <cell r="B29" t="str">
            <v>H-1104</v>
          </cell>
          <cell r="C29" t="str">
            <v>#1 Reheater</v>
          </cell>
          <cell r="D29">
            <v>1.05</v>
          </cell>
          <cell r="E29" t="str">
            <v>MMBtu/hr</v>
          </cell>
          <cell r="F29">
            <v>8760</v>
          </cell>
          <cell r="G29" t="str">
            <v>Allowable Fuel S Content</v>
          </cell>
          <cell r="H29">
            <v>1.6599852261314874E-2</v>
          </cell>
          <cell r="I29" t="str">
            <v>lb/MMBtub</v>
          </cell>
          <cell r="J29">
            <v>7.6342720549787108E-2</v>
          </cell>
          <cell r="M29">
            <v>1.742984487438062E-2</v>
          </cell>
          <cell r="O29">
            <v>2.1961236578327786E-3</v>
          </cell>
          <cell r="P29">
            <v>2.1961236578327786E-3</v>
          </cell>
          <cell r="Q29">
            <v>2.1961236578327786E-3</v>
          </cell>
          <cell r="R29">
            <v>2.1961236578327782E-3</v>
          </cell>
        </row>
        <row r="30">
          <cell r="A30" t="str">
            <v>TR24</v>
          </cell>
          <cell r="B30" t="str">
            <v>H-1105</v>
          </cell>
          <cell r="C30" t="str">
            <v>Tail Gas Burner</v>
          </cell>
          <cell r="D30">
            <v>2</v>
          </cell>
          <cell r="E30" t="str">
            <v>MMBtu/hr</v>
          </cell>
          <cell r="F30">
            <v>8760</v>
          </cell>
          <cell r="G30" t="str">
            <v>Allowable Fuel S Content</v>
          </cell>
          <cell r="H30">
            <v>1.6599852261314874E-2</v>
          </cell>
          <cell r="I30" t="str">
            <v>lb/MMBtub</v>
          </cell>
          <cell r="J30">
            <v>0.14541470580911828</v>
          </cell>
          <cell r="M30">
            <v>3.3199704522629749E-2</v>
          </cell>
          <cell r="O30">
            <v>4.1830926815862451E-3</v>
          </cell>
          <cell r="P30">
            <v>4.1830926815862451E-3</v>
          </cell>
          <cell r="Q30">
            <v>4.1830926815862451E-3</v>
          </cell>
          <cell r="R30">
            <v>4.1830926815862434E-3</v>
          </cell>
        </row>
        <row r="31">
          <cell r="A31" t="str">
            <v>TR25</v>
          </cell>
          <cell r="B31" t="str">
            <v>H-1106</v>
          </cell>
          <cell r="C31" t="str">
            <v>#4 Reheater</v>
          </cell>
          <cell r="D31">
            <v>1.9</v>
          </cell>
          <cell r="E31" t="str">
            <v>MMBtu/hr</v>
          </cell>
          <cell r="F31">
            <v>8760</v>
          </cell>
          <cell r="G31" t="str">
            <v>Allowable Fuel S Content</v>
          </cell>
          <cell r="H31">
            <v>1.6599852261314874E-2</v>
          </cell>
          <cell r="I31" t="str">
            <v>lb/MMBtub</v>
          </cell>
          <cell r="J31">
            <v>0.13814397051866237</v>
          </cell>
          <cell r="M31">
            <v>3.1539719296498257E-2</v>
          </cell>
          <cell r="O31">
            <v>3.9739380475069322E-3</v>
          </cell>
          <cell r="P31">
            <v>3.9739380475069322E-3</v>
          </cell>
          <cell r="Q31">
            <v>3.9739380475069322E-3</v>
          </cell>
          <cell r="R31">
            <v>3.9739380475069313E-3</v>
          </cell>
        </row>
        <row r="32">
          <cell r="A32" t="str">
            <v>TR26</v>
          </cell>
          <cell r="B32" t="str">
            <v>SRU</v>
          </cell>
          <cell r="C32" t="str">
            <v>Sulfur Recovery Unit</v>
          </cell>
          <cell r="D32">
            <v>0</v>
          </cell>
          <cell r="E32">
            <v>0</v>
          </cell>
          <cell r="F32">
            <v>0</v>
          </cell>
          <cell r="G32">
            <v>0</v>
          </cell>
          <cell r="H32">
            <v>0</v>
          </cell>
          <cell r="I32">
            <v>0</v>
          </cell>
          <cell r="J32">
            <v>14.425000000000001</v>
          </cell>
          <cell r="M32">
            <v>3.2933789954337898</v>
          </cell>
          <cell r="O32">
            <v>0.4149588007356671</v>
          </cell>
          <cell r="P32">
            <v>0.4149588007356671</v>
          </cell>
          <cell r="Q32">
            <v>0.4149588007356671</v>
          </cell>
          <cell r="R32">
            <v>0.41495880073566715</v>
          </cell>
        </row>
        <row r="33">
          <cell r="A33" t="str">
            <v>TR27</v>
          </cell>
          <cell r="B33" t="str">
            <v>H-1201/1203</v>
          </cell>
          <cell r="C33" t="str">
            <v>PRIP Absorber Feed Furnace</v>
          </cell>
          <cell r="D33">
            <v>10.4</v>
          </cell>
          <cell r="E33" t="str">
            <v>MMBtu/hr</v>
          </cell>
          <cell r="F33">
            <v>8760</v>
          </cell>
          <cell r="G33" t="str">
            <v>Allowable Fuel S Content</v>
          </cell>
          <cell r="H33">
            <v>2.6891760663330096E-2</v>
          </cell>
          <cell r="I33" t="str">
            <v>lb/MMBtua</v>
          </cell>
          <cell r="J33">
            <v>1.2249734817360127</v>
          </cell>
          <cell r="M33">
            <v>0.27967431089863304</v>
          </cell>
          <cell r="O33">
            <v>3.5238372749682528E-2</v>
          </cell>
          <cell r="P33">
            <v>3.5238372749682528E-2</v>
          </cell>
          <cell r="Q33">
            <v>3.5238372749682528E-2</v>
          </cell>
          <cell r="R33">
            <v>3.5238372749682528E-2</v>
          </cell>
        </row>
        <row r="34">
          <cell r="A34" t="str">
            <v>TR28</v>
          </cell>
          <cell r="B34" t="str">
            <v>H-1202</v>
          </cell>
          <cell r="C34" t="str">
            <v>PRIP Recycle H2 Furnace</v>
          </cell>
          <cell r="D34">
            <v>11.2</v>
          </cell>
          <cell r="E34" t="str">
            <v>MMBtu/hr</v>
          </cell>
          <cell r="F34">
            <v>8760</v>
          </cell>
          <cell r="G34" t="str">
            <v>Allowable Fuel S Content</v>
          </cell>
          <cell r="H34">
            <v>2.6891760663330096E-2</v>
          </cell>
          <cell r="I34" t="str">
            <v>lb/MMBtua</v>
          </cell>
          <cell r="J34">
            <v>1.3192022111003212</v>
          </cell>
          <cell r="M34">
            <v>0.30118771942929706</v>
          </cell>
          <cell r="O34">
            <v>3.7949016807350411E-2</v>
          </cell>
          <cell r="P34">
            <v>3.7949016807350411E-2</v>
          </cell>
          <cell r="Q34">
            <v>3.7949016807350411E-2</v>
          </cell>
          <cell r="R34">
            <v>3.7949016807350411E-2</v>
          </cell>
        </row>
        <row r="35">
          <cell r="A35" t="str">
            <v>TR29</v>
          </cell>
          <cell r="B35" t="str">
            <v>H-1701</v>
          </cell>
          <cell r="C35" t="str">
            <v>Vacuum Tower Heater, H1701</v>
          </cell>
          <cell r="D35">
            <v>91</v>
          </cell>
          <cell r="E35" t="str">
            <v>MMBtu/hr</v>
          </cell>
          <cell r="F35">
            <v>8760</v>
          </cell>
          <cell r="G35" t="str">
            <v>Allowable Fuel S Content</v>
          </cell>
          <cell r="H35">
            <v>2.6891760663330096E-2</v>
          </cell>
          <cell r="I35" t="str">
            <v>lb/MMBtua</v>
          </cell>
          <cell r="J35">
            <v>10.718517965190111</v>
          </cell>
          <cell r="M35">
            <v>2.4471502203630386</v>
          </cell>
          <cell r="O35">
            <v>0.30833576155972209</v>
          </cell>
          <cell r="P35">
            <v>0.30833576155972209</v>
          </cell>
          <cell r="Q35">
            <v>0.30833576155972209</v>
          </cell>
          <cell r="R35">
            <v>0.30833576155972209</v>
          </cell>
        </row>
        <row r="36">
          <cell r="A36" t="str">
            <v>TR42</v>
          </cell>
          <cell r="B36" t="str">
            <v>J-801</v>
          </cell>
          <cell r="C36" t="str">
            <v>Refinery Flare, Pilot</v>
          </cell>
          <cell r="D36">
            <v>3</v>
          </cell>
          <cell r="E36" t="str">
            <v>MMBtu/hr</v>
          </cell>
          <cell r="F36">
            <v>8760</v>
          </cell>
          <cell r="G36" t="str">
            <v>Allowable Fuel S Content</v>
          </cell>
          <cell r="H36">
            <v>2.6891760663330096E-2</v>
          </cell>
          <cell r="I36" t="str">
            <v>lb/MMBtua</v>
          </cell>
          <cell r="J36">
            <v>0.35335773511615748</v>
          </cell>
          <cell r="M36">
            <v>8.0675281989990286E-2</v>
          </cell>
          <cell r="O36">
            <v>1.0164915216254575E-2</v>
          </cell>
          <cell r="P36">
            <v>1.0164915216254575E-2</v>
          </cell>
          <cell r="Q36">
            <v>1.0164915216254575E-2</v>
          </cell>
          <cell r="R36">
            <v>1.0164915216254573E-2</v>
          </cell>
        </row>
        <row r="37">
          <cell r="A37" t="str">
            <v>TR34</v>
          </cell>
          <cell r="B37" t="str">
            <v>EG-704</v>
          </cell>
          <cell r="C37" t="str">
            <v>Electrical Generator CAT 3412-500 kW</v>
          </cell>
          <cell r="D37" t="str">
            <v>4.8</v>
          </cell>
          <cell r="E37" t="str">
            <v>MMBtu/hr</v>
          </cell>
          <cell r="F37">
            <v>200</v>
          </cell>
          <cell r="G37" t="str">
            <v>Allowable Fuel S Content</v>
          </cell>
          <cell r="H37">
            <v>0.36269430051813473</v>
          </cell>
          <cell r="I37" t="str">
            <v>lb/MMBtuc</v>
          </cell>
          <cell r="J37">
            <v>0.17409326424870467</v>
          </cell>
          <cell r="M37">
            <v>1.7409326424870466</v>
          </cell>
          <cell r="O37">
            <v>5.0080784851854474E-3</v>
          </cell>
          <cell r="P37">
            <v>0.2193538376511226</v>
          </cell>
          <cell r="Q37">
            <v>0.2193538376511226</v>
          </cell>
          <cell r="R37">
            <v>5.0080784851854474E-3</v>
          </cell>
        </row>
        <row r="38">
          <cell r="A38" t="str">
            <v>TR35</v>
          </cell>
          <cell r="B38" t="str">
            <v>EG-801</v>
          </cell>
          <cell r="C38" t="str">
            <v>Stewart-Stevenson Generator - 580 kW</v>
          </cell>
          <cell r="D38" t="str">
            <v>6.1</v>
          </cell>
          <cell r="E38" t="str">
            <v>MMBtu/hr</v>
          </cell>
          <cell r="F38">
            <v>200</v>
          </cell>
          <cell r="G38" t="str">
            <v>Allowable Fuel S Content</v>
          </cell>
          <cell r="H38">
            <v>0.36269430051813473</v>
          </cell>
          <cell r="I38" t="str">
            <v>lb/MMBtuc</v>
          </cell>
          <cell r="J38">
            <v>0.22124352331606217</v>
          </cell>
          <cell r="M38">
            <v>2.2124352331606216</v>
          </cell>
          <cell r="O38">
            <v>6.3644330749231719E-3</v>
          </cell>
          <cell r="P38">
            <v>0.27876216868163495</v>
          </cell>
          <cell r="Q38">
            <v>0.27876216868163495</v>
          </cell>
          <cell r="R38">
            <v>6.3644330749231728E-3</v>
          </cell>
        </row>
        <row r="39">
          <cell r="A39" t="str">
            <v>TR36</v>
          </cell>
          <cell r="B39" t="str">
            <v>P-605A</v>
          </cell>
          <cell r="C39" t="str">
            <v>North Caterpillar CAT G399 - 830 hpa</v>
          </cell>
          <cell r="D39" t="str">
            <v>5.6</v>
          </cell>
          <cell r="E39" t="str">
            <v>MMBtu/hr</v>
          </cell>
          <cell r="F39">
            <v>1250</v>
          </cell>
          <cell r="G39" t="str">
            <v>Allowable Fuel S Content</v>
          </cell>
          <cell r="H39">
            <v>1.6599852261314874E-2</v>
          </cell>
          <cell r="I39" t="str">
            <v>lb/MMBtub</v>
          </cell>
          <cell r="J39">
            <v>5.8099482914602055E-2</v>
          </cell>
          <cell r="M39">
            <v>9.2959172663363288E-2</v>
          </cell>
          <cell r="O39">
            <v>1.1712659508441484E-2</v>
          </cell>
          <cell r="P39">
            <v>1.1712659508441484E-2</v>
          </cell>
          <cell r="Q39">
            <v>1.1712659508441484E-2</v>
          </cell>
          <cell r="R39">
            <v>1.6713269846520382E-3</v>
          </cell>
        </row>
        <row r="40">
          <cell r="A40" t="str">
            <v>TR37</v>
          </cell>
          <cell r="B40" t="str">
            <v>P-605B</v>
          </cell>
          <cell r="C40" t="str">
            <v>South Caterpillar CAT G399 - 830 hpa</v>
          </cell>
          <cell r="D40" t="str">
            <v>5.6</v>
          </cell>
          <cell r="E40" t="str">
            <v>MMBtu/hr</v>
          </cell>
          <cell r="F40">
            <v>1250</v>
          </cell>
          <cell r="G40" t="str">
            <v>Allowable Fuel S Content</v>
          </cell>
          <cell r="H40">
            <v>1.6599852261314874E-2</v>
          </cell>
          <cell r="I40" t="str">
            <v>lb/MMBtub</v>
          </cell>
          <cell r="J40">
            <v>5.8099482914602055E-2</v>
          </cell>
          <cell r="M40">
            <v>9.2959172663363288E-2</v>
          </cell>
          <cell r="O40">
            <v>1.1712659508441484E-2</v>
          </cell>
          <cell r="P40">
            <v>1.1712659508441484E-2</v>
          </cell>
          <cell r="Q40">
            <v>1.1712659508441484E-2</v>
          </cell>
          <cell r="R40">
            <v>1.6713269846520382E-3</v>
          </cell>
        </row>
        <row r="41">
          <cell r="A41" t="str">
            <v>TR38</v>
          </cell>
          <cell r="B41" t="str">
            <v>P-708A</v>
          </cell>
          <cell r="C41" t="str">
            <v>North Cummins NHS6-IF 290 hpe</v>
          </cell>
          <cell r="D41" t="str">
            <v>2.0</v>
          </cell>
          <cell r="E41" t="str">
            <v>MMBtu/hr</v>
          </cell>
          <cell r="F41">
            <v>600</v>
          </cell>
          <cell r="G41" t="str">
            <v>Allowable Fuel S Content</v>
          </cell>
          <cell r="H41">
            <v>0.36269430051813473</v>
          </cell>
          <cell r="I41" t="str">
            <v>lb/MMBtuc</v>
          </cell>
          <cell r="J41">
            <v>0.21761658031088082</v>
          </cell>
          <cell r="M41">
            <v>0.72538860103626945</v>
          </cell>
          <cell r="O41">
            <v>6.260098106481809E-3</v>
          </cell>
          <cell r="P41">
            <v>9.139743235463442E-2</v>
          </cell>
          <cell r="Q41">
            <v>9.139743235463442E-2</v>
          </cell>
          <cell r="R41">
            <v>6.260098106481809E-3</v>
          </cell>
        </row>
        <row r="42">
          <cell r="A42">
            <v>0</v>
          </cell>
          <cell r="B42" t="str">
            <v>P-708B</v>
          </cell>
          <cell r="C42" t="str">
            <v>South Cummins NHS6-IF 290 hpe</v>
          </cell>
          <cell r="D42" t="str">
            <v>2.0</v>
          </cell>
          <cell r="E42" t="str">
            <v>MMBtu/hr</v>
          </cell>
          <cell r="F42">
            <v>600</v>
          </cell>
          <cell r="G42" t="str">
            <v>Allowable Fuel S Content</v>
          </cell>
          <cell r="H42">
            <v>0.36269430051813473</v>
          </cell>
          <cell r="I42" t="str">
            <v>lb/MMBtuc</v>
          </cell>
          <cell r="J42">
            <v>0.21761658031088082</v>
          </cell>
          <cell r="M42">
            <v>0.72538860103626945</v>
          </cell>
          <cell r="O42">
            <v>6.260098106481809E-3</v>
          </cell>
          <cell r="P42">
            <v>9.139743235463442E-2</v>
          </cell>
          <cell r="Q42">
            <v>9.139743235463442E-2</v>
          </cell>
          <cell r="R42">
            <v>6.260098106481809E-3</v>
          </cell>
        </row>
        <row r="43">
          <cell r="A43" t="str">
            <v>TR40</v>
          </cell>
          <cell r="B43" t="str">
            <v>P-708C</v>
          </cell>
          <cell r="C43" t="str">
            <v>Upper Tank Farm Cat 3412DT 660 hp</v>
          </cell>
          <cell r="D43" t="str">
            <v>4.3</v>
          </cell>
          <cell r="E43" t="str">
            <v>MMBtu/hr</v>
          </cell>
          <cell r="F43">
            <v>600</v>
          </cell>
          <cell r="G43" t="str">
            <v>Allowable Fuel S Content</v>
          </cell>
          <cell r="H43">
            <v>0.36269430051813473</v>
          </cell>
          <cell r="I43" t="str">
            <v>lb/MMBtuc</v>
          </cell>
          <cell r="J43">
            <v>0.46787564766839373</v>
          </cell>
          <cell r="M43">
            <v>1.5595854922279793</v>
          </cell>
          <cell r="O43">
            <v>1.3459210928935889E-2</v>
          </cell>
          <cell r="P43">
            <v>0.196504479562464</v>
          </cell>
          <cell r="Q43">
            <v>0.196504479562464</v>
          </cell>
          <cell r="R43">
            <v>1.3459210928935888E-2</v>
          </cell>
        </row>
        <row r="44">
          <cell r="A44" t="str">
            <v>TR41</v>
          </cell>
          <cell r="B44" t="str">
            <v>P-719C</v>
          </cell>
          <cell r="C44" t="str">
            <v>Cooling Tower CAT G333 140 hp</v>
          </cell>
          <cell r="D44" t="str">
            <v>1.1</v>
          </cell>
          <cell r="E44" t="str">
            <v>MMBtu/hr</v>
          </cell>
          <cell r="F44">
            <v>1000</v>
          </cell>
          <cell r="G44" t="str">
            <v>Allowable Fuel S Content</v>
          </cell>
          <cell r="H44">
            <v>1.6599852261314874E-2</v>
          </cell>
          <cell r="I44" t="str">
            <v>lb/MMBtub</v>
          </cell>
          <cell r="J44">
            <v>9.1299187437231828E-3</v>
          </cell>
          <cell r="M44">
            <v>1.8259837487446362E-2</v>
          </cell>
          <cell r="O44">
            <v>2.3007009748724347E-3</v>
          </cell>
          <cell r="P44">
            <v>2.3007009748724347E-3</v>
          </cell>
          <cell r="Q44">
            <v>2.3007009748724347E-3</v>
          </cell>
          <cell r="R44">
            <v>2.6263709758817747E-4</v>
          </cell>
        </row>
        <row r="45">
          <cell r="A45" t="str">
            <v>TR32</v>
          </cell>
          <cell r="B45" t="str">
            <v>GT-1400</v>
          </cell>
          <cell r="C45" t="str">
            <v>Solar Centaur Turbine (Diesel)</v>
          </cell>
          <cell r="D45">
            <v>50.9</v>
          </cell>
          <cell r="E45" t="str">
            <v>MMBtu/hr</v>
          </cell>
          <cell r="F45">
            <v>8760</v>
          </cell>
          <cell r="G45" t="str">
            <v>Allowable Fuel S Content</v>
          </cell>
          <cell r="H45">
            <v>2.3316062176165803E-2</v>
          </cell>
          <cell r="I45" t="str">
            <v>lb/MMBtuc</v>
          </cell>
          <cell r="J45">
            <v>5.1981295336787561</v>
          </cell>
          <cell r="M45">
            <v>1.1867875647668393</v>
          </cell>
          <cell r="N45">
            <v>0</v>
          </cell>
          <cell r="O45">
            <v>0.14953272772020723</v>
          </cell>
          <cell r="P45">
            <v>0.14953272772020723</v>
          </cell>
          <cell r="Q45">
            <v>0.14953272772020723</v>
          </cell>
          <cell r="R45">
            <v>0.14953272772020723</v>
          </cell>
        </row>
        <row r="46">
          <cell r="A46">
            <v>0</v>
          </cell>
          <cell r="B46">
            <v>0</v>
          </cell>
          <cell r="C46" t="str">
            <v>Solar Centaur Turbine (NG or LPG)</v>
          </cell>
          <cell r="D46">
            <v>50.9</v>
          </cell>
          <cell r="E46" t="str">
            <v>MMBtu/hr</v>
          </cell>
          <cell r="F46">
            <v>8760</v>
          </cell>
          <cell r="G46" t="str">
            <v>Allowable Fuel S Content</v>
          </cell>
          <cell r="H46">
            <v>1.6599852261314874E-2</v>
          </cell>
          <cell r="I46" t="str">
            <v>lb/MMBtub</v>
          </cell>
          <cell r="J46">
            <v>3.7008042628420603</v>
          </cell>
          <cell r="M46">
            <v>0.84493248010092703</v>
          </cell>
          <cell r="N46">
            <v>0</v>
          </cell>
          <cell r="O46">
            <v>0.10645970874636992</v>
          </cell>
          <cell r="P46">
            <v>0.10645970874636992</v>
          </cell>
          <cell r="Q46">
            <v>0.10645970874636992</v>
          </cell>
          <cell r="R46">
            <v>0.10645970874636991</v>
          </cell>
        </row>
        <row r="47">
          <cell r="A47" t="str">
            <v>TR32A</v>
          </cell>
          <cell r="B47" t="str">
            <v>E-1400</v>
          </cell>
          <cell r="C47" t="str">
            <v>Duct Burner</v>
          </cell>
          <cell r="D47">
            <v>36.5</v>
          </cell>
          <cell r="E47" t="str">
            <v>MMBtu/hr</v>
          </cell>
          <cell r="F47">
            <v>8760</v>
          </cell>
          <cell r="G47" t="str">
            <v>Allowable Fuel S Content</v>
          </cell>
          <cell r="H47">
            <v>1.6599852261314874E-2</v>
          </cell>
          <cell r="I47" t="str">
            <v>lb/MMBtub</v>
          </cell>
          <cell r="J47">
            <v>2.6538183810164089</v>
          </cell>
          <cell r="M47">
            <v>0.60589460753799296</v>
          </cell>
          <cell r="N47">
            <v>0</v>
          </cell>
          <cell r="O47">
            <v>7.634144143894897E-2</v>
          </cell>
          <cell r="P47">
            <v>7.634144143894897E-2</v>
          </cell>
          <cell r="Q47">
            <v>7.634144143894897E-2</v>
          </cell>
          <cell r="R47">
            <v>7.6341441438948957E-2</v>
          </cell>
        </row>
        <row r="48">
          <cell r="A48" t="str">
            <v>TR33</v>
          </cell>
          <cell r="B48" t="str">
            <v>GT-1410</v>
          </cell>
          <cell r="C48" t="str">
            <v>Solar Centaur Turbine (Diesel)</v>
          </cell>
          <cell r="D48">
            <v>50.9</v>
          </cell>
          <cell r="E48" t="str">
            <v>MMBtu/hr</v>
          </cell>
          <cell r="F48">
            <v>8760</v>
          </cell>
          <cell r="G48" t="str">
            <v>Allowable Fuel S Content</v>
          </cell>
          <cell r="H48">
            <v>2.3316062176165803E-2</v>
          </cell>
          <cell r="I48" t="str">
            <v>lb/MMBtuc</v>
          </cell>
          <cell r="J48">
            <v>5.1981295336787561</v>
          </cell>
          <cell r="M48">
            <v>1.1867875647668393</v>
          </cell>
          <cell r="N48">
            <v>0</v>
          </cell>
          <cell r="O48">
            <v>0.14953272772020723</v>
          </cell>
          <cell r="P48">
            <v>0.14953272772020723</v>
          </cell>
          <cell r="Q48">
            <v>0.14953272772020723</v>
          </cell>
          <cell r="R48">
            <v>0.14953272772020723</v>
          </cell>
        </row>
        <row r="49">
          <cell r="B49">
            <v>0</v>
          </cell>
          <cell r="C49" t="str">
            <v>Solar Centaur Turbine (NG or LPG)</v>
          </cell>
          <cell r="D49">
            <v>50.9</v>
          </cell>
          <cell r="E49" t="str">
            <v>MMBtu/hr</v>
          </cell>
          <cell r="F49">
            <v>8760</v>
          </cell>
          <cell r="G49" t="str">
            <v>Allowable Fuel S Content</v>
          </cell>
          <cell r="H49">
            <v>1.6599852261314874E-2</v>
          </cell>
          <cell r="I49" t="str">
            <v>lb/MMBtub</v>
          </cell>
          <cell r="J49">
            <v>3.7008042628420603</v>
          </cell>
          <cell r="M49">
            <v>0.84493248010092703</v>
          </cell>
          <cell r="N49">
            <v>0</v>
          </cell>
          <cell r="O49">
            <v>0.10645970874636992</v>
          </cell>
          <cell r="P49">
            <v>0.10645970874636992</v>
          </cell>
          <cell r="Q49">
            <v>0.10645970874636992</v>
          </cell>
          <cell r="R49">
            <v>0.10645970874636991</v>
          </cell>
        </row>
        <row r="50">
          <cell r="A50" t="str">
            <v>TR33A</v>
          </cell>
          <cell r="B50" t="str">
            <v>E-1410</v>
          </cell>
          <cell r="C50" t="str">
            <v>Duct Burner</v>
          </cell>
          <cell r="D50">
            <v>36.5</v>
          </cell>
          <cell r="E50" t="str">
            <v>MMBtu/hr</v>
          </cell>
          <cell r="F50">
            <v>8760</v>
          </cell>
          <cell r="G50" t="str">
            <v>Allowable Fuel S Content</v>
          </cell>
          <cell r="H50">
            <v>1.6599852261314874E-2</v>
          </cell>
          <cell r="I50" t="str">
            <v>lb/MMBtub</v>
          </cell>
          <cell r="J50">
            <v>2.6538183810164089</v>
          </cell>
          <cell r="M50">
            <v>0.60589460753799296</v>
          </cell>
          <cell r="N50">
            <v>0</v>
          </cell>
          <cell r="O50">
            <v>7.634144143894897E-2</v>
          </cell>
          <cell r="P50">
            <v>7.634144143894897E-2</v>
          </cell>
          <cell r="Q50">
            <v>7.634144143894897E-2</v>
          </cell>
          <cell r="R50">
            <v>7.6341441438948957E-2</v>
          </cell>
        </row>
        <row r="51">
          <cell r="A51" t="str">
            <v>TR44</v>
          </cell>
          <cell r="B51" t="str">
            <v>E77 SVE</v>
          </cell>
          <cell r="C51" t="str">
            <v>E77 Soil Vapor Extraction System</v>
          </cell>
          <cell r="D51">
            <v>0.5</v>
          </cell>
          <cell r="E51" t="str">
            <v>MMBtu/hr</v>
          </cell>
          <cell r="F51">
            <v>8760</v>
          </cell>
          <cell r="G51" t="str">
            <v>Allowable Fuel S Content</v>
          </cell>
          <cell r="H51">
            <v>1.6599852261314874E-2</v>
          </cell>
          <cell r="I51" t="str">
            <v>lb/MMBtub</v>
          </cell>
          <cell r="J51">
            <v>3.6353676452279569E-2</v>
          </cell>
          <cell r="M51">
            <v>8.2999261306574371E-3</v>
          </cell>
          <cell r="N51">
            <v>0</v>
          </cell>
          <cell r="O51">
            <v>1.0457731703965613E-3</v>
          </cell>
          <cell r="P51">
            <v>1.0457731703965613E-3</v>
          </cell>
          <cell r="Q51">
            <v>1.0457731703965613E-3</v>
          </cell>
          <cell r="R51">
            <v>1.0457731703965609E-3</v>
          </cell>
        </row>
        <row r="52">
          <cell r="A52" t="str">
            <v>TR45</v>
          </cell>
          <cell r="B52" t="str">
            <v>LTF SCE</v>
          </cell>
          <cell r="C52" t="str">
            <v>LTF Soil Vapor Extraction System</v>
          </cell>
          <cell r="D52">
            <v>2</v>
          </cell>
          <cell r="E52" t="str">
            <v>MMBtu/hr</v>
          </cell>
          <cell r="F52">
            <v>8760</v>
          </cell>
          <cell r="G52" t="str">
            <v>Allowable Fuel S Content</v>
          </cell>
          <cell r="H52">
            <v>1.6599852261314874E-2</v>
          </cell>
          <cell r="I52" t="str">
            <v>lb/MMBtub</v>
          </cell>
          <cell r="J52">
            <v>0.14541470580911828</v>
          </cell>
          <cell r="M52">
            <v>3.3199704522629749E-2</v>
          </cell>
          <cell r="N52">
            <v>0</v>
          </cell>
          <cell r="O52">
            <v>4.1830926815862451E-3</v>
          </cell>
          <cell r="P52">
            <v>4.1830926815862451E-3</v>
          </cell>
          <cell r="Q52">
            <v>4.1830926815862451E-3</v>
          </cell>
          <cell r="R52">
            <v>4.1830926815862434E-3</v>
          </cell>
        </row>
      </sheetData>
      <sheetData sheetId="6">
        <row r="6">
          <cell r="A6" t="str">
            <v>TR1</v>
          </cell>
          <cell r="B6" t="str">
            <v>H-101A</v>
          </cell>
          <cell r="C6" t="str">
            <v>Crude Heater</v>
          </cell>
          <cell r="D6">
            <v>140</v>
          </cell>
          <cell r="E6" t="str">
            <v>MMBtu/hr</v>
          </cell>
          <cell r="F6">
            <v>8760</v>
          </cell>
          <cell r="G6" t="str">
            <v>AP-42, Table 1.4-2</v>
          </cell>
          <cell r="H6">
            <v>7.4509803921568628E-3</v>
          </cell>
          <cell r="I6" t="str">
            <v>lb/MMBtu</v>
          </cell>
          <cell r="J6">
            <v>4.5689411764705881</v>
          </cell>
          <cell r="M6">
            <v>1.0431372549019609</v>
          </cell>
          <cell r="O6">
            <v>0.13143309193899783</v>
          </cell>
          <cell r="P6">
            <v>0.1314330919389978</v>
          </cell>
        </row>
        <row r="7">
          <cell r="A7" t="str">
            <v>TR2</v>
          </cell>
          <cell r="B7" t="str">
            <v>H-101B</v>
          </cell>
          <cell r="C7" t="str">
            <v>Crude Heater</v>
          </cell>
          <cell r="D7">
            <v>165</v>
          </cell>
          <cell r="E7" t="str">
            <v>MMBtu/hr</v>
          </cell>
          <cell r="F7">
            <v>8760</v>
          </cell>
          <cell r="G7" t="str">
            <v>AP-42, Table 1.4-2</v>
          </cell>
          <cell r="H7">
            <v>7.4509803921568628E-3</v>
          </cell>
          <cell r="I7" t="str">
            <v>lb/MMBtu</v>
          </cell>
          <cell r="J7">
            <v>5.3848235294117641</v>
          </cell>
          <cell r="M7">
            <v>1.2294117647058824</v>
          </cell>
          <cell r="O7">
            <v>0.15490328692810457</v>
          </cell>
          <cell r="P7">
            <v>0.15490328692810454</v>
          </cell>
        </row>
        <row r="8">
          <cell r="A8" t="str">
            <v>TR3</v>
          </cell>
          <cell r="B8" t="str">
            <v>H-201</v>
          </cell>
          <cell r="C8" t="str">
            <v>Powerformer Preheater H201</v>
          </cell>
          <cell r="D8">
            <v>31.8</v>
          </cell>
          <cell r="E8" t="str">
            <v>MMBtu/hr</v>
          </cell>
          <cell r="F8">
            <v>8760</v>
          </cell>
          <cell r="G8" t="str">
            <v>AP-42, Table 1.4-2</v>
          </cell>
          <cell r="H8">
            <v>7.4509803921568628E-3</v>
          </cell>
          <cell r="I8" t="str">
            <v>lb/MMBtu</v>
          </cell>
          <cell r="J8">
            <v>1.0378023529411764</v>
          </cell>
          <cell r="M8">
            <v>0.23694117647058824</v>
          </cell>
          <cell r="O8">
            <v>2.9854088026143789E-2</v>
          </cell>
          <cell r="P8">
            <v>2.9854088026143786E-2</v>
          </cell>
        </row>
        <row r="9">
          <cell r="A9" t="str">
            <v>TR4</v>
          </cell>
          <cell r="B9" t="str">
            <v>H-202</v>
          </cell>
          <cell r="C9" t="str">
            <v>Powerformer Preheater H202</v>
          </cell>
          <cell r="D9">
            <v>51</v>
          </cell>
          <cell r="E9" t="str">
            <v>MMBtu/hr</v>
          </cell>
          <cell r="F9">
            <v>8760</v>
          </cell>
          <cell r="G9" t="str">
            <v>AP-42, Table 1.4-2</v>
          </cell>
          <cell r="H9">
            <v>7.4509803921568628E-3</v>
          </cell>
          <cell r="I9" t="str">
            <v>lb/MMBtu</v>
          </cell>
          <cell r="J9">
            <v>1.6643999999999999</v>
          </cell>
          <cell r="M9">
            <v>0.38</v>
          </cell>
          <cell r="O9">
            <v>4.7879197777777778E-2</v>
          </cell>
          <cell r="P9">
            <v>4.7879197777777764E-2</v>
          </cell>
        </row>
        <row r="10">
          <cell r="A10" t="str">
            <v>TR5</v>
          </cell>
          <cell r="B10" t="str">
            <v>H-203</v>
          </cell>
          <cell r="C10" t="str">
            <v>Powerformer Preheater H203</v>
          </cell>
          <cell r="D10">
            <v>27.9</v>
          </cell>
          <cell r="E10" t="str">
            <v>MMBtu/hr</v>
          </cell>
          <cell r="F10">
            <v>8760</v>
          </cell>
          <cell r="G10" t="str">
            <v>AP-42, Table 1.4-2</v>
          </cell>
          <cell r="H10">
            <v>7.4509803921568628E-3</v>
          </cell>
          <cell r="I10" t="str">
            <v>lb/MMBtu</v>
          </cell>
          <cell r="J10">
            <v>0.91052470588235279</v>
          </cell>
          <cell r="M10">
            <v>0.20788235294117646</v>
          </cell>
          <cell r="O10">
            <v>2.6192737607843134E-2</v>
          </cell>
          <cell r="P10">
            <v>2.6192737607843131E-2</v>
          </cell>
        </row>
        <row r="11">
          <cell r="A11" t="str">
            <v>TR6</v>
          </cell>
          <cell r="B11" t="str">
            <v>H-204</v>
          </cell>
          <cell r="C11" t="str">
            <v>Powerformer Preheater</v>
          </cell>
          <cell r="D11">
            <v>53.8</v>
          </cell>
          <cell r="E11" t="str">
            <v>MMBtu/hr</v>
          </cell>
          <cell r="F11">
            <v>8760</v>
          </cell>
          <cell r="G11" t="str">
            <v>AP-42, Table 1.4-2</v>
          </cell>
          <cell r="H11">
            <v>7.4509803921568628E-3</v>
          </cell>
          <cell r="I11" t="str">
            <v>lb/MMBtu</v>
          </cell>
          <cell r="J11">
            <v>1.7557788235294116</v>
          </cell>
          <cell r="M11">
            <v>0.40086274509803921</v>
          </cell>
          <cell r="O11">
            <v>5.0507859616557731E-2</v>
          </cell>
          <cell r="P11">
            <v>5.0507859616557724E-2</v>
          </cell>
        </row>
        <row r="12">
          <cell r="A12" t="str">
            <v>TR7</v>
          </cell>
          <cell r="B12" t="str">
            <v>H-205</v>
          </cell>
          <cell r="C12" t="str">
            <v>Powerformer Preheater</v>
          </cell>
          <cell r="D12">
            <v>48.8</v>
          </cell>
          <cell r="E12" t="str">
            <v>MMBtu/hr</v>
          </cell>
          <cell r="F12">
            <v>8760</v>
          </cell>
          <cell r="G12" t="str">
            <v>AP-42, Table 1.4-2</v>
          </cell>
          <cell r="H12">
            <v>7.4509803921568628E-3</v>
          </cell>
          <cell r="I12" t="str">
            <v>lb/MMBtu</v>
          </cell>
          <cell r="J12">
            <v>1.5926023529411764</v>
          </cell>
          <cell r="M12">
            <v>0.36360784313725486</v>
          </cell>
          <cell r="O12">
            <v>4.5813820618736373E-2</v>
          </cell>
          <cell r="P12">
            <v>4.5813820618736373E-2</v>
          </cell>
        </row>
        <row r="13">
          <cell r="A13" t="str">
            <v>TR8</v>
          </cell>
          <cell r="B13" t="str">
            <v>H-401</v>
          </cell>
          <cell r="C13" t="str">
            <v>Hydrocracker Recycle Gas Heater</v>
          </cell>
          <cell r="D13">
            <v>38.9</v>
          </cell>
          <cell r="E13" t="str">
            <v>MMBtu/hr</v>
          </cell>
          <cell r="F13">
            <v>8760</v>
          </cell>
          <cell r="G13" t="str">
            <v>AP-42, Table 1.4-2</v>
          </cell>
          <cell r="H13">
            <v>7.4509803921568628E-3</v>
          </cell>
          <cell r="I13" t="str">
            <v>lb/MMBtu</v>
          </cell>
          <cell r="J13">
            <v>1.2695129411764703</v>
          </cell>
          <cell r="M13">
            <v>0.28984313725490196</v>
          </cell>
          <cell r="O13">
            <v>3.6519623403050108E-2</v>
          </cell>
          <cell r="P13">
            <v>3.6519623403050094E-2</v>
          </cell>
        </row>
        <row r="14">
          <cell r="A14" t="str">
            <v>TR9</v>
          </cell>
          <cell r="B14" t="str">
            <v>H-402</v>
          </cell>
          <cell r="C14" t="str">
            <v>Hydrocracker Recycle Gas Heater</v>
          </cell>
          <cell r="D14">
            <v>38</v>
          </cell>
          <cell r="E14" t="str">
            <v>MMBtu/hr</v>
          </cell>
          <cell r="F14">
            <v>8760</v>
          </cell>
          <cell r="G14" t="str">
            <v>AP-42, Table 1.4-2</v>
          </cell>
          <cell r="H14">
            <v>7.4509803921568628E-3</v>
          </cell>
          <cell r="I14" t="str">
            <v>lb/MMBtu</v>
          </cell>
          <cell r="J14">
            <v>1.2401411764705881</v>
          </cell>
          <cell r="M14">
            <v>0.28313725490196079</v>
          </cell>
          <cell r="O14">
            <v>3.5674696383442263E-2</v>
          </cell>
          <cell r="P14">
            <v>3.5674696383442256E-2</v>
          </cell>
        </row>
        <row r="15">
          <cell r="A15" t="str">
            <v>TR10</v>
          </cell>
          <cell r="B15" t="str">
            <v>H-403N</v>
          </cell>
          <cell r="C15" t="str">
            <v>Hydrocracker Fractionator Reboiler</v>
          </cell>
          <cell r="D15">
            <v>50</v>
          </cell>
          <cell r="E15" t="str">
            <v>MMBtu/hr</v>
          </cell>
          <cell r="F15">
            <v>8760</v>
          </cell>
          <cell r="G15" t="str">
            <v>AP-42, Table 1.4-2</v>
          </cell>
          <cell r="H15">
            <v>7.4509803921568628E-3</v>
          </cell>
          <cell r="I15" t="str">
            <v>lb/MMBtu</v>
          </cell>
          <cell r="J15">
            <v>1.631764705882353</v>
          </cell>
          <cell r="M15">
            <v>0.37254901960784315</v>
          </cell>
          <cell r="O15">
            <v>4.6940389978213509E-2</v>
          </cell>
          <cell r="P15">
            <v>4.6940389978213502E-2</v>
          </cell>
        </row>
        <row r="16">
          <cell r="A16" t="str">
            <v>TR11</v>
          </cell>
          <cell r="B16" t="str">
            <v>H-404</v>
          </cell>
          <cell r="C16" t="str">
            <v>Hydrocracker Fractionator Reboiler</v>
          </cell>
          <cell r="D16">
            <v>64.400000000000006</v>
          </cell>
          <cell r="E16" t="str">
            <v>MMBtu/hr</v>
          </cell>
          <cell r="F16">
            <v>8760</v>
          </cell>
          <cell r="G16" t="str">
            <v>AP-42, Table 1.4-2</v>
          </cell>
          <cell r="H16">
            <v>7.4509803921568628E-3</v>
          </cell>
          <cell r="I16" t="str">
            <v>lb/MMBtu</v>
          </cell>
          <cell r="J16">
            <v>2.101712941176471</v>
          </cell>
          <cell r="M16">
            <v>0.47984313725490202</v>
          </cell>
          <cell r="O16">
            <v>6.0459222291939001E-2</v>
          </cell>
          <cell r="P16">
            <v>6.0459222291939001E-2</v>
          </cell>
        </row>
        <row r="17">
          <cell r="A17" t="str">
            <v>TR12</v>
          </cell>
          <cell r="B17" t="str">
            <v>H-609</v>
          </cell>
          <cell r="C17" t="str">
            <v>Hot Oil Heater</v>
          </cell>
          <cell r="D17">
            <v>56</v>
          </cell>
          <cell r="E17" t="str">
            <v>MMBtu/hr</v>
          </cell>
          <cell r="F17">
            <v>8760</v>
          </cell>
          <cell r="G17" t="str">
            <v>AP-42, Table 1.4-2</v>
          </cell>
          <cell r="H17">
            <v>7.4509803921568628E-3</v>
          </cell>
          <cell r="I17" t="str">
            <v>lb/MMBtu</v>
          </cell>
          <cell r="J17">
            <v>1.8275764705882351</v>
          </cell>
          <cell r="M17">
            <v>0.4172549019607843</v>
          </cell>
          <cell r="O17">
            <v>5.2573236775599122E-2</v>
          </cell>
          <cell r="P17">
            <v>5.2573236775599115E-2</v>
          </cell>
        </row>
        <row r="18">
          <cell r="A18">
            <v>0</v>
          </cell>
          <cell r="B18" t="str">
            <v>H612</v>
          </cell>
          <cell r="C18" t="str">
            <v>Residual Oil Heater</v>
          </cell>
          <cell r="D18" t="str">
            <v>N/A</v>
          </cell>
          <cell r="E18" t="str">
            <v>MMBtu/hr</v>
          </cell>
          <cell r="F18">
            <v>125</v>
          </cell>
          <cell r="G18" t="str">
            <v>AP-42, Table 1.4-2</v>
          </cell>
          <cell r="H18">
            <v>7.4509803921568628E-3</v>
          </cell>
          <cell r="I18" t="str">
            <v>lb/MMBtu</v>
          </cell>
          <cell r="J18">
            <v>0</v>
          </cell>
          <cell r="K18" t="str">
            <v>No longer in use</v>
          </cell>
          <cell r="M18">
            <v>0</v>
          </cell>
          <cell r="O18">
            <v>0</v>
          </cell>
          <cell r="P18">
            <v>0</v>
          </cell>
        </row>
        <row r="19">
          <cell r="A19">
            <v>0</v>
          </cell>
          <cell r="B19" t="str">
            <v>H-650</v>
          </cell>
          <cell r="C19" t="str">
            <v>Asphalt Plant Heater</v>
          </cell>
          <cell r="D19">
            <v>4.2300000000000004</v>
          </cell>
          <cell r="E19" t="str">
            <v>MMBtu/hr</v>
          </cell>
          <cell r="F19">
            <v>8760</v>
          </cell>
          <cell r="G19" t="str">
            <v>AP-42, Table 1.4-2</v>
          </cell>
          <cell r="H19">
            <v>7.4509803921568628E-3</v>
          </cell>
          <cell r="I19" t="str">
            <v>lb/MMBtu</v>
          </cell>
          <cell r="J19">
            <v>0.13804729411764705</v>
          </cell>
          <cell r="K19" t="str">
            <v>No longer in use</v>
          </cell>
          <cell r="M19">
            <v>3.1517647058823532E-2</v>
          </cell>
          <cell r="O19">
            <v>3.9711569921568627E-3</v>
          </cell>
          <cell r="P19">
            <v>3.9711569921568619E-3</v>
          </cell>
        </row>
        <row r="20">
          <cell r="A20" t="str">
            <v>TR15</v>
          </cell>
          <cell r="B20" t="str">
            <v>H-701</v>
          </cell>
          <cell r="C20" t="str">
            <v>Fired Steam Generator</v>
          </cell>
          <cell r="D20">
            <v>36.549999999999997</v>
          </cell>
          <cell r="E20" t="str">
            <v>MMBtu/hr</v>
          </cell>
          <cell r="F20">
            <v>8760</v>
          </cell>
          <cell r="G20" t="str">
            <v>AP-42, Table 1.4-2</v>
          </cell>
          <cell r="H20">
            <v>7.4509803921568628E-3</v>
          </cell>
          <cell r="I20" t="str">
            <v>lb/MMBtu</v>
          </cell>
          <cell r="J20">
            <v>1.19282</v>
          </cell>
          <cell r="M20">
            <v>0.27233333333333332</v>
          </cell>
          <cell r="O20">
            <v>3.4313425074074068E-2</v>
          </cell>
          <cell r="P20">
            <v>3.4313425074074068E-2</v>
          </cell>
        </row>
        <row r="21">
          <cell r="A21" t="str">
            <v>TR16</v>
          </cell>
          <cell r="B21" t="str">
            <v>H-702</v>
          </cell>
          <cell r="C21" t="str">
            <v>Fired Steam Generator</v>
          </cell>
          <cell r="D21">
            <v>36.549999999999997</v>
          </cell>
          <cell r="E21" t="str">
            <v>MMBtu/hr</v>
          </cell>
          <cell r="F21">
            <v>8760</v>
          </cell>
          <cell r="G21" t="str">
            <v>AP-42, Table 1.4-2</v>
          </cell>
          <cell r="H21">
            <v>7.4509803921568628E-3</v>
          </cell>
          <cell r="I21" t="str">
            <v>lb/MMBtu</v>
          </cell>
          <cell r="J21">
            <v>1.19282</v>
          </cell>
          <cell r="M21">
            <v>0.27233333333333332</v>
          </cell>
          <cell r="O21">
            <v>3.4313425074074068E-2</v>
          </cell>
          <cell r="P21">
            <v>3.4313425074074068E-2</v>
          </cell>
        </row>
        <row r="22">
          <cell r="A22" t="str">
            <v>TR17</v>
          </cell>
          <cell r="B22" t="str">
            <v>H-704</v>
          </cell>
          <cell r="C22" t="str">
            <v>Natural Gas Supply Heater</v>
          </cell>
          <cell r="D22">
            <v>2</v>
          </cell>
          <cell r="E22" t="str">
            <v>MMBtu/hr</v>
          </cell>
          <cell r="F22">
            <v>8760</v>
          </cell>
          <cell r="G22" t="str">
            <v>AP-42, Table 1.4-2</v>
          </cell>
          <cell r="H22">
            <v>7.4509803921568628E-3</v>
          </cell>
          <cell r="I22" t="str">
            <v>lb/MMBtu</v>
          </cell>
          <cell r="J22">
            <v>6.5270588235294108E-2</v>
          </cell>
          <cell r="M22">
            <v>1.4901960784313726E-2</v>
          </cell>
          <cell r="O22">
            <v>1.8776155991285402E-3</v>
          </cell>
          <cell r="P22">
            <v>1.8776155991285398E-3</v>
          </cell>
        </row>
        <row r="23">
          <cell r="A23" t="str">
            <v>TR18</v>
          </cell>
          <cell r="B23" t="str">
            <v>H-801</v>
          </cell>
          <cell r="C23" t="str">
            <v>Fired Steam Generator</v>
          </cell>
          <cell r="D23">
            <v>32</v>
          </cell>
          <cell r="E23" t="str">
            <v>MMBtu/hr</v>
          </cell>
          <cell r="F23">
            <v>8760</v>
          </cell>
          <cell r="G23" t="str">
            <v>AP-42, Table 1.4-2</v>
          </cell>
          <cell r="H23">
            <v>7.4509803921568628E-3</v>
          </cell>
          <cell r="I23" t="str">
            <v>lb/MMBtu</v>
          </cell>
          <cell r="J23">
            <v>1.0443294117647057</v>
          </cell>
          <cell r="M23">
            <v>0.23843137254901961</v>
          </cell>
          <cell r="O23">
            <v>3.0041849586056643E-2</v>
          </cell>
          <cell r="P23">
            <v>3.0041849586056636E-2</v>
          </cell>
        </row>
        <row r="24">
          <cell r="A24" t="str">
            <v>TR19</v>
          </cell>
          <cell r="B24" t="str">
            <v>H-802</v>
          </cell>
          <cell r="C24" t="str">
            <v>Hot Glycol Heater</v>
          </cell>
          <cell r="D24">
            <v>10.8</v>
          </cell>
          <cell r="E24" t="str">
            <v>MMBtu/hr</v>
          </cell>
          <cell r="F24">
            <v>8760</v>
          </cell>
          <cell r="G24" t="str">
            <v>AP-42, Table 1.4-2</v>
          </cell>
          <cell r="H24">
            <v>7.4509803921568628E-3</v>
          </cell>
          <cell r="I24" t="str">
            <v>lb/MMBtu</v>
          </cell>
          <cell r="J24">
            <v>0.35246117647058822</v>
          </cell>
          <cell r="M24">
            <v>8.0470588235294127E-2</v>
          </cell>
          <cell r="O24">
            <v>1.0139124235294119E-2</v>
          </cell>
          <cell r="P24">
            <v>1.0139124235294115E-2</v>
          </cell>
        </row>
        <row r="25">
          <cell r="A25" t="str">
            <v>TR20</v>
          </cell>
          <cell r="B25" t="str">
            <v>H-1001</v>
          </cell>
          <cell r="C25" t="str">
            <v>Hydrogen Reformer Furnace</v>
          </cell>
          <cell r="D25">
            <v>152.30000000000001</v>
          </cell>
          <cell r="E25" t="str">
            <v>MMBtu/hr</v>
          </cell>
          <cell r="F25">
            <v>8760</v>
          </cell>
          <cell r="G25" t="str">
            <v>AP-42, Table 1.4-2</v>
          </cell>
          <cell r="H25">
            <v>7.4509803921568628E-3</v>
          </cell>
          <cell r="I25" t="str">
            <v>lb/MMBtu</v>
          </cell>
          <cell r="J25">
            <v>4.9703552941176463</v>
          </cell>
          <cell r="M25">
            <v>1.1347843137254903</v>
          </cell>
          <cell r="O25">
            <v>0.14298042787363835</v>
          </cell>
          <cell r="P25">
            <v>0.14298042787363829</v>
          </cell>
        </row>
        <row r="26">
          <cell r="B26" t="str">
            <v>H1101</v>
          </cell>
          <cell r="C26" t="str">
            <v>Reaction Furnace Burner</v>
          </cell>
          <cell r="D26" t="str">
            <v>N/A</v>
          </cell>
          <cell r="E26" t="str">
            <v>MMBtu/hr</v>
          </cell>
          <cell r="F26">
            <v>8760</v>
          </cell>
          <cell r="G26" t="str">
            <v>AP-42, Table 1.4-2</v>
          </cell>
          <cell r="H26">
            <v>7.4509803921568628E-3</v>
          </cell>
          <cell r="I26" t="str">
            <v>lb/MMBtu</v>
          </cell>
          <cell r="J26">
            <v>0</v>
          </cell>
          <cell r="K26" t="str">
            <v>No longer in use</v>
          </cell>
          <cell r="M26">
            <v>0</v>
          </cell>
          <cell r="O26">
            <v>0</v>
          </cell>
          <cell r="P26">
            <v>0</v>
          </cell>
        </row>
        <row r="27">
          <cell r="A27" t="str">
            <v>TR21</v>
          </cell>
          <cell r="B27" t="str">
            <v>H-1102</v>
          </cell>
          <cell r="C27" t="str">
            <v>#1 Reheater</v>
          </cell>
          <cell r="D27">
            <v>1.65</v>
          </cell>
          <cell r="E27" t="str">
            <v>MMBtu/hr</v>
          </cell>
          <cell r="F27">
            <v>8760</v>
          </cell>
          <cell r="G27" t="str">
            <v>AP-42, Table 1.4-2</v>
          </cell>
          <cell r="H27">
            <v>7.4509803921568628E-3</v>
          </cell>
          <cell r="I27" t="str">
            <v>lb/MMBtu</v>
          </cell>
          <cell r="J27">
            <v>5.3848235294117641E-2</v>
          </cell>
          <cell r="M27">
            <v>1.2294117647058823E-2</v>
          </cell>
          <cell r="O27">
            <v>1.5490328692810457E-3</v>
          </cell>
          <cell r="P27">
            <v>1.5490328692810452E-3</v>
          </cell>
        </row>
        <row r="28">
          <cell r="A28" t="str">
            <v>TR22</v>
          </cell>
          <cell r="B28" t="str">
            <v>H-1103</v>
          </cell>
          <cell r="C28" t="str">
            <v>#1 Reheater</v>
          </cell>
          <cell r="D28">
            <v>1.1499999999999999</v>
          </cell>
          <cell r="E28" t="str">
            <v>MMBtu/hr</v>
          </cell>
          <cell r="F28">
            <v>8760</v>
          </cell>
          <cell r="G28" t="str">
            <v>AP-42, Table 1.4-2</v>
          </cell>
          <cell r="H28">
            <v>7.4509803921568628E-3</v>
          </cell>
          <cell r="I28" t="str">
            <v>lb/MMBtu</v>
          </cell>
          <cell r="J28">
            <v>3.7530588235294114E-2</v>
          </cell>
          <cell r="M28">
            <v>8.5686274509803907E-3</v>
          </cell>
          <cell r="O28">
            <v>1.0796289694989104E-3</v>
          </cell>
          <cell r="P28">
            <v>1.0796289694989104E-3</v>
          </cell>
        </row>
        <row r="29">
          <cell r="A29" t="str">
            <v>TR23</v>
          </cell>
          <cell r="B29" t="str">
            <v>H-1104</v>
          </cell>
          <cell r="C29" t="str">
            <v>#1 Reheater</v>
          </cell>
          <cell r="D29">
            <v>1.05</v>
          </cell>
          <cell r="E29" t="str">
            <v>MMBtu/hr</v>
          </cell>
          <cell r="F29">
            <v>8760</v>
          </cell>
          <cell r="G29" t="str">
            <v>AP-42, Table 1.4-2</v>
          </cell>
          <cell r="H29">
            <v>7.4509803921568628E-3</v>
          </cell>
          <cell r="I29" t="str">
            <v>lb/MMBtu</v>
          </cell>
          <cell r="J29">
            <v>3.4267058823529407E-2</v>
          </cell>
          <cell r="M29">
            <v>7.8235294117647066E-3</v>
          </cell>
          <cell r="O29">
            <v>9.8574818954248375E-4</v>
          </cell>
          <cell r="P29">
            <v>9.8574818954248332E-4</v>
          </cell>
        </row>
        <row r="30">
          <cell r="A30" t="str">
            <v>TR24</v>
          </cell>
          <cell r="B30" t="str">
            <v>H-1105</v>
          </cell>
          <cell r="C30" t="str">
            <v>Tail Gas Burner</v>
          </cell>
          <cell r="D30">
            <v>2</v>
          </cell>
          <cell r="E30" t="str">
            <v>MMBtu/hr</v>
          </cell>
          <cell r="F30">
            <v>8760</v>
          </cell>
          <cell r="G30" t="str">
            <v>AP-42, Table 1.4-2</v>
          </cell>
          <cell r="H30">
            <v>7.4509803921568628E-3</v>
          </cell>
          <cell r="I30" t="str">
            <v>lb/MMBtu</v>
          </cell>
          <cell r="J30">
            <v>6.5270588235294108E-2</v>
          </cell>
          <cell r="M30">
            <v>1.4901960784313726E-2</v>
          </cell>
          <cell r="O30">
            <v>1.8776155991285402E-3</v>
          </cell>
          <cell r="P30">
            <v>1.8776155991285398E-3</v>
          </cell>
        </row>
        <row r="31">
          <cell r="A31" t="str">
            <v>TR25</v>
          </cell>
          <cell r="B31" t="str">
            <v>H-1106</v>
          </cell>
          <cell r="C31" t="str">
            <v>#4 Reheater</v>
          </cell>
          <cell r="D31">
            <v>1.9</v>
          </cell>
          <cell r="E31" t="str">
            <v>MMBtu/hr</v>
          </cell>
          <cell r="F31">
            <v>8760</v>
          </cell>
          <cell r="G31" t="str">
            <v>AP-42, Table 1.4-2</v>
          </cell>
          <cell r="H31">
            <v>7.4509803921568628E-3</v>
          </cell>
          <cell r="I31" t="str">
            <v>lb/MMBtu</v>
          </cell>
          <cell r="J31">
            <v>6.2007058823529408E-2</v>
          </cell>
          <cell r="M31">
            <v>1.4156862745098038E-2</v>
          </cell>
          <cell r="O31">
            <v>1.7837348191721131E-3</v>
          </cell>
          <cell r="P31">
            <v>1.7837348191721129E-3</v>
          </cell>
        </row>
        <row r="32">
          <cell r="A32" t="str">
            <v>TR26</v>
          </cell>
          <cell r="B32" t="str">
            <v>SRU</v>
          </cell>
          <cell r="C32" t="str">
            <v>Sulfur Recovery Unit</v>
          </cell>
          <cell r="D32">
            <v>0</v>
          </cell>
          <cell r="E32">
            <v>0</v>
          </cell>
          <cell r="F32">
            <v>0</v>
          </cell>
          <cell r="G32">
            <v>0</v>
          </cell>
          <cell r="H32">
            <v>0</v>
          </cell>
          <cell r="I32">
            <v>0</v>
          </cell>
          <cell r="J32">
            <v>0</v>
          </cell>
          <cell r="M32">
            <v>0</v>
          </cell>
          <cell r="O32">
            <v>0</v>
          </cell>
          <cell r="P32">
            <v>0</v>
          </cell>
        </row>
        <row r="33">
          <cell r="A33" t="str">
            <v>TR27</v>
          </cell>
          <cell r="B33" t="str">
            <v>H-1201/1203</v>
          </cell>
          <cell r="C33" t="str">
            <v>PRIP Absorber Feed Furnace</v>
          </cell>
          <cell r="D33">
            <v>10.4</v>
          </cell>
          <cell r="E33" t="str">
            <v>MMBtu/hr</v>
          </cell>
          <cell r="F33">
            <v>8760</v>
          </cell>
          <cell r="G33" t="str">
            <v>AP-42, Table 1.4-2</v>
          </cell>
          <cell r="H33">
            <v>7.4509803921568628E-3</v>
          </cell>
          <cell r="I33" t="str">
            <v>lb/MMBtu</v>
          </cell>
          <cell r="J33">
            <v>0.3394070588235294</v>
          </cell>
          <cell r="M33">
            <v>7.749019607843137E-2</v>
          </cell>
          <cell r="O33">
            <v>9.7636011154684094E-3</v>
          </cell>
          <cell r="P33">
            <v>9.7636011154684076E-3</v>
          </cell>
        </row>
        <row r="34">
          <cell r="A34" t="str">
            <v>TR28</v>
          </cell>
          <cell r="B34" t="str">
            <v>H-1202</v>
          </cell>
          <cell r="C34" t="str">
            <v>PRIP Recycle H2 Furnace</v>
          </cell>
          <cell r="D34">
            <v>11.2</v>
          </cell>
          <cell r="E34" t="str">
            <v>MMBtu/hr</v>
          </cell>
          <cell r="F34">
            <v>8760</v>
          </cell>
          <cell r="G34" t="str">
            <v>AP-42, Table 1.4-2</v>
          </cell>
          <cell r="H34">
            <v>7.4509803921568628E-3</v>
          </cell>
          <cell r="I34" t="str">
            <v>lb/MMBtu</v>
          </cell>
          <cell r="J34">
            <v>0.36551529411764699</v>
          </cell>
          <cell r="M34">
            <v>8.3450980392156857E-2</v>
          </cell>
          <cell r="O34">
            <v>1.0514647355119824E-2</v>
          </cell>
          <cell r="P34">
            <v>1.0514647355119823E-2</v>
          </cell>
        </row>
        <row r="35">
          <cell r="A35" t="str">
            <v>TR29</v>
          </cell>
          <cell r="B35" t="str">
            <v>H-1701</v>
          </cell>
          <cell r="C35" t="str">
            <v>Vacuum Tower Heater, H1701</v>
          </cell>
          <cell r="D35">
            <v>91</v>
          </cell>
          <cell r="E35" t="str">
            <v>MMBtu/hr</v>
          </cell>
          <cell r="F35">
            <v>8760</v>
          </cell>
          <cell r="G35" t="str">
            <v>AP-42, Table 1.4-2</v>
          </cell>
          <cell r="H35">
            <v>7.4509803921568628E-3</v>
          </cell>
          <cell r="I35" t="str">
            <v>lb/MMBtu</v>
          </cell>
          <cell r="J35">
            <v>2.9698117647058822</v>
          </cell>
          <cell r="M35">
            <v>0.67803921568627457</v>
          </cell>
          <cell r="O35">
            <v>8.5431509760348592E-2</v>
          </cell>
          <cell r="P35">
            <v>8.5431509760348565E-2</v>
          </cell>
        </row>
        <row r="36">
          <cell r="A36" t="str">
            <v>TR42</v>
          </cell>
          <cell r="B36" t="str">
            <v>J-801</v>
          </cell>
          <cell r="C36" t="str">
            <v>Refinery Flare, Pilot</v>
          </cell>
          <cell r="D36">
            <v>3</v>
          </cell>
          <cell r="E36" t="str">
            <v>MMBtu/hr</v>
          </cell>
          <cell r="F36">
            <v>8760</v>
          </cell>
          <cell r="G36" t="str">
            <v>AP-42, Table 1.4-2</v>
          </cell>
          <cell r="H36">
            <v>7.4509803921568628E-3</v>
          </cell>
          <cell r="I36" t="str">
            <v>lb/MMBtu</v>
          </cell>
          <cell r="J36">
            <v>9.7905882352941176E-2</v>
          </cell>
          <cell r="M36">
            <v>2.2352941176470589E-2</v>
          </cell>
          <cell r="O36">
            <v>2.8164233986928103E-3</v>
          </cell>
          <cell r="P36">
            <v>2.8164233986928099E-3</v>
          </cell>
        </row>
        <row r="37">
          <cell r="A37" t="str">
            <v>TR34</v>
          </cell>
          <cell r="B37" t="str">
            <v>EG-704</v>
          </cell>
          <cell r="C37" t="str">
            <v>Electrical Generator CAT 3412-500 kW</v>
          </cell>
          <cell r="D37" t="str">
            <v>4.8</v>
          </cell>
          <cell r="E37" t="str">
            <v>MMBtu/hr</v>
          </cell>
          <cell r="F37">
            <v>200</v>
          </cell>
          <cell r="G37" t="str">
            <v>AP-42, Table 3.4-2</v>
          </cell>
          <cell r="H37">
            <v>5.7299999999999997E-2</v>
          </cell>
          <cell r="I37" t="str">
            <v>lb/MMBtu</v>
          </cell>
          <cell r="J37">
            <v>2.7503999999999997E-2</v>
          </cell>
          <cell r="M37">
            <v>0.27503999999999995</v>
          </cell>
          <cell r="O37">
            <v>3.4654459359999994E-2</v>
          </cell>
          <cell r="P37">
            <v>7.9119770228310482E-4</v>
          </cell>
        </row>
        <row r="38">
          <cell r="A38" t="str">
            <v>TR35</v>
          </cell>
          <cell r="B38" t="str">
            <v>EG-801</v>
          </cell>
          <cell r="C38" t="str">
            <v>Stewart-Stevenson Generator - 580 kW</v>
          </cell>
          <cell r="D38" t="str">
            <v>6.1</v>
          </cell>
          <cell r="E38" t="str">
            <v>MMBtu/hr</v>
          </cell>
          <cell r="F38">
            <v>200</v>
          </cell>
          <cell r="G38" t="str">
            <v>AP-42, Table 3.4-2</v>
          </cell>
          <cell r="H38">
            <v>5.7299999999999997E-2</v>
          </cell>
          <cell r="I38" t="str">
            <v>lb/MMBtu</v>
          </cell>
          <cell r="J38">
            <v>3.4952999999999998E-2</v>
          </cell>
          <cell r="M38">
            <v>0.34952999999999995</v>
          </cell>
          <cell r="O38">
            <v>4.4040042103333323E-2</v>
          </cell>
          <cell r="P38">
            <v>1.0054804133181124E-3</v>
          </cell>
        </row>
        <row r="39">
          <cell r="A39" t="str">
            <v>TR36</v>
          </cell>
          <cell r="B39" t="str">
            <v>P-605A</v>
          </cell>
          <cell r="C39" t="str">
            <v>North Caterpillar CAT G399 - 830 hpa</v>
          </cell>
          <cell r="D39" t="str">
            <v>5.6</v>
          </cell>
          <cell r="E39" t="str">
            <v>MMBtu/hr</v>
          </cell>
          <cell r="F39">
            <v>1250</v>
          </cell>
          <cell r="G39" t="str">
            <v>AP-42, Table 3.2-2</v>
          </cell>
          <cell r="H39">
            <v>9.9771000000000009E-3</v>
          </cell>
          <cell r="I39" t="str">
            <v>lb/MMBtu</v>
          </cell>
          <cell r="J39">
            <v>3.4919850000000002E-2</v>
          </cell>
          <cell r="M39">
            <v>5.5871759999999999E-2</v>
          </cell>
          <cell r="O39">
            <v>7.0397238085066665E-3</v>
          </cell>
          <cell r="P39">
            <v>1.0045267991590561E-3</v>
          </cell>
        </row>
        <row r="40">
          <cell r="A40" t="str">
            <v>TR37</v>
          </cell>
          <cell r="B40" t="str">
            <v>P-605B</v>
          </cell>
          <cell r="C40" t="str">
            <v>South Caterpillar CAT G399 - 830 hpa</v>
          </cell>
          <cell r="D40" t="str">
            <v>5.6</v>
          </cell>
          <cell r="E40" t="str">
            <v>MMBtu/hr</v>
          </cell>
          <cell r="F40">
            <v>1250</v>
          </cell>
          <cell r="G40" t="str">
            <v>AP-42, Table 3.2-2</v>
          </cell>
          <cell r="H40">
            <v>9.9771000000000009E-3</v>
          </cell>
          <cell r="I40" t="str">
            <v>lb/MMBtu</v>
          </cell>
          <cell r="J40">
            <v>3.4919850000000002E-2</v>
          </cell>
          <cell r="M40">
            <v>5.5871759999999999E-2</v>
          </cell>
          <cell r="O40">
            <v>7.0397238085066665E-3</v>
          </cell>
          <cell r="P40">
            <v>1.0045267991590561E-3</v>
          </cell>
        </row>
        <row r="41">
          <cell r="A41" t="str">
            <v>TR38</v>
          </cell>
          <cell r="B41" t="str">
            <v>P-708A</v>
          </cell>
          <cell r="C41" t="str">
            <v>North Cummins NHS6-IF 290 hpc</v>
          </cell>
          <cell r="D41" t="str">
            <v>2.0</v>
          </cell>
          <cell r="E41" t="str">
            <v>MMBtu/hr</v>
          </cell>
          <cell r="F41">
            <v>600</v>
          </cell>
          <cell r="G41" t="str">
            <v>AP-42, Table 3.3-1</v>
          </cell>
          <cell r="H41">
            <v>0.31</v>
          </cell>
          <cell r="I41" t="str">
            <v>lb/MMBtu</v>
          </cell>
          <cell r="J41">
            <v>0.186</v>
          </cell>
          <cell r="M41">
            <v>0.62</v>
          </cell>
          <cell r="O41">
            <v>7.811869111111111E-2</v>
          </cell>
          <cell r="P41">
            <v>5.3505952815829519E-3</v>
          </cell>
        </row>
        <row r="42">
          <cell r="A42">
            <v>0</v>
          </cell>
          <cell r="B42" t="str">
            <v>P-708B</v>
          </cell>
          <cell r="C42" t="str">
            <v>South Cummins NHS6-IF 290 hpc</v>
          </cell>
          <cell r="D42" t="str">
            <v>2.0</v>
          </cell>
          <cell r="E42" t="str">
            <v>MMBtu/hr</v>
          </cell>
          <cell r="F42">
            <v>600</v>
          </cell>
          <cell r="G42" t="str">
            <v>AP-42, Table 3.3-1</v>
          </cell>
          <cell r="H42">
            <v>0.31</v>
          </cell>
          <cell r="I42" t="str">
            <v>lb/MMBtu</v>
          </cell>
          <cell r="J42">
            <v>0.186</v>
          </cell>
          <cell r="M42">
            <v>0.62</v>
          </cell>
          <cell r="O42">
            <v>7.811869111111111E-2</v>
          </cell>
          <cell r="P42">
            <v>5.3505952815829519E-3</v>
          </cell>
        </row>
        <row r="43">
          <cell r="A43" t="str">
            <v>TR40</v>
          </cell>
          <cell r="B43" t="str">
            <v>P-708C</v>
          </cell>
          <cell r="C43" t="str">
            <v>Upper Tank Farm Cat 3412DT 660 hp</v>
          </cell>
          <cell r="D43" t="str">
            <v>4.3</v>
          </cell>
          <cell r="E43" t="str">
            <v>MMBtu/hr</v>
          </cell>
          <cell r="F43">
            <v>600</v>
          </cell>
          <cell r="G43" t="str">
            <v>AP-42, Table 3.4-2</v>
          </cell>
          <cell r="H43">
            <v>5.7299999999999997E-2</v>
          </cell>
          <cell r="I43" t="str">
            <v>lb/MMBtu</v>
          </cell>
          <cell r="J43">
            <v>7.3916999999999983E-2</v>
          </cell>
          <cell r="M43">
            <v>0.24638999999999997</v>
          </cell>
          <cell r="O43">
            <v>3.1044619843333329E-2</v>
          </cell>
          <cell r="P43">
            <v>2.1263438248858438E-3</v>
          </cell>
        </row>
        <row r="44">
          <cell r="A44" t="str">
            <v>TR41</v>
          </cell>
          <cell r="B44" t="str">
            <v>P-719C</v>
          </cell>
          <cell r="C44" t="str">
            <v>Cooling Tower CAT G333 140 hp</v>
          </cell>
          <cell r="D44" t="str">
            <v>1.1</v>
          </cell>
          <cell r="E44" t="str">
            <v>MMBtu/hr</v>
          </cell>
          <cell r="F44">
            <v>1000</v>
          </cell>
          <cell r="G44" t="str">
            <v>AP-42, Table 1.4-2</v>
          </cell>
          <cell r="H44">
            <v>7.4509803921568628E-3</v>
          </cell>
          <cell r="I44" t="str">
            <v>lb/MMBtu</v>
          </cell>
          <cell r="J44">
            <v>4.0980392156862748E-3</v>
          </cell>
          <cell r="M44">
            <v>8.1960784313725495E-3</v>
          </cell>
          <cell r="O44">
            <v>1.0326885795206972E-3</v>
          </cell>
          <cell r="P44">
            <v>1.178868241461983E-4</v>
          </cell>
        </row>
        <row r="45">
          <cell r="A45">
            <v>0</v>
          </cell>
          <cell r="B45" t="str">
            <v>GT-1400</v>
          </cell>
          <cell r="C45" t="str">
            <v>Solar Centaur Turbine (Diesel)</v>
          </cell>
          <cell r="D45">
            <v>50.9</v>
          </cell>
          <cell r="E45" t="str">
            <v>MMBtu/hr</v>
          </cell>
          <cell r="F45">
            <v>8760</v>
          </cell>
          <cell r="G45" t="str">
            <v>AP-42, Table 3.1-2a</v>
          </cell>
          <cell r="H45">
            <v>1.2E-2</v>
          </cell>
          <cell r="I45" t="str">
            <v>lb/MMBtu</v>
          </cell>
          <cell r="J45">
            <v>2.6753040000000001</v>
          </cell>
          <cell r="K45">
            <v>0</v>
          </cell>
          <cell r="L45">
            <v>0</v>
          </cell>
          <cell r="M45">
            <v>0.61080000000000001</v>
          </cell>
          <cell r="N45">
            <v>0</v>
          </cell>
          <cell r="O45">
            <v>7.6959510533333331E-2</v>
          </cell>
          <cell r="P45">
            <v>7.6959510533333331E-2</v>
          </cell>
        </row>
        <row r="46">
          <cell r="A46" t="str">
            <v>TR32</v>
          </cell>
          <cell r="B46">
            <v>0</v>
          </cell>
          <cell r="C46" t="str">
            <v>Solar Centaur Turbine (NG or LPG)</v>
          </cell>
          <cell r="D46">
            <v>50.9</v>
          </cell>
          <cell r="E46" t="str">
            <v>MMBtu/hr</v>
          </cell>
          <cell r="F46">
            <v>8760</v>
          </cell>
          <cell r="G46" t="str">
            <v>Permit Limit</v>
          </cell>
          <cell r="H46">
            <v>1.4E-2</v>
          </cell>
          <cell r="I46" t="str">
            <v>lb/MMBtu</v>
          </cell>
          <cell r="J46">
            <v>3.1211880000000001</v>
          </cell>
          <cell r="K46">
            <v>0</v>
          </cell>
          <cell r="L46">
            <v>0</v>
          </cell>
          <cell r="M46">
            <v>0.71260000000000001</v>
          </cell>
          <cell r="N46">
            <v>0</v>
          </cell>
          <cell r="O46">
            <v>8.9786095622222215E-2</v>
          </cell>
          <cell r="P46">
            <v>8.9786095622222215E-2</v>
          </cell>
        </row>
        <row r="47">
          <cell r="A47" t="str">
            <v>TR32A</v>
          </cell>
          <cell r="B47" t="str">
            <v>E-1400</v>
          </cell>
          <cell r="C47" t="str">
            <v>Duct Burner</v>
          </cell>
          <cell r="D47">
            <v>36.5</v>
          </cell>
          <cell r="E47" t="str">
            <v>MMBtu/hr</v>
          </cell>
          <cell r="F47">
            <v>8760</v>
          </cell>
          <cell r="G47" t="str">
            <v>Permit Limit</v>
          </cell>
          <cell r="H47">
            <v>1.4E-2</v>
          </cell>
          <cell r="I47" t="str">
            <v>lb/MMBtu</v>
          </cell>
          <cell r="J47">
            <v>2.2381799999999998</v>
          </cell>
          <cell r="K47">
            <v>0</v>
          </cell>
          <cell r="L47">
            <v>0</v>
          </cell>
          <cell r="M47">
            <v>0.51100000000000001</v>
          </cell>
          <cell r="N47">
            <v>0</v>
          </cell>
          <cell r="O47">
            <v>6.4384921222222224E-2</v>
          </cell>
          <cell r="P47">
            <v>6.4384921222222211E-2</v>
          </cell>
        </row>
        <row r="48">
          <cell r="B48" t="str">
            <v>GT-1410</v>
          </cell>
          <cell r="C48" t="str">
            <v>Solar Centaur Turbine (Diesel)</v>
          </cell>
          <cell r="D48">
            <v>50.9</v>
          </cell>
          <cell r="E48" t="str">
            <v>MMBtu/hr</v>
          </cell>
          <cell r="F48">
            <v>8760</v>
          </cell>
          <cell r="G48" t="str">
            <v>AP-42, Table 3.1-2a</v>
          </cell>
          <cell r="H48">
            <v>1.2E-2</v>
          </cell>
          <cell r="I48" t="str">
            <v>lb/MMBtu</v>
          </cell>
          <cell r="J48">
            <v>2.6753040000000001</v>
          </cell>
          <cell r="K48">
            <v>0</v>
          </cell>
          <cell r="L48">
            <v>0</v>
          </cell>
          <cell r="M48">
            <v>0.61080000000000001</v>
          </cell>
          <cell r="N48">
            <v>0</v>
          </cell>
          <cell r="O48">
            <v>7.6959510533333331E-2</v>
          </cell>
          <cell r="P48">
            <v>7.6959510533333331E-2</v>
          </cell>
        </row>
        <row r="49">
          <cell r="A49" t="str">
            <v>TR33</v>
          </cell>
          <cell r="B49">
            <v>0</v>
          </cell>
          <cell r="C49" t="str">
            <v>Solar Centaur Turbine (NG or LPG)</v>
          </cell>
          <cell r="D49">
            <v>50.9</v>
          </cell>
          <cell r="E49" t="str">
            <v>MMBtu/hr</v>
          </cell>
          <cell r="F49">
            <v>8760</v>
          </cell>
          <cell r="G49" t="str">
            <v>Permit Limit</v>
          </cell>
          <cell r="H49">
            <v>1.4E-2</v>
          </cell>
          <cell r="I49" t="str">
            <v>lb/MMBtu</v>
          </cell>
          <cell r="J49">
            <v>3.1211880000000001</v>
          </cell>
          <cell r="K49">
            <v>0</v>
          </cell>
          <cell r="L49">
            <v>0</v>
          </cell>
          <cell r="M49">
            <v>0.71260000000000001</v>
          </cell>
          <cell r="N49">
            <v>0</v>
          </cell>
          <cell r="O49">
            <v>8.9786095622222215E-2</v>
          </cell>
          <cell r="P49">
            <v>8.9786095622222215E-2</v>
          </cell>
        </row>
        <row r="50">
          <cell r="A50" t="str">
            <v>TR33A</v>
          </cell>
          <cell r="B50" t="str">
            <v>E-1410</v>
          </cell>
          <cell r="C50" t="str">
            <v>Duct Burner</v>
          </cell>
          <cell r="D50">
            <v>36.5</v>
          </cell>
          <cell r="E50" t="str">
            <v>MMBtu/hr</v>
          </cell>
          <cell r="F50">
            <v>8760</v>
          </cell>
          <cell r="G50" t="str">
            <v>Permit Limit</v>
          </cell>
          <cell r="H50">
            <v>1.4E-2</v>
          </cell>
          <cell r="I50" t="str">
            <v>lb/MMBtu</v>
          </cell>
          <cell r="J50">
            <v>2.2381799999999998</v>
          </cell>
          <cell r="K50">
            <v>0</v>
          </cell>
          <cell r="L50">
            <v>0</v>
          </cell>
          <cell r="M50">
            <v>0.51100000000000001</v>
          </cell>
          <cell r="N50">
            <v>0</v>
          </cell>
          <cell r="O50">
            <v>6.4384921222222224E-2</v>
          </cell>
          <cell r="P50">
            <v>6.4384921222222211E-2</v>
          </cell>
        </row>
        <row r="51">
          <cell r="A51" t="str">
            <v>TR44</v>
          </cell>
          <cell r="B51" t="str">
            <v>E77 SVE</v>
          </cell>
          <cell r="C51" t="str">
            <v>E77 Soil Vapor Extraction System</v>
          </cell>
          <cell r="D51">
            <v>0.5</v>
          </cell>
          <cell r="E51" t="str">
            <v>MMBtu/hr</v>
          </cell>
          <cell r="F51">
            <v>8760</v>
          </cell>
          <cell r="G51" t="str">
            <v>AP-42, Table 1.4-2</v>
          </cell>
          <cell r="H51">
            <v>7.4509803921568628E-3</v>
          </cell>
          <cell r="I51" t="str">
            <v>lb/MMBtu</v>
          </cell>
          <cell r="J51">
            <v>1.6317647058823527E-2</v>
          </cell>
          <cell r="M51">
            <v>3.7254901960784314E-3</v>
          </cell>
          <cell r="O51">
            <v>4.6940389978213505E-4</v>
          </cell>
          <cell r="P51">
            <v>4.6940389978213494E-4</v>
          </cell>
        </row>
        <row r="52">
          <cell r="A52" t="str">
            <v>TR45</v>
          </cell>
          <cell r="B52" t="str">
            <v>LTF SCE</v>
          </cell>
          <cell r="C52" t="str">
            <v>LTF Soil Vapor Extraction System</v>
          </cell>
          <cell r="D52">
            <v>2</v>
          </cell>
          <cell r="E52" t="str">
            <v>MMBtu/hr</v>
          </cell>
          <cell r="F52">
            <v>8760</v>
          </cell>
          <cell r="G52" t="str">
            <v>AP-42, Table 1.4-2</v>
          </cell>
          <cell r="H52">
            <v>7.4509803921568628E-3</v>
          </cell>
          <cell r="I52" t="str">
            <v>lb/MMBtu</v>
          </cell>
          <cell r="J52">
            <v>6.5270588235294108E-2</v>
          </cell>
          <cell r="M52">
            <v>1.4901960784313726E-2</v>
          </cell>
          <cell r="O52">
            <v>1.8776155991285402E-3</v>
          </cell>
          <cell r="P52">
            <v>1.8776155991285398E-3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ressor performance"/>
    </sheetNames>
    <sheetDataSet>
      <sheetData sheetId="0" refreshError="1">
        <row r="12">
          <cell r="B12">
            <v>14.2</v>
          </cell>
        </row>
        <row r="13">
          <cell r="B13">
            <v>46.2</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5) EU 043"/>
      <sheetName val="119) EU 118"/>
      <sheetName val="120) EU 119"/>
      <sheetName val="121) EU 120"/>
      <sheetName val="122) EU 121"/>
    </sheetNames>
    <sheetDataSet>
      <sheetData sheetId="0"/>
      <sheetData sheetId="1"/>
      <sheetData sheetId="2"/>
      <sheetData sheetId="3"/>
      <sheetData sheetId="4">
        <row r="43">
          <cell r="F43">
            <v>1</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issions"/>
      <sheetName val="Emission Factors"/>
    </sheetNames>
    <sheetDataSet>
      <sheetData sheetId="0" refreshError="1">
        <row r="13">
          <cell r="L13">
            <v>6.4047900788049796</v>
          </cell>
          <cell r="M13">
            <v>2.8004589354541773E-3</v>
          </cell>
          <cell r="N13">
            <v>0.30850533101143207</v>
          </cell>
          <cell r="O13">
            <v>1.3489224474745197E-4</v>
          </cell>
          <cell r="T13">
            <v>0.5488365320112879</v>
          </cell>
          <cell r="V13">
            <v>0.42716674660155646</v>
          </cell>
          <cell r="W13">
            <v>1.8677629051542941E-4</v>
          </cell>
        </row>
      </sheetData>
      <sheetData sheetId="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sion History"/>
      <sheetName val="area_params"/>
      <sheetName val="volume_params"/>
      <sheetName val="point_params"/>
      <sheetName val="master"/>
    </sheetNames>
    <sheetDataSet>
      <sheetData sheetId="0" refreshError="1"/>
      <sheetData sheetId="1" refreshError="1"/>
      <sheetData sheetId="2" refreshError="1"/>
      <sheetData sheetId="3">
        <row r="9">
          <cell r="D9" t="str">
            <v>COMP_151</v>
          </cell>
          <cell r="E9" t="str">
            <v>Compressor Drive - Propane Cycle #151</v>
          </cell>
          <cell r="F9">
            <v>588333.73514818714</v>
          </cell>
          <cell r="G9">
            <v>6728012.6603401126</v>
          </cell>
          <cell r="H9">
            <v>34.9</v>
          </cell>
          <cell r="I9">
            <v>64</v>
          </cell>
          <cell r="J9">
            <v>600.00800000000015</v>
          </cell>
          <cell r="K9">
            <v>75.13</v>
          </cell>
          <cell r="L9">
            <v>84</v>
          </cell>
          <cell r="M9" t="str">
            <v>Vert</v>
          </cell>
          <cell r="N9" t="str">
            <v>No</v>
          </cell>
          <cell r="O9">
            <v>24</v>
          </cell>
          <cell r="P9">
            <v>8760</v>
          </cell>
          <cell r="Q9">
            <v>6.1003137884444456</v>
          </cell>
          <cell r="R9">
            <v>6.1003137884444456</v>
          </cell>
          <cell r="S9">
            <v>9.6574888471416005E-3</v>
          </cell>
          <cell r="T9">
            <v>9.6574888471416005E-3</v>
          </cell>
          <cell r="U9">
            <v>9.6574888471416005E-3</v>
          </cell>
          <cell r="V9">
            <v>9.6574888471416005E-3</v>
          </cell>
          <cell r="W9">
            <v>1.5632054082888891</v>
          </cell>
          <cell r="X9">
            <v>1.5632054082888891</v>
          </cell>
          <cell r="Y9">
            <v>0.12581897188666669</v>
          </cell>
          <cell r="Z9">
            <v>0.12581897188666669</v>
          </cell>
          <cell r="AA9">
            <v>0.12581897188666669</v>
          </cell>
          <cell r="AB9">
            <v>0.12581897188666669</v>
          </cell>
          <cell r="AE9">
            <v>19.507200000000001</v>
          </cell>
          <cell r="AF9">
            <v>588.71</v>
          </cell>
          <cell r="AG9">
            <v>22.899623999999999</v>
          </cell>
          <cell r="AH9">
            <v>2.1335999999999999</v>
          </cell>
        </row>
        <row r="10">
          <cell r="D10" t="str">
            <v>COMP_152</v>
          </cell>
          <cell r="E10" t="str">
            <v>Compressor Drive - Propane Cycle #152</v>
          </cell>
          <cell r="F10">
            <v>588326.42242227762</v>
          </cell>
          <cell r="G10">
            <v>6728012.4701012829</v>
          </cell>
          <cell r="H10">
            <v>34.9</v>
          </cell>
          <cell r="I10">
            <v>64</v>
          </cell>
          <cell r="J10">
            <v>600.00800000000015</v>
          </cell>
          <cell r="K10">
            <v>75.13</v>
          </cell>
          <cell r="L10">
            <v>84</v>
          </cell>
          <cell r="M10" t="str">
            <v>Vert</v>
          </cell>
          <cell r="N10" t="str">
            <v>No</v>
          </cell>
          <cell r="O10">
            <v>24</v>
          </cell>
          <cell r="P10">
            <v>8760</v>
          </cell>
          <cell r="Q10">
            <v>6.1003137884444456</v>
          </cell>
          <cell r="R10">
            <v>6.1003137884444456</v>
          </cell>
          <cell r="S10">
            <v>9.6574888471416005E-3</v>
          </cell>
          <cell r="T10">
            <v>9.6574888471416005E-3</v>
          </cell>
          <cell r="U10">
            <v>9.6574888471416005E-3</v>
          </cell>
          <cell r="V10">
            <v>9.6574888471416005E-3</v>
          </cell>
          <cell r="W10">
            <v>1.5632054082888891</v>
          </cell>
          <cell r="X10">
            <v>1.5632054082888891</v>
          </cell>
          <cell r="Y10">
            <v>0.12581897188666669</v>
          </cell>
          <cell r="Z10">
            <v>0.12581897188666669</v>
          </cell>
          <cell r="AA10">
            <v>0.12581897188666669</v>
          </cell>
          <cell r="AB10">
            <v>0.12581897188666669</v>
          </cell>
          <cell r="AE10">
            <v>19.507200000000001</v>
          </cell>
          <cell r="AF10">
            <v>588.71</v>
          </cell>
          <cell r="AG10">
            <v>22.899623999999999</v>
          </cell>
          <cell r="AH10">
            <v>2.1335999999999999</v>
          </cell>
        </row>
        <row r="11">
          <cell r="D11" t="str">
            <v>COMP_251</v>
          </cell>
          <cell r="E11" t="str">
            <v>Compressor Drive - Ethylene Cycle #251</v>
          </cell>
          <cell r="F11">
            <v>588362.98605182522</v>
          </cell>
          <cell r="G11">
            <v>6728013.4212954324</v>
          </cell>
          <cell r="H11">
            <v>34.9</v>
          </cell>
          <cell r="I11">
            <v>64</v>
          </cell>
          <cell r="J11">
            <v>600.00800000000015</v>
          </cell>
          <cell r="K11">
            <v>75.13</v>
          </cell>
          <cell r="L11">
            <v>84</v>
          </cell>
          <cell r="M11" t="str">
            <v>Vert</v>
          </cell>
          <cell r="N11" t="str">
            <v>No</v>
          </cell>
          <cell r="O11">
            <v>24</v>
          </cell>
          <cell r="P11">
            <v>8760</v>
          </cell>
          <cell r="Q11">
            <v>8.2533657137777787</v>
          </cell>
          <cell r="R11">
            <v>8.2533657137777787</v>
          </cell>
          <cell r="S11">
            <v>1.3066014322603344E-2</v>
          </cell>
          <cell r="T11">
            <v>1.3066014322603344E-2</v>
          </cell>
          <cell r="U11">
            <v>1.3066014322603344E-2</v>
          </cell>
          <cell r="V11">
            <v>1.3066014322603344E-2</v>
          </cell>
          <cell r="W11">
            <v>2.1149249641555556</v>
          </cell>
          <cell r="X11">
            <v>2.1149249641555556</v>
          </cell>
          <cell r="Y11">
            <v>0.17022566784666668</v>
          </cell>
          <cell r="Z11">
            <v>0.17022566784666668</v>
          </cell>
          <cell r="AA11">
            <v>0.17022566784666668</v>
          </cell>
          <cell r="AB11">
            <v>0.17022566784666668</v>
          </cell>
          <cell r="AE11">
            <v>19.507200000000001</v>
          </cell>
          <cell r="AF11">
            <v>588.71</v>
          </cell>
          <cell r="AG11">
            <v>22.899623999999999</v>
          </cell>
          <cell r="AH11">
            <v>2.1335999999999999</v>
          </cell>
        </row>
        <row r="12">
          <cell r="D12" t="str">
            <v>COMP_252</v>
          </cell>
          <cell r="E12" t="str">
            <v>Compressor Drive - Ethylene Cycle #252</v>
          </cell>
          <cell r="F12">
            <v>588355.6733259157</v>
          </cell>
          <cell r="G12">
            <v>6728013.2310566027</v>
          </cell>
          <cell r="H12">
            <v>34.9</v>
          </cell>
          <cell r="I12">
            <v>64</v>
          </cell>
          <cell r="J12">
            <v>600.00800000000015</v>
          </cell>
          <cell r="K12">
            <v>75.13</v>
          </cell>
          <cell r="L12">
            <v>84</v>
          </cell>
          <cell r="M12" t="str">
            <v>Vert</v>
          </cell>
          <cell r="N12" t="str">
            <v>No</v>
          </cell>
          <cell r="O12">
            <v>24</v>
          </cell>
          <cell r="P12">
            <v>8760</v>
          </cell>
          <cell r="Q12">
            <v>8.2533657137777787</v>
          </cell>
          <cell r="R12">
            <v>8.2533657137777787</v>
          </cell>
          <cell r="S12">
            <v>1.3066014322603344E-2</v>
          </cell>
          <cell r="T12">
            <v>1.3066014322603344E-2</v>
          </cell>
          <cell r="U12">
            <v>1.3066014322603344E-2</v>
          </cell>
          <cell r="V12">
            <v>1.3066014322603344E-2</v>
          </cell>
          <cell r="W12">
            <v>2.1149249641555556</v>
          </cell>
          <cell r="X12">
            <v>2.1149249641555556</v>
          </cell>
          <cell r="Y12">
            <v>0.17022566784666668</v>
          </cell>
          <cell r="Z12">
            <v>0.17022566784666668</v>
          </cell>
          <cell r="AA12">
            <v>0.17022566784666668</v>
          </cell>
          <cell r="AB12">
            <v>0.17022566784666668</v>
          </cell>
          <cell r="AE12">
            <v>19.507200000000001</v>
          </cell>
          <cell r="AF12">
            <v>588.71</v>
          </cell>
          <cell r="AG12">
            <v>22.899623999999999</v>
          </cell>
          <cell r="AH12">
            <v>2.1335999999999999</v>
          </cell>
        </row>
        <row r="13">
          <cell r="D13" t="str">
            <v>COMP_351</v>
          </cell>
          <cell r="E13" t="str">
            <v>Compressor Drive - Methane Cycle #351</v>
          </cell>
          <cell r="F13">
            <v>588348.36060000618</v>
          </cell>
          <cell r="G13">
            <v>6728013.040817773</v>
          </cell>
          <cell r="H13">
            <v>34.9</v>
          </cell>
          <cell r="I13">
            <v>64</v>
          </cell>
          <cell r="J13">
            <v>600.00800000000015</v>
          </cell>
          <cell r="K13">
            <v>75.13</v>
          </cell>
          <cell r="L13">
            <v>84</v>
          </cell>
          <cell r="M13" t="str">
            <v>Vert</v>
          </cell>
          <cell r="N13" t="str">
            <v>No</v>
          </cell>
          <cell r="O13">
            <v>24</v>
          </cell>
          <cell r="P13">
            <v>8760</v>
          </cell>
          <cell r="Q13">
            <v>5.9793558151111128</v>
          </cell>
          <cell r="R13">
            <v>5.9793558151111128</v>
          </cell>
          <cell r="S13">
            <v>9.465998651890942E-3</v>
          </cell>
          <cell r="T13">
            <v>9.465998651890942E-3</v>
          </cell>
          <cell r="U13">
            <v>9.465998651890942E-3</v>
          </cell>
          <cell r="V13">
            <v>9.465998651890942E-3</v>
          </cell>
          <cell r="W13">
            <v>1.5322099276222225</v>
          </cell>
          <cell r="X13">
            <v>1.5322099276222225</v>
          </cell>
          <cell r="Y13">
            <v>0.12332421368666668</v>
          </cell>
          <cell r="Z13">
            <v>0.12332421368666668</v>
          </cell>
          <cell r="AA13">
            <v>0.12332421368666668</v>
          </cell>
          <cell r="AB13">
            <v>0.12332421368666668</v>
          </cell>
          <cell r="AE13">
            <v>19.507200000000001</v>
          </cell>
          <cell r="AF13">
            <v>588.71</v>
          </cell>
          <cell r="AG13">
            <v>22.899623999999999</v>
          </cell>
          <cell r="AH13">
            <v>2.1335999999999999</v>
          </cell>
        </row>
        <row r="14">
          <cell r="D14" t="str">
            <v>COMP_352</v>
          </cell>
          <cell r="E14" t="str">
            <v>Compressor Drive - Methane Cycle #352</v>
          </cell>
          <cell r="F14">
            <v>588341.04787409666</v>
          </cell>
          <cell r="G14">
            <v>6728012.8505789423</v>
          </cell>
          <cell r="H14">
            <v>34.9</v>
          </cell>
          <cell r="I14">
            <v>64</v>
          </cell>
          <cell r="J14">
            <v>600.00800000000015</v>
          </cell>
          <cell r="K14">
            <v>75.13</v>
          </cell>
          <cell r="L14">
            <v>84</v>
          </cell>
          <cell r="M14" t="str">
            <v>Vert</v>
          </cell>
          <cell r="N14" t="str">
            <v>No</v>
          </cell>
          <cell r="O14">
            <v>24</v>
          </cell>
          <cell r="P14">
            <v>8760</v>
          </cell>
          <cell r="Q14">
            <v>5.9793558151111128</v>
          </cell>
          <cell r="R14">
            <v>5.9793558151111128</v>
          </cell>
          <cell r="S14">
            <v>9.465998651890942E-3</v>
          </cell>
          <cell r="T14">
            <v>9.465998651890942E-3</v>
          </cell>
          <cell r="U14">
            <v>9.465998651890942E-3</v>
          </cell>
          <cell r="V14">
            <v>9.465998651890942E-3</v>
          </cell>
          <cell r="W14">
            <v>1.5322099276222225</v>
          </cell>
          <cell r="X14">
            <v>1.5322099276222225</v>
          </cell>
          <cell r="Y14">
            <v>0.12332421368666668</v>
          </cell>
          <cell r="Z14">
            <v>0.12332421368666668</v>
          </cell>
          <cell r="AA14">
            <v>0.12332421368666668</v>
          </cell>
          <cell r="AB14">
            <v>0.12332421368666668</v>
          </cell>
          <cell r="AE14">
            <v>19.507200000000001</v>
          </cell>
          <cell r="AF14">
            <v>588.71</v>
          </cell>
          <cell r="AG14">
            <v>22.899623999999999</v>
          </cell>
          <cell r="AH14">
            <v>2.1335999999999999</v>
          </cell>
        </row>
        <row r="15">
          <cell r="D15" t="str">
            <v>COMP_701</v>
          </cell>
          <cell r="E15" t="str">
            <v>Compressor Drive - Fuel System</v>
          </cell>
          <cell r="F15">
            <v>588319.1096963681</v>
          </cell>
          <cell r="G15">
            <v>6728012.2798624532</v>
          </cell>
          <cell r="H15">
            <v>34.9</v>
          </cell>
          <cell r="I15">
            <v>64</v>
          </cell>
          <cell r="J15">
            <v>937</v>
          </cell>
          <cell r="K15">
            <v>322.87067002176781</v>
          </cell>
          <cell r="L15">
            <v>32</v>
          </cell>
          <cell r="M15" t="str">
            <v>Vert</v>
          </cell>
          <cell r="N15" t="str">
            <v>No</v>
          </cell>
          <cell r="O15">
            <v>24</v>
          </cell>
          <cell r="P15">
            <v>8760</v>
          </cell>
          <cell r="Q15">
            <v>0.38283973931623932</v>
          </cell>
          <cell r="R15">
            <v>0.38283973931623932</v>
          </cell>
          <cell r="S15">
            <v>3.8298039050131938E-3</v>
          </cell>
          <cell r="T15">
            <v>3.8298039050131938E-3</v>
          </cell>
          <cell r="U15">
            <v>3.8298039050131938E-3</v>
          </cell>
          <cell r="V15">
            <v>3.8298039050131938E-3</v>
          </cell>
          <cell r="W15">
            <v>1.1170197457264959</v>
          </cell>
          <cell r="X15">
            <v>1.1170197457264959</v>
          </cell>
          <cell r="Y15">
            <v>4.9895164000000006E-2</v>
          </cell>
          <cell r="Z15">
            <v>4.9895164000000006E-2</v>
          </cell>
          <cell r="AA15">
            <v>4.9895164000000006E-2</v>
          </cell>
          <cell r="AB15">
            <v>4.9895164000000006E-2</v>
          </cell>
          <cell r="AE15">
            <v>19.507200000000001</v>
          </cell>
          <cell r="AF15">
            <v>775.92777777777769</v>
          </cell>
          <cell r="AG15">
            <v>98.410980222634834</v>
          </cell>
          <cell r="AH15">
            <v>0.81279999999999997</v>
          </cell>
        </row>
        <row r="16">
          <cell r="D16" t="str">
            <v>BLR_501</v>
          </cell>
          <cell r="E16" t="str">
            <v>Boiler #501</v>
          </cell>
          <cell r="F16">
            <v>588412.22012582782</v>
          </cell>
          <cell r="G16">
            <v>6728019.5805581398</v>
          </cell>
          <cell r="H16">
            <v>35.1</v>
          </cell>
          <cell r="I16">
            <v>65</v>
          </cell>
          <cell r="J16">
            <v>600.00800000000015</v>
          </cell>
          <cell r="K16">
            <v>29.86</v>
          </cell>
          <cell r="L16">
            <v>38.400000000000006</v>
          </cell>
          <cell r="M16" t="str">
            <v>Vert</v>
          </cell>
          <cell r="N16" t="str">
            <v>Yes</v>
          </cell>
          <cell r="O16">
            <v>24</v>
          </cell>
          <cell r="P16">
            <v>8760</v>
          </cell>
          <cell r="Q16">
            <v>0.59219007777777777</v>
          </cell>
          <cell r="R16">
            <v>0.59219007777777777</v>
          </cell>
          <cell r="S16">
            <v>3.0000130589270019E-3</v>
          </cell>
          <cell r="T16">
            <v>3.0000130589270019E-3</v>
          </cell>
          <cell r="U16">
            <v>3.0000130589270019E-3</v>
          </cell>
          <cell r="V16">
            <v>3.0000130589270019E-3</v>
          </cell>
          <cell r="W16">
            <v>0.49743966533333345</v>
          </cell>
          <cell r="X16">
            <v>0.49743966533333345</v>
          </cell>
          <cell r="Y16">
            <v>4.5006445911111116E-2</v>
          </cell>
          <cell r="Z16">
            <v>4.5006445911111116E-2</v>
          </cell>
          <cell r="AA16">
            <v>4.5006445911111116E-2</v>
          </cell>
          <cell r="AB16">
            <v>4.5006445911111116E-2</v>
          </cell>
          <cell r="AE16">
            <v>19.812000000000001</v>
          </cell>
          <cell r="AF16">
            <v>588.71</v>
          </cell>
          <cell r="AG16">
            <v>9.1013280000000005</v>
          </cell>
          <cell r="AH16">
            <v>0.97536000000000023</v>
          </cell>
        </row>
        <row r="17">
          <cell r="D17" t="str">
            <v>BLR_502</v>
          </cell>
          <cell r="E17" t="str">
            <v>Boiler #502</v>
          </cell>
          <cell r="F17">
            <v>588417.39997334708</v>
          </cell>
          <cell r="G17">
            <v>6728019.7153106444</v>
          </cell>
          <cell r="H17">
            <v>35.1</v>
          </cell>
          <cell r="I17">
            <v>65</v>
          </cell>
          <cell r="J17">
            <v>600.00800000000015</v>
          </cell>
          <cell r="K17">
            <v>29.86</v>
          </cell>
          <cell r="L17">
            <v>38.400000000000006</v>
          </cell>
          <cell r="M17" t="str">
            <v>Vert</v>
          </cell>
          <cell r="N17" t="str">
            <v>Yes</v>
          </cell>
          <cell r="O17">
            <v>24</v>
          </cell>
          <cell r="P17">
            <v>8760</v>
          </cell>
          <cell r="Q17">
            <v>0.59219007777777777</v>
          </cell>
          <cell r="R17">
            <v>0.59219007777777777</v>
          </cell>
          <cell r="S17">
            <v>3.0000130589270019E-3</v>
          </cell>
          <cell r="T17">
            <v>3.0000130589270019E-3</v>
          </cell>
          <cell r="U17">
            <v>3.0000130589270019E-3</v>
          </cell>
          <cell r="V17">
            <v>3.0000130589270019E-3</v>
          </cell>
          <cell r="W17">
            <v>0.49743966533333345</v>
          </cell>
          <cell r="X17">
            <v>0.49743966533333345</v>
          </cell>
          <cell r="Y17">
            <v>4.5006445911111116E-2</v>
          </cell>
          <cell r="Z17">
            <v>4.5006445911111116E-2</v>
          </cell>
          <cell r="AA17">
            <v>4.5006445911111116E-2</v>
          </cell>
          <cell r="AB17">
            <v>4.5006445911111116E-2</v>
          </cell>
          <cell r="AE17">
            <v>19.812000000000001</v>
          </cell>
          <cell r="AF17">
            <v>588.71</v>
          </cell>
          <cell r="AG17">
            <v>9.1013280000000005</v>
          </cell>
          <cell r="AH17">
            <v>0.97536000000000023</v>
          </cell>
        </row>
        <row r="18">
          <cell r="D18" t="str">
            <v>BLR_511</v>
          </cell>
          <cell r="E18" t="str">
            <v>Boiler #5011</v>
          </cell>
          <cell r="F18">
            <v>588422.57982086635</v>
          </cell>
          <cell r="G18">
            <v>6728019.8500631489</v>
          </cell>
          <cell r="H18">
            <v>35.1</v>
          </cell>
          <cell r="I18">
            <v>65</v>
          </cell>
          <cell r="J18">
            <v>600.00800000000015</v>
          </cell>
          <cell r="K18">
            <v>29.86</v>
          </cell>
          <cell r="L18">
            <v>38.400000000000006</v>
          </cell>
          <cell r="M18" t="str">
            <v>Vert</v>
          </cell>
          <cell r="N18" t="str">
            <v>Yes</v>
          </cell>
          <cell r="O18">
            <v>24</v>
          </cell>
          <cell r="P18">
            <v>8760</v>
          </cell>
          <cell r="Q18">
            <v>0.57581035222222243</v>
          </cell>
          <cell r="R18">
            <v>0.57581035222222243</v>
          </cell>
          <cell r="S18">
            <v>2.9170339743183819E-3</v>
          </cell>
          <cell r="T18">
            <v>2.9170339743183819E-3</v>
          </cell>
          <cell r="U18">
            <v>2.9170339743183819E-3</v>
          </cell>
          <cell r="V18">
            <v>2.9170339743183819E-3</v>
          </cell>
          <cell r="W18">
            <v>0.48368069586666679</v>
          </cell>
          <cell r="X18">
            <v>0.48368069586666679</v>
          </cell>
          <cell r="Y18">
            <v>4.3761586768888895E-2</v>
          </cell>
          <cell r="Z18">
            <v>4.3761586768888895E-2</v>
          </cell>
          <cell r="AA18">
            <v>4.3761586768888895E-2</v>
          </cell>
          <cell r="AB18">
            <v>4.3761586768888895E-2</v>
          </cell>
          <cell r="AE18">
            <v>19.812000000000001</v>
          </cell>
          <cell r="AF18">
            <v>588.71</v>
          </cell>
          <cell r="AG18">
            <v>9.1013280000000005</v>
          </cell>
          <cell r="AH18">
            <v>0.97536000000000023</v>
          </cell>
        </row>
        <row r="19">
          <cell r="D19" t="str">
            <v>E_GEN</v>
          </cell>
          <cell r="E19" t="str">
            <v>Emergency Generator</v>
          </cell>
          <cell r="F19">
            <v>588407.47770000005</v>
          </cell>
          <cell r="G19">
            <v>6728012.5554</v>
          </cell>
          <cell r="H19">
            <v>35</v>
          </cell>
          <cell r="I19">
            <v>20.5</v>
          </cell>
          <cell r="J19">
            <v>620.33000000000004</v>
          </cell>
          <cell r="K19">
            <v>128.9</v>
          </cell>
          <cell r="L19">
            <v>9.6000000000000014</v>
          </cell>
          <cell r="M19" t="str">
            <v>Vert</v>
          </cell>
          <cell r="N19" t="str">
            <v>No</v>
          </cell>
          <cell r="O19">
            <v>24</v>
          </cell>
          <cell r="P19">
            <v>500</v>
          </cell>
          <cell r="Q19">
            <v>0.10463757897545663</v>
          </cell>
          <cell r="R19">
            <v>0.10463757897545663</v>
          </cell>
          <cell r="S19">
            <v>1.207261918953938E-2</v>
          </cell>
          <cell r="T19">
            <v>0.21151228820072993</v>
          </cell>
          <cell r="U19">
            <v>0.21151228820072993</v>
          </cell>
          <cell r="V19">
            <v>1.207261918953938E-2</v>
          </cell>
          <cell r="W19">
            <v>0.39503588912199999</v>
          </cell>
          <cell r="X19">
            <v>0.39503588912199999</v>
          </cell>
          <cell r="Y19">
            <v>0.13010164013</v>
          </cell>
          <cell r="Z19">
            <v>7.4258927014840192E-3</v>
          </cell>
          <cell r="AA19">
            <v>0.13010164013</v>
          </cell>
          <cell r="AB19">
            <v>7.4258927014840192E-3</v>
          </cell>
          <cell r="AE19">
            <v>6.2484000000000002</v>
          </cell>
          <cell r="AF19">
            <v>600</v>
          </cell>
          <cell r="AG19">
            <v>39.288719999999998</v>
          </cell>
          <cell r="AH19">
            <v>0.24384000000000006</v>
          </cell>
        </row>
        <row r="20">
          <cell r="D20" t="str">
            <v>FW_PUMP2</v>
          </cell>
          <cell r="E20" t="str">
            <v>Fire Water Pump #2</v>
          </cell>
          <cell r="F20">
            <v>588246.69240000006</v>
          </cell>
          <cell r="G20">
            <v>6727999.7712000003</v>
          </cell>
          <cell r="H20">
            <v>35</v>
          </cell>
          <cell r="I20">
            <v>13</v>
          </cell>
          <cell r="J20">
            <v>620.33000000000004</v>
          </cell>
          <cell r="K20">
            <v>128.9</v>
          </cell>
          <cell r="L20">
            <v>9.6000000000000014</v>
          </cell>
          <cell r="M20" t="str">
            <v>Horiz</v>
          </cell>
          <cell r="N20" t="str">
            <v>n/a</v>
          </cell>
          <cell r="O20">
            <v>24</v>
          </cell>
          <cell r="P20">
            <v>120</v>
          </cell>
          <cell r="Q20">
            <v>2.0064732305936077E-2</v>
          </cell>
          <cell r="R20">
            <v>2.0064732305936077E-2</v>
          </cell>
          <cell r="S20">
            <v>2.3149797103622976E-3</v>
          </cell>
          <cell r="T20">
            <v>0.1689935188564477</v>
          </cell>
          <cell r="U20">
            <v>0.1689935188564477</v>
          </cell>
          <cell r="V20">
            <v>2.3149797103622976E-3</v>
          </cell>
          <cell r="W20">
            <v>0.31562471166666667</v>
          </cell>
          <cell r="X20">
            <v>0.31562471166666667</v>
          </cell>
          <cell r="Y20">
            <v>0.10394825833333336</v>
          </cell>
          <cell r="Z20">
            <v>1.4239487442922378E-3</v>
          </cell>
          <cell r="AA20">
            <v>0.10394825833333336</v>
          </cell>
          <cell r="AB20">
            <v>1.4239487442922378E-3</v>
          </cell>
          <cell r="AE20">
            <v>3.9624000000000001</v>
          </cell>
          <cell r="AF20">
            <v>600</v>
          </cell>
          <cell r="AG20">
            <v>39.288719999999998</v>
          </cell>
          <cell r="AH20">
            <v>0.24384000000000006</v>
          </cell>
        </row>
        <row r="21">
          <cell r="D21" t="str">
            <v>FW_PUMP3</v>
          </cell>
          <cell r="E21" t="str">
            <v>Fire Water Pump #3</v>
          </cell>
          <cell r="F21">
            <v>588246.64850000001</v>
          </cell>
          <cell r="G21">
            <v>6728001.4697000002</v>
          </cell>
          <cell r="H21">
            <v>35</v>
          </cell>
          <cell r="I21">
            <v>13</v>
          </cell>
          <cell r="J21">
            <v>620.33000000000004</v>
          </cell>
          <cell r="K21">
            <v>128.9</v>
          </cell>
          <cell r="L21">
            <v>9.6000000000000014</v>
          </cell>
          <cell r="M21" t="str">
            <v>Horiz</v>
          </cell>
          <cell r="N21" t="str">
            <v>n/a</v>
          </cell>
          <cell r="O21">
            <v>24</v>
          </cell>
          <cell r="P21">
            <v>120</v>
          </cell>
          <cell r="Q21">
            <v>2.0064732305936077E-2</v>
          </cell>
          <cell r="R21">
            <v>2.0064732305936077E-2</v>
          </cell>
          <cell r="S21">
            <v>2.3149797103622976E-3</v>
          </cell>
          <cell r="T21">
            <v>0.1689935188564477</v>
          </cell>
          <cell r="U21">
            <v>0.1689935188564477</v>
          </cell>
          <cell r="V21">
            <v>2.3149797103622976E-3</v>
          </cell>
          <cell r="W21">
            <v>0.31562471166666667</v>
          </cell>
          <cell r="X21">
            <v>0.31562471166666667</v>
          </cell>
          <cell r="Y21">
            <v>0.10394825833333336</v>
          </cell>
          <cell r="Z21">
            <v>1.4239487442922378E-3</v>
          </cell>
          <cell r="AA21">
            <v>0.10394825833333336</v>
          </cell>
          <cell r="AB21">
            <v>1.4239487442922378E-3</v>
          </cell>
          <cell r="AE21">
            <v>3.9624000000000001</v>
          </cell>
          <cell r="AF21">
            <v>600</v>
          </cell>
          <cell r="AG21">
            <v>39.288719999999998</v>
          </cell>
          <cell r="AH21">
            <v>0.24384000000000006</v>
          </cell>
        </row>
        <row r="22">
          <cell r="D22" t="str">
            <v>FW_PUMP4</v>
          </cell>
          <cell r="E22" t="str">
            <v>Fire Water Pump #4</v>
          </cell>
          <cell r="F22">
            <v>588246.50560000003</v>
          </cell>
          <cell r="G22">
            <v>6728007.0060000001</v>
          </cell>
          <cell r="H22">
            <v>35</v>
          </cell>
          <cell r="I22">
            <v>13</v>
          </cell>
          <cell r="J22">
            <v>620.33000000000004</v>
          </cell>
          <cell r="K22">
            <v>128.9</v>
          </cell>
          <cell r="L22">
            <v>9.6000000000000014</v>
          </cell>
          <cell r="M22" t="str">
            <v>Horiz</v>
          </cell>
          <cell r="N22" t="str">
            <v>n/a</v>
          </cell>
          <cell r="O22">
            <v>24</v>
          </cell>
          <cell r="P22">
            <v>120</v>
          </cell>
          <cell r="Q22">
            <v>1.2359875100456622E-2</v>
          </cell>
          <cell r="R22">
            <v>1.2359875100456622E-2</v>
          </cell>
          <cell r="S22">
            <v>1.426027501583175E-3</v>
          </cell>
          <cell r="T22">
            <v>0.10410000761557178</v>
          </cell>
          <cell r="U22">
            <v>0.10410000761557178</v>
          </cell>
          <cell r="V22">
            <v>1.426027501583175E-3</v>
          </cell>
          <cell r="W22">
            <v>0.19442482238666667</v>
          </cell>
          <cell r="X22">
            <v>0.19442482238666667</v>
          </cell>
          <cell r="Y22">
            <v>6.4032127133333339E-2</v>
          </cell>
          <cell r="Z22">
            <v>8.7715242648401831E-4</v>
          </cell>
          <cell r="AA22">
            <v>6.4032127133333339E-2</v>
          </cell>
          <cell r="AB22">
            <v>8.7715242648401831E-4</v>
          </cell>
          <cell r="AE22">
            <v>3.9624000000000001</v>
          </cell>
          <cell r="AF22">
            <v>600</v>
          </cell>
          <cell r="AG22">
            <v>39.288719999999998</v>
          </cell>
          <cell r="AH22">
            <v>0.24384000000000006</v>
          </cell>
        </row>
        <row r="23">
          <cell r="D23" t="str">
            <v>FLARE</v>
          </cell>
          <cell r="E23" t="str">
            <v>Safety Flare</v>
          </cell>
          <cell r="F23">
            <v>588187.55850000004</v>
          </cell>
          <cell r="G23">
            <v>6728326.9584999997</v>
          </cell>
          <cell r="H23">
            <v>26.7</v>
          </cell>
          <cell r="I23">
            <v>7.6443569553805775</v>
          </cell>
          <cell r="J23">
            <v>1831.73</v>
          </cell>
          <cell r="K23">
            <v>65.62</v>
          </cell>
          <cell r="L23">
            <v>17.755905511811022</v>
          </cell>
          <cell r="M23" t="str">
            <v>Horiz</v>
          </cell>
          <cell r="N23" t="str">
            <v>n/a</v>
          </cell>
          <cell r="O23">
            <v>24</v>
          </cell>
          <cell r="P23">
            <v>8760</v>
          </cell>
          <cell r="Q23">
            <v>6.4552343074581436E-2</v>
          </cell>
          <cell r="R23">
            <v>6.4552343074581436E-2</v>
          </cell>
          <cell r="S23">
            <v>4.8091144925964754E-4</v>
          </cell>
          <cell r="T23">
            <v>4.8091144925964754E-4</v>
          </cell>
          <cell r="U23">
            <v>4.8091144925964754E-4</v>
          </cell>
          <cell r="V23">
            <v>4.8091144925964754E-4</v>
          </cell>
          <cell r="W23">
            <v>0.35124069025875188</v>
          </cell>
          <cell r="X23">
            <v>0.35124069025875188</v>
          </cell>
          <cell r="Y23">
            <v>2.5061497899543379E-2</v>
          </cell>
          <cell r="Z23">
            <v>2.5061497899543379E-2</v>
          </cell>
          <cell r="AA23">
            <v>2.5061497899543379E-2</v>
          </cell>
          <cell r="AB23">
            <v>2.5061497899543379E-2</v>
          </cell>
          <cell r="AE23">
            <v>2.33</v>
          </cell>
          <cell r="AF23">
            <v>1273</v>
          </cell>
          <cell r="AG23">
            <v>20.000976000000001</v>
          </cell>
          <cell r="AH23">
            <v>0.45100000000000001</v>
          </cell>
        </row>
        <row r="24">
          <cell r="D24" t="str">
            <v>SHIP</v>
          </cell>
          <cell r="E24" t="str">
            <v>LNG Transport</v>
          </cell>
          <cell r="F24">
            <v>587604.68960000004</v>
          </cell>
          <cell r="G24">
            <v>6727840.8366</v>
          </cell>
          <cell r="H24">
            <v>0</v>
          </cell>
          <cell r="I24">
            <v>131.23359580052494</v>
          </cell>
          <cell r="J24">
            <v>301.73000000000008</v>
          </cell>
          <cell r="K24">
            <v>17.39</v>
          </cell>
          <cell r="L24">
            <v>47.244094488188971</v>
          </cell>
          <cell r="M24" t="str">
            <v>Vert</v>
          </cell>
          <cell r="N24" t="str">
            <v>No</v>
          </cell>
          <cell r="O24">
            <v>24</v>
          </cell>
          <cell r="P24">
            <v>8760</v>
          </cell>
          <cell r="AE24">
            <v>40</v>
          </cell>
          <cell r="AF24">
            <v>423</v>
          </cell>
          <cell r="AG24">
            <v>5.3004720000000001</v>
          </cell>
          <cell r="AH24">
            <v>1.1999999999999997</v>
          </cell>
        </row>
      </sheetData>
      <sheetData sheetId="4"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Flow Chart"/>
      <sheetName val="Internal Revision"/>
      <sheetName val="Issues"/>
      <sheetName val="Assumptions"/>
      <sheetName val="Low Load Adjustment"/>
      <sheetName val="ICE Fleeting"/>
      <sheetName val="IC Engine Category"/>
      <sheetName val="ICE Emission Factors"/>
      <sheetName val="Summary"/>
      <sheetName val="Summary for Modeling"/>
      <sheetName val="1 Ship Scenario"/>
      <sheetName val="2 Ship Scenario "/>
      <sheetName val="Summary for Modeling-2Ship"/>
      <sheetName val="Main Engines IC - Normal"/>
      <sheetName val="Main Engines S - Normal"/>
      <sheetName val="Tugs 90-Ton IC - Normal"/>
      <sheetName val="Tugs 120-Ton IC - Normal"/>
      <sheetName val="Tugs 90-Ton S - Normal"/>
      <sheetName val="Tugs 120-Ton S - Normal"/>
      <sheetName val="Main Engines IC - Warm"/>
      <sheetName val="Tugs 90-Ton IC - Warm"/>
      <sheetName val="Tugs 120-Ton IC - Warm"/>
      <sheetName val="Main Engines S - Warm"/>
      <sheetName val="Tugs 90-Ton S - Warm"/>
      <sheetName val="Tugs 120-Ton S - Warm"/>
      <sheetName val="Crew Boat"/>
      <sheetName val="Supply Boa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4">
          <cell r="F14">
            <v>5.2888888888888896</v>
          </cell>
          <cell r="I14">
            <v>1.0404520025418402</v>
          </cell>
          <cell r="J14">
            <v>0.90249999999999986</v>
          </cell>
          <cell r="M14">
            <v>2.6982069723919568E-2</v>
          </cell>
          <cell r="P14">
            <v>0.19902199074074076</v>
          </cell>
          <cell r="Q14">
            <v>4.3642203725032656E-2</v>
          </cell>
          <cell r="R14">
            <v>6.9444444444444446</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sion History"/>
      <sheetName val="point_params"/>
      <sheetName val="master"/>
    </sheetNames>
    <sheetDataSet>
      <sheetData sheetId="0" refreshError="1"/>
      <sheetData sheetId="1">
        <row r="9">
          <cell r="D9">
            <v>13001</v>
          </cell>
          <cell r="E9" t="str">
            <v>Shell Middle Ground Shoal Onshore Facility</v>
          </cell>
          <cell r="F9">
            <v>589539.4</v>
          </cell>
          <cell r="G9">
            <v>6734383.7000000002</v>
          </cell>
          <cell r="H9">
            <v>50</v>
          </cell>
          <cell r="I9">
            <v>16.404199475065617</v>
          </cell>
          <cell r="J9">
            <v>440.33000000000004</v>
          </cell>
          <cell r="K9">
            <v>65.616797900262469</v>
          </cell>
          <cell r="L9">
            <v>39.370078740157481</v>
          </cell>
          <cell r="N9" t="str">
            <v>Vert</v>
          </cell>
          <cell r="O9" t="str">
            <v>No</v>
          </cell>
          <cell r="P9">
            <v>0.4788</v>
          </cell>
          <cell r="Q9">
            <v>0.4788</v>
          </cell>
          <cell r="R9">
            <v>3.3099999999999997E-2</v>
          </cell>
          <cell r="S9">
            <v>3.3099999999999997E-2</v>
          </cell>
          <cell r="T9">
            <v>5.1999999999999998E-3</v>
          </cell>
          <cell r="U9">
            <v>5.1999999999999998E-3</v>
          </cell>
          <cell r="V9">
            <v>5.1999999999999998E-3</v>
          </cell>
          <cell r="W9">
            <v>5.1999999999999998E-3</v>
          </cell>
          <cell r="X9">
            <v>0.1399</v>
          </cell>
          <cell r="Y9">
            <v>0.1399</v>
          </cell>
          <cell r="Z9">
            <v>5</v>
          </cell>
          <cell r="AA9">
            <v>500</v>
          </cell>
          <cell r="AB9">
            <v>20</v>
          </cell>
          <cell r="AC9">
            <v>1</v>
          </cell>
          <cell r="AD9">
            <v>0.5</v>
          </cell>
        </row>
        <row r="10">
          <cell r="D10">
            <v>15001</v>
          </cell>
          <cell r="E10" t="str">
            <v>Shell Platform C</v>
          </cell>
          <cell r="F10">
            <v>581223.4</v>
          </cell>
          <cell r="G10">
            <v>6736992.7000000002</v>
          </cell>
          <cell r="H10">
            <v>0</v>
          </cell>
          <cell r="I10">
            <v>90.223097112860899</v>
          </cell>
          <cell r="J10">
            <v>1070.3300000000002</v>
          </cell>
          <cell r="K10">
            <v>82.020997375328079</v>
          </cell>
          <cell r="L10">
            <v>39.370078740157481</v>
          </cell>
          <cell r="N10" t="str">
            <v>Vert</v>
          </cell>
          <cell r="O10" t="str">
            <v>No</v>
          </cell>
          <cell r="P10">
            <v>26.890699999999999</v>
          </cell>
          <cell r="Q10">
            <v>26.890699999999999</v>
          </cell>
          <cell r="R10">
            <v>0.19839999999999999</v>
          </cell>
          <cell r="S10">
            <v>0.19839999999999999</v>
          </cell>
          <cell r="T10">
            <v>1.0457000000000001</v>
          </cell>
          <cell r="U10">
            <v>1.0457000000000001</v>
          </cell>
          <cell r="V10">
            <v>1.0457000000000001</v>
          </cell>
          <cell r="W10">
            <v>1.0457000000000001</v>
          </cell>
          <cell r="X10">
            <v>2.5861000000000001</v>
          </cell>
          <cell r="Y10">
            <v>2.5861000000000001</v>
          </cell>
          <cell r="Z10">
            <v>27.5</v>
          </cell>
          <cell r="AA10">
            <v>850</v>
          </cell>
          <cell r="AB10">
            <v>25</v>
          </cell>
          <cell r="AC10">
            <v>1</v>
          </cell>
          <cell r="AD10">
            <v>0.5</v>
          </cell>
        </row>
        <row r="11">
          <cell r="D11">
            <v>18001</v>
          </cell>
          <cell r="E11" t="str">
            <v>Bernice Lake Power Station - Natural Gas Turbine 1</v>
          </cell>
          <cell r="F11">
            <v>587989.4</v>
          </cell>
          <cell r="G11">
            <v>6729683.7000000002</v>
          </cell>
          <cell r="H11">
            <v>35</v>
          </cell>
          <cell r="I11">
            <v>24.278215223097114</v>
          </cell>
          <cell r="J11">
            <v>947.33600000000001</v>
          </cell>
          <cell r="K11">
            <v>99.409448818897644</v>
          </cell>
          <cell r="L11">
            <v>122.04724409448819</v>
          </cell>
          <cell r="N11" t="str">
            <v>Vert</v>
          </cell>
          <cell r="O11" t="str">
            <v>No</v>
          </cell>
          <cell r="P11">
            <v>0</v>
          </cell>
          <cell r="Q11">
            <v>0</v>
          </cell>
          <cell r="R11">
            <v>0</v>
          </cell>
          <cell r="S11">
            <v>0</v>
          </cell>
          <cell r="T11">
            <v>0</v>
          </cell>
          <cell r="U11">
            <v>0</v>
          </cell>
          <cell r="V11">
            <v>0</v>
          </cell>
          <cell r="W11">
            <v>0</v>
          </cell>
          <cell r="X11">
            <v>0</v>
          </cell>
          <cell r="Y11">
            <v>0</v>
          </cell>
          <cell r="Z11">
            <v>7.4</v>
          </cell>
          <cell r="AA11">
            <v>781.67</v>
          </cell>
          <cell r="AB11">
            <v>30.3</v>
          </cell>
          <cell r="AC11">
            <v>3.1</v>
          </cell>
          <cell r="AD11">
            <v>0.5</v>
          </cell>
        </row>
        <row r="12">
          <cell r="D12">
            <v>18002</v>
          </cell>
          <cell r="E12" t="str">
            <v>Bernice Lake Power Station - Natural Gas Turbine 2</v>
          </cell>
          <cell r="F12">
            <v>587989.4</v>
          </cell>
          <cell r="G12">
            <v>6729683.7000000002</v>
          </cell>
          <cell r="H12">
            <v>35</v>
          </cell>
          <cell r="I12">
            <v>49.868766404199476</v>
          </cell>
          <cell r="J12">
            <v>310.73000000000008</v>
          </cell>
          <cell r="K12">
            <v>60.69553805774278</v>
          </cell>
          <cell r="L12">
            <v>90.551181102362207</v>
          </cell>
          <cell r="N12" t="str">
            <v>Vert</v>
          </cell>
          <cell r="O12" t="str">
            <v>No</v>
          </cell>
          <cell r="P12">
            <v>11.318300000000001</v>
          </cell>
          <cell r="Q12">
            <v>11.318300000000001</v>
          </cell>
          <cell r="R12">
            <v>1.0738000000000001</v>
          </cell>
          <cell r="S12">
            <v>1.0738000000000001</v>
          </cell>
          <cell r="T12">
            <v>2.41E-2</v>
          </cell>
          <cell r="U12">
            <v>2.41E-2</v>
          </cell>
          <cell r="V12">
            <v>2.41E-2</v>
          </cell>
          <cell r="W12">
            <v>2.41E-2</v>
          </cell>
          <cell r="X12">
            <v>2.7382</v>
          </cell>
          <cell r="Y12">
            <v>2.7382</v>
          </cell>
          <cell r="Z12">
            <v>15.2</v>
          </cell>
          <cell r="AA12">
            <v>428</v>
          </cell>
          <cell r="AB12">
            <v>18.5</v>
          </cell>
          <cell r="AC12">
            <v>2.2999999999999998</v>
          </cell>
          <cell r="AD12">
            <v>0.5</v>
          </cell>
        </row>
        <row r="13">
          <cell r="D13">
            <v>18003</v>
          </cell>
          <cell r="E13" t="str">
            <v>Bernice Lake Power Station - Natural Gas Turbine 3</v>
          </cell>
          <cell r="F13">
            <v>587989.4</v>
          </cell>
          <cell r="G13">
            <v>6729683.7000000002</v>
          </cell>
          <cell r="H13">
            <v>35</v>
          </cell>
          <cell r="I13">
            <v>35.433070866141733</v>
          </cell>
          <cell r="J13">
            <v>907.73599999999999</v>
          </cell>
          <cell r="K13">
            <v>69.225721784776908</v>
          </cell>
          <cell r="L13">
            <v>153.54330708661416</v>
          </cell>
          <cell r="N13" t="str">
            <v>Vert</v>
          </cell>
          <cell r="O13" t="str">
            <v>No</v>
          </cell>
          <cell r="P13">
            <v>16.394400000000001</v>
          </cell>
          <cell r="Q13">
            <v>16.394400000000001</v>
          </cell>
          <cell r="R13">
            <v>1.3877999999999999</v>
          </cell>
          <cell r="S13">
            <v>1.3877999999999999</v>
          </cell>
          <cell r="T13">
            <v>3.0800000000000001E-2</v>
          </cell>
          <cell r="U13">
            <v>3.0800000000000001E-2</v>
          </cell>
          <cell r="V13">
            <v>3.0800000000000001E-2</v>
          </cell>
          <cell r="W13">
            <v>3.0800000000000001E-2</v>
          </cell>
          <cell r="X13">
            <v>3.5314000000000001</v>
          </cell>
          <cell r="Y13">
            <v>3.5314000000000001</v>
          </cell>
          <cell r="Z13">
            <v>10.8</v>
          </cell>
          <cell r="AA13">
            <v>759.67</v>
          </cell>
          <cell r="AB13">
            <v>21.1</v>
          </cell>
          <cell r="AC13">
            <v>3.9</v>
          </cell>
          <cell r="AD13">
            <v>0.5</v>
          </cell>
        </row>
        <row r="14">
          <cell r="D14">
            <v>18004</v>
          </cell>
          <cell r="E14" t="str">
            <v>Bernice Lake Power Station - Natural Gas Turbine 4</v>
          </cell>
          <cell r="F14">
            <v>587989.4</v>
          </cell>
          <cell r="G14">
            <v>6729683.7000000002</v>
          </cell>
          <cell r="H14">
            <v>35</v>
          </cell>
          <cell r="I14">
            <v>35.433070866141733</v>
          </cell>
          <cell r="J14">
            <v>907.73599999999999</v>
          </cell>
          <cell r="K14">
            <v>69.225721784776908</v>
          </cell>
          <cell r="L14">
            <v>153.54330708661416</v>
          </cell>
          <cell r="N14" t="str">
            <v>Vert</v>
          </cell>
          <cell r="O14" t="str">
            <v>No</v>
          </cell>
          <cell r="P14">
            <v>16.394400000000001</v>
          </cell>
          <cell r="Q14">
            <v>16.394400000000001</v>
          </cell>
          <cell r="R14">
            <v>1.3877999999999999</v>
          </cell>
          <cell r="S14">
            <v>1.3877999999999999</v>
          </cell>
          <cell r="T14">
            <v>3.1199999999999999E-2</v>
          </cell>
          <cell r="U14">
            <v>3.1199999999999999E-2</v>
          </cell>
          <cell r="V14">
            <v>3.1199999999999999E-2</v>
          </cell>
          <cell r="W14">
            <v>3.1199999999999999E-2</v>
          </cell>
          <cell r="X14">
            <v>3.5314000000000001</v>
          </cell>
          <cell r="Y14">
            <v>3.5314000000000001</v>
          </cell>
          <cell r="Z14">
            <v>10.8</v>
          </cell>
          <cell r="AA14">
            <v>759.67</v>
          </cell>
          <cell r="AB14">
            <v>21.1</v>
          </cell>
          <cell r="AC14">
            <v>3.9</v>
          </cell>
          <cell r="AD14">
            <v>0.5</v>
          </cell>
        </row>
        <row r="15">
          <cell r="D15">
            <v>50001</v>
          </cell>
          <cell r="E15" t="str">
            <v>KPL Marine Loading Terminal - Firewater Pump 1</v>
          </cell>
          <cell r="F15">
            <v>588017</v>
          </cell>
          <cell r="G15">
            <v>6728912</v>
          </cell>
          <cell r="H15">
            <v>22.1</v>
          </cell>
          <cell r="I15">
            <v>12.139107611548557</v>
          </cell>
          <cell r="J15">
            <v>620.33000000000004</v>
          </cell>
          <cell r="K15">
            <v>219.81627296587928</v>
          </cell>
          <cell r="L15">
            <v>3.9370078740157481</v>
          </cell>
          <cell r="N15" t="str">
            <v>Vert</v>
          </cell>
          <cell r="O15" t="str">
            <v>No</v>
          </cell>
          <cell r="P15">
            <v>2.76E-2</v>
          </cell>
          <cell r="Q15">
            <v>2.76E-2</v>
          </cell>
          <cell r="R15">
            <v>1.5E-3</v>
          </cell>
          <cell r="S15">
            <v>1.5E-3</v>
          </cell>
          <cell r="T15">
            <v>3.0000000000000001E-3</v>
          </cell>
          <cell r="U15">
            <v>3.0000000000000001E-3</v>
          </cell>
          <cell r="V15">
            <v>3.0000000000000001E-3</v>
          </cell>
          <cell r="W15">
            <v>3.0000000000000001E-3</v>
          </cell>
          <cell r="X15">
            <v>3.5999999999999999E-3</v>
          </cell>
          <cell r="Y15">
            <v>3.5999999999999999E-3</v>
          </cell>
          <cell r="Z15">
            <v>3.7</v>
          </cell>
          <cell r="AA15">
            <v>600</v>
          </cell>
          <cell r="AB15">
            <v>67</v>
          </cell>
          <cell r="AC15">
            <v>0.1</v>
          </cell>
          <cell r="AD15">
            <v>0.5</v>
          </cell>
        </row>
        <row r="16">
          <cell r="D16">
            <v>50002</v>
          </cell>
          <cell r="E16" t="str">
            <v>KPL Marine Loading Terminal - Firewater Pump 2</v>
          </cell>
          <cell r="F16">
            <v>588017</v>
          </cell>
          <cell r="G16">
            <v>6728908</v>
          </cell>
          <cell r="H16">
            <v>22.1</v>
          </cell>
          <cell r="I16">
            <v>12.139107611548557</v>
          </cell>
          <cell r="J16">
            <v>620.33000000000004</v>
          </cell>
          <cell r="K16">
            <v>219.81627296587928</v>
          </cell>
          <cell r="L16">
            <v>3.9370078740157481</v>
          </cell>
          <cell r="N16" t="str">
            <v>Vert</v>
          </cell>
          <cell r="O16" t="str">
            <v>No</v>
          </cell>
          <cell r="P16">
            <v>2.76E-2</v>
          </cell>
          <cell r="Q16">
            <v>2.76E-2</v>
          </cell>
          <cell r="R16">
            <v>1.5E-3</v>
          </cell>
          <cell r="S16">
            <v>1.5E-3</v>
          </cell>
          <cell r="T16">
            <v>3.0000000000000001E-3</v>
          </cell>
          <cell r="U16">
            <v>3.0000000000000001E-3</v>
          </cell>
          <cell r="V16">
            <v>3.0000000000000001E-3</v>
          </cell>
          <cell r="W16">
            <v>3.0000000000000001E-3</v>
          </cell>
          <cell r="X16">
            <v>3.5999999999999999E-3</v>
          </cell>
          <cell r="Y16">
            <v>3.5999999999999999E-3</v>
          </cell>
          <cell r="Z16">
            <v>3.7</v>
          </cell>
          <cell r="AA16">
            <v>600</v>
          </cell>
          <cell r="AB16">
            <v>67</v>
          </cell>
          <cell r="AC16">
            <v>0.1</v>
          </cell>
          <cell r="AD16">
            <v>0.5</v>
          </cell>
        </row>
        <row r="17">
          <cell r="D17">
            <v>50003</v>
          </cell>
          <cell r="E17" t="str">
            <v>KPL Marine Loading Terminal - SVE Control Device</v>
          </cell>
          <cell r="F17">
            <v>588284</v>
          </cell>
          <cell r="G17">
            <v>6728816</v>
          </cell>
          <cell r="H17">
            <v>30</v>
          </cell>
          <cell r="I17">
            <v>16.404199475065617</v>
          </cell>
          <cell r="J17">
            <v>620.33000000000004</v>
          </cell>
          <cell r="K17">
            <v>32.808398950131235</v>
          </cell>
          <cell r="L17">
            <v>3.9370078740157481</v>
          </cell>
          <cell r="N17" t="str">
            <v>Vert</v>
          </cell>
          <cell r="O17" t="str">
            <v>No</v>
          </cell>
          <cell r="P17">
            <v>2.5000000000000001E-3</v>
          </cell>
          <cell r="Q17">
            <v>2.5000000000000001E-3</v>
          </cell>
          <cell r="R17">
            <v>2.0000000000000001E-4</v>
          </cell>
          <cell r="S17">
            <v>2.0000000000000001E-4</v>
          </cell>
          <cell r="T17">
            <v>0</v>
          </cell>
          <cell r="U17">
            <v>0</v>
          </cell>
          <cell r="V17">
            <v>0</v>
          </cell>
          <cell r="W17">
            <v>0</v>
          </cell>
          <cell r="X17">
            <v>2.0999999999999999E-3</v>
          </cell>
          <cell r="Y17">
            <v>2.0999999999999999E-3</v>
          </cell>
          <cell r="Z17">
            <v>5</v>
          </cell>
          <cell r="AA17">
            <v>600</v>
          </cell>
          <cell r="AB17">
            <v>10</v>
          </cell>
          <cell r="AC17">
            <v>0.1</v>
          </cell>
          <cell r="AD17">
            <v>0.5</v>
          </cell>
        </row>
        <row r="18">
          <cell r="D18">
            <v>50004</v>
          </cell>
          <cell r="E18" t="str">
            <v>KPL Marine Loading Terminal - Boiler</v>
          </cell>
          <cell r="F18">
            <v>587994</v>
          </cell>
          <cell r="G18">
            <v>6729144</v>
          </cell>
          <cell r="H18">
            <v>20</v>
          </cell>
          <cell r="I18">
            <v>14.402887139107612</v>
          </cell>
          <cell r="J18">
            <v>1399.73</v>
          </cell>
          <cell r="K18">
            <v>26.5748031496063</v>
          </cell>
          <cell r="L18">
            <v>14.173228346456693</v>
          </cell>
          <cell r="N18" t="str">
            <v>Vert</v>
          </cell>
          <cell r="O18" t="str">
            <v>No</v>
          </cell>
          <cell r="P18">
            <v>0.13589999999999999</v>
          </cell>
          <cell r="Q18">
            <v>0.13589999999999999</v>
          </cell>
          <cell r="R18">
            <v>9.7000000000000003E-3</v>
          </cell>
          <cell r="S18">
            <v>9.7000000000000003E-3</v>
          </cell>
          <cell r="T18">
            <v>2.0999999999999999E-3</v>
          </cell>
          <cell r="U18">
            <v>2.0999999999999999E-3</v>
          </cell>
          <cell r="V18">
            <v>2.0999999999999999E-3</v>
          </cell>
          <cell r="W18">
            <v>2.0999999999999999E-3</v>
          </cell>
          <cell r="X18">
            <v>0.1138</v>
          </cell>
          <cell r="Y18">
            <v>0.1138</v>
          </cell>
          <cell r="Z18">
            <v>4.3899999999999997</v>
          </cell>
          <cell r="AA18">
            <v>1033</v>
          </cell>
          <cell r="AB18">
            <v>8.1</v>
          </cell>
          <cell r="AC18">
            <v>0.36</v>
          </cell>
          <cell r="AD18">
            <v>0.5</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 7FA NG - 100%"/>
      <sheetName val="GE 7FA NG - 75%"/>
      <sheetName val="GE 7FA NG - 50%"/>
      <sheetName val="GE 7FA Oil - 100%"/>
      <sheetName val="GE 7FA Oil - 75%"/>
      <sheetName val="GE 7FA Oil - 50%"/>
      <sheetName val="Air Cooling Calculation"/>
      <sheetName val="Enthalpy of Air"/>
      <sheetName val="CTG NG Hourly Emissions"/>
      <sheetName val="CTG Oil Hourly Emissions"/>
      <sheetName val="CTG Annual Emissions"/>
      <sheetName val="Permit Limits"/>
      <sheetName val=" Project Hourly Emissions"/>
      <sheetName val=" Project Annual Emissions"/>
      <sheetName val="NSPS Standard"/>
      <sheetName val="NGHeater"/>
      <sheetName val="Cooling Tower"/>
      <sheetName val="Main Tank"/>
      <sheetName val="Day Tank"/>
      <sheetName val="Paved Road"/>
      <sheetName val="GE7FA Modeling Summary"/>
      <sheetName val="Modeling Data"/>
      <sheetName val="Summary of HAPs"/>
      <sheetName val="Turbines - Gas - 3500 hr"/>
      <sheetName val="Turbines - Gas - 2500 hr"/>
      <sheetName val="Turbines - Oil - 1000 hr"/>
      <sheetName val="Fuel Heater HAPs"/>
      <sheetName val="AP-42 Modifi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Basis"/>
      <sheetName val="Sketch"/>
      <sheetName val="Worksheet"/>
      <sheetName val=" Rev. Notes"/>
      <sheetName val="pumpdata"/>
      <sheetName val=" input"/>
      <sheetName val="pumpcalc"/>
      <sheetName val=" Control Path"/>
      <sheetName val=" ALT. Path #1"/>
      <sheetName val=" ALT. Path #2"/>
      <sheetName val="Dialog1"/>
      <sheetName val="Module1"/>
      <sheetName val="Modul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Page 2"/>
      <sheetName val="Page 3"/>
      <sheetName val="Page 4"/>
      <sheetName val="Page 1"/>
      <sheetName val="Module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Specs"/>
      <sheetName val="Lookup"/>
      <sheetName val="Shallow"/>
      <sheetName val="vertical"/>
      <sheetName val="horizontal"/>
      <sheetName val="Revision History"/>
      <sheetName val="WHRU_point_params"/>
      <sheetName val="circular_area_params"/>
      <sheetName val="a_params"/>
      <sheetName val="Input_Creator"/>
      <sheetName val="v_params"/>
      <sheetName val="p_params"/>
      <sheetName val="Scenario1_ST"/>
      <sheetName val="Scenario2_ST"/>
      <sheetName val="Scenario3_ST"/>
      <sheetName val="Drill"/>
      <sheetName val="Constr"/>
      <sheetName val="Sheet2"/>
      <sheetName val="Sheet3"/>
      <sheetName val="Copy of AERMOD_input_file_spre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D5" t="str">
            <v>Scenarios</v>
          </cell>
          <cell r="F5" t="str">
            <v>InventoryTable</v>
          </cell>
          <cell r="G5" t="str">
            <v>EmissionsSourceCat</v>
          </cell>
          <cell r="H5" t="str">
            <v>SRCTYPE</v>
          </cell>
          <cell r="K5" t="str">
            <v>SW UTM E (m)</v>
          </cell>
          <cell r="L5" t="str">
            <v>SW UTM N (m)</v>
          </cell>
          <cell r="M5" t="str">
            <v>Elevation (m)</v>
          </cell>
          <cell r="O5" t="str">
            <v>Length of Side X (m)</v>
          </cell>
          <cell r="Q5" t="str">
            <v>Length of Side Y (m)</v>
          </cell>
          <cell r="R5" t="str">
            <v>Area (sq m)</v>
          </cell>
          <cell r="T5" t="str">
            <v>Angle (deg)</v>
          </cell>
          <cell r="U5" t="str">
            <v>Height (m)</v>
          </cell>
          <cell r="V5" t="str">
            <v>Release Height (m)</v>
          </cell>
          <cell r="Y5" t="str">
            <v>NO2_1-hr</v>
          </cell>
          <cell r="Z5" t="str">
            <v>NO2_Ann</v>
          </cell>
          <cell r="AA5" t="str">
            <v>SO2_1-hr</v>
          </cell>
          <cell r="AB5" t="str">
            <v>SO2_3-hr</v>
          </cell>
          <cell r="AC5" t="str">
            <v>SO2_24-hr</v>
          </cell>
          <cell r="AD5" t="str">
            <v>SO2_Ann</v>
          </cell>
          <cell r="AE5" t="str">
            <v>PM10_Ann</v>
          </cell>
          <cell r="AF5" t="str">
            <v>PM10_24-hr</v>
          </cell>
          <cell r="AG5" t="str">
            <v>PM25_Ann</v>
          </cell>
          <cell r="AH5" t="str">
            <v>PM25_24-hr</v>
          </cell>
          <cell r="AI5" t="str">
            <v>CO_1-hr</v>
          </cell>
          <cell r="AJ5" t="str">
            <v>CO_8-hr</v>
          </cell>
          <cell r="AK5" t="str">
            <v>Bz_1-hr</v>
          </cell>
          <cell r="AL5" t="str">
            <v>Bz_Ann</v>
          </cell>
          <cell r="AM5" t="str">
            <v>Tn_1-hr</v>
          </cell>
          <cell r="AN5" t="str">
            <v>Tn_Ann</v>
          </cell>
          <cell r="AO5" t="str">
            <v>EBz_1-hr</v>
          </cell>
          <cell r="AP5" t="str">
            <v>EBz_Ann</v>
          </cell>
          <cell r="AQ5" t="str">
            <v>Xy_1-hr</v>
          </cell>
          <cell r="AR5" t="str">
            <v>Xy_Ann</v>
          </cell>
          <cell r="AS5" t="str">
            <v>nHx_1-hr</v>
          </cell>
          <cell r="AT5" t="str">
            <v>nHx_Ann</v>
          </cell>
          <cell r="AU5" t="str">
            <v>HS</v>
          </cell>
          <cell r="AV5" t="str">
            <v>XINIT</v>
          </cell>
          <cell r="AW5" t="str">
            <v>YINIT</v>
          </cell>
          <cell r="AX5" t="str">
            <v>DEG</v>
          </cell>
          <cell r="AY5" t="str">
            <v>ZINIT</v>
          </cell>
          <cell r="AZ5" t="str">
            <v>EMISFACTOR_Keyword</v>
          </cell>
          <cell r="BA5" t="str">
            <v>EMISFACTORS</v>
          </cell>
        </row>
        <row r="6">
          <cell r="C6" t="str">
            <v>Lookup Info</v>
          </cell>
          <cell r="D6">
            <v>0</v>
          </cell>
          <cell r="E6">
            <v>0</v>
          </cell>
          <cell r="F6">
            <v>0</v>
          </cell>
          <cell r="G6">
            <v>0</v>
          </cell>
          <cell r="H6">
            <v>0</v>
          </cell>
          <cell r="I6">
            <v>0</v>
          </cell>
          <cell r="J6">
            <v>0</v>
          </cell>
          <cell r="K6" t="str">
            <v>Location</v>
          </cell>
          <cell r="L6">
            <v>0</v>
          </cell>
          <cell r="M6">
            <v>0</v>
          </cell>
          <cell r="N6" t="str">
            <v>Physical Parameters</v>
          </cell>
          <cell r="O6">
            <v>0</v>
          </cell>
          <cell r="P6">
            <v>0</v>
          </cell>
          <cell r="Q6">
            <v>0</v>
          </cell>
          <cell r="R6">
            <v>0</v>
          </cell>
          <cell r="S6">
            <v>0</v>
          </cell>
          <cell r="T6">
            <v>0</v>
          </cell>
          <cell r="U6">
            <v>0</v>
          </cell>
          <cell r="V6">
            <v>0</v>
          </cell>
          <cell r="W6" t="str">
            <v>Characteristics</v>
          </cell>
          <cell r="X6">
            <v>0</v>
          </cell>
          <cell r="Y6" t="str">
            <v>Emission Rates (grams/second/square meter)</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t="str">
            <v>Modeled Parameters</v>
          </cell>
          <cell r="AV6">
            <v>0</v>
          </cell>
          <cell r="AW6">
            <v>0</v>
          </cell>
          <cell r="AX6">
            <v>0</v>
          </cell>
          <cell r="AY6">
            <v>0</v>
          </cell>
          <cell r="AZ6">
            <v>0</v>
          </cell>
          <cell r="BA6">
            <v>0</v>
          </cell>
        </row>
        <row r="7">
          <cell r="C7" t="str">
            <v>AERMOD ID</v>
          </cell>
          <cell r="D7" t="str">
            <v>Scenarios</v>
          </cell>
          <cell r="E7" t="str">
            <v>Emission ID</v>
          </cell>
          <cell r="F7">
            <v>0</v>
          </cell>
          <cell r="G7" t="str">
            <v>Source Description</v>
          </cell>
          <cell r="H7" t="str">
            <v>Source Type</v>
          </cell>
          <cell r="I7" t="str">
            <v>Specs Lookup</v>
          </cell>
          <cell r="J7" t="str">
            <v>Location ID</v>
          </cell>
          <cell r="K7" t="str">
            <v>SW UTM E</v>
          </cell>
          <cell r="L7" t="str">
            <v>SW UTM N</v>
          </cell>
          <cell r="M7" t="str">
            <v>Base Elev.</v>
          </cell>
          <cell r="N7" t="str">
            <v>Length</v>
          </cell>
          <cell r="O7">
            <v>0</v>
          </cell>
          <cell r="P7" t="str">
            <v>Width</v>
          </cell>
          <cell r="Q7">
            <v>0</v>
          </cell>
          <cell r="R7" t="str">
            <v>Area</v>
          </cell>
          <cell r="S7">
            <v>0</v>
          </cell>
          <cell r="T7" t="str">
            <v>Angle</v>
          </cell>
          <cell r="U7" t="str">
            <v>Height</v>
          </cell>
          <cell r="V7" t="str">
            <v>Release Hgt</v>
          </cell>
          <cell r="W7" t="str">
            <v>Z</v>
          </cell>
          <cell r="X7">
            <v>0</v>
          </cell>
          <cell r="Y7" t="str">
            <v>NOx</v>
          </cell>
          <cell r="Z7" t="str">
            <v>SO2</v>
          </cell>
          <cell r="AA7">
            <v>0</v>
          </cell>
          <cell r="AB7">
            <v>0</v>
          </cell>
          <cell r="AC7">
            <v>0</v>
          </cell>
          <cell r="AD7">
            <v>0</v>
          </cell>
          <cell r="AE7" t="str">
            <v>PM10</v>
          </cell>
          <cell r="AF7">
            <v>0</v>
          </cell>
          <cell r="AG7" t="str">
            <v>PM2.5</v>
          </cell>
          <cell r="AH7">
            <v>0</v>
          </cell>
          <cell r="AI7" t="str">
            <v>CO</v>
          </cell>
          <cell r="AJ7">
            <v>0</v>
          </cell>
          <cell r="AK7" t="str">
            <v>Benzene</v>
          </cell>
          <cell r="AL7">
            <v>0</v>
          </cell>
          <cell r="AM7" t="str">
            <v>Toluene</v>
          </cell>
          <cell r="AN7">
            <v>0</v>
          </cell>
          <cell r="AO7" t="str">
            <v>Ethylbenzene</v>
          </cell>
          <cell r="AP7">
            <v>0</v>
          </cell>
          <cell r="AQ7" t="str">
            <v>Xylene</v>
          </cell>
          <cell r="AR7">
            <v>0</v>
          </cell>
          <cell r="AS7" t="str">
            <v>n-hexane</v>
          </cell>
          <cell r="AT7">
            <v>0</v>
          </cell>
          <cell r="AU7" t="str">
            <v>Release Hgt</v>
          </cell>
          <cell r="AV7" t="str">
            <v>X Init</v>
          </cell>
          <cell r="AW7" t="str">
            <v>Y Init</v>
          </cell>
          <cell r="AX7" t="str">
            <v>Angle</v>
          </cell>
          <cell r="AY7" t="str">
            <v>Sz Init</v>
          </cell>
          <cell r="AZ7" t="str">
            <v>EMISFACTOR_Keyword</v>
          </cell>
          <cell r="BA7" t="str">
            <v>EMISFACTOR_Keyword</v>
          </cell>
        </row>
        <row r="8">
          <cell r="C8">
            <v>0</v>
          </cell>
          <cell r="D8">
            <v>0</v>
          </cell>
          <cell r="E8">
            <v>0</v>
          </cell>
          <cell r="F8">
            <v>0</v>
          </cell>
          <cell r="G8">
            <v>0</v>
          </cell>
          <cell r="H8">
            <v>0</v>
          </cell>
          <cell r="I8">
            <v>0</v>
          </cell>
          <cell r="J8">
            <v>0</v>
          </cell>
          <cell r="K8" t="str">
            <v>(m)</v>
          </cell>
          <cell r="L8" t="str">
            <v>(m)</v>
          </cell>
          <cell r="M8" t="str">
            <v>(m)</v>
          </cell>
          <cell r="N8" t="str">
            <v>(ft)</v>
          </cell>
          <cell r="O8" t="str">
            <v>(m)</v>
          </cell>
          <cell r="P8" t="str">
            <v>(ft)</v>
          </cell>
          <cell r="Q8" t="str">
            <v>(m)</v>
          </cell>
          <cell r="R8" t="str">
            <v>sq m.</v>
          </cell>
          <cell r="S8" t="str">
            <v>acres</v>
          </cell>
          <cell r="T8" t="str">
            <v>(deg)</v>
          </cell>
          <cell r="U8" t="str">
            <v>(m)</v>
          </cell>
          <cell r="V8" t="str">
            <v>(m)</v>
          </cell>
          <cell r="W8" t="str">
            <v>(S,A,E)</v>
          </cell>
          <cell r="X8" t="str">
            <v>DivFactor</v>
          </cell>
          <cell r="Y8" t="str">
            <v>1-hr</v>
          </cell>
          <cell r="Z8" t="str">
            <v>Ann</v>
          </cell>
          <cell r="AA8" t="str">
            <v>1-hr</v>
          </cell>
          <cell r="AB8" t="str">
            <v>3-hr</v>
          </cell>
          <cell r="AC8" t="str">
            <v>24-hr</v>
          </cell>
          <cell r="AD8" t="str">
            <v>Ann</v>
          </cell>
          <cell r="AE8" t="str">
            <v>Ann</v>
          </cell>
          <cell r="AF8" t="str">
            <v>24-hr</v>
          </cell>
          <cell r="AG8" t="str">
            <v>Ann</v>
          </cell>
          <cell r="AH8" t="str">
            <v>24-hr</v>
          </cell>
          <cell r="AI8" t="str">
            <v>1-hr</v>
          </cell>
          <cell r="AJ8" t="str">
            <v>8-hr</v>
          </cell>
          <cell r="AK8" t="str">
            <v>1-hr</v>
          </cell>
          <cell r="AL8" t="str">
            <v>Ann</v>
          </cell>
          <cell r="AM8" t="str">
            <v>1-hr</v>
          </cell>
          <cell r="AN8" t="str">
            <v>Ann</v>
          </cell>
          <cell r="AO8" t="str">
            <v>1-hr</v>
          </cell>
          <cell r="AP8" t="str">
            <v>Ann</v>
          </cell>
          <cell r="AQ8" t="str">
            <v>1-hr</v>
          </cell>
          <cell r="AR8" t="str">
            <v>Ann</v>
          </cell>
          <cell r="AS8" t="str">
            <v>1-hr</v>
          </cell>
          <cell r="AT8" t="str">
            <v>Ann</v>
          </cell>
          <cell r="AU8" t="str">
            <v>(m)</v>
          </cell>
          <cell r="AV8" t="str">
            <v>(m)</v>
          </cell>
          <cell r="AW8" t="str">
            <v>(m)</v>
          </cell>
          <cell r="AX8" t="str">
            <v>(deg)</v>
          </cell>
          <cell r="AY8" t="str">
            <v>(m)</v>
          </cell>
          <cell r="AZ8">
            <v>0</v>
          </cell>
          <cell r="BA8">
            <v>0</v>
          </cell>
        </row>
        <row r="9">
          <cell r="C9">
            <v>0</v>
          </cell>
          <cell r="D9" t="str">
            <v>SCENARIO 1</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row>
        <row r="10">
          <cell r="C10" t="str">
            <v>Horizontal Gas Wells Only</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row>
        <row r="11">
          <cell r="C11" t="str">
            <v>Pad Sources</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row>
        <row r="12">
          <cell r="C12" t="str">
            <v>HWEM-M0</v>
          </cell>
          <cell r="D12" t="e">
            <v>#N/A</v>
          </cell>
          <cell r="E12" t="str">
            <v>HWEM</v>
          </cell>
          <cell r="F12" t="str">
            <v>2-8</v>
          </cell>
          <cell r="G12" t="str">
            <v>Wind Erosion (Multiwell Pad)</v>
          </cell>
          <cell r="H12" t="str">
            <v>Area</v>
          </cell>
          <cell r="I12" t="str">
            <v xml:space="preserve">SINGLE: Wind Erosion </v>
          </cell>
          <cell r="J12" t="str">
            <v>M0</v>
          </cell>
          <cell r="K12">
            <v>-55.092100000000002</v>
          </cell>
          <cell r="L12">
            <v>-55.092100000000002</v>
          </cell>
          <cell r="M12">
            <v>0</v>
          </cell>
          <cell r="N12">
            <v>0</v>
          </cell>
          <cell r="O12">
            <v>0</v>
          </cell>
          <cell r="P12">
            <v>0</v>
          </cell>
          <cell r="Q12">
            <v>0</v>
          </cell>
          <cell r="R12">
            <v>0</v>
          </cell>
          <cell r="S12">
            <v>0</v>
          </cell>
          <cell r="T12">
            <v>0</v>
          </cell>
          <cell r="U12">
            <v>0</v>
          </cell>
          <cell r="V12">
            <v>0</v>
          </cell>
          <cell r="W12" t="str">
            <v>S</v>
          </cell>
          <cell r="X12">
            <v>0</v>
          </cell>
          <cell r="Y12" t="str">
            <v/>
          </cell>
          <cell r="Z12" t="str">
            <v/>
          </cell>
          <cell r="AA12" t="str">
            <v/>
          </cell>
          <cell r="AB12" t="str">
            <v/>
          </cell>
          <cell r="AC12" t="str">
            <v/>
          </cell>
          <cell r="AD12" t="str">
            <v/>
          </cell>
          <cell r="AE12" t="e">
            <v>#DIV/0!</v>
          </cell>
          <cell r="AF12">
            <v>0.2644604325572566</v>
          </cell>
          <cell r="AG12" t="e">
            <v>#DIV/0!</v>
          </cell>
          <cell r="AH12">
            <v>3.9669064883588484E-2</v>
          </cell>
          <cell r="AI12" t="str">
            <v/>
          </cell>
          <cell r="AJ12" t="str">
            <v/>
          </cell>
          <cell r="AK12" t="str">
            <v/>
          </cell>
          <cell r="AL12" t="str">
            <v/>
          </cell>
          <cell r="AM12" t="str">
            <v/>
          </cell>
          <cell r="AN12" t="str">
            <v/>
          </cell>
          <cell r="AO12" t="str">
            <v/>
          </cell>
          <cell r="AP12" t="str">
            <v/>
          </cell>
          <cell r="AQ12" t="str">
            <v/>
          </cell>
          <cell r="AR12" t="str">
            <v/>
          </cell>
          <cell r="AS12" t="str">
            <v/>
          </cell>
          <cell r="AT12" t="str">
            <v/>
          </cell>
          <cell r="AU12">
            <v>0</v>
          </cell>
          <cell r="AV12">
            <v>0</v>
          </cell>
          <cell r="AW12">
            <v>0</v>
          </cell>
          <cell r="AX12">
            <v>0</v>
          </cell>
          <cell r="AY12">
            <v>0</v>
          </cell>
          <cell r="AZ12" t="str">
            <v>WSCAT</v>
          </cell>
          <cell r="BA12" t="str">
            <v>??????</v>
          </cell>
        </row>
        <row r="13">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row>
        <row r="14">
          <cell r="C14" t="str">
            <v>Road Sources</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row>
        <row r="15">
          <cell r="C15" t="str">
            <v>HRDWD-W1</v>
          </cell>
          <cell r="D15">
            <v>0</v>
          </cell>
          <cell r="E15" t="str">
            <v>HRDWD</v>
          </cell>
          <cell r="F15" t="e">
            <v>#N/A</v>
          </cell>
          <cell r="G15" t="str">
            <v>TOTAL ROAD</v>
          </cell>
          <cell r="H15">
            <v>0</v>
          </cell>
          <cell r="I15" t="str">
            <v>ROAD: Wind Erosion</v>
          </cell>
          <cell r="J15" t="str">
            <v>W1</v>
          </cell>
          <cell r="K15">
            <v>-6.0960000000000001</v>
          </cell>
          <cell r="L15">
            <v>-155.67610000000002</v>
          </cell>
          <cell r="M15">
            <v>0</v>
          </cell>
          <cell r="N15">
            <v>0</v>
          </cell>
          <cell r="O15">
            <v>12.192</v>
          </cell>
          <cell r="P15">
            <v>0</v>
          </cell>
          <cell r="Q15">
            <v>12.192</v>
          </cell>
          <cell r="R15">
            <v>148.64486400000001</v>
          </cell>
          <cell r="S15">
            <v>0</v>
          </cell>
          <cell r="T15">
            <v>0</v>
          </cell>
          <cell r="U15">
            <v>0</v>
          </cell>
          <cell r="V15">
            <v>0</v>
          </cell>
          <cell r="W15" t="str">
            <v>S</v>
          </cell>
          <cell r="X15">
            <v>4</v>
          </cell>
          <cell r="Y15">
            <v>0</v>
          </cell>
          <cell r="Z15">
            <v>0</v>
          </cell>
          <cell r="AA15">
            <v>0</v>
          </cell>
          <cell r="AB15">
            <v>0</v>
          </cell>
          <cell r="AC15">
            <v>0</v>
          </cell>
          <cell r="AD15">
            <v>0</v>
          </cell>
          <cell r="AE15" t="e">
            <v>#DIV/0!</v>
          </cell>
          <cell r="AF15">
            <v>4.0070075268675051E-2</v>
          </cell>
          <cell r="AG15" t="e">
            <v>#DIV/0!</v>
          </cell>
          <cell r="AH15">
            <v>6.0105112903012566E-3</v>
          </cell>
          <cell r="AI15">
            <v>0</v>
          </cell>
          <cell r="AJ15">
            <v>0</v>
          </cell>
          <cell r="AK15">
            <v>0</v>
          </cell>
          <cell r="AL15">
            <v>0</v>
          </cell>
          <cell r="AM15">
            <v>0</v>
          </cell>
          <cell r="AN15">
            <v>0</v>
          </cell>
          <cell r="AO15">
            <v>0</v>
          </cell>
          <cell r="AP15">
            <v>0</v>
          </cell>
          <cell r="AQ15">
            <v>0</v>
          </cell>
          <cell r="AR15">
            <v>0</v>
          </cell>
          <cell r="AS15">
            <v>0</v>
          </cell>
          <cell r="AT15">
            <v>0</v>
          </cell>
          <cell r="AU15">
            <v>0</v>
          </cell>
          <cell r="AV15">
            <v>12.192</v>
          </cell>
          <cell r="AW15">
            <v>12.192</v>
          </cell>
          <cell r="AX15">
            <v>0</v>
          </cell>
          <cell r="AY15">
            <v>0</v>
          </cell>
          <cell r="AZ15" t="str">
            <v>WSCAT</v>
          </cell>
          <cell r="BA15" t="str">
            <v>??????</v>
          </cell>
        </row>
        <row r="16">
          <cell r="C16" t="str">
            <v>HRDWD-W2</v>
          </cell>
          <cell r="D16">
            <v>0</v>
          </cell>
          <cell r="E16" t="str">
            <v>HRDWD</v>
          </cell>
          <cell r="F16" t="e">
            <v>#N/A</v>
          </cell>
          <cell r="G16" t="str">
            <v>TOTAL ROAD</v>
          </cell>
          <cell r="H16">
            <v>0</v>
          </cell>
          <cell r="I16" t="str">
            <v>ROAD: Wind Erosion</v>
          </cell>
          <cell r="J16" t="str">
            <v>W2</v>
          </cell>
          <cell r="K16">
            <v>-6.0960000000000001</v>
          </cell>
          <cell r="L16">
            <v>-256.26010000000002</v>
          </cell>
          <cell r="M16">
            <v>0</v>
          </cell>
          <cell r="N16">
            <v>0</v>
          </cell>
          <cell r="O16">
            <v>12.192</v>
          </cell>
          <cell r="P16">
            <v>0</v>
          </cell>
          <cell r="Q16">
            <v>12.192</v>
          </cell>
          <cell r="R16">
            <v>148.64486400000001</v>
          </cell>
          <cell r="S16">
            <v>0</v>
          </cell>
          <cell r="T16">
            <v>0</v>
          </cell>
          <cell r="U16">
            <v>0</v>
          </cell>
          <cell r="V16">
            <v>0</v>
          </cell>
          <cell r="W16" t="str">
            <v>S</v>
          </cell>
          <cell r="X16">
            <v>4</v>
          </cell>
          <cell r="Y16">
            <v>0</v>
          </cell>
          <cell r="Z16">
            <v>0</v>
          </cell>
          <cell r="AA16">
            <v>0</v>
          </cell>
          <cell r="AB16">
            <v>0</v>
          </cell>
          <cell r="AC16">
            <v>0</v>
          </cell>
          <cell r="AD16">
            <v>0</v>
          </cell>
          <cell r="AE16" t="e">
            <v>#DIV/0!</v>
          </cell>
          <cell r="AF16">
            <v>4.0070075268675051E-2</v>
          </cell>
          <cell r="AG16" t="e">
            <v>#DIV/0!</v>
          </cell>
          <cell r="AH16">
            <v>6.0105112903012566E-3</v>
          </cell>
          <cell r="AI16">
            <v>0</v>
          </cell>
          <cell r="AJ16">
            <v>0</v>
          </cell>
          <cell r="AK16">
            <v>0</v>
          </cell>
          <cell r="AL16">
            <v>0</v>
          </cell>
          <cell r="AM16">
            <v>0</v>
          </cell>
          <cell r="AN16">
            <v>0</v>
          </cell>
          <cell r="AO16">
            <v>0</v>
          </cell>
          <cell r="AP16">
            <v>0</v>
          </cell>
          <cell r="AQ16">
            <v>0</v>
          </cell>
          <cell r="AR16">
            <v>0</v>
          </cell>
          <cell r="AS16">
            <v>0</v>
          </cell>
          <cell r="AT16">
            <v>0</v>
          </cell>
          <cell r="AU16">
            <v>0</v>
          </cell>
          <cell r="AV16">
            <v>12.192</v>
          </cell>
          <cell r="AW16">
            <v>12.192</v>
          </cell>
          <cell r="AX16">
            <v>0</v>
          </cell>
          <cell r="AY16">
            <v>0</v>
          </cell>
          <cell r="AZ16" t="str">
            <v>WSCAT</v>
          </cell>
          <cell r="BA16" t="str">
            <v>??????</v>
          </cell>
        </row>
        <row r="17">
          <cell r="C17" t="str">
            <v>HRDWD-W3</v>
          </cell>
          <cell r="D17">
            <v>0</v>
          </cell>
          <cell r="E17" t="str">
            <v>HRDWD</v>
          </cell>
          <cell r="F17" t="e">
            <v>#N/A</v>
          </cell>
          <cell r="G17" t="str">
            <v>TOTAL ROAD</v>
          </cell>
          <cell r="H17">
            <v>0</v>
          </cell>
          <cell r="I17" t="str">
            <v>ROAD: Wind Erosion</v>
          </cell>
          <cell r="J17" t="str">
            <v>W3</v>
          </cell>
          <cell r="K17">
            <v>-6.0960000000000001</v>
          </cell>
          <cell r="L17">
            <v>-356.84410000000003</v>
          </cell>
          <cell r="M17">
            <v>0</v>
          </cell>
          <cell r="N17">
            <v>0</v>
          </cell>
          <cell r="O17">
            <v>12.192</v>
          </cell>
          <cell r="P17">
            <v>0</v>
          </cell>
          <cell r="Q17">
            <v>12.192</v>
          </cell>
          <cell r="R17">
            <v>148.64486400000001</v>
          </cell>
          <cell r="S17">
            <v>0</v>
          </cell>
          <cell r="T17">
            <v>0</v>
          </cell>
          <cell r="U17">
            <v>0</v>
          </cell>
          <cell r="V17">
            <v>0</v>
          </cell>
          <cell r="W17" t="str">
            <v>S</v>
          </cell>
          <cell r="X17">
            <v>4</v>
          </cell>
          <cell r="Y17">
            <v>0</v>
          </cell>
          <cell r="Z17">
            <v>0</v>
          </cell>
          <cell r="AA17">
            <v>0</v>
          </cell>
          <cell r="AB17">
            <v>0</v>
          </cell>
          <cell r="AC17">
            <v>0</v>
          </cell>
          <cell r="AD17">
            <v>0</v>
          </cell>
          <cell r="AE17" t="e">
            <v>#DIV/0!</v>
          </cell>
          <cell r="AF17">
            <v>4.0070075268675051E-2</v>
          </cell>
          <cell r="AG17" t="e">
            <v>#DIV/0!</v>
          </cell>
          <cell r="AH17">
            <v>6.0105112903012566E-3</v>
          </cell>
          <cell r="AI17">
            <v>0</v>
          </cell>
          <cell r="AJ17">
            <v>0</v>
          </cell>
          <cell r="AK17">
            <v>0</v>
          </cell>
          <cell r="AL17">
            <v>0</v>
          </cell>
          <cell r="AM17">
            <v>0</v>
          </cell>
          <cell r="AN17">
            <v>0</v>
          </cell>
          <cell r="AO17">
            <v>0</v>
          </cell>
          <cell r="AP17">
            <v>0</v>
          </cell>
          <cell r="AQ17">
            <v>0</v>
          </cell>
          <cell r="AR17">
            <v>0</v>
          </cell>
          <cell r="AS17">
            <v>0</v>
          </cell>
          <cell r="AT17">
            <v>0</v>
          </cell>
          <cell r="AU17">
            <v>0</v>
          </cell>
          <cell r="AV17">
            <v>12.192</v>
          </cell>
          <cell r="AW17">
            <v>12.192</v>
          </cell>
          <cell r="AX17">
            <v>0</v>
          </cell>
          <cell r="AY17">
            <v>0</v>
          </cell>
          <cell r="AZ17" t="str">
            <v>WSCAT</v>
          </cell>
          <cell r="BA17" t="str">
            <v>??????</v>
          </cell>
        </row>
        <row r="18">
          <cell r="C18" t="str">
            <v>HRDWD-W4</v>
          </cell>
          <cell r="D18">
            <v>0</v>
          </cell>
          <cell r="E18" t="str">
            <v>HRDWD</v>
          </cell>
          <cell r="F18" t="e">
            <v>#N/A</v>
          </cell>
          <cell r="G18" t="str">
            <v>TOTAL ROAD</v>
          </cell>
          <cell r="H18">
            <v>0</v>
          </cell>
          <cell r="I18" t="str">
            <v>ROAD: Wind Erosion</v>
          </cell>
          <cell r="J18" t="str">
            <v>W4</v>
          </cell>
          <cell r="K18">
            <v>-6.0960000000000001</v>
          </cell>
          <cell r="L18">
            <v>-457.42810000000003</v>
          </cell>
          <cell r="M18">
            <v>0</v>
          </cell>
          <cell r="N18">
            <v>0</v>
          </cell>
          <cell r="O18">
            <v>12.192</v>
          </cell>
          <cell r="P18">
            <v>0</v>
          </cell>
          <cell r="Q18">
            <v>12.192</v>
          </cell>
          <cell r="R18">
            <v>148.64486400000001</v>
          </cell>
          <cell r="S18">
            <v>0</v>
          </cell>
          <cell r="T18">
            <v>0</v>
          </cell>
          <cell r="U18">
            <v>0</v>
          </cell>
          <cell r="V18">
            <v>0</v>
          </cell>
          <cell r="W18" t="str">
            <v>S</v>
          </cell>
          <cell r="X18">
            <v>4</v>
          </cell>
          <cell r="Y18">
            <v>0</v>
          </cell>
          <cell r="Z18">
            <v>0</v>
          </cell>
          <cell r="AA18">
            <v>0</v>
          </cell>
          <cell r="AB18">
            <v>0</v>
          </cell>
          <cell r="AC18">
            <v>0</v>
          </cell>
          <cell r="AD18">
            <v>0</v>
          </cell>
          <cell r="AE18" t="e">
            <v>#DIV/0!</v>
          </cell>
          <cell r="AF18">
            <v>4.0070075268675051E-2</v>
          </cell>
          <cell r="AG18" t="e">
            <v>#DIV/0!</v>
          </cell>
          <cell r="AH18">
            <v>6.0105112903012566E-3</v>
          </cell>
          <cell r="AI18">
            <v>0</v>
          </cell>
          <cell r="AJ18">
            <v>0</v>
          </cell>
          <cell r="AK18">
            <v>0</v>
          </cell>
          <cell r="AL18">
            <v>0</v>
          </cell>
          <cell r="AM18">
            <v>0</v>
          </cell>
          <cell r="AN18">
            <v>0</v>
          </cell>
          <cell r="AO18">
            <v>0</v>
          </cell>
          <cell r="AP18">
            <v>0</v>
          </cell>
          <cell r="AQ18">
            <v>0</v>
          </cell>
          <cell r="AR18">
            <v>0</v>
          </cell>
          <cell r="AS18">
            <v>0</v>
          </cell>
          <cell r="AT18">
            <v>0</v>
          </cell>
          <cell r="AU18">
            <v>0</v>
          </cell>
          <cell r="AV18">
            <v>12.192</v>
          </cell>
          <cell r="AW18">
            <v>12.192</v>
          </cell>
          <cell r="AX18">
            <v>0</v>
          </cell>
          <cell r="AY18">
            <v>0</v>
          </cell>
          <cell r="AZ18" t="str">
            <v>WSCAT</v>
          </cell>
          <cell r="BA18" t="str">
            <v>??????</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row>
        <row r="20">
          <cell r="C20" t="str">
            <v>HWEA-M0</v>
          </cell>
          <cell r="D20" t="e">
            <v>#N/A</v>
          </cell>
          <cell r="E20" t="str">
            <v>HWEA</v>
          </cell>
          <cell r="F20" t="str">
            <v>2-8</v>
          </cell>
          <cell r="G20" t="str">
            <v>Wind Erosion (Access Road)</v>
          </cell>
          <cell r="H20" t="str">
            <v>Area</v>
          </cell>
          <cell r="I20" t="str">
            <v>ROAD: Wind Erosion</v>
          </cell>
          <cell r="J20" t="str">
            <v>M0</v>
          </cell>
          <cell r="K20">
            <v>-55.092100000000002</v>
          </cell>
          <cell r="L20">
            <v>-55.092100000000002</v>
          </cell>
          <cell r="M20">
            <v>0</v>
          </cell>
          <cell r="N20">
            <v>0</v>
          </cell>
          <cell r="O20">
            <v>12.192</v>
          </cell>
          <cell r="P20">
            <v>0</v>
          </cell>
          <cell r="Q20">
            <v>12.192</v>
          </cell>
          <cell r="R20">
            <v>148.64486400000001</v>
          </cell>
          <cell r="S20">
            <v>0</v>
          </cell>
          <cell r="T20">
            <v>0</v>
          </cell>
          <cell r="U20">
            <v>0</v>
          </cell>
          <cell r="V20">
            <v>0</v>
          </cell>
          <cell r="W20" t="str">
            <v>S</v>
          </cell>
          <cell r="X20">
            <v>0</v>
          </cell>
          <cell r="Y20" t="str">
            <v/>
          </cell>
          <cell r="Z20" t="str">
            <v/>
          </cell>
          <cell r="AA20" t="str">
            <v/>
          </cell>
          <cell r="AB20" t="str">
            <v/>
          </cell>
          <cell r="AC20" t="str">
            <v/>
          </cell>
          <cell r="AD20" t="str">
            <v/>
          </cell>
          <cell r="AE20" t="e">
            <v>#DIV/0!</v>
          </cell>
          <cell r="AF20">
            <v>0</v>
          </cell>
          <cell r="AG20" t="e">
            <v>#DIV/0!</v>
          </cell>
          <cell r="AH20">
            <v>0</v>
          </cell>
          <cell r="AI20" t="str">
            <v/>
          </cell>
          <cell r="AJ20" t="str">
            <v/>
          </cell>
          <cell r="AK20" t="str">
            <v/>
          </cell>
          <cell r="AL20" t="str">
            <v/>
          </cell>
          <cell r="AM20" t="str">
            <v/>
          </cell>
          <cell r="AN20" t="str">
            <v/>
          </cell>
          <cell r="AO20" t="str">
            <v/>
          </cell>
          <cell r="AP20" t="str">
            <v/>
          </cell>
          <cell r="AQ20" t="str">
            <v/>
          </cell>
          <cell r="AR20" t="str">
            <v/>
          </cell>
          <cell r="AS20" t="str">
            <v/>
          </cell>
          <cell r="AT20" t="str">
            <v/>
          </cell>
          <cell r="AU20">
            <v>0</v>
          </cell>
          <cell r="AV20">
            <v>12.192</v>
          </cell>
          <cell r="AW20">
            <v>12.192</v>
          </cell>
          <cell r="AX20">
            <v>0</v>
          </cell>
          <cell r="AY20">
            <v>0</v>
          </cell>
          <cell r="AZ20" t="str">
            <v>WSCAT</v>
          </cell>
          <cell r="BA20" t="str">
            <v>??????</v>
          </cell>
        </row>
        <row r="21">
          <cell r="C21" t="str">
            <v>HWEG-M0</v>
          </cell>
          <cell r="D21" t="e">
            <v>#N/A</v>
          </cell>
          <cell r="E21" t="str">
            <v>HWEG</v>
          </cell>
          <cell r="F21" t="str">
            <v>2-8</v>
          </cell>
          <cell r="G21" t="str">
            <v>Wind Erosion (Gathering Pipeline)</v>
          </cell>
          <cell r="H21" t="str">
            <v>Area</v>
          </cell>
          <cell r="I21" t="str">
            <v>ROAD: Wind Erosion</v>
          </cell>
          <cell r="J21" t="str">
            <v>M0</v>
          </cell>
          <cell r="K21">
            <v>-55.092100000000002</v>
          </cell>
          <cell r="L21">
            <v>-55.092100000000002</v>
          </cell>
          <cell r="M21">
            <v>0</v>
          </cell>
          <cell r="N21">
            <v>0</v>
          </cell>
          <cell r="O21">
            <v>12.192</v>
          </cell>
          <cell r="P21">
            <v>0</v>
          </cell>
          <cell r="Q21">
            <v>12.192</v>
          </cell>
          <cell r="R21">
            <v>148.64486400000001</v>
          </cell>
          <cell r="S21">
            <v>0</v>
          </cell>
          <cell r="T21">
            <v>0</v>
          </cell>
          <cell r="U21">
            <v>0</v>
          </cell>
          <cell r="V21">
            <v>0</v>
          </cell>
          <cell r="W21" t="str">
            <v>S</v>
          </cell>
          <cell r="X21">
            <v>0</v>
          </cell>
          <cell r="Y21" t="str">
            <v/>
          </cell>
          <cell r="Z21" t="str">
            <v/>
          </cell>
          <cell r="AA21" t="str">
            <v/>
          </cell>
          <cell r="AB21" t="str">
            <v/>
          </cell>
          <cell r="AC21" t="str">
            <v/>
          </cell>
          <cell r="AD21" t="str">
            <v/>
          </cell>
          <cell r="AE21" t="e">
            <v>#DIV/0!</v>
          </cell>
          <cell r="AF21">
            <v>0.1602803010747002</v>
          </cell>
          <cell r="AG21" t="e">
            <v>#DIV/0!</v>
          </cell>
          <cell r="AH21">
            <v>2.4042045161205026E-2</v>
          </cell>
          <cell r="AI21" t="str">
            <v/>
          </cell>
          <cell r="AJ21" t="str">
            <v/>
          </cell>
          <cell r="AK21" t="str">
            <v/>
          </cell>
          <cell r="AL21" t="str">
            <v/>
          </cell>
          <cell r="AM21" t="str">
            <v/>
          </cell>
          <cell r="AN21" t="str">
            <v/>
          </cell>
          <cell r="AO21" t="str">
            <v/>
          </cell>
          <cell r="AP21" t="str">
            <v/>
          </cell>
          <cell r="AQ21" t="str">
            <v/>
          </cell>
          <cell r="AR21" t="str">
            <v/>
          </cell>
          <cell r="AS21" t="str">
            <v/>
          </cell>
          <cell r="AT21" t="str">
            <v/>
          </cell>
          <cell r="AU21">
            <v>0</v>
          </cell>
          <cell r="AV21">
            <v>12.192</v>
          </cell>
          <cell r="AW21">
            <v>12.192</v>
          </cell>
          <cell r="AX21">
            <v>0</v>
          </cell>
          <cell r="AY21">
            <v>0</v>
          </cell>
          <cell r="AZ21" t="str">
            <v>WSCAT</v>
          </cell>
          <cell r="BA21" t="str">
            <v>??????</v>
          </cell>
        </row>
        <row r="22">
          <cell r="C22" t="str">
            <v>HWEP-M0</v>
          </cell>
          <cell r="D22" t="e">
            <v>#N/A</v>
          </cell>
          <cell r="E22" t="str">
            <v>HWEP</v>
          </cell>
          <cell r="F22" t="str">
            <v>2-8</v>
          </cell>
          <cell r="G22" t="str">
            <v>Wind Erosion (Power Line)</v>
          </cell>
          <cell r="H22" t="str">
            <v>Area</v>
          </cell>
          <cell r="I22" t="str">
            <v>ROAD: Wind Erosion</v>
          </cell>
          <cell r="J22" t="str">
            <v>M0</v>
          </cell>
          <cell r="K22">
            <v>-55.092100000000002</v>
          </cell>
          <cell r="L22">
            <v>-55.092100000000002</v>
          </cell>
          <cell r="M22">
            <v>0</v>
          </cell>
          <cell r="N22">
            <v>0</v>
          </cell>
          <cell r="O22">
            <v>12.192</v>
          </cell>
          <cell r="P22">
            <v>0</v>
          </cell>
          <cell r="Q22">
            <v>12.192</v>
          </cell>
          <cell r="R22">
            <v>148.64486400000001</v>
          </cell>
          <cell r="S22">
            <v>0</v>
          </cell>
          <cell r="T22">
            <v>0</v>
          </cell>
          <cell r="U22">
            <v>0</v>
          </cell>
          <cell r="V22">
            <v>0</v>
          </cell>
          <cell r="W22" t="str">
            <v>S</v>
          </cell>
          <cell r="X22">
            <v>0</v>
          </cell>
          <cell r="Y22" t="str">
            <v/>
          </cell>
          <cell r="Z22" t="str">
            <v/>
          </cell>
          <cell r="AA22" t="str">
            <v/>
          </cell>
          <cell r="AB22" t="str">
            <v/>
          </cell>
          <cell r="AC22" t="str">
            <v/>
          </cell>
          <cell r="AD22" t="str">
            <v/>
          </cell>
          <cell r="AE22" t="str">
            <v/>
          </cell>
          <cell r="AF22" t="str">
            <v/>
          </cell>
          <cell r="AG22" t="str">
            <v/>
          </cell>
          <cell r="AH22" t="str">
            <v/>
          </cell>
          <cell r="AI22" t="str">
            <v/>
          </cell>
          <cell r="AJ22" t="str">
            <v/>
          </cell>
          <cell r="AK22" t="str">
            <v/>
          </cell>
          <cell r="AL22" t="str">
            <v/>
          </cell>
          <cell r="AM22" t="str">
            <v/>
          </cell>
          <cell r="AN22" t="str">
            <v/>
          </cell>
          <cell r="AO22" t="str">
            <v/>
          </cell>
          <cell r="AP22" t="str">
            <v/>
          </cell>
          <cell r="AQ22" t="str">
            <v/>
          </cell>
          <cell r="AR22" t="str">
            <v/>
          </cell>
          <cell r="AS22" t="str">
            <v/>
          </cell>
          <cell r="AT22" t="str">
            <v/>
          </cell>
          <cell r="AU22">
            <v>0</v>
          </cell>
          <cell r="AV22">
            <v>12.192</v>
          </cell>
          <cell r="AW22">
            <v>12.192</v>
          </cell>
          <cell r="AX22">
            <v>0</v>
          </cell>
          <cell r="AY22">
            <v>0</v>
          </cell>
          <cell r="AZ22" t="str">
            <v>WSCAT</v>
          </cell>
          <cell r="BA22" t="str">
            <v>??????</v>
          </cell>
        </row>
        <row r="23">
          <cell r="C23" t="str">
            <v>-</v>
          </cell>
          <cell r="D23" t="str">
            <v>SCENARIO 2</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row>
        <row r="24">
          <cell r="C24" t="str">
            <v>Horizontal Gas Wells Pad 1</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row>
        <row r="25">
          <cell r="C25" t="str">
            <v>HWET-T1</v>
          </cell>
          <cell r="D25" t="e">
            <v>#N/A</v>
          </cell>
          <cell r="E25" t="str">
            <v>HWET</v>
          </cell>
          <cell r="F25" t="str">
            <v>2-8</v>
          </cell>
          <cell r="G25" t="str">
            <v>Wind Erosion (Twinned Well Pad)</v>
          </cell>
          <cell r="H25" t="str">
            <v>Area</v>
          </cell>
          <cell r="I25" t="str">
            <v xml:space="preserve">SINGLE: Wind Erosion </v>
          </cell>
          <cell r="J25" t="str">
            <v>T1</v>
          </cell>
          <cell r="K25">
            <v>-119.36199999999999</v>
          </cell>
          <cell r="L25">
            <v>-48.238399999999999</v>
          </cell>
          <cell r="M25">
            <v>0</v>
          </cell>
          <cell r="N25">
            <v>0</v>
          </cell>
          <cell r="O25">
            <v>0</v>
          </cell>
          <cell r="P25">
            <v>0</v>
          </cell>
          <cell r="Q25">
            <v>0</v>
          </cell>
          <cell r="R25">
            <v>0</v>
          </cell>
          <cell r="S25">
            <v>0</v>
          </cell>
          <cell r="T25">
            <v>0</v>
          </cell>
          <cell r="U25">
            <v>0</v>
          </cell>
          <cell r="V25">
            <v>0</v>
          </cell>
          <cell r="W25" t="str">
            <v>S</v>
          </cell>
          <cell r="X25">
            <v>0</v>
          </cell>
          <cell r="Y25" t="str">
            <v/>
          </cell>
          <cell r="Z25" t="str">
            <v/>
          </cell>
          <cell r="AA25" t="str">
            <v/>
          </cell>
          <cell r="AB25" t="str">
            <v/>
          </cell>
          <cell r="AC25" t="str">
            <v/>
          </cell>
          <cell r="AD25" t="str">
            <v/>
          </cell>
          <cell r="AE25" t="e">
            <v>#DIV/0!</v>
          </cell>
          <cell r="AF25">
            <v>4.4076738759542773E-2</v>
          </cell>
          <cell r="AG25" t="e">
            <v>#DIV/0!</v>
          </cell>
          <cell r="AH25">
            <v>6.6115108139314172E-3</v>
          </cell>
          <cell r="AI25" t="str">
            <v/>
          </cell>
          <cell r="AJ25" t="str">
            <v/>
          </cell>
          <cell r="AK25" t="str">
            <v/>
          </cell>
          <cell r="AL25" t="str">
            <v/>
          </cell>
          <cell r="AM25" t="str">
            <v/>
          </cell>
          <cell r="AN25" t="str">
            <v/>
          </cell>
          <cell r="AO25" t="str">
            <v/>
          </cell>
          <cell r="AP25" t="str">
            <v/>
          </cell>
          <cell r="AQ25" t="str">
            <v/>
          </cell>
          <cell r="AR25" t="str">
            <v/>
          </cell>
          <cell r="AS25" t="str">
            <v/>
          </cell>
          <cell r="AT25" t="str">
            <v/>
          </cell>
          <cell r="AU25">
            <v>0</v>
          </cell>
          <cell r="AV25">
            <v>0</v>
          </cell>
          <cell r="AW25">
            <v>0</v>
          </cell>
          <cell r="AX25">
            <v>0</v>
          </cell>
          <cell r="AY25">
            <v>0</v>
          </cell>
          <cell r="AZ25" t="str">
            <v>WSCAT</v>
          </cell>
          <cell r="BA25" t="str">
            <v>??????</v>
          </cell>
        </row>
        <row r="26">
          <cell r="C26" t="str">
            <v>Horizontal Gas Wells Pad 2</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row>
        <row r="27">
          <cell r="C27" t="str">
            <v>HWET-T2</v>
          </cell>
          <cell r="D27" t="e">
            <v>#N/A</v>
          </cell>
          <cell r="E27" t="str">
            <v>HWET</v>
          </cell>
          <cell r="F27" t="str">
            <v>2-8</v>
          </cell>
          <cell r="G27" t="str">
            <v>Wind Erosion (Twinned Well Pad)</v>
          </cell>
          <cell r="H27" t="str">
            <v>Area</v>
          </cell>
          <cell r="I27" t="str">
            <v xml:space="preserve">SINGLE: Wind Erosion </v>
          </cell>
          <cell r="J27" t="str">
            <v>T2</v>
          </cell>
          <cell r="K27">
            <v>22.885200000000001</v>
          </cell>
          <cell r="L27">
            <v>-48.238399999999999</v>
          </cell>
          <cell r="M27">
            <v>0</v>
          </cell>
          <cell r="N27">
            <v>0</v>
          </cell>
          <cell r="O27">
            <v>0</v>
          </cell>
          <cell r="P27">
            <v>0</v>
          </cell>
          <cell r="Q27">
            <v>0</v>
          </cell>
          <cell r="R27">
            <v>0</v>
          </cell>
          <cell r="S27">
            <v>0</v>
          </cell>
          <cell r="T27">
            <v>0</v>
          </cell>
          <cell r="U27">
            <v>0</v>
          </cell>
          <cell r="V27">
            <v>0</v>
          </cell>
          <cell r="W27" t="str">
            <v>S</v>
          </cell>
          <cell r="X27">
            <v>0</v>
          </cell>
          <cell r="Y27" t="str">
            <v/>
          </cell>
          <cell r="Z27" t="str">
            <v/>
          </cell>
          <cell r="AA27" t="str">
            <v/>
          </cell>
          <cell r="AB27" t="str">
            <v/>
          </cell>
          <cell r="AC27" t="str">
            <v/>
          </cell>
          <cell r="AD27" t="str">
            <v/>
          </cell>
          <cell r="AE27" t="e">
            <v>#DIV/0!</v>
          </cell>
          <cell r="AF27">
            <v>4.4076738759542773E-2</v>
          </cell>
          <cell r="AG27" t="e">
            <v>#DIV/0!</v>
          </cell>
          <cell r="AH27">
            <v>6.6115108139314172E-3</v>
          </cell>
          <cell r="AI27" t="str">
            <v/>
          </cell>
          <cell r="AJ27" t="str">
            <v/>
          </cell>
          <cell r="AK27" t="str">
            <v/>
          </cell>
          <cell r="AL27" t="str">
            <v/>
          </cell>
          <cell r="AM27" t="str">
            <v/>
          </cell>
          <cell r="AN27" t="str">
            <v/>
          </cell>
          <cell r="AO27" t="str">
            <v/>
          </cell>
          <cell r="AP27" t="str">
            <v/>
          </cell>
          <cell r="AQ27" t="str">
            <v/>
          </cell>
          <cell r="AR27" t="str">
            <v/>
          </cell>
          <cell r="AS27" t="str">
            <v/>
          </cell>
          <cell r="AT27" t="str">
            <v/>
          </cell>
          <cell r="AU27">
            <v>0</v>
          </cell>
          <cell r="AV27">
            <v>0</v>
          </cell>
          <cell r="AW27">
            <v>0</v>
          </cell>
          <cell r="AX27">
            <v>0</v>
          </cell>
          <cell r="AY27">
            <v>0</v>
          </cell>
          <cell r="AZ27" t="str">
            <v>WSCAT</v>
          </cell>
          <cell r="BA27" t="str">
            <v>??????</v>
          </cell>
        </row>
        <row r="28">
          <cell r="C28" t="str">
            <v>-</v>
          </cell>
          <cell r="D28" t="str">
            <v>SCENARIO 3</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row>
        <row r="29">
          <cell r="C29" t="str">
            <v>-T1</v>
          </cell>
          <cell r="D29" t="e">
            <v>#N/A</v>
          </cell>
          <cell r="E29">
            <v>0</v>
          </cell>
          <cell r="F29">
            <v>0</v>
          </cell>
          <cell r="G29" t="e">
            <v>#N/A</v>
          </cell>
          <cell r="H29" t="e">
            <v>#N/A</v>
          </cell>
          <cell r="I29" t="str">
            <v xml:space="preserve">SINGLE: Wind Erosion </v>
          </cell>
          <cell r="J29" t="str">
            <v>T1</v>
          </cell>
          <cell r="K29">
            <v>-119.36199999999999</v>
          </cell>
          <cell r="L29">
            <v>-48.238399999999999</v>
          </cell>
          <cell r="M29">
            <v>0</v>
          </cell>
          <cell r="N29">
            <v>0</v>
          </cell>
          <cell r="O29">
            <v>0</v>
          </cell>
          <cell r="P29">
            <v>0</v>
          </cell>
          <cell r="Q29">
            <v>0</v>
          </cell>
          <cell r="R29">
            <v>0</v>
          </cell>
          <cell r="S29">
            <v>0</v>
          </cell>
          <cell r="T29">
            <v>0</v>
          </cell>
          <cell r="U29">
            <v>0</v>
          </cell>
          <cell r="V29">
            <v>0</v>
          </cell>
          <cell r="W29" t="str">
            <v>S</v>
          </cell>
          <cell r="X29">
            <v>0</v>
          </cell>
          <cell r="Y29" t="e">
            <v>#N/A</v>
          </cell>
          <cell r="Z29" t="e">
            <v>#N/A</v>
          </cell>
          <cell r="AA29" t="e">
            <v>#N/A</v>
          </cell>
          <cell r="AB29" t="e">
            <v>#N/A</v>
          </cell>
          <cell r="AC29" t="e">
            <v>#N/A</v>
          </cell>
          <cell r="AD29" t="e">
            <v>#N/A</v>
          </cell>
          <cell r="AE29" t="e">
            <v>#N/A</v>
          </cell>
          <cell r="AF29" t="e">
            <v>#N/A</v>
          </cell>
          <cell r="AG29" t="e">
            <v>#N/A</v>
          </cell>
          <cell r="AH29" t="e">
            <v>#N/A</v>
          </cell>
          <cell r="AI29" t="e">
            <v>#N/A</v>
          </cell>
          <cell r="AJ29" t="e">
            <v>#N/A</v>
          </cell>
          <cell r="AK29" t="e">
            <v>#N/A</v>
          </cell>
          <cell r="AL29" t="e">
            <v>#N/A</v>
          </cell>
          <cell r="AM29" t="e">
            <v>#N/A</v>
          </cell>
          <cell r="AN29" t="e">
            <v>#N/A</v>
          </cell>
          <cell r="AO29" t="e">
            <v>#N/A</v>
          </cell>
          <cell r="AP29" t="e">
            <v>#N/A</v>
          </cell>
          <cell r="AQ29" t="e">
            <v>#N/A</v>
          </cell>
          <cell r="AR29" t="e">
            <v>#N/A</v>
          </cell>
          <cell r="AS29" t="e">
            <v>#N/A</v>
          </cell>
          <cell r="AT29" t="e">
            <v>#N/A</v>
          </cell>
          <cell r="AU29">
            <v>0</v>
          </cell>
          <cell r="AV29">
            <v>0</v>
          </cell>
          <cell r="AW29">
            <v>0</v>
          </cell>
          <cell r="AX29">
            <v>0</v>
          </cell>
          <cell r="AY29">
            <v>0</v>
          </cell>
          <cell r="AZ29" t="e">
            <v>#N/A</v>
          </cell>
          <cell r="BA29" t="e">
            <v>#N/A</v>
          </cell>
        </row>
        <row r="30">
          <cell r="C30" t="str">
            <v>-</v>
          </cell>
          <cell r="D30" t="e">
            <v>#N/A</v>
          </cell>
          <cell r="E30">
            <v>0</v>
          </cell>
          <cell r="F30">
            <v>0</v>
          </cell>
          <cell r="G30" t="e">
            <v>#N/A</v>
          </cell>
          <cell r="H30" t="e">
            <v>#N/A</v>
          </cell>
          <cell r="I30" t="str">
            <v>TWIN: Wind Erosion</v>
          </cell>
          <cell r="J30">
            <v>0</v>
          </cell>
          <cell r="K30" t="e">
            <v>#N/A</v>
          </cell>
          <cell r="L30" t="e">
            <v>#N/A</v>
          </cell>
          <cell r="M30" t="e">
            <v>#N/A</v>
          </cell>
          <cell r="N30">
            <v>0</v>
          </cell>
          <cell r="O30">
            <v>85.3</v>
          </cell>
          <cell r="P30">
            <v>0</v>
          </cell>
          <cell r="Q30">
            <v>85.3</v>
          </cell>
          <cell r="R30">
            <v>7276.0899999999992</v>
          </cell>
          <cell r="S30">
            <v>0</v>
          </cell>
          <cell r="T30">
            <v>0</v>
          </cell>
          <cell r="U30">
            <v>0</v>
          </cell>
          <cell r="V30">
            <v>0</v>
          </cell>
          <cell r="W30" t="str">
            <v>S</v>
          </cell>
          <cell r="X30">
            <v>0</v>
          </cell>
          <cell r="Y30" t="e">
            <v>#N/A</v>
          </cell>
          <cell r="Z30" t="e">
            <v>#N/A</v>
          </cell>
          <cell r="AA30" t="e">
            <v>#N/A</v>
          </cell>
          <cell r="AB30" t="e">
            <v>#N/A</v>
          </cell>
          <cell r="AC30" t="e">
            <v>#N/A</v>
          </cell>
          <cell r="AD30" t="e">
            <v>#N/A</v>
          </cell>
          <cell r="AE30" t="e">
            <v>#N/A</v>
          </cell>
          <cell r="AF30" t="e">
            <v>#N/A</v>
          </cell>
          <cell r="AG30" t="e">
            <v>#N/A</v>
          </cell>
          <cell r="AH30" t="e">
            <v>#N/A</v>
          </cell>
          <cell r="AI30" t="e">
            <v>#N/A</v>
          </cell>
          <cell r="AJ30" t="e">
            <v>#N/A</v>
          </cell>
          <cell r="AK30" t="e">
            <v>#N/A</v>
          </cell>
          <cell r="AL30" t="e">
            <v>#N/A</v>
          </cell>
          <cell r="AM30" t="e">
            <v>#N/A</v>
          </cell>
          <cell r="AN30" t="e">
            <v>#N/A</v>
          </cell>
          <cell r="AO30" t="e">
            <v>#N/A</v>
          </cell>
          <cell r="AP30" t="e">
            <v>#N/A</v>
          </cell>
          <cell r="AQ30" t="e">
            <v>#N/A</v>
          </cell>
          <cell r="AR30" t="e">
            <v>#N/A</v>
          </cell>
          <cell r="AS30" t="e">
            <v>#N/A</v>
          </cell>
          <cell r="AT30" t="e">
            <v>#N/A</v>
          </cell>
          <cell r="AU30">
            <v>0</v>
          </cell>
          <cell r="AV30">
            <v>85.3</v>
          </cell>
          <cell r="AW30">
            <v>85.3</v>
          </cell>
          <cell r="AX30">
            <v>0</v>
          </cell>
          <cell r="AY30">
            <v>0</v>
          </cell>
          <cell r="AZ30" t="e">
            <v>#N/A</v>
          </cell>
          <cell r="BA30" t="e">
            <v>#N/A</v>
          </cell>
        </row>
        <row r="31">
          <cell r="C31" t="str">
            <v>-</v>
          </cell>
          <cell r="D31" t="e">
            <v>#N/A</v>
          </cell>
          <cell r="E31">
            <v>0</v>
          </cell>
          <cell r="F31">
            <v>0</v>
          </cell>
          <cell r="G31" t="e">
            <v>#N/A</v>
          </cell>
          <cell r="H31" t="e">
            <v>#N/A</v>
          </cell>
          <cell r="I31" t="str">
            <v>MULTI: Wind Erosion</v>
          </cell>
          <cell r="J31">
            <v>0</v>
          </cell>
          <cell r="K31" t="e">
            <v>#N/A</v>
          </cell>
          <cell r="L31" t="e">
            <v>#N/A</v>
          </cell>
          <cell r="M31" t="e">
            <v>#N/A</v>
          </cell>
          <cell r="N31">
            <v>0</v>
          </cell>
          <cell r="O31">
            <v>45</v>
          </cell>
          <cell r="P31">
            <v>0</v>
          </cell>
          <cell r="Q31">
            <v>45</v>
          </cell>
          <cell r="R31">
            <v>2025</v>
          </cell>
          <cell r="S31">
            <v>0</v>
          </cell>
          <cell r="T31">
            <v>0</v>
          </cell>
          <cell r="U31">
            <v>0</v>
          </cell>
          <cell r="V31">
            <v>0</v>
          </cell>
          <cell r="W31" t="str">
            <v>S</v>
          </cell>
          <cell r="X31">
            <v>0</v>
          </cell>
          <cell r="Y31" t="e">
            <v>#N/A</v>
          </cell>
          <cell r="Z31" t="e">
            <v>#N/A</v>
          </cell>
          <cell r="AA31" t="e">
            <v>#N/A</v>
          </cell>
          <cell r="AB31" t="e">
            <v>#N/A</v>
          </cell>
          <cell r="AC31" t="e">
            <v>#N/A</v>
          </cell>
          <cell r="AD31" t="e">
            <v>#N/A</v>
          </cell>
          <cell r="AE31" t="e">
            <v>#N/A</v>
          </cell>
          <cell r="AF31" t="e">
            <v>#N/A</v>
          </cell>
          <cell r="AG31" t="e">
            <v>#N/A</v>
          </cell>
          <cell r="AH31" t="e">
            <v>#N/A</v>
          </cell>
          <cell r="AI31" t="e">
            <v>#N/A</v>
          </cell>
          <cell r="AJ31" t="e">
            <v>#N/A</v>
          </cell>
          <cell r="AK31" t="e">
            <v>#N/A</v>
          </cell>
          <cell r="AL31" t="e">
            <v>#N/A</v>
          </cell>
          <cell r="AM31" t="e">
            <v>#N/A</v>
          </cell>
          <cell r="AN31" t="e">
            <v>#N/A</v>
          </cell>
          <cell r="AO31" t="e">
            <v>#N/A</v>
          </cell>
          <cell r="AP31" t="e">
            <v>#N/A</v>
          </cell>
          <cell r="AQ31" t="e">
            <v>#N/A</v>
          </cell>
          <cell r="AR31" t="e">
            <v>#N/A</v>
          </cell>
          <cell r="AS31" t="e">
            <v>#N/A</v>
          </cell>
          <cell r="AT31" t="e">
            <v>#N/A</v>
          </cell>
          <cell r="AU31">
            <v>0</v>
          </cell>
          <cell r="AV31">
            <v>45</v>
          </cell>
          <cell r="AW31">
            <v>45</v>
          </cell>
          <cell r="AX31">
            <v>0</v>
          </cell>
          <cell r="AY31">
            <v>0</v>
          </cell>
          <cell r="AZ31" t="e">
            <v>#N/A</v>
          </cell>
          <cell r="BA31" t="e">
            <v>#N/A</v>
          </cell>
        </row>
        <row r="32">
          <cell r="C32" t="str">
            <v>-</v>
          </cell>
          <cell r="D32" t="e">
            <v>#N/A</v>
          </cell>
          <cell r="E32">
            <v>0</v>
          </cell>
          <cell r="F32">
            <v>0</v>
          </cell>
          <cell r="G32" t="e">
            <v>#N/A</v>
          </cell>
          <cell r="H32" t="e">
            <v>#N/A</v>
          </cell>
          <cell r="I32" t="str">
            <v>ROAD: Wind Erosion</v>
          </cell>
          <cell r="J32">
            <v>0</v>
          </cell>
          <cell r="K32" t="e">
            <v>#N/A</v>
          </cell>
          <cell r="L32" t="e">
            <v>#N/A</v>
          </cell>
          <cell r="M32" t="e">
            <v>#N/A</v>
          </cell>
          <cell r="N32">
            <v>0</v>
          </cell>
          <cell r="O32">
            <v>12.192</v>
          </cell>
          <cell r="P32">
            <v>0</v>
          </cell>
          <cell r="Q32">
            <v>12.192</v>
          </cell>
          <cell r="R32">
            <v>148.64486400000001</v>
          </cell>
          <cell r="S32">
            <v>0</v>
          </cell>
          <cell r="T32">
            <v>0</v>
          </cell>
          <cell r="U32">
            <v>0</v>
          </cell>
          <cell r="V32">
            <v>0</v>
          </cell>
          <cell r="W32" t="str">
            <v>S</v>
          </cell>
          <cell r="X32">
            <v>0</v>
          </cell>
          <cell r="Y32" t="e">
            <v>#N/A</v>
          </cell>
          <cell r="Z32" t="e">
            <v>#N/A</v>
          </cell>
          <cell r="AA32" t="e">
            <v>#N/A</v>
          </cell>
          <cell r="AB32" t="e">
            <v>#N/A</v>
          </cell>
          <cell r="AC32" t="e">
            <v>#N/A</v>
          </cell>
          <cell r="AD32" t="e">
            <v>#N/A</v>
          </cell>
          <cell r="AE32" t="e">
            <v>#N/A</v>
          </cell>
          <cell r="AF32" t="e">
            <v>#N/A</v>
          </cell>
          <cell r="AG32" t="e">
            <v>#N/A</v>
          </cell>
          <cell r="AH32" t="e">
            <v>#N/A</v>
          </cell>
          <cell r="AI32" t="e">
            <v>#N/A</v>
          </cell>
          <cell r="AJ32" t="e">
            <v>#N/A</v>
          </cell>
          <cell r="AK32" t="e">
            <v>#N/A</v>
          </cell>
          <cell r="AL32" t="e">
            <v>#N/A</v>
          </cell>
          <cell r="AM32" t="e">
            <v>#N/A</v>
          </cell>
          <cell r="AN32" t="e">
            <v>#N/A</v>
          </cell>
          <cell r="AO32" t="e">
            <v>#N/A</v>
          </cell>
          <cell r="AP32" t="e">
            <v>#N/A</v>
          </cell>
          <cell r="AQ32" t="e">
            <v>#N/A</v>
          </cell>
          <cell r="AR32" t="e">
            <v>#N/A</v>
          </cell>
          <cell r="AS32" t="e">
            <v>#N/A</v>
          </cell>
          <cell r="AT32" t="e">
            <v>#N/A</v>
          </cell>
          <cell r="AU32">
            <v>0</v>
          </cell>
          <cell r="AV32">
            <v>12.192</v>
          </cell>
          <cell r="AW32">
            <v>12.192</v>
          </cell>
          <cell r="AX32">
            <v>0</v>
          </cell>
          <cell r="AY32">
            <v>0</v>
          </cell>
          <cell r="AZ32" t="e">
            <v>#N/A</v>
          </cell>
          <cell r="BA32" t="e">
            <v>#N/A</v>
          </cell>
        </row>
        <row r="33">
          <cell r="C33" t="str">
            <v>-</v>
          </cell>
          <cell r="D33" t="e">
            <v>#N/A</v>
          </cell>
          <cell r="E33">
            <v>0</v>
          </cell>
          <cell r="F33">
            <v>0</v>
          </cell>
          <cell r="G33" t="e">
            <v>#N/A</v>
          </cell>
          <cell r="H33" t="e">
            <v>#N/A</v>
          </cell>
          <cell r="I33" t="str">
            <v>ROAD: Wind Erosion</v>
          </cell>
          <cell r="J33">
            <v>0</v>
          </cell>
          <cell r="K33" t="e">
            <v>#N/A</v>
          </cell>
          <cell r="L33" t="e">
            <v>#N/A</v>
          </cell>
          <cell r="M33" t="e">
            <v>#N/A</v>
          </cell>
          <cell r="N33">
            <v>0</v>
          </cell>
          <cell r="O33">
            <v>12.192</v>
          </cell>
          <cell r="P33">
            <v>0</v>
          </cell>
          <cell r="Q33">
            <v>12.192</v>
          </cell>
          <cell r="R33">
            <v>148.64486400000001</v>
          </cell>
          <cell r="S33">
            <v>0</v>
          </cell>
          <cell r="T33">
            <v>0</v>
          </cell>
          <cell r="U33">
            <v>0</v>
          </cell>
          <cell r="V33">
            <v>0</v>
          </cell>
          <cell r="W33" t="str">
            <v>S</v>
          </cell>
          <cell r="X33">
            <v>0</v>
          </cell>
          <cell r="Y33" t="e">
            <v>#N/A</v>
          </cell>
          <cell r="Z33" t="e">
            <v>#N/A</v>
          </cell>
          <cell r="AA33" t="e">
            <v>#N/A</v>
          </cell>
          <cell r="AB33" t="e">
            <v>#N/A</v>
          </cell>
          <cell r="AC33" t="e">
            <v>#N/A</v>
          </cell>
          <cell r="AD33" t="e">
            <v>#N/A</v>
          </cell>
          <cell r="AE33" t="e">
            <v>#N/A</v>
          </cell>
          <cell r="AF33" t="e">
            <v>#N/A</v>
          </cell>
          <cell r="AG33" t="e">
            <v>#N/A</v>
          </cell>
          <cell r="AH33" t="e">
            <v>#N/A</v>
          </cell>
          <cell r="AI33" t="e">
            <v>#N/A</v>
          </cell>
          <cell r="AJ33" t="e">
            <v>#N/A</v>
          </cell>
          <cell r="AK33" t="e">
            <v>#N/A</v>
          </cell>
          <cell r="AL33" t="e">
            <v>#N/A</v>
          </cell>
          <cell r="AM33" t="e">
            <v>#N/A</v>
          </cell>
          <cell r="AN33" t="e">
            <v>#N/A</v>
          </cell>
          <cell r="AO33" t="e">
            <v>#N/A</v>
          </cell>
          <cell r="AP33" t="e">
            <v>#N/A</v>
          </cell>
          <cell r="AQ33" t="e">
            <v>#N/A</v>
          </cell>
          <cell r="AR33" t="e">
            <v>#N/A</v>
          </cell>
          <cell r="AS33" t="e">
            <v>#N/A</v>
          </cell>
          <cell r="AT33" t="e">
            <v>#N/A</v>
          </cell>
          <cell r="AU33">
            <v>0</v>
          </cell>
          <cell r="AV33">
            <v>12.192</v>
          </cell>
          <cell r="AW33">
            <v>12.192</v>
          </cell>
          <cell r="AX33">
            <v>0</v>
          </cell>
          <cell r="AY33">
            <v>0</v>
          </cell>
          <cell r="AZ33" t="e">
            <v>#N/A</v>
          </cell>
          <cell r="BA33" t="e">
            <v>#N/A</v>
          </cell>
        </row>
        <row r="34">
          <cell r="C34" t="str">
            <v>-</v>
          </cell>
          <cell r="D34" t="e">
            <v>#N/A</v>
          </cell>
          <cell r="E34">
            <v>0</v>
          </cell>
          <cell r="F34">
            <v>0</v>
          </cell>
          <cell r="G34" t="e">
            <v>#N/A</v>
          </cell>
          <cell r="H34" t="e">
            <v>#N/A</v>
          </cell>
          <cell r="I34" t="str">
            <v>ROAD: Wind Erosion</v>
          </cell>
          <cell r="J34">
            <v>0</v>
          </cell>
          <cell r="K34" t="e">
            <v>#N/A</v>
          </cell>
          <cell r="L34" t="e">
            <v>#N/A</v>
          </cell>
          <cell r="M34" t="e">
            <v>#N/A</v>
          </cell>
          <cell r="N34">
            <v>0</v>
          </cell>
          <cell r="O34">
            <v>12.192</v>
          </cell>
          <cell r="P34">
            <v>0</v>
          </cell>
          <cell r="Q34">
            <v>12.192</v>
          </cell>
          <cell r="R34">
            <v>148.64486400000001</v>
          </cell>
          <cell r="S34">
            <v>0</v>
          </cell>
          <cell r="T34">
            <v>0</v>
          </cell>
          <cell r="U34">
            <v>0</v>
          </cell>
          <cell r="V34">
            <v>0</v>
          </cell>
          <cell r="W34" t="str">
            <v>S</v>
          </cell>
          <cell r="X34">
            <v>0</v>
          </cell>
          <cell r="Y34" t="e">
            <v>#N/A</v>
          </cell>
          <cell r="Z34" t="e">
            <v>#N/A</v>
          </cell>
          <cell r="AA34" t="e">
            <v>#N/A</v>
          </cell>
          <cell r="AB34" t="e">
            <v>#N/A</v>
          </cell>
          <cell r="AC34" t="e">
            <v>#N/A</v>
          </cell>
          <cell r="AD34" t="e">
            <v>#N/A</v>
          </cell>
          <cell r="AE34" t="e">
            <v>#N/A</v>
          </cell>
          <cell r="AF34" t="e">
            <v>#N/A</v>
          </cell>
          <cell r="AG34" t="e">
            <v>#N/A</v>
          </cell>
          <cell r="AH34" t="e">
            <v>#N/A</v>
          </cell>
          <cell r="AI34" t="e">
            <v>#N/A</v>
          </cell>
          <cell r="AJ34" t="e">
            <v>#N/A</v>
          </cell>
          <cell r="AK34" t="e">
            <v>#N/A</v>
          </cell>
          <cell r="AL34" t="e">
            <v>#N/A</v>
          </cell>
          <cell r="AM34" t="e">
            <v>#N/A</v>
          </cell>
          <cell r="AN34" t="e">
            <v>#N/A</v>
          </cell>
          <cell r="AO34" t="e">
            <v>#N/A</v>
          </cell>
          <cell r="AP34" t="e">
            <v>#N/A</v>
          </cell>
          <cell r="AQ34" t="e">
            <v>#N/A</v>
          </cell>
          <cell r="AR34" t="e">
            <v>#N/A</v>
          </cell>
          <cell r="AS34" t="e">
            <v>#N/A</v>
          </cell>
          <cell r="AT34" t="e">
            <v>#N/A</v>
          </cell>
          <cell r="AU34">
            <v>0</v>
          </cell>
          <cell r="AV34">
            <v>12.192</v>
          </cell>
          <cell r="AW34">
            <v>12.192</v>
          </cell>
          <cell r="AX34">
            <v>0</v>
          </cell>
          <cell r="AY34">
            <v>0</v>
          </cell>
          <cell r="AZ34" t="e">
            <v>#N/A</v>
          </cell>
          <cell r="BA34" t="e">
            <v>#N/A</v>
          </cell>
        </row>
        <row r="35">
          <cell r="C35" t="str">
            <v>-</v>
          </cell>
          <cell r="D35" t="e">
            <v>#N/A</v>
          </cell>
          <cell r="E35">
            <v>0</v>
          </cell>
          <cell r="F35">
            <v>0</v>
          </cell>
          <cell r="G35" t="e">
            <v>#N/A</v>
          </cell>
          <cell r="H35" t="e">
            <v>#N/A</v>
          </cell>
          <cell r="I35" t="str">
            <v xml:space="preserve">SINGLE: Wind Erosion </v>
          </cell>
          <cell r="J35">
            <v>0</v>
          </cell>
          <cell r="K35" t="e">
            <v>#N/A</v>
          </cell>
          <cell r="L35" t="e">
            <v>#N/A</v>
          </cell>
          <cell r="M35" t="e">
            <v>#N/A</v>
          </cell>
          <cell r="N35">
            <v>0</v>
          </cell>
          <cell r="O35">
            <v>0</v>
          </cell>
          <cell r="P35">
            <v>0</v>
          </cell>
          <cell r="Q35">
            <v>0</v>
          </cell>
          <cell r="R35">
            <v>0</v>
          </cell>
          <cell r="S35">
            <v>0</v>
          </cell>
          <cell r="T35">
            <v>0</v>
          </cell>
          <cell r="U35">
            <v>0</v>
          </cell>
          <cell r="V35">
            <v>0</v>
          </cell>
          <cell r="W35" t="str">
            <v>S</v>
          </cell>
          <cell r="X35">
            <v>0</v>
          </cell>
          <cell r="Y35" t="e">
            <v>#N/A</v>
          </cell>
          <cell r="Z35" t="e">
            <v>#N/A</v>
          </cell>
          <cell r="AA35" t="e">
            <v>#N/A</v>
          </cell>
          <cell r="AB35" t="e">
            <v>#N/A</v>
          </cell>
          <cell r="AC35" t="e">
            <v>#N/A</v>
          </cell>
          <cell r="AD35" t="e">
            <v>#N/A</v>
          </cell>
          <cell r="AE35" t="e">
            <v>#N/A</v>
          </cell>
          <cell r="AF35" t="e">
            <v>#N/A</v>
          </cell>
          <cell r="AG35" t="e">
            <v>#N/A</v>
          </cell>
          <cell r="AH35" t="e">
            <v>#N/A</v>
          </cell>
          <cell r="AI35" t="e">
            <v>#N/A</v>
          </cell>
          <cell r="AJ35" t="e">
            <v>#N/A</v>
          </cell>
          <cell r="AK35" t="e">
            <v>#N/A</v>
          </cell>
          <cell r="AL35" t="e">
            <v>#N/A</v>
          </cell>
          <cell r="AM35" t="e">
            <v>#N/A</v>
          </cell>
          <cell r="AN35" t="e">
            <v>#N/A</v>
          </cell>
          <cell r="AO35" t="e">
            <v>#N/A</v>
          </cell>
          <cell r="AP35" t="e">
            <v>#N/A</v>
          </cell>
          <cell r="AQ35" t="e">
            <v>#N/A</v>
          </cell>
          <cell r="AR35" t="e">
            <v>#N/A</v>
          </cell>
          <cell r="AS35" t="e">
            <v>#N/A</v>
          </cell>
          <cell r="AT35" t="e">
            <v>#N/A</v>
          </cell>
          <cell r="AU35">
            <v>0</v>
          </cell>
          <cell r="AV35">
            <v>0</v>
          </cell>
          <cell r="AW35">
            <v>0</v>
          </cell>
          <cell r="AX35">
            <v>0</v>
          </cell>
          <cell r="AY35">
            <v>0</v>
          </cell>
          <cell r="AZ35" t="e">
            <v>#N/A</v>
          </cell>
          <cell r="BA35" t="e">
            <v>#N/A</v>
          </cell>
        </row>
        <row r="36">
          <cell r="C36" t="str">
            <v>-</v>
          </cell>
          <cell r="D36" t="e">
            <v>#N/A</v>
          </cell>
          <cell r="E36">
            <v>0</v>
          </cell>
          <cell r="F36">
            <v>0</v>
          </cell>
          <cell r="G36" t="e">
            <v>#N/A</v>
          </cell>
          <cell r="H36" t="e">
            <v>#N/A</v>
          </cell>
          <cell r="I36" t="str">
            <v>TWIN: Wind Erosion</v>
          </cell>
          <cell r="J36">
            <v>0</v>
          </cell>
          <cell r="K36" t="e">
            <v>#N/A</v>
          </cell>
          <cell r="L36" t="e">
            <v>#N/A</v>
          </cell>
          <cell r="M36" t="e">
            <v>#N/A</v>
          </cell>
          <cell r="N36">
            <v>0</v>
          </cell>
          <cell r="O36">
            <v>85.3</v>
          </cell>
          <cell r="P36">
            <v>0</v>
          </cell>
          <cell r="Q36">
            <v>85.3</v>
          </cell>
          <cell r="R36">
            <v>7276.0899999999992</v>
          </cell>
          <cell r="S36">
            <v>0</v>
          </cell>
          <cell r="T36">
            <v>0</v>
          </cell>
          <cell r="U36">
            <v>0</v>
          </cell>
          <cell r="V36">
            <v>0</v>
          </cell>
          <cell r="W36" t="str">
            <v>S</v>
          </cell>
          <cell r="X36">
            <v>0</v>
          </cell>
          <cell r="Y36" t="e">
            <v>#N/A</v>
          </cell>
          <cell r="Z36" t="e">
            <v>#N/A</v>
          </cell>
          <cell r="AA36" t="e">
            <v>#N/A</v>
          </cell>
          <cell r="AB36" t="e">
            <v>#N/A</v>
          </cell>
          <cell r="AC36" t="e">
            <v>#N/A</v>
          </cell>
          <cell r="AD36" t="e">
            <v>#N/A</v>
          </cell>
          <cell r="AE36" t="e">
            <v>#N/A</v>
          </cell>
          <cell r="AF36" t="e">
            <v>#N/A</v>
          </cell>
          <cell r="AG36" t="e">
            <v>#N/A</v>
          </cell>
          <cell r="AH36" t="e">
            <v>#N/A</v>
          </cell>
          <cell r="AI36" t="e">
            <v>#N/A</v>
          </cell>
          <cell r="AJ36" t="e">
            <v>#N/A</v>
          </cell>
          <cell r="AK36" t="e">
            <v>#N/A</v>
          </cell>
          <cell r="AL36" t="e">
            <v>#N/A</v>
          </cell>
          <cell r="AM36" t="e">
            <v>#N/A</v>
          </cell>
          <cell r="AN36" t="e">
            <v>#N/A</v>
          </cell>
          <cell r="AO36" t="e">
            <v>#N/A</v>
          </cell>
          <cell r="AP36" t="e">
            <v>#N/A</v>
          </cell>
          <cell r="AQ36" t="e">
            <v>#N/A</v>
          </cell>
          <cell r="AR36" t="e">
            <v>#N/A</v>
          </cell>
          <cell r="AS36" t="e">
            <v>#N/A</v>
          </cell>
          <cell r="AT36" t="e">
            <v>#N/A</v>
          </cell>
          <cell r="AU36">
            <v>0</v>
          </cell>
          <cell r="AV36">
            <v>85.3</v>
          </cell>
          <cell r="AW36">
            <v>85.3</v>
          </cell>
          <cell r="AX36">
            <v>0</v>
          </cell>
          <cell r="AY36">
            <v>0</v>
          </cell>
          <cell r="AZ36" t="e">
            <v>#N/A</v>
          </cell>
          <cell r="BA36" t="e">
            <v>#N/A</v>
          </cell>
        </row>
        <row r="37">
          <cell r="C37" t="str">
            <v>-</v>
          </cell>
          <cell r="D37" t="e">
            <v>#N/A</v>
          </cell>
          <cell r="E37">
            <v>0</v>
          </cell>
          <cell r="F37">
            <v>0</v>
          </cell>
          <cell r="G37" t="e">
            <v>#N/A</v>
          </cell>
          <cell r="H37" t="e">
            <v>#N/A</v>
          </cell>
          <cell r="I37" t="str">
            <v>MULTI: Wind Erosion</v>
          </cell>
          <cell r="J37">
            <v>0</v>
          </cell>
          <cell r="K37" t="e">
            <v>#N/A</v>
          </cell>
          <cell r="L37" t="e">
            <v>#N/A</v>
          </cell>
          <cell r="M37" t="e">
            <v>#N/A</v>
          </cell>
          <cell r="N37">
            <v>0</v>
          </cell>
          <cell r="O37">
            <v>45</v>
          </cell>
          <cell r="P37">
            <v>0</v>
          </cell>
          <cell r="Q37">
            <v>45</v>
          </cell>
          <cell r="R37">
            <v>2025</v>
          </cell>
          <cell r="S37">
            <v>0</v>
          </cell>
          <cell r="T37">
            <v>0</v>
          </cell>
          <cell r="U37">
            <v>0</v>
          </cell>
          <cell r="V37">
            <v>0</v>
          </cell>
          <cell r="W37" t="str">
            <v>S</v>
          </cell>
          <cell r="X37">
            <v>0</v>
          </cell>
          <cell r="Y37" t="e">
            <v>#N/A</v>
          </cell>
          <cell r="Z37" t="e">
            <v>#N/A</v>
          </cell>
          <cell r="AA37" t="e">
            <v>#N/A</v>
          </cell>
          <cell r="AB37" t="e">
            <v>#N/A</v>
          </cell>
          <cell r="AC37" t="e">
            <v>#N/A</v>
          </cell>
          <cell r="AD37" t="e">
            <v>#N/A</v>
          </cell>
          <cell r="AE37" t="e">
            <v>#N/A</v>
          </cell>
          <cell r="AF37" t="e">
            <v>#N/A</v>
          </cell>
          <cell r="AG37" t="e">
            <v>#N/A</v>
          </cell>
          <cell r="AH37" t="e">
            <v>#N/A</v>
          </cell>
          <cell r="AI37" t="e">
            <v>#N/A</v>
          </cell>
          <cell r="AJ37" t="e">
            <v>#N/A</v>
          </cell>
          <cell r="AK37" t="e">
            <v>#N/A</v>
          </cell>
          <cell r="AL37" t="e">
            <v>#N/A</v>
          </cell>
          <cell r="AM37" t="e">
            <v>#N/A</v>
          </cell>
          <cell r="AN37" t="e">
            <v>#N/A</v>
          </cell>
          <cell r="AO37" t="e">
            <v>#N/A</v>
          </cell>
          <cell r="AP37" t="e">
            <v>#N/A</v>
          </cell>
          <cell r="AQ37" t="e">
            <v>#N/A</v>
          </cell>
          <cell r="AR37" t="e">
            <v>#N/A</v>
          </cell>
          <cell r="AS37" t="e">
            <v>#N/A</v>
          </cell>
          <cell r="AT37" t="e">
            <v>#N/A</v>
          </cell>
          <cell r="AU37">
            <v>0</v>
          </cell>
          <cell r="AV37">
            <v>45</v>
          </cell>
          <cell r="AW37">
            <v>45</v>
          </cell>
          <cell r="AX37">
            <v>0</v>
          </cell>
          <cell r="AY37">
            <v>0</v>
          </cell>
          <cell r="AZ37" t="e">
            <v>#N/A</v>
          </cell>
          <cell r="BA37" t="e">
            <v>#N/A</v>
          </cell>
        </row>
        <row r="38">
          <cell r="C38" t="str">
            <v>-</v>
          </cell>
          <cell r="D38" t="e">
            <v>#N/A</v>
          </cell>
          <cell r="E38">
            <v>0</v>
          </cell>
          <cell r="F38">
            <v>0</v>
          </cell>
          <cell r="G38" t="e">
            <v>#N/A</v>
          </cell>
          <cell r="H38" t="e">
            <v>#N/A</v>
          </cell>
          <cell r="I38" t="str">
            <v>ROAD: Wind Erosion</v>
          </cell>
          <cell r="J38">
            <v>0</v>
          </cell>
          <cell r="K38" t="e">
            <v>#N/A</v>
          </cell>
          <cell r="L38" t="e">
            <v>#N/A</v>
          </cell>
          <cell r="M38" t="e">
            <v>#N/A</v>
          </cell>
          <cell r="N38">
            <v>0</v>
          </cell>
          <cell r="O38">
            <v>12.192</v>
          </cell>
          <cell r="P38">
            <v>0</v>
          </cell>
          <cell r="Q38">
            <v>12.192</v>
          </cell>
          <cell r="R38">
            <v>148.64486400000001</v>
          </cell>
          <cell r="S38">
            <v>0</v>
          </cell>
          <cell r="T38">
            <v>0</v>
          </cell>
          <cell r="U38">
            <v>0</v>
          </cell>
          <cell r="V38">
            <v>0</v>
          </cell>
          <cell r="W38" t="str">
            <v>S</v>
          </cell>
          <cell r="X38">
            <v>0</v>
          </cell>
          <cell r="Y38" t="e">
            <v>#N/A</v>
          </cell>
          <cell r="Z38" t="e">
            <v>#N/A</v>
          </cell>
          <cell r="AA38" t="e">
            <v>#N/A</v>
          </cell>
          <cell r="AB38" t="e">
            <v>#N/A</v>
          </cell>
          <cell r="AC38" t="e">
            <v>#N/A</v>
          </cell>
          <cell r="AD38" t="e">
            <v>#N/A</v>
          </cell>
          <cell r="AE38" t="e">
            <v>#N/A</v>
          </cell>
          <cell r="AF38" t="e">
            <v>#N/A</v>
          </cell>
          <cell r="AG38" t="e">
            <v>#N/A</v>
          </cell>
          <cell r="AH38" t="e">
            <v>#N/A</v>
          </cell>
          <cell r="AI38" t="e">
            <v>#N/A</v>
          </cell>
          <cell r="AJ38" t="e">
            <v>#N/A</v>
          </cell>
          <cell r="AK38" t="e">
            <v>#N/A</v>
          </cell>
          <cell r="AL38" t="e">
            <v>#N/A</v>
          </cell>
          <cell r="AM38" t="e">
            <v>#N/A</v>
          </cell>
          <cell r="AN38" t="e">
            <v>#N/A</v>
          </cell>
          <cell r="AO38" t="e">
            <v>#N/A</v>
          </cell>
          <cell r="AP38" t="e">
            <v>#N/A</v>
          </cell>
          <cell r="AQ38" t="e">
            <v>#N/A</v>
          </cell>
          <cell r="AR38" t="e">
            <v>#N/A</v>
          </cell>
          <cell r="AS38" t="e">
            <v>#N/A</v>
          </cell>
          <cell r="AT38" t="e">
            <v>#N/A</v>
          </cell>
          <cell r="AU38">
            <v>0</v>
          </cell>
          <cell r="AV38">
            <v>12.192</v>
          </cell>
          <cell r="AW38">
            <v>12.192</v>
          </cell>
          <cell r="AX38">
            <v>0</v>
          </cell>
          <cell r="AY38">
            <v>0</v>
          </cell>
          <cell r="AZ38" t="e">
            <v>#N/A</v>
          </cell>
          <cell r="BA38" t="e">
            <v>#N/A</v>
          </cell>
        </row>
        <row r="39">
          <cell r="C39" t="str">
            <v>-</v>
          </cell>
          <cell r="D39" t="e">
            <v>#N/A</v>
          </cell>
          <cell r="E39">
            <v>0</v>
          </cell>
          <cell r="F39">
            <v>0</v>
          </cell>
          <cell r="G39" t="e">
            <v>#N/A</v>
          </cell>
          <cell r="H39" t="e">
            <v>#N/A</v>
          </cell>
          <cell r="I39" t="str">
            <v>ROAD: Wind Erosion</v>
          </cell>
          <cell r="J39">
            <v>0</v>
          </cell>
          <cell r="K39" t="e">
            <v>#N/A</v>
          </cell>
          <cell r="L39" t="e">
            <v>#N/A</v>
          </cell>
          <cell r="M39" t="e">
            <v>#N/A</v>
          </cell>
          <cell r="N39">
            <v>0</v>
          </cell>
          <cell r="O39">
            <v>12.192</v>
          </cell>
          <cell r="P39">
            <v>0</v>
          </cell>
          <cell r="Q39">
            <v>12.192</v>
          </cell>
          <cell r="R39">
            <v>148.64486400000001</v>
          </cell>
          <cell r="S39">
            <v>0</v>
          </cell>
          <cell r="T39">
            <v>0</v>
          </cell>
          <cell r="U39">
            <v>0</v>
          </cell>
          <cell r="V39">
            <v>0</v>
          </cell>
          <cell r="W39" t="str">
            <v>S</v>
          </cell>
          <cell r="X39">
            <v>0</v>
          </cell>
          <cell r="Y39" t="e">
            <v>#N/A</v>
          </cell>
          <cell r="Z39" t="e">
            <v>#N/A</v>
          </cell>
          <cell r="AA39" t="e">
            <v>#N/A</v>
          </cell>
          <cell r="AB39" t="e">
            <v>#N/A</v>
          </cell>
          <cell r="AC39" t="e">
            <v>#N/A</v>
          </cell>
          <cell r="AD39" t="e">
            <v>#N/A</v>
          </cell>
          <cell r="AE39" t="e">
            <v>#N/A</v>
          </cell>
          <cell r="AF39" t="e">
            <v>#N/A</v>
          </cell>
          <cell r="AG39" t="e">
            <v>#N/A</v>
          </cell>
          <cell r="AH39" t="e">
            <v>#N/A</v>
          </cell>
          <cell r="AI39" t="e">
            <v>#N/A</v>
          </cell>
          <cell r="AJ39" t="e">
            <v>#N/A</v>
          </cell>
          <cell r="AK39" t="e">
            <v>#N/A</v>
          </cell>
          <cell r="AL39" t="e">
            <v>#N/A</v>
          </cell>
          <cell r="AM39" t="e">
            <v>#N/A</v>
          </cell>
          <cell r="AN39" t="e">
            <v>#N/A</v>
          </cell>
          <cell r="AO39" t="e">
            <v>#N/A</v>
          </cell>
          <cell r="AP39" t="e">
            <v>#N/A</v>
          </cell>
          <cell r="AQ39" t="e">
            <v>#N/A</v>
          </cell>
          <cell r="AR39" t="e">
            <v>#N/A</v>
          </cell>
          <cell r="AS39" t="e">
            <v>#N/A</v>
          </cell>
          <cell r="AT39" t="e">
            <v>#N/A</v>
          </cell>
          <cell r="AU39">
            <v>0</v>
          </cell>
          <cell r="AV39">
            <v>12.192</v>
          </cell>
          <cell r="AW39">
            <v>12.192</v>
          </cell>
          <cell r="AX39">
            <v>0</v>
          </cell>
          <cell r="AY39">
            <v>0</v>
          </cell>
          <cell r="AZ39" t="e">
            <v>#N/A</v>
          </cell>
          <cell r="BA39" t="e">
            <v>#N/A</v>
          </cell>
        </row>
        <row r="40">
          <cell r="C40" t="str">
            <v>-</v>
          </cell>
          <cell r="D40" t="e">
            <v>#N/A</v>
          </cell>
          <cell r="E40">
            <v>0</v>
          </cell>
          <cell r="F40">
            <v>0</v>
          </cell>
          <cell r="G40" t="e">
            <v>#N/A</v>
          </cell>
          <cell r="H40" t="e">
            <v>#N/A</v>
          </cell>
          <cell r="I40" t="str">
            <v>ROAD: Wind Erosion</v>
          </cell>
          <cell r="J40">
            <v>0</v>
          </cell>
          <cell r="K40" t="e">
            <v>#N/A</v>
          </cell>
          <cell r="L40" t="e">
            <v>#N/A</v>
          </cell>
          <cell r="M40" t="e">
            <v>#N/A</v>
          </cell>
          <cell r="N40">
            <v>0</v>
          </cell>
          <cell r="O40">
            <v>12.192</v>
          </cell>
          <cell r="P40">
            <v>0</v>
          </cell>
          <cell r="Q40">
            <v>12.192</v>
          </cell>
          <cell r="R40">
            <v>148.64486400000001</v>
          </cell>
          <cell r="S40">
            <v>0</v>
          </cell>
          <cell r="T40">
            <v>0</v>
          </cell>
          <cell r="U40">
            <v>0</v>
          </cell>
          <cell r="V40">
            <v>0</v>
          </cell>
          <cell r="W40" t="str">
            <v>S</v>
          </cell>
          <cell r="X40">
            <v>0</v>
          </cell>
          <cell r="Y40" t="e">
            <v>#N/A</v>
          </cell>
          <cell r="Z40" t="e">
            <v>#N/A</v>
          </cell>
          <cell r="AA40" t="e">
            <v>#N/A</v>
          </cell>
          <cell r="AB40" t="e">
            <v>#N/A</v>
          </cell>
          <cell r="AC40" t="e">
            <v>#N/A</v>
          </cell>
          <cell r="AD40" t="e">
            <v>#N/A</v>
          </cell>
          <cell r="AE40" t="e">
            <v>#N/A</v>
          </cell>
          <cell r="AF40" t="e">
            <v>#N/A</v>
          </cell>
          <cell r="AG40" t="e">
            <v>#N/A</v>
          </cell>
          <cell r="AH40" t="e">
            <v>#N/A</v>
          </cell>
          <cell r="AI40" t="e">
            <v>#N/A</v>
          </cell>
          <cell r="AJ40" t="e">
            <v>#N/A</v>
          </cell>
          <cell r="AK40" t="e">
            <v>#N/A</v>
          </cell>
          <cell r="AL40" t="e">
            <v>#N/A</v>
          </cell>
          <cell r="AM40" t="e">
            <v>#N/A</v>
          </cell>
          <cell r="AN40" t="e">
            <v>#N/A</v>
          </cell>
          <cell r="AO40" t="e">
            <v>#N/A</v>
          </cell>
          <cell r="AP40" t="e">
            <v>#N/A</v>
          </cell>
          <cell r="AQ40" t="e">
            <v>#N/A</v>
          </cell>
          <cell r="AR40" t="e">
            <v>#N/A</v>
          </cell>
          <cell r="AS40" t="e">
            <v>#N/A</v>
          </cell>
          <cell r="AT40" t="e">
            <v>#N/A</v>
          </cell>
          <cell r="AU40">
            <v>0</v>
          </cell>
          <cell r="AV40">
            <v>12.192</v>
          </cell>
          <cell r="AW40">
            <v>12.192</v>
          </cell>
          <cell r="AX40">
            <v>0</v>
          </cell>
          <cell r="AY40">
            <v>0</v>
          </cell>
          <cell r="AZ40" t="e">
            <v>#N/A</v>
          </cell>
          <cell r="BA40" t="e">
            <v>#N/A</v>
          </cell>
        </row>
        <row r="41">
          <cell r="C41" t="str">
            <v>-</v>
          </cell>
          <cell r="D41" t="e">
            <v>#N/A</v>
          </cell>
          <cell r="E41">
            <v>0</v>
          </cell>
          <cell r="F41">
            <v>0</v>
          </cell>
          <cell r="G41" t="e">
            <v>#N/A</v>
          </cell>
          <cell r="H41" t="e">
            <v>#N/A</v>
          </cell>
          <cell r="I41" t="str">
            <v xml:space="preserve">SINGLE: Wind Erosion </v>
          </cell>
          <cell r="J41">
            <v>0</v>
          </cell>
          <cell r="K41" t="e">
            <v>#N/A</v>
          </cell>
          <cell r="L41" t="e">
            <v>#N/A</v>
          </cell>
          <cell r="M41" t="e">
            <v>#N/A</v>
          </cell>
          <cell r="N41">
            <v>0</v>
          </cell>
          <cell r="O41">
            <v>0</v>
          </cell>
          <cell r="P41">
            <v>0</v>
          </cell>
          <cell r="Q41">
            <v>0</v>
          </cell>
          <cell r="R41">
            <v>0</v>
          </cell>
          <cell r="S41">
            <v>0</v>
          </cell>
          <cell r="T41">
            <v>0</v>
          </cell>
          <cell r="U41">
            <v>0</v>
          </cell>
          <cell r="V41">
            <v>0</v>
          </cell>
          <cell r="W41" t="str">
            <v>S</v>
          </cell>
          <cell r="X41">
            <v>0</v>
          </cell>
          <cell r="Y41" t="e">
            <v>#N/A</v>
          </cell>
          <cell r="Z41" t="e">
            <v>#N/A</v>
          </cell>
          <cell r="AA41" t="e">
            <v>#N/A</v>
          </cell>
          <cell r="AB41" t="e">
            <v>#N/A</v>
          </cell>
          <cell r="AC41" t="e">
            <v>#N/A</v>
          </cell>
          <cell r="AD41" t="e">
            <v>#N/A</v>
          </cell>
          <cell r="AE41" t="e">
            <v>#N/A</v>
          </cell>
          <cell r="AF41" t="e">
            <v>#N/A</v>
          </cell>
          <cell r="AG41" t="e">
            <v>#N/A</v>
          </cell>
          <cell r="AH41" t="e">
            <v>#N/A</v>
          </cell>
          <cell r="AI41" t="e">
            <v>#N/A</v>
          </cell>
          <cell r="AJ41" t="e">
            <v>#N/A</v>
          </cell>
          <cell r="AK41" t="e">
            <v>#N/A</v>
          </cell>
          <cell r="AL41" t="e">
            <v>#N/A</v>
          </cell>
          <cell r="AM41" t="e">
            <v>#N/A</v>
          </cell>
          <cell r="AN41" t="e">
            <v>#N/A</v>
          </cell>
          <cell r="AO41" t="e">
            <v>#N/A</v>
          </cell>
          <cell r="AP41" t="e">
            <v>#N/A</v>
          </cell>
          <cell r="AQ41" t="e">
            <v>#N/A</v>
          </cell>
          <cell r="AR41" t="e">
            <v>#N/A</v>
          </cell>
          <cell r="AS41" t="e">
            <v>#N/A</v>
          </cell>
          <cell r="AT41" t="e">
            <v>#N/A</v>
          </cell>
          <cell r="AU41">
            <v>0</v>
          </cell>
          <cell r="AV41">
            <v>0</v>
          </cell>
          <cell r="AW41">
            <v>0</v>
          </cell>
          <cell r="AX41">
            <v>0</v>
          </cell>
          <cell r="AY41">
            <v>0</v>
          </cell>
          <cell r="AZ41" t="e">
            <v>#N/A</v>
          </cell>
          <cell r="BA41" t="e">
            <v>#N/A</v>
          </cell>
        </row>
        <row r="42">
          <cell r="C42" t="str">
            <v>-</v>
          </cell>
          <cell r="D42" t="e">
            <v>#N/A</v>
          </cell>
          <cell r="E42">
            <v>0</v>
          </cell>
          <cell r="F42">
            <v>0</v>
          </cell>
          <cell r="G42" t="e">
            <v>#N/A</v>
          </cell>
          <cell r="H42" t="e">
            <v>#N/A</v>
          </cell>
          <cell r="I42" t="str">
            <v>TWIN: Wind Erosion</v>
          </cell>
          <cell r="J42">
            <v>0</v>
          </cell>
          <cell r="K42" t="e">
            <v>#N/A</v>
          </cell>
          <cell r="L42" t="e">
            <v>#N/A</v>
          </cell>
          <cell r="M42" t="e">
            <v>#N/A</v>
          </cell>
          <cell r="N42">
            <v>0</v>
          </cell>
          <cell r="O42">
            <v>85.3</v>
          </cell>
          <cell r="P42">
            <v>0</v>
          </cell>
          <cell r="Q42">
            <v>85.3</v>
          </cell>
          <cell r="R42">
            <v>7276.0899999999992</v>
          </cell>
          <cell r="S42">
            <v>0</v>
          </cell>
          <cell r="T42">
            <v>0</v>
          </cell>
          <cell r="U42">
            <v>0</v>
          </cell>
          <cell r="V42">
            <v>0</v>
          </cell>
          <cell r="W42" t="str">
            <v>S</v>
          </cell>
          <cell r="X42">
            <v>0</v>
          </cell>
          <cell r="Y42" t="e">
            <v>#N/A</v>
          </cell>
          <cell r="Z42" t="e">
            <v>#N/A</v>
          </cell>
          <cell r="AA42" t="e">
            <v>#N/A</v>
          </cell>
          <cell r="AB42" t="e">
            <v>#N/A</v>
          </cell>
          <cell r="AC42" t="e">
            <v>#N/A</v>
          </cell>
          <cell r="AD42" t="e">
            <v>#N/A</v>
          </cell>
          <cell r="AE42" t="e">
            <v>#N/A</v>
          </cell>
          <cell r="AF42" t="e">
            <v>#N/A</v>
          </cell>
          <cell r="AG42" t="e">
            <v>#N/A</v>
          </cell>
          <cell r="AH42" t="e">
            <v>#N/A</v>
          </cell>
          <cell r="AI42" t="e">
            <v>#N/A</v>
          </cell>
          <cell r="AJ42" t="e">
            <v>#N/A</v>
          </cell>
          <cell r="AK42" t="e">
            <v>#N/A</v>
          </cell>
          <cell r="AL42" t="e">
            <v>#N/A</v>
          </cell>
          <cell r="AM42" t="e">
            <v>#N/A</v>
          </cell>
          <cell r="AN42" t="e">
            <v>#N/A</v>
          </cell>
          <cell r="AO42" t="e">
            <v>#N/A</v>
          </cell>
          <cell r="AP42" t="e">
            <v>#N/A</v>
          </cell>
          <cell r="AQ42" t="e">
            <v>#N/A</v>
          </cell>
          <cell r="AR42" t="e">
            <v>#N/A</v>
          </cell>
          <cell r="AS42" t="e">
            <v>#N/A</v>
          </cell>
          <cell r="AT42" t="e">
            <v>#N/A</v>
          </cell>
          <cell r="AU42">
            <v>0</v>
          </cell>
          <cell r="AV42">
            <v>85.3</v>
          </cell>
          <cell r="AW42">
            <v>85.3</v>
          </cell>
          <cell r="AX42">
            <v>0</v>
          </cell>
          <cell r="AY42">
            <v>0</v>
          </cell>
          <cell r="AZ42" t="e">
            <v>#N/A</v>
          </cell>
          <cell r="BA42" t="e">
            <v>#N/A</v>
          </cell>
        </row>
        <row r="43">
          <cell r="C43" t="str">
            <v>-</v>
          </cell>
          <cell r="D43" t="e">
            <v>#N/A</v>
          </cell>
          <cell r="E43">
            <v>0</v>
          </cell>
          <cell r="F43">
            <v>0</v>
          </cell>
          <cell r="G43" t="e">
            <v>#N/A</v>
          </cell>
          <cell r="H43" t="e">
            <v>#N/A</v>
          </cell>
          <cell r="I43" t="str">
            <v>MULTI: Wind Erosion</v>
          </cell>
          <cell r="J43">
            <v>0</v>
          </cell>
          <cell r="K43" t="e">
            <v>#N/A</v>
          </cell>
          <cell r="L43" t="e">
            <v>#N/A</v>
          </cell>
          <cell r="M43" t="e">
            <v>#N/A</v>
          </cell>
          <cell r="N43">
            <v>0</v>
          </cell>
          <cell r="O43">
            <v>45</v>
          </cell>
          <cell r="P43">
            <v>0</v>
          </cell>
          <cell r="Q43">
            <v>45</v>
          </cell>
          <cell r="R43">
            <v>2025</v>
          </cell>
          <cell r="S43">
            <v>0</v>
          </cell>
          <cell r="T43">
            <v>0</v>
          </cell>
          <cell r="U43">
            <v>0</v>
          </cell>
          <cell r="V43">
            <v>0</v>
          </cell>
          <cell r="W43" t="str">
            <v>S</v>
          </cell>
          <cell r="X43">
            <v>0</v>
          </cell>
          <cell r="Y43" t="e">
            <v>#N/A</v>
          </cell>
          <cell r="Z43" t="e">
            <v>#N/A</v>
          </cell>
          <cell r="AA43" t="e">
            <v>#N/A</v>
          </cell>
          <cell r="AB43" t="e">
            <v>#N/A</v>
          </cell>
          <cell r="AC43" t="e">
            <v>#N/A</v>
          </cell>
          <cell r="AD43" t="e">
            <v>#N/A</v>
          </cell>
          <cell r="AE43" t="e">
            <v>#N/A</v>
          </cell>
          <cell r="AF43" t="e">
            <v>#N/A</v>
          </cell>
          <cell r="AG43" t="e">
            <v>#N/A</v>
          </cell>
          <cell r="AH43" t="e">
            <v>#N/A</v>
          </cell>
          <cell r="AI43" t="e">
            <v>#N/A</v>
          </cell>
          <cell r="AJ43" t="e">
            <v>#N/A</v>
          </cell>
          <cell r="AK43" t="e">
            <v>#N/A</v>
          </cell>
          <cell r="AL43" t="e">
            <v>#N/A</v>
          </cell>
          <cell r="AM43" t="e">
            <v>#N/A</v>
          </cell>
          <cell r="AN43" t="e">
            <v>#N/A</v>
          </cell>
          <cell r="AO43" t="e">
            <v>#N/A</v>
          </cell>
          <cell r="AP43" t="e">
            <v>#N/A</v>
          </cell>
          <cell r="AQ43" t="e">
            <v>#N/A</v>
          </cell>
          <cell r="AR43" t="e">
            <v>#N/A</v>
          </cell>
          <cell r="AS43" t="e">
            <v>#N/A</v>
          </cell>
          <cell r="AT43" t="e">
            <v>#N/A</v>
          </cell>
          <cell r="AU43">
            <v>0</v>
          </cell>
          <cell r="AV43">
            <v>45</v>
          </cell>
          <cell r="AW43">
            <v>45</v>
          </cell>
          <cell r="AX43">
            <v>0</v>
          </cell>
          <cell r="AY43">
            <v>0</v>
          </cell>
          <cell r="AZ43" t="e">
            <v>#N/A</v>
          </cell>
          <cell r="BA43" t="e">
            <v>#N/A</v>
          </cell>
        </row>
        <row r="44">
          <cell r="C44" t="str">
            <v>-</v>
          </cell>
          <cell r="D44" t="e">
            <v>#N/A</v>
          </cell>
          <cell r="E44">
            <v>0</v>
          </cell>
          <cell r="F44">
            <v>0</v>
          </cell>
          <cell r="G44" t="e">
            <v>#N/A</v>
          </cell>
          <cell r="H44" t="e">
            <v>#N/A</v>
          </cell>
          <cell r="I44" t="str">
            <v>ROAD: Wind Erosion</v>
          </cell>
          <cell r="J44">
            <v>0</v>
          </cell>
          <cell r="K44" t="e">
            <v>#N/A</v>
          </cell>
          <cell r="L44" t="e">
            <v>#N/A</v>
          </cell>
          <cell r="M44" t="e">
            <v>#N/A</v>
          </cell>
          <cell r="N44">
            <v>0</v>
          </cell>
          <cell r="O44">
            <v>12.192</v>
          </cell>
          <cell r="P44">
            <v>0</v>
          </cell>
          <cell r="Q44">
            <v>12.192</v>
          </cell>
          <cell r="R44">
            <v>148.64486400000001</v>
          </cell>
          <cell r="S44">
            <v>0</v>
          </cell>
          <cell r="T44">
            <v>0</v>
          </cell>
          <cell r="U44">
            <v>0</v>
          </cell>
          <cell r="V44">
            <v>0</v>
          </cell>
          <cell r="W44" t="str">
            <v>S</v>
          </cell>
          <cell r="X44">
            <v>0</v>
          </cell>
          <cell r="Y44" t="e">
            <v>#N/A</v>
          </cell>
          <cell r="Z44" t="e">
            <v>#N/A</v>
          </cell>
          <cell r="AA44" t="e">
            <v>#N/A</v>
          </cell>
          <cell r="AB44" t="e">
            <v>#N/A</v>
          </cell>
          <cell r="AC44" t="e">
            <v>#N/A</v>
          </cell>
          <cell r="AD44" t="e">
            <v>#N/A</v>
          </cell>
          <cell r="AE44" t="e">
            <v>#N/A</v>
          </cell>
          <cell r="AF44" t="e">
            <v>#N/A</v>
          </cell>
          <cell r="AG44" t="e">
            <v>#N/A</v>
          </cell>
          <cell r="AH44" t="e">
            <v>#N/A</v>
          </cell>
          <cell r="AI44" t="e">
            <v>#N/A</v>
          </cell>
          <cell r="AJ44" t="e">
            <v>#N/A</v>
          </cell>
          <cell r="AK44" t="e">
            <v>#N/A</v>
          </cell>
          <cell r="AL44" t="e">
            <v>#N/A</v>
          </cell>
          <cell r="AM44" t="e">
            <v>#N/A</v>
          </cell>
          <cell r="AN44" t="e">
            <v>#N/A</v>
          </cell>
          <cell r="AO44" t="e">
            <v>#N/A</v>
          </cell>
          <cell r="AP44" t="e">
            <v>#N/A</v>
          </cell>
          <cell r="AQ44" t="e">
            <v>#N/A</v>
          </cell>
          <cell r="AR44" t="e">
            <v>#N/A</v>
          </cell>
          <cell r="AS44" t="e">
            <v>#N/A</v>
          </cell>
          <cell r="AT44" t="e">
            <v>#N/A</v>
          </cell>
          <cell r="AU44">
            <v>0</v>
          </cell>
          <cell r="AV44">
            <v>12.192</v>
          </cell>
          <cell r="AW44">
            <v>12.192</v>
          </cell>
          <cell r="AX44">
            <v>0</v>
          </cell>
          <cell r="AY44">
            <v>0</v>
          </cell>
          <cell r="AZ44" t="e">
            <v>#N/A</v>
          </cell>
          <cell r="BA44" t="e">
            <v>#N/A</v>
          </cell>
        </row>
        <row r="45">
          <cell r="C45" t="str">
            <v>-</v>
          </cell>
          <cell r="D45" t="e">
            <v>#N/A</v>
          </cell>
          <cell r="E45">
            <v>0</v>
          </cell>
          <cell r="F45">
            <v>0</v>
          </cell>
          <cell r="G45" t="e">
            <v>#N/A</v>
          </cell>
          <cell r="H45" t="e">
            <v>#N/A</v>
          </cell>
          <cell r="I45" t="str">
            <v>ROAD: Wind Erosion</v>
          </cell>
          <cell r="J45">
            <v>0</v>
          </cell>
          <cell r="K45" t="e">
            <v>#N/A</v>
          </cell>
          <cell r="L45" t="e">
            <v>#N/A</v>
          </cell>
          <cell r="M45" t="e">
            <v>#N/A</v>
          </cell>
          <cell r="N45">
            <v>0</v>
          </cell>
          <cell r="O45">
            <v>12.192</v>
          </cell>
          <cell r="P45">
            <v>0</v>
          </cell>
          <cell r="Q45">
            <v>12.192</v>
          </cell>
          <cell r="R45">
            <v>148.64486400000001</v>
          </cell>
          <cell r="S45">
            <v>0</v>
          </cell>
          <cell r="T45">
            <v>0</v>
          </cell>
          <cell r="U45">
            <v>0</v>
          </cell>
          <cell r="V45">
            <v>0</v>
          </cell>
          <cell r="W45" t="str">
            <v>S</v>
          </cell>
          <cell r="X45">
            <v>0</v>
          </cell>
          <cell r="Y45" t="e">
            <v>#N/A</v>
          </cell>
          <cell r="Z45" t="e">
            <v>#N/A</v>
          </cell>
          <cell r="AA45" t="e">
            <v>#N/A</v>
          </cell>
          <cell r="AB45" t="e">
            <v>#N/A</v>
          </cell>
          <cell r="AC45" t="e">
            <v>#N/A</v>
          </cell>
          <cell r="AD45" t="e">
            <v>#N/A</v>
          </cell>
          <cell r="AE45" t="e">
            <v>#N/A</v>
          </cell>
          <cell r="AF45" t="e">
            <v>#N/A</v>
          </cell>
          <cell r="AG45" t="e">
            <v>#N/A</v>
          </cell>
          <cell r="AH45" t="e">
            <v>#N/A</v>
          </cell>
          <cell r="AI45" t="e">
            <v>#N/A</v>
          </cell>
          <cell r="AJ45" t="e">
            <v>#N/A</v>
          </cell>
          <cell r="AK45" t="e">
            <v>#N/A</v>
          </cell>
          <cell r="AL45" t="e">
            <v>#N/A</v>
          </cell>
          <cell r="AM45" t="e">
            <v>#N/A</v>
          </cell>
          <cell r="AN45" t="e">
            <v>#N/A</v>
          </cell>
          <cell r="AO45" t="e">
            <v>#N/A</v>
          </cell>
          <cell r="AP45" t="e">
            <v>#N/A</v>
          </cell>
          <cell r="AQ45" t="e">
            <v>#N/A</v>
          </cell>
          <cell r="AR45" t="e">
            <v>#N/A</v>
          </cell>
          <cell r="AS45" t="e">
            <v>#N/A</v>
          </cell>
          <cell r="AT45" t="e">
            <v>#N/A</v>
          </cell>
          <cell r="AU45">
            <v>0</v>
          </cell>
          <cell r="AV45">
            <v>12.192</v>
          </cell>
          <cell r="AW45">
            <v>12.192</v>
          </cell>
          <cell r="AX45">
            <v>0</v>
          </cell>
          <cell r="AY45">
            <v>0</v>
          </cell>
          <cell r="AZ45" t="e">
            <v>#N/A</v>
          </cell>
          <cell r="BA45" t="e">
            <v>#N/A</v>
          </cell>
        </row>
        <row r="46">
          <cell r="C46" t="str">
            <v>-</v>
          </cell>
          <cell r="D46" t="e">
            <v>#N/A</v>
          </cell>
          <cell r="E46">
            <v>0</v>
          </cell>
          <cell r="F46">
            <v>0</v>
          </cell>
          <cell r="G46" t="e">
            <v>#N/A</v>
          </cell>
          <cell r="H46" t="e">
            <v>#N/A</v>
          </cell>
          <cell r="I46" t="str">
            <v>ROAD: Wind Erosion</v>
          </cell>
          <cell r="J46">
            <v>0</v>
          </cell>
          <cell r="K46" t="e">
            <v>#N/A</v>
          </cell>
          <cell r="L46" t="e">
            <v>#N/A</v>
          </cell>
          <cell r="M46" t="e">
            <v>#N/A</v>
          </cell>
          <cell r="N46">
            <v>0</v>
          </cell>
          <cell r="O46">
            <v>12.192</v>
          </cell>
          <cell r="P46">
            <v>0</v>
          </cell>
          <cell r="Q46">
            <v>12.192</v>
          </cell>
          <cell r="R46">
            <v>148.64486400000001</v>
          </cell>
          <cell r="S46">
            <v>0</v>
          </cell>
          <cell r="T46">
            <v>0</v>
          </cell>
          <cell r="U46">
            <v>0</v>
          </cell>
          <cell r="V46">
            <v>0</v>
          </cell>
          <cell r="W46" t="str">
            <v>S</v>
          </cell>
          <cell r="X46">
            <v>0</v>
          </cell>
          <cell r="Y46" t="e">
            <v>#N/A</v>
          </cell>
          <cell r="Z46" t="e">
            <v>#N/A</v>
          </cell>
          <cell r="AA46" t="e">
            <v>#N/A</v>
          </cell>
          <cell r="AB46" t="e">
            <v>#N/A</v>
          </cell>
          <cell r="AC46" t="e">
            <v>#N/A</v>
          </cell>
          <cell r="AD46" t="e">
            <v>#N/A</v>
          </cell>
          <cell r="AE46" t="e">
            <v>#N/A</v>
          </cell>
          <cell r="AF46" t="e">
            <v>#N/A</v>
          </cell>
          <cell r="AG46" t="e">
            <v>#N/A</v>
          </cell>
          <cell r="AH46" t="e">
            <v>#N/A</v>
          </cell>
          <cell r="AI46" t="e">
            <v>#N/A</v>
          </cell>
          <cell r="AJ46" t="e">
            <v>#N/A</v>
          </cell>
          <cell r="AK46" t="e">
            <v>#N/A</v>
          </cell>
          <cell r="AL46" t="e">
            <v>#N/A</v>
          </cell>
          <cell r="AM46" t="e">
            <v>#N/A</v>
          </cell>
          <cell r="AN46" t="e">
            <v>#N/A</v>
          </cell>
          <cell r="AO46" t="e">
            <v>#N/A</v>
          </cell>
          <cell r="AP46" t="e">
            <v>#N/A</v>
          </cell>
          <cell r="AQ46" t="e">
            <v>#N/A</v>
          </cell>
          <cell r="AR46" t="e">
            <v>#N/A</v>
          </cell>
          <cell r="AS46" t="e">
            <v>#N/A</v>
          </cell>
          <cell r="AT46" t="e">
            <v>#N/A</v>
          </cell>
          <cell r="AU46">
            <v>0</v>
          </cell>
          <cell r="AV46">
            <v>12.192</v>
          </cell>
          <cell r="AW46">
            <v>12.192</v>
          </cell>
          <cell r="AX46">
            <v>0</v>
          </cell>
          <cell r="AY46">
            <v>0</v>
          </cell>
          <cell r="AZ46" t="e">
            <v>#N/A</v>
          </cell>
          <cell r="BA46" t="e">
            <v>#N/A</v>
          </cell>
        </row>
        <row r="47">
          <cell r="C47" t="str">
            <v>-</v>
          </cell>
          <cell r="D47" t="str">
            <v>SCENARIO 4</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row>
        <row r="48">
          <cell r="C48" t="str">
            <v>-T1</v>
          </cell>
          <cell r="D48" t="e">
            <v>#N/A</v>
          </cell>
          <cell r="E48">
            <v>0</v>
          </cell>
          <cell r="F48">
            <v>0</v>
          </cell>
          <cell r="G48" t="e">
            <v>#N/A</v>
          </cell>
          <cell r="H48" t="e">
            <v>#N/A</v>
          </cell>
          <cell r="I48" t="str">
            <v xml:space="preserve">SINGLE: Wind Erosion </v>
          </cell>
          <cell r="J48" t="str">
            <v>T1</v>
          </cell>
          <cell r="K48">
            <v>-119.36199999999999</v>
          </cell>
          <cell r="L48">
            <v>-48.238399999999999</v>
          </cell>
          <cell r="M48">
            <v>0</v>
          </cell>
          <cell r="N48">
            <v>0</v>
          </cell>
          <cell r="O48">
            <v>0</v>
          </cell>
          <cell r="P48">
            <v>0</v>
          </cell>
          <cell r="Q48">
            <v>0</v>
          </cell>
          <cell r="R48">
            <v>0</v>
          </cell>
          <cell r="S48">
            <v>0</v>
          </cell>
          <cell r="T48">
            <v>0</v>
          </cell>
          <cell r="U48">
            <v>0</v>
          </cell>
          <cell r="V48">
            <v>0</v>
          </cell>
          <cell r="W48" t="str">
            <v>S</v>
          </cell>
          <cell r="X48">
            <v>0</v>
          </cell>
          <cell r="Y48" t="e">
            <v>#N/A</v>
          </cell>
          <cell r="Z48" t="e">
            <v>#N/A</v>
          </cell>
          <cell r="AA48" t="e">
            <v>#N/A</v>
          </cell>
          <cell r="AB48" t="e">
            <v>#N/A</v>
          </cell>
          <cell r="AC48" t="e">
            <v>#N/A</v>
          </cell>
          <cell r="AD48" t="e">
            <v>#N/A</v>
          </cell>
          <cell r="AE48" t="e">
            <v>#N/A</v>
          </cell>
          <cell r="AF48" t="e">
            <v>#N/A</v>
          </cell>
          <cell r="AG48" t="e">
            <v>#N/A</v>
          </cell>
          <cell r="AH48" t="e">
            <v>#N/A</v>
          </cell>
          <cell r="AI48" t="e">
            <v>#N/A</v>
          </cell>
          <cell r="AJ48" t="e">
            <v>#N/A</v>
          </cell>
          <cell r="AK48" t="e">
            <v>#N/A</v>
          </cell>
          <cell r="AL48" t="e">
            <v>#N/A</v>
          </cell>
          <cell r="AM48" t="e">
            <v>#N/A</v>
          </cell>
          <cell r="AN48" t="e">
            <v>#N/A</v>
          </cell>
          <cell r="AO48" t="e">
            <v>#N/A</v>
          </cell>
          <cell r="AP48" t="e">
            <v>#N/A</v>
          </cell>
          <cell r="AQ48" t="e">
            <v>#N/A</v>
          </cell>
          <cell r="AR48" t="e">
            <v>#N/A</v>
          </cell>
          <cell r="AS48" t="e">
            <v>#N/A</v>
          </cell>
          <cell r="AT48" t="e">
            <v>#N/A</v>
          </cell>
          <cell r="AU48">
            <v>0</v>
          </cell>
          <cell r="AV48">
            <v>0</v>
          </cell>
          <cell r="AW48">
            <v>0</v>
          </cell>
          <cell r="AX48">
            <v>0</v>
          </cell>
          <cell r="AY48">
            <v>0</v>
          </cell>
          <cell r="AZ48" t="e">
            <v>#N/A</v>
          </cell>
          <cell r="BA48" t="e">
            <v>#N/A</v>
          </cell>
        </row>
        <row r="49">
          <cell r="C49" t="str">
            <v>-</v>
          </cell>
          <cell r="D49" t="e">
            <v>#N/A</v>
          </cell>
          <cell r="E49">
            <v>0</v>
          </cell>
          <cell r="F49">
            <v>0</v>
          </cell>
          <cell r="G49" t="e">
            <v>#N/A</v>
          </cell>
          <cell r="H49" t="e">
            <v>#N/A</v>
          </cell>
          <cell r="I49" t="str">
            <v>TWIN: Wind Erosion</v>
          </cell>
          <cell r="J49">
            <v>0</v>
          </cell>
          <cell r="K49" t="e">
            <v>#N/A</v>
          </cell>
          <cell r="L49" t="e">
            <v>#N/A</v>
          </cell>
          <cell r="M49" t="e">
            <v>#N/A</v>
          </cell>
          <cell r="N49">
            <v>0</v>
          </cell>
          <cell r="O49">
            <v>85.3</v>
          </cell>
          <cell r="P49">
            <v>0</v>
          </cell>
          <cell r="Q49">
            <v>85.3</v>
          </cell>
          <cell r="R49">
            <v>7276.0899999999992</v>
          </cell>
          <cell r="S49">
            <v>0</v>
          </cell>
          <cell r="T49">
            <v>0</v>
          </cell>
          <cell r="U49">
            <v>0</v>
          </cell>
          <cell r="V49">
            <v>0</v>
          </cell>
          <cell r="W49" t="str">
            <v>S</v>
          </cell>
          <cell r="X49">
            <v>0</v>
          </cell>
          <cell r="Y49" t="e">
            <v>#N/A</v>
          </cell>
          <cell r="Z49" t="e">
            <v>#N/A</v>
          </cell>
          <cell r="AA49" t="e">
            <v>#N/A</v>
          </cell>
          <cell r="AB49" t="e">
            <v>#N/A</v>
          </cell>
          <cell r="AC49" t="e">
            <v>#N/A</v>
          </cell>
          <cell r="AD49" t="e">
            <v>#N/A</v>
          </cell>
          <cell r="AE49" t="e">
            <v>#N/A</v>
          </cell>
          <cell r="AF49" t="e">
            <v>#N/A</v>
          </cell>
          <cell r="AG49" t="e">
            <v>#N/A</v>
          </cell>
          <cell r="AH49" t="e">
            <v>#N/A</v>
          </cell>
          <cell r="AI49" t="e">
            <v>#N/A</v>
          </cell>
          <cell r="AJ49" t="e">
            <v>#N/A</v>
          </cell>
          <cell r="AK49" t="e">
            <v>#N/A</v>
          </cell>
          <cell r="AL49" t="e">
            <v>#N/A</v>
          </cell>
          <cell r="AM49" t="e">
            <v>#N/A</v>
          </cell>
          <cell r="AN49" t="e">
            <v>#N/A</v>
          </cell>
          <cell r="AO49" t="e">
            <v>#N/A</v>
          </cell>
          <cell r="AP49" t="e">
            <v>#N/A</v>
          </cell>
          <cell r="AQ49" t="e">
            <v>#N/A</v>
          </cell>
          <cell r="AR49" t="e">
            <v>#N/A</v>
          </cell>
          <cell r="AS49" t="e">
            <v>#N/A</v>
          </cell>
          <cell r="AT49" t="e">
            <v>#N/A</v>
          </cell>
          <cell r="AU49">
            <v>0</v>
          </cell>
          <cell r="AV49">
            <v>85.3</v>
          </cell>
          <cell r="AW49">
            <v>85.3</v>
          </cell>
          <cell r="AX49">
            <v>0</v>
          </cell>
          <cell r="AY49">
            <v>0</v>
          </cell>
          <cell r="AZ49" t="e">
            <v>#N/A</v>
          </cell>
          <cell r="BA49" t="e">
            <v>#N/A</v>
          </cell>
        </row>
        <row r="50">
          <cell r="C50" t="str">
            <v>-</v>
          </cell>
          <cell r="D50" t="e">
            <v>#N/A</v>
          </cell>
          <cell r="E50">
            <v>0</v>
          </cell>
          <cell r="F50">
            <v>0</v>
          </cell>
          <cell r="G50" t="e">
            <v>#N/A</v>
          </cell>
          <cell r="H50" t="e">
            <v>#N/A</v>
          </cell>
          <cell r="I50" t="str">
            <v>MULTI: Wind Erosion</v>
          </cell>
          <cell r="J50">
            <v>0</v>
          </cell>
          <cell r="K50" t="e">
            <v>#N/A</v>
          </cell>
          <cell r="L50" t="e">
            <v>#N/A</v>
          </cell>
          <cell r="M50" t="e">
            <v>#N/A</v>
          </cell>
          <cell r="N50">
            <v>0</v>
          </cell>
          <cell r="O50">
            <v>45</v>
          </cell>
          <cell r="P50">
            <v>0</v>
          </cell>
          <cell r="Q50">
            <v>45</v>
          </cell>
          <cell r="R50">
            <v>2025</v>
          </cell>
          <cell r="S50">
            <v>0</v>
          </cell>
          <cell r="T50">
            <v>0</v>
          </cell>
          <cell r="U50">
            <v>0</v>
          </cell>
          <cell r="V50">
            <v>0</v>
          </cell>
          <cell r="W50" t="str">
            <v>S</v>
          </cell>
          <cell r="X50">
            <v>0</v>
          </cell>
          <cell r="Y50" t="e">
            <v>#N/A</v>
          </cell>
          <cell r="Z50" t="e">
            <v>#N/A</v>
          </cell>
          <cell r="AA50" t="e">
            <v>#N/A</v>
          </cell>
          <cell r="AB50" t="e">
            <v>#N/A</v>
          </cell>
          <cell r="AC50" t="e">
            <v>#N/A</v>
          </cell>
          <cell r="AD50" t="e">
            <v>#N/A</v>
          </cell>
          <cell r="AE50" t="e">
            <v>#N/A</v>
          </cell>
          <cell r="AF50" t="e">
            <v>#N/A</v>
          </cell>
          <cell r="AG50" t="e">
            <v>#N/A</v>
          </cell>
          <cell r="AH50" t="e">
            <v>#N/A</v>
          </cell>
          <cell r="AI50" t="e">
            <v>#N/A</v>
          </cell>
          <cell r="AJ50" t="e">
            <v>#N/A</v>
          </cell>
          <cell r="AK50" t="e">
            <v>#N/A</v>
          </cell>
          <cell r="AL50" t="e">
            <v>#N/A</v>
          </cell>
          <cell r="AM50" t="e">
            <v>#N/A</v>
          </cell>
          <cell r="AN50" t="e">
            <v>#N/A</v>
          </cell>
          <cell r="AO50" t="e">
            <v>#N/A</v>
          </cell>
          <cell r="AP50" t="e">
            <v>#N/A</v>
          </cell>
          <cell r="AQ50" t="e">
            <v>#N/A</v>
          </cell>
          <cell r="AR50" t="e">
            <v>#N/A</v>
          </cell>
          <cell r="AS50" t="e">
            <v>#N/A</v>
          </cell>
          <cell r="AT50" t="e">
            <v>#N/A</v>
          </cell>
          <cell r="AU50">
            <v>0</v>
          </cell>
          <cell r="AV50">
            <v>45</v>
          </cell>
          <cell r="AW50">
            <v>45</v>
          </cell>
          <cell r="AX50">
            <v>0</v>
          </cell>
          <cell r="AY50">
            <v>0</v>
          </cell>
          <cell r="AZ50" t="e">
            <v>#N/A</v>
          </cell>
          <cell r="BA50" t="e">
            <v>#N/A</v>
          </cell>
        </row>
        <row r="51">
          <cell r="C51" t="str">
            <v>-</v>
          </cell>
          <cell r="D51" t="e">
            <v>#N/A</v>
          </cell>
          <cell r="E51">
            <v>0</v>
          </cell>
          <cell r="F51">
            <v>0</v>
          </cell>
          <cell r="G51" t="e">
            <v>#N/A</v>
          </cell>
          <cell r="H51" t="e">
            <v>#N/A</v>
          </cell>
          <cell r="I51" t="str">
            <v>ROAD: Wind Erosion</v>
          </cell>
          <cell r="J51">
            <v>0</v>
          </cell>
          <cell r="K51" t="e">
            <v>#N/A</v>
          </cell>
          <cell r="L51" t="e">
            <v>#N/A</v>
          </cell>
          <cell r="M51" t="e">
            <v>#N/A</v>
          </cell>
          <cell r="N51">
            <v>0</v>
          </cell>
          <cell r="O51">
            <v>12.192</v>
          </cell>
          <cell r="P51">
            <v>0</v>
          </cell>
          <cell r="Q51">
            <v>12.192</v>
          </cell>
          <cell r="R51">
            <v>148.64486400000001</v>
          </cell>
          <cell r="S51">
            <v>0</v>
          </cell>
          <cell r="T51">
            <v>0</v>
          </cell>
          <cell r="U51">
            <v>0</v>
          </cell>
          <cell r="V51">
            <v>0</v>
          </cell>
          <cell r="W51" t="str">
            <v>S</v>
          </cell>
          <cell r="X51">
            <v>0</v>
          </cell>
          <cell r="Y51" t="e">
            <v>#N/A</v>
          </cell>
          <cell r="Z51" t="e">
            <v>#N/A</v>
          </cell>
          <cell r="AA51" t="e">
            <v>#N/A</v>
          </cell>
          <cell r="AB51" t="e">
            <v>#N/A</v>
          </cell>
          <cell r="AC51" t="e">
            <v>#N/A</v>
          </cell>
          <cell r="AD51" t="e">
            <v>#N/A</v>
          </cell>
          <cell r="AE51" t="e">
            <v>#N/A</v>
          </cell>
          <cell r="AF51" t="e">
            <v>#N/A</v>
          </cell>
          <cell r="AG51" t="e">
            <v>#N/A</v>
          </cell>
          <cell r="AH51" t="e">
            <v>#N/A</v>
          </cell>
          <cell r="AI51" t="e">
            <v>#N/A</v>
          </cell>
          <cell r="AJ51" t="e">
            <v>#N/A</v>
          </cell>
          <cell r="AK51" t="e">
            <v>#N/A</v>
          </cell>
          <cell r="AL51" t="e">
            <v>#N/A</v>
          </cell>
          <cell r="AM51" t="e">
            <v>#N/A</v>
          </cell>
          <cell r="AN51" t="e">
            <v>#N/A</v>
          </cell>
          <cell r="AO51" t="e">
            <v>#N/A</v>
          </cell>
          <cell r="AP51" t="e">
            <v>#N/A</v>
          </cell>
          <cell r="AQ51" t="e">
            <v>#N/A</v>
          </cell>
          <cell r="AR51" t="e">
            <v>#N/A</v>
          </cell>
          <cell r="AS51" t="e">
            <v>#N/A</v>
          </cell>
          <cell r="AT51" t="e">
            <v>#N/A</v>
          </cell>
          <cell r="AU51">
            <v>0</v>
          </cell>
          <cell r="AV51">
            <v>12.192</v>
          </cell>
          <cell r="AW51">
            <v>12.192</v>
          </cell>
          <cell r="AX51">
            <v>0</v>
          </cell>
          <cell r="AY51">
            <v>0</v>
          </cell>
          <cell r="AZ51" t="e">
            <v>#N/A</v>
          </cell>
          <cell r="BA51" t="e">
            <v>#N/A</v>
          </cell>
        </row>
        <row r="52">
          <cell r="C52" t="str">
            <v>-</v>
          </cell>
          <cell r="D52" t="e">
            <v>#N/A</v>
          </cell>
          <cell r="E52">
            <v>0</v>
          </cell>
          <cell r="F52">
            <v>0</v>
          </cell>
          <cell r="G52" t="e">
            <v>#N/A</v>
          </cell>
          <cell r="H52" t="e">
            <v>#N/A</v>
          </cell>
          <cell r="I52" t="str">
            <v>ROAD: Wind Erosion</v>
          </cell>
          <cell r="J52">
            <v>0</v>
          </cell>
          <cell r="K52" t="e">
            <v>#N/A</v>
          </cell>
          <cell r="L52" t="e">
            <v>#N/A</v>
          </cell>
          <cell r="M52" t="e">
            <v>#N/A</v>
          </cell>
          <cell r="N52">
            <v>0</v>
          </cell>
          <cell r="O52">
            <v>12.192</v>
          </cell>
          <cell r="P52">
            <v>0</v>
          </cell>
          <cell r="Q52">
            <v>12.192</v>
          </cell>
          <cell r="R52">
            <v>148.64486400000001</v>
          </cell>
          <cell r="S52">
            <v>0</v>
          </cell>
          <cell r="T52">
            <v>0</v>
          </cell>
          <cell r="U52">
            <v>0</v>
          </cell>
          <cell r="V52">
            <v>0</v>
          </cell>
          <cell r="W52" t="str">
            <v>S</v>
          </cell>
          <cell r="X52">
            <v>0</v>
          </cell>
          <cell r="Y52" t="e">
            <v>#N/A</v>
          </cell>
          <cell r="Z52" t="e">
            <v>#N/A</v>
          </cell>
          <cell r="AA52" t="e">
            <v>#N/A</v>
          </cell>
          <cell r="AB52" t="e">
            <v>#N/A</v>
          </cell>
          <cell r="AC52" t="e">
            <v>#N/A</v>
          </cell>
          <cell r="AD52" t="e">
            <v>#N/A</v>
          </cell>
          <cell r="AE52" t="e">
            <v>#N/A</v>
          </cell>
          <cell r="AF52" t="e">
            <v>#N/A</v>
          </cell>
          <cell r="AG52" t="e">
            <v>#N/A</v>
          </cell>
          <cell r="AH52" t="e">
            <v>#N/A</v>
          </cell>
          <cell r="AI52" t="e">
            <v>#N/A</v>
          </cell>
          <cell r="AJ52" t="e">
            <v>#N/A</v>
          </cell>
          <cell r="AK52" t="e">
            <v>#N/A</v>
          </cell>
          <cell r="AL52" t="e">
            <v>#N/A</v>
          </cell>
          <cell r="AM52" t="e">
            <v>#N/A</v>
          </cell>
          <cell r="AN52" t="e">
            <v>#N/A</v>
          </cell>
          <cell r="AO52" t="e">
            <v>#N/A</v>
          </cell>
          <cell r="AP52" t="e">
            <v>#N/A</v>
          </cell>
          <cell r="AQ52" t="e">
            <v>#N/A</v>
          </cell>
          <cell r="AR52" t="e">
            <v>#N/A</v>
          </cell>
          <cell r="AS52" t="e">
            <v>#N/A</v>
          </cell>
          <cell r="AT52" t="e">
            <v>#N/A</v>
          </cell>
          <cell r="AU52">
            <v>0</v>
          </cell>
          <cell r="AV52">
            <v>12.192</v>
          </cell>
          <cell r="AW52">
            <v>12.192</v>
          </cell>
          <cell r="AX52">
            <v>0</v>
          </cell>
          <cell r="AY52">
            <v>0</v>
          </cell>
          <cell r="AZ52" t="e">
            <v>#N/A</v>
          </cell>
          <cell r="BA52" t="e">
            <v>#N/A</v>
          </cell>
        </row>
        <row r="53">
          <cell r="C53" t="str">
            <v>-</v>
          </cell>
          <cell r="D53" t="e">
            <v>#N/A</v>
          </cell>
          <cell r="E53">
            <v>0</v>
          </cell>
          <cell r="F53">
            <v>0</v>
          </cell>
          <cell r="G53" t="e">
            <v>#N/A</v>
          </cell>
          <cell r="H53" t="e">
            <v>#N/A</v>
          </cell>
          <cell r="I53" t="str">
            <v>ROAD: Wind Erosion</v>
          </cell>
          <cell r="J53">
            <v>0</v>
          </cell>
          <cell r="K53" t="e">
            <v>#N/A</v>
          </cell>
          <cell r="L53" t="e">
            <v>#N/A</v>
          </cell>
          <cell r="M53" t="e">
            <v>#N/A</v>
          </cell>
          <cell r="N53">
            <v>0</v>
          </cell>
          <cell r="O53">
            <v>12.192</v>
          </cell>
          <cell r="P53">
            <v>0</v>
          </cell>
          <cell r="Q53">
            <v>12.192</v>
          </cell>
          <cell r="R53">
            <v>148.64486400000001</v>
          </cell>
          <cell r="S53">
            <v>0</v>
          </cell>
          <cell r="T53">
            <v>0</v>
          </cell>
          <cell r="U53">
            <v>0</v>
          </cell>
          <cell r="V53">
            <v>0</v>
          </cell>
          <cell r="W53" t="str">
            <v>S</v>
          </cell>
          <cell r="X53">
            <v>0</v>
          </cell>
          <cell r="Y53" t="e">
            <v>#N/A</v>
          </cell>
          <cell r="Z53" t="e">
            <v>#N/A</v>
          </cell>
          <cell r="AA53" t="e">
            <v>#N/A</v>
          </cell>
          <cell r="AB53" t="e">
            <v>#N/A</v>
          </cell>
          <cell r="AC53" t="e">
            <v>#N/A</v>
          </cell>
          <cell r="AD53" t="e">
            <v>#N/A</v>
          </cell>
          <cell r="AE53" t="e">
            <v>#N/A</v>
          </cell>
          <cell r="AF53" t="e">
            <v>#N/A</v>
          </cell>
          <cell r="AG53" t="e">
            <v>#N/A</v>
          </cell>
          <cell r="AH53" t="e">
            <v>#N/A</v>
          </cell>
          <cell r="AI53" t="e">
            <v>#N/A</v>
          </cell>
          <cell r="AJ53" t="e">
            <v>#N/A</v>
          </cell>
          <cell r="AK53" t="e">
            <v>#N/A</v>
          </cell>
          <cell r="AL53" t="e">
            <v>#N/A</v>
          </cell>
          <cell r="AM53" t="e">
            <v>#N/A</v>
          </cell>
          <cell r="AN53" t="e">
            <v>#N/A</v>
          </cell>
          <cell r="AO53" t="e">
            <v>#N/A</v>
          </cell>
          <cell r="AP53" t="e">
            <v>#N/A</v>
          </cell>
          <cell r="AQ53" t="e">
            <v>#N/A</v>
          </cell>
          <cell r="AR53" t="e">
            <v>#N/A</v>
          </cell>
          <cell r="AS53" t="e">
            <v>#N/A</v>
          </cell>
          <cell r="AT53" t="e">
            <v>#N/A</v>
          </cell>
          <cell r="AU53">
            <v>0</v>
          </cell>
          <cell r="AV53">
            <v>12.192</v>
          </cell>
          <cell r="AW53">
            <v>12.192</v>
          </cell>
          <cell r="AX53">
            <v>0</v>
          </cell>
          <cell r="AY53">
            <v>0</v>
          </cell>
          <cell r="AZ53" t="e">
            <v>#N/A</v>
          </cell>
          <cell r="BA53" t="e">
            <v>#N/A</v>
          </cell>
        </row>
        <row r="54">
          <cell r="C54" t="str">
            <v>-</v>
          </cell>
          <cell r="D54" t="e">
            <v>#N/A</v>
          </cell>
          <cell r="E54">
            <v>0</v>
          </cell>
          <cell r="F54">
            <v>0</v>
          </cell>
          <cell r="G54" t="e">
            <v>#N/A</v>
          </cell>
          <cell r="H54" t="e">
            <v>#N/A</v>
          </cell>
          <cell r="I54" t="str">
            <v xml:space="preserve">SINGLE: Wind Erosion </v>
          </cell>
          <cell r="J54">
            <v>0</v>
          </cell>
          <cell r="K54" t="e">
            <v>#N/A</v>
          </cell>
          <cell r="L54" t="e">
            <v>#N/A</v>
          </cell>
          <cell r="M54" t="e">
            <v>#N/A</v>
          </cell>
          <cell r="N54">
            <v>0</v>
          </cell>
          <cell r="O54">
            <v>0</v>
          </cell>
          <cell r="P54">
            <v>0</v>
          </cell>
          <cell r="Q54">
            <v>0</v>
          </cell>
          <cell r="R54">
            <v>0</v>
          </cell>
          <cell r="S54">
            <v>0</v>
          </cell>
          <cell r="T54">
            <v>0</v>
          </cell>
          <cell r="U54">
            <v>0</v>
          </cell>
          <cell r="V54">
            <v>0</v>
          </cell>
          <cell r="W54" t="str">
            <v>S</v>
          </cell>
          <cell r="X54">
            <v>0</v>
          </cell>
          <cell r="Y54" t="e">
            <v>#N/A</v>
          </cell>
          <cell r="Z54" t="e">
            <v>#N/A</v>
          </cell>
          <cell r="AA54" t="e">
            <v>#N/A</v>
          </cell>
          <cell r="AB54" t="e">
            <v>#N/A</v>
          </cell>
          <cell r="AC54" t="e">
            <v>#N/A</v>
          </cell>
          <cell r="AD54" t="e">
            <v>#N/A</v>
          </cell>
          <cell r="AE54" t="e">
            <v>#N/A</v>
          </cell>
          <cell r="AF54" t="e">
            <v>#N/A</v>
          </cell>
          <cell r="AG54" t="e">
            <v>#N/A</v>
          </cell>
          <cell r="AH54" t="e">
            <v>#N/A</v>
          </cell>
          <cell r="AI54" t="e">
            <v>#N/A</v>
          </cell>
          <cell r="AJ54" t="e">
            <v>#N/A</v>
          </cell>
          <cell r="AK54" t="e">
            <v>#N/A</v>
          </cell>
          <cell r="AL54" t="e">
            <v>#N/A</v>
          </cell>
          <cell r="AM54" t="e">
            <v>#N/A</v>
          </cell>
          <cell r="AN54" t="e">
            <v>#N/A</v>
          </cell>
          <cell r="AO54" t="e">
            <v>#N/A</v>
          </cell>
          <cell r="AP54" t="e">
            <v>#N/A</v>
          </cell>
          <cell r="AQ54" t="e">
            <v>#N/A</v>
          </cell>
          <cell r="AR54" t="e">
            <v>#N/A</v>
          </cell>
          <cell r="AS54" t="e">
            <v>#N/A</v>
          </cell>
          <cell r="AT54" t="e">
            <v>#N/A</v>
          </cell>
          <cell r="AU54">
            <v>0</v>
          </cell>
          <cell r="AV54">
            <v>0</v>
          </cell>
          <cell r="AW54">
            <v>0</v>
          </cell>
          <cell r="AX54">
            <v>0</v>
          </cell>
          <cell r="AY54">
            <v>0</v>
          </cell>
          <cell r="AZ54" t="e">
            <v>#N/A</v>
          </cell>
          <cell r="BA54" t="e">
            <v>#N/A</v>
          </cell>
        </row>
        <row r="55">
          <cell r="C55" t="str">
            <v>-</v>
          </cell>
          <cell r="D55" t="e">
            <v>#N/A</v>
          </cell>
          <cell r="E55">
            <v>0</v>
          </cell>
          <cell r="F55">
            <v>0</v>
          </cell>
          <cell r="G55" t="e">
            <v>#N/A</v>
          </cell>
          <cell r="H55" t="e">
            <v>#N/A</v>
          </cell>
          <cell r="I55" t="str">
            <v>TWIN: Wind Erosion</v>
          </cell>
          <cell r="J55">
            <v>0</v>
          </cell>
          <cell r="K55" t="e">
            <v>#N/A</v>
          </cell>
          <cell r="L55" t="e">
            <v>#N/A</v>
          </cell>
          <cell r="M55" t="e">
            <v>#N/A</v>
          </cell>
          <cell r="N55">
            <v>0</v>
          </cell>
          <cell r="O55">
            <v>85.3</v>
          </cell>
          <cell r="P55">
            <v>0</v>
          </cell>
          <cell r="Q55">
            <v>85.3</v>
          </cell>
          <cell r="R55">
            <v>7276.0899999999992</v>
          </cell>
          <cell r="S55">
            <v>0</v>
          </cell>
          <cell r="T55">
            <v>0</v>
          </cell>
          <cell r="U55">
            <v>0</v>
          </cell>
          <cell r="V55">
            <v>0</v>
          </cell>
          <cell r="W55" t="str">
            <v>S</v>
          </cell>
          <cell r="X55">
            <v>0</v>
          </cell>
          <cell r="Y55" t="e">
            <v>#N/A</v>
          </cell>
          <cell r="Z55" t="e">
            <v>#N/A</v>
          </cell>
          <cell r="AA55" t="e">
            <v>#N/A</v>
          </cell>
          <cell r="AB55" t="e">
            <v>#N/A</v>
          </cell>
          <cell r="AC55" t="e">
            <v>#N/A</v>
          </cell>
          <cell r="AD55" t="e">
            <v>#N/A</v>
          </cell>
          <cell r="AE55" t="e">
            <v>#N/A</v>
          </cell>
          <cell r="AF55" t="e">
            <v>#N/A</v>
          </cell>
          <cell r="AG55" t="e">
            <v>#N/A</v>
          </cell>
          <cell r="AH55" t="e">
            <v>#N/A</v>
          </cell>
          <cell r="AI55" t="e">
            <v>#N/A</v>
          </cell>
          <cell r="AJ55" t="e">
            <v>#N/A</v>
          </cell>
          <cell r="AK55" t="e">
            <v>#N/A</v>
          </cell>
          <cell r="AL55" t="e">
            <v>#N/A</v>
          </cell>
          <cell r="AM55" t="e">
            <v>#N/A</v>
          </cell>
          <cell r="AN55" t="e">
            <v>#N/A</v>
          </cell>
          <cell r="AO55" t="e">
            <v>#N/A</v>
          </cell>
          <cell r="AP55" t="e">
            <v>#N/A</v>
          </cell>
          <cell r="AQ55" t="e">
            <v>#N/A</v>
          </cell>
          <cell r="AR55" t="e">
            <v>#N/A</v>
          </cell>
          <cell r="AS55" t="e">
            <v>#N/A</v>
          </cell>
          <cell r="AT55" t="e">
            <v>#N/A</v>
          </cell>
          <cell r="AU55">
            <v>0</v>
          </cell>
          <cell r="AV55">
            <v>85.3</v>
          </cell>
          <cell r="AW55">
            <v>85.3</v>
          </cell>
          <cell r="AX55">
            <v>0</v>
          </cell>
          <cell r="AY55">
            <v>0</v>
          </cell>
          <cell r="AZ55" t="e">
            <v>#N/A</v>
          </cell>
          <cell r="BA55" t="e">
            <v>#N/A</v>
          </cell>
        </row>
        <row r="56">
          <cell r="C56" t="str">
            <v>-</v>
          </cell>
          <cell r="D56" t="e">
            <v>#N/A</v>
          </cell>
          <cell r="E56">
            <v>0</v>
          </cell>
          <cell r="F56">
            <v>0</v>
          </cell>
          <cell r="G56" t="e">
            <v>#N/A</v>
          </cell>
          <cell r="H56" t="e">
            <v>#N/A</v>
          </cell>
          <cell r="I56" t="str">
            <v>MULTI: Wind Erosion</v>
          </cell>
          <cell r="J56">
            <v>0</v>
          </cell>
          <cell r="K56" t="e">
            <v>#N/A</v>
          </cell>
          <cell r="L56" t="e">
            <v>#N/A</v>
          </cell>
          <cell r="M56" t="e">
            <v>#N/A</v>
          </cell>
          <cell r="N56">
            <v>0</v>
          </cell>
          <cell r="O56">
            <v>45</v>
          </cell>
          <cell r="P56">
            <v>0</v>
          </cell>
          <cell r="Q56">
            <v>45</v>
          </cell>
          <cell r="R56">
            <v>2025</v>
          </cell>
          <cell r="S56">
            <v>0</v>
          </cell>
          <cell r="T56">
            <v>0</v>
          </cell>
          <cell r="U56">
            <v>0</v>
          </cell>
          <cell r="V56">
            <v>0</v>
          </cell>
          <cell r="W56" t="str">
            <v>S</v>
          </cell>
          <cell r="X56">
            <v>0</v>
          </cell>
          <cell r="Y56" t="e">
            <v>#N/A</v>
          </cell>
          <cell r="Z56" t="e">
            <v>#N/A</v>
          </cell>
          <cell r="AA56" t="e">
            <v>#N/A</v>
          </cell>
          <cell r="AB56" t="e">
            <v>#N/A</v>
          </cell>
          <cell r="AC56" t="e">
            <v>#N/A</v>
          </cell>
          <cell r="AD56" t="e">
            <v>#N/A</v>
          </cell>
          <cell r="AE56" t="e">
            <v>#N/A</v>
          </cell>
          <cell r="AF56" t="e">
            <v>#N/A</v>
          </cell>
          <cell r="AG56" t="e">
            <v>#N/A</v>
          </cell>
          <cell r="AH56" t="e">
            <v>#N/A</v>
          </cell>
          <cell r="AI56" t="e">
            <v>#N/A</v>
          </cell>
          <cell r="AJ56" t="e">
            <v>#N/A</v>
          </cell>
          <cell r="AK56" t="e">
            <v>#N/A</v>
          </cell>
          <cell r="AL56" t="e">
            <v>#N/A</v>
          </cell>
          <cell r="AM56" t="e">
            <v>#N/A</v>
          </cell>
          <cell r="AN56" t="e">
            <v>#N/A</v>
          </cell>
          <cell r="AO56" t="e">
            <v>#N/A</v>
          </cell>
          <cell r="AP56" t="e">
            <v>#N/A</v>
          </cell>
          <cell r="AQ56" t="e">
            <v>#N/A</v>
          </cell>
          <cell r="AR56" t="e">
            <v>#N/A</v>
          </cell>
          <cell r="AS56" t="e">
            <v>#N/A</v>
          </cell>
          <cell r="AT56" t="e">
            <v>#N/A</v>
          </cell>
          <cell r="AU56">
            <v>0</v>
          </cell>
          <cell r="AV56">
            <v>45</v>
          </cell>
          <cell r="AW56">
            <v>45</v>
          </cell>
          <cell r="AX56">
            <v>0</v>
          </cell>
          <cell r="AY56">
            <v>0</v>
          </cell>
          <cell r="AZ56" t="e">
            <v>#N/A</v>
          </cell>
          <cell r="BA56" t="e">
            <v>#N/A</v>
          </cell>
        </row>
        <row r="57">
          <cell r="C57" t="str">
            <v>-</v>
          </cell>
          <cell r="D57" t="e">
            <v>#N/A</v>
          </cell>
          <cell r="E57">
            <v>0</v>
          </cell>
          <cell r="F57">
            <v>0</v>
          </cell>
          <cell r="G57" t="e">
            <v>#N/A</v>
          </cell>
          <cell r="H57" t="e">
            <v>#N/A</v>
          </cell>
          <cell r="I57" t="str">
            <v>ROAD: Wind Erosion</v>
          </cell>
          <cell r="J57">
            <v>0</v>
          </cell>
          <cell r="K57" t="e">
            <v>#N/A</v>
          </cell>
          <cell r="L57" t="e">
            <v>#N/A</v>
          </cell>
          <cell r="M57" t="e">
            <v>#N/A</v>
          </cell>
          <cell r="N57">
            <v>0</v>
          </cell>
          <cell r="O57">
            <v>12.192</v>
          </cell>
          <cell r="P57">
            <v>0</v>
          </cell>
          <cell r="Q57">
            <v>12.192</v>
          </cell>
          <cell r="R57">
            <v>148.64486400000001</v>
          </cell>
          <cell r="S57">
            <v>0</v>
          </cell>
          <cell r="T57">
            <v>0</v>
          </cell>
          <cell r="U57">
            <v>0</v>
          </cell>
          <cell r="V57">
            <v>0</v>
          </cell>
          <cell r="W57" t="str">
            <v>S</v>
          </cell>
          <cell r="X57">
            <v>0</v>
          </cell>
          <cell r="Y57" t="e">
            <v>#N/A</v>
          </cell>
          <cell r="Z57" t="e">
            <v>#N/A</v>
          </cell>
          <cell r="AA57" t="e">
            <v>#N/A</v>
          </cell>
          <cell r="AB57" t="e">
            <v>#N/A</v>
          </cell>
          <cell r="AC57" t="e">
            <v>#N/A</v>
          </cell>
          <cell r="AD57" t="e">
            <v>#N/A</v>
          </cell>
          <cell r="AE57" t="e">
            <v>#N/A</v>
          </cell>
          <cell r="AF57" t="e">
            <v>#N/A</v>
          </cell>
          <cell r="AG57" t="e">
            <v>#N/A</v>
          </cell>
          <cell r="AH57" t="e">
            <v>#N/A</v>
          </cell>
          <cell r="AI57" t="e">
            <v>#N/A</v>
          </cell>
          <cell r="AJ57" t="e">
            <v>#N/A</v>
          </cell>
          <cell r="AK57" t="e">
            <v>#N/A</v>
          </cell>
          <cell r="AL57" t="e">
            <v>#N/A</v>
          </cell>
          <cell r="AM57" t="e">
            <v>#N/A</v>
          </cell>
          <cell r="AN57" t="e">
            <v>#N/A</v>
          </cell>
          <cell r="AO57" t="e">
            <v>#N/A</v>
          </cell>
          <cell r="AP57" t="e">
            <v>#N/A</v>
          </cell>
          <cell r="AQ57" t="e">
            <v>#N/A</v>
          </cell>
          <cell r="AR57" t="e">
            <v>#N/A</v>
          </cell>
          <cell r="AS57" t="e">
            <v>#N/A</v>
          </cell>
          <cell r="AT57" t="e">
            <v>#N/A</v>
          </cell>
          <cell r="AU57">
            <v>0</v>
          </cell>
          <cell r="AV57">
            <v>12.192</v>
          </cell>
          <cell r="AW57">
            <v>12.192</v>
          </cell>
          <cell r="AX57">
            <v>0</v>
          </cell>
          <cell r="AY57">
            <v>0</v>
          </cell>
          <cell r="AZ57" t="e">
            <v>#N/A</v>
          </cell>
          <cell r="BA57" t="e">
            <v>#N/A</v>
          </cell>
        </row>
        <row r="58">
          <cell r="C58" t="str">
            <v>-</v>
          </cell>
          <cell r="D58" t="e">
            <v>#N/A</v>
          </cell>
          <cell r="E58">
            <v>0</v>
          </cell>
          <cell r="F58">
            <v>0</v>
          </cell>
          <cell r="G58" t="e">
            <v>#N/A</v>
          </cell>
          <cell r="H58" t="e">
            <v>#N/A</v>
          </cell>
          <cell r="I58" t="str">
            <v>ROAD: Wind Erosion</v>
          </cell>
          <cell r="J58">
            <v>0</v>
          </cell>
          <cell r="K58" t="e">
            <v>#N/A</v>
          </cell>
          <cell r="L58" t="e">
            <v>#N/A</v>
          </cell>
          <cell r="M58" t="e">
            <v>#N/A</v>
          </cell>
          <cell r="N58">
            <v>0</v>
          </cell>
          <cell r="O58">
            <v>12.192</v>
          </cell>
          <cell r="P58">
            <v>0</v>
          </cell>
          <cell r="Q58">
            <v>12.192</v>
          </cell>
          <cell r="R58">
            <v>148.64486400000001</v>
          </cell>
          <cell r="S58">
            <v>0</v>
          </cell>
          <cell r="T58">
            <v>0</v>
          </cell>
          <cell r="U58">
            <v>0</v>
          </cell>
          <cell r="V58">
            <v>0</v>
          </cell>
          <cell r="W58" t="str">
            <v>S</v>
          </cell>
          <cell r="X58">
            <v>0</v>
          </cell>
          <cell r="Y58" t="e">
            <v>#N/A</v>
          </cell>
          <cell r="Z58" t="e">
            <v>#N/A</v>
          </cell>
          <cell r="AA58" t="e">
            <v>#N/A</v>
          </cell>
          <cell r="AB58" t="e">
            <v>#N/A</v>
          </cell>
          <cell r="AC58" t="e">
            <v>#N/A</v>
          </cell>
          <cell r="AD58" t="e">
            <v>#N/A</v>
          </cell>
          <cell r="AE58" t="e">
            <v>#N/A</v>
          </cell>
          <cell r="AF58" t="e">
            <v>#N/A</v>
          </cell>
          <cell r="AG58" t="e">
            <v>#N/A</v>
          </cell>
          <cell r="AH58" t="e">
            <v>#N/A</v>
          </cell>
          <cell r="AI58" t="e">
            <v>#N/A</v>
          </cell>
          <cell r="AJ58" t="e">
            <v>#N/A</v>
          </cell>
          <cell r="AK58" t="e">
            <v>#N/A</v>
          </cell>
          <cell r="AL58" t="e">
            <v>#N/A</v>
          </cell>
          <cell r="AM58" t="e">
            <v>#N/A</v>
          </cell>
          <cell r="AN58" t="e">
            <v>#N/A</v>
          </cell>
          <cell r="AO58" t="e">
            <v>#N/A</v>
          </cell>
          <cell r="AP58" t="e">
            <v>#N/A</v>
          </cell>
          <cell r="AQ58" t="e">
            <v>#N/A</v>
          </cell>
          <cell r="AR58" t="e">
            <v>#N/A</v>
          </cell>
          <cell r="AS58" t="e">
            <v>#N/A</v>
          </cell>
          <cell r="AT58" t="e">
            <v>#N/A</v>
          </cell>
          <cell r="AU58">
            <v>0</v>
          </cell>
          <cell r="AV58">
            <v>12.192</v>
          </cell>
          <cell r="AW58">
            <v>12.192</v>
          </cell>
          <cell r="AX58">
            <v>0</v>
          </cell>
          <cell r="AY58">
            <v>0</v>
          </cell>
          <cell r="AZ58" t="e">
            <v>#N/A</v>
          </cell>
          <cell r="BA58" t="e">
            <v>#N/A</v>
          </cell>
        </row>
        <row r="59">
          <cell r="C59" t="str">
            <v>-</v>
          </cell>
          <cell r="D59" t="e">
            <v>#N/A</v>
          </cell>
          <cell r="E59">
            <v>0</v>
          </cell>
          <cell r="F59">
            <v>0</v>
          </cell>
          <cell r="G59" t="e">
            <v>#N/A</v>
          </cell>
          <cell r="H59" t="e">
            <v>#N/A</v>
          </cell>
          <cell r="I59" t="str">
            <v>ROAD: Wind Erosion</v>
          </cell>
          <cell r="J59">
            <v>0</v>
          </cell>
          <cell r="K59" t="e">
            <v>#N/A</v>
          </cell>
          <cell r="L59" t="e">
            <v>#N/A</v>
          </cell>
          <cell r="M59" t="e">
            <v>#N/A</v>
          </cell>
          <cell r="N59">
            <v>0</v>
          </cell>
          <cell r="O59">
            <v>12.192</v>
          </cell>
          <cell r="P59">
            <v>0</v>
          </cell>
          <cell r="Q59">
            <v>12.192</v>
          </cell>
          <cell r="R59">
            <v>148.64486400000001</v>
          </cell>
          <cell r="S59">
            <v>0</v>
          </cell>
          <cell r="T59">
            <v>0</v>
          </cell>
          <cell r="U59">
            <v>0</v>
          </cell>
          <cell r="V59">
            <v>0</v>
          </cell>
          <cell r="W59" t="str">
            <v>S</v>
          </cell>
          <cell r="X59">
            <v>0</v>
          </cell>
          <cell r="Y59" t="e">
            <v>#N/A</v>
          </cell>
          <cell r="Z59" t="e">
            <v>#N/A</v>
          </cell>
          <cell r="AA59" t="e">
            <v>#N/A</v>
          </cell>
          <cell r="AB59" t="e">
            <v>#N/A</v>
          </cell>
          <cell r="AC59" t="e">
            <v>#N/A</v>
          </cell>
          <cell r="AD59" t="e">
            <v>#N/A</v>
          </cell>
          <cell r="AE59" t="e">
            <v>#N/A</v>
          </cell>
          <cell r="AF59" t="e">
            <v>#N/A</v>
          </cell>
          <cell r="AG59" t="e">
            <v>#N/A</v>
          </cell>
          <cell r="AH59" t="e">
            <v>#N/A</v>
          </cell>
          <cell r="AI59" t="e">
            <v>#N/A</v>
          </cell>
          <cell r="AJ59" t="e">
            <v>#N/A</v>
          </cell>
          <cell r="AK59" t="e">
            <v>#N/A</v>
          </cell>
          <cell r="AL59" t="e">
            <v>#N/A</v>
          </cell>
          <cell r="AM59" t="e">
            <v>#N/A</v>
          </cell>
          <cell r="AN59" t="e">
            <v>#N/A</v>
          </cell>
          <cell r="AO59" t="e">
            <v>#N/A</v>
          </cell>
          <cell r="AP59" t="e">
            <v>#N/A</v>
          </cell>
          <cell r="AQ59" t="e">
            <v>#N/A</v>
          </cell>
          <cell r="AR59" t="e">
            <v>#N/A</v>
          </cell>
          <cell r="AS59" t="e">
            <v>#N/A</v>
          </cell>
          <cell r="AT59" t="e">
            <v>#N/A</v>
          </cell>
          <cell r="AU59">
            <v>0</v>
          </cell>
          <cell r="AV59">
            <v>12.192</v>
          </cell>
          <cell r="AW59">
            <v>12.192</v>
          </cell>
          <cell r="AX59">
            <v>0</v>
          </cell>
          <cell r="AY59">
            <v>0</v>
          </cell>
          <cell r="AZ59" t="e">
            <v>#N/A</v>
          </cell>
          <cell r="BA59" t="e">
            <v>#N/A</v>
          </cell>
        </row>
        <row r="60">
          <cell r="C60" t="str">
            <v>-</v>
          </cell>
          <cell r="D60" t="e">
            <v>#N/A</v>
          </cell>
          <cell r="E60">
            <v>0</v>
          </cell>
          <cell r="F60">
            <v>0</v>
          </cell>
          <cell r="G60" t="e">
            <v>#N/A</v>
          </cell>
          <cell r="H60" t="e">
            <v>#N/A</v>
          </cell>
          <cell r="I60" t="str">
            <v xml:space="preserve">SINGLE: Wind Erosion </v>
          </cell>
          <cell r="J60">
            <v>0</v>
          </cell>
          <cell r="K60" t="e">
            <v>#N/A</v>
          </cell>
          <cell r="L60" t="e">
            <v>#N/A</v>
          </cell>
          <cell r="M60" t="e">
            <v>#N/A</v>
          </cell>
          <cell r="N60">
            <v>0</v>
          </cell>
          <cell r="O60">
            <v>0</v>
          </cell>
          <cell r="P60">
            <v>0</v>
          </cell>
          <cell r="Q60">
            <v>0</v>
          </cell>
          <cell r="R60">
            <v>0</v>
          </cell>
          <cell r="S60">
            <v>0</v>
          </cell>
          <cell r="T60">
            <v>0</v>
          </cell>
          <cell r="U60">
            <v>0</v>
          </cell>
          <cell r="V60">
            <v>0</v>
          </cell>
          <cell r="W60" t="str">
            <v>S</v>
          </cell>
          <cell r="X60">
            <v>0</v>
          </cell>
          <cell r="Y60" t="e">
            <v>#N/A</v>
          </cell>
          <cell r="Z60" t="e">
            <v>#N/A</v>
          </cell>
          <cell r="AA60" t="e">
            <v>#N/A</v>
          </cell>
          <cell r="AB60" t="e">
            <v>#N/A</v>
          </cell>
          <cell r="AC60" t="e">
            <v>#N/A</v>
          </cell>
          <cell r="AD60" t="e">
            <v>#N/A</v>
          </cell>
          <cell r="AE60" t="e">
            <v>#N/A</v>
          </cell>
          <cell r="AF60" t="e">
            <v>#N/A</v>
          </cell>
          <cell r="AG60" t="e">
            <v>#N/A</v>
          </cell>
          <cell r="AH60" t="e">
            <v>#N/A</v>
          </cell>
          <cell r="AI60" t="e">
            <v>#N/A</v>
          </cell>
          <cell r="AJ60" t="e">
            <v>#N/A</v>
          </cell>
          <cell r="AK60" t="e">
            <v>#N/A</v>
          </cell>
          <cell r="AL60" t="e">
            <v>#N/A</v>
          </cell>
          <cell r="AM60" t="e">
            <v>#N/A</v>
          </cell>
          <cell r="AN60" t="e">
            <v>#N/A</v>
          </cell>
          <cell r="AO60" t="e">
            <v>#N/A</v>
          </cell>
          <cell r="AP60" t="e">
            <v>#N/A</v>
          </cell>
          <cell r="AQ60" t="e">
            <v>#N/A</v>
          </cell>
          <cell r="AR60" t="e">
            <v>#N/A</v>
          </cell>
          <cell r="AS60" t="e">
            <v>#N/A</v>
          </cell>
          <cell r="AT60" t="e">
            <v>#N/A</v>
          </cell>
          <cell r="AU60">
            <v>0</v>
          </cell>
          <cell r="AV60">
            <v>0</v>
          </cell>
          <cell r="AW60">
            <v>0</v>
          </cell>
          <cell r="AX60">
            <v>0</v>
          </cell>
          <cell r="AY60">
            <v>0</v>
          </cell>
          <cell r="AZ60" t="e">
            <v>#N/A</v>
          </cell>
          <cell r="BA60" t="e">
            <v>#N/A</v>
          </cell>
        </row>
        <row r="61">
          <cell r="C61" t="str">
            <v>-</v>
          </cell>
          <cell r="D61" t="e">
            <v>#N/A</v>
          </cell>
          <cell r="E61">
            <v>0</v>
          </cell>
          <cell r="F61">
            <v>0</v>
          </cell>
          <cell r="G61" t="e">
            <v>#N/A</v>
          </cell>
          <cell r="H61" t="e">
            <v>#N/A</v>
          </cell>
          <cell r="I61" t="str">
            <v>TWIN: Wind Erosion</v>
          </cell>
          <cell r="J61">
            <v>0</v>
          </cell>
          <cell r="K61" t="e">
            <v>#N/A</v>
          </cell>
          <cell r="L61" t="e">
            <v>#N/A</v>
          </cell>
          <cell r="M61" t="e">
            <v>#N/A</v>
          </cell>
          <cell r="N61">
            <v>0</v>
          </cell>
          <cell r="O61">
            <v>85.3</v>
          </cell>
          <cell r="P61">
            <v>0</v>
          </cell>
          <cell r="Q61">
            <v>85.3</v>
          </cell>
          <cell r="R61">
            <v>7276.0899999999992</v>
          </cell>
          <cell r="S61">
            <v>0</v>
          </cell>
          <cell r="T61">
            <v>0</v>
          </cell>
          <cell r="U61">
            <v>0</v>
          </cell>
          <cell r="V61">
            <v>0</v>
          </cell>
          <cell r="W61" t="str">
            <v>S</v>
          </cell>
          <cell r="X61">
            <v>0</v>
          </cell>
          <cell r="Y61" t="e">
            <v>#N/A</v>
          </cell>
          <cell r="Z61" t="e">
            <v>#N/A</v>
          </cell>
          <cell r="AA61" t="e">
            <v>#N/A</v>
          </cell>
          <cell r="AB61" t="e">
            <v>#N/A</v>
          </cell>
          <cell r="AC61" t="e">
            <v>#N/A</v>
          </cell>
          <cell r="AD61" t="e">
            <v>#N/A</v>
          </cell>
          <cell r="AE61" t="e">
            <v>#N/A</v>
          </cell>
          <cell r="AF61" t="e">
            <v>#N/A</v>
          </cell>
          <cell r="AG61" t="e">
            <v>#N/A</v>
          </cell>
          <cell r="AH61" t="e">
            <v>#N/A</v>
          </cell>
          <cell r="AI61" t="e">
            <v>#N/A</v>
          </cell>
          <cell r="AJ61" t="e">
            <v>#N/A</v>
          </cell>
          <cell r="AK61" t="e">
            <v>#N/A</v>
          </cell>
          <cell r="AL61" t="e">
            <v>#N/A</v>
          </cell>
          <cell r="AM61" t="e">
            <v>#N/A</v>
          </cell>
          <cell r="AN61" t="e">
            <v>#N/A</v>
          </cell>
          <cell r="AO61" t="e">
            <v>#N/A</v>
          </cell>
          <cell r="AP61" t="e">
            <v>#N/A</v>
          </cell>
          <cell r="AQ61" t="e">
            <v>#N/A</v>
          </cell>
          <cell r="AR61" t="e">
            <v>#N/A</v>
          </cell>
          <cell r="AS61" t="e">
            <v>#N/A</v>
          </cell>
          <cell r="AT61" t="e">
            <v>#N/A</v>
          </cell>
          <cell r="AU61">
            <v>0</v>
          </cell>
          <cell r="AV61">
            <v>85.3</v>
          </cell>
          <cell r="AW61">
            <v>85.3</v>
          </cell>
          <cell r="AX61">
            <v>0</v>
          </cell>
          <cell r="AY61">
            <v>0</v>
          </cell>
          <cell r="AZ61" t="e">
            <v>#N/A</v>
          </cell>
          <cell r="BA61" t="e">
            <v>#N/A</v>
          </cell>
        </row>
        <row r="62">
          <cell r="C62" t="str">
            <v>-</v>
          </cell>
          <cell r="D62" t="e">
            <v>#N/A</v>
          </cell>
          <cell r="E62">
            <v>0</v>
          </cell>
          <cell r="F62">
            <v>0</v>
          </cell>
          <cell r="G62" t="e">
            <v>#N/A</v>
          </cell>
          <cell r="H62" t="e">
            <v>#N/A</v>
          </cell>
          <cell r="I62" t="str">
            <v>MULTI: Wind Erosion</v>
          </cell>
          <cell r="J62">
            <v>0</v>
          </cell>
          <cell r="K62" t="e">
            <v>#N/A</v>
          </cell>
          <cell r="L62" t="e">
            <v>#N/A</v>
          </cell>
          <cell r="M62" t="e">
            <v>#N/A</v>
          </cell>
          <cell r="N62">
            <v>0</v>
          </cell>
          <cell r="O62">
            <v>45</v>
          </cell>
          <cell r="P62">
            <v>0</v>
          </cell>
          <cell r="Q62">
            <v>45</v>
          </cell>
          <cell r="R62">
            <v>2025</v>
          </cell>
          <cell r="S62">
            <v>0</v>
          </cell>
          <cell r="T62">
            <v>0</v>
          </cell>
          <cell r="U62">
            <v>0</v>
          </cell>
          <cell r="V62">
            <v>0</v>
          </cell>
          <cell r="W62" t="str">
            <v>S</v>
          </cell>
          <cell r="X62">
            <v>0</v>
          </cell>
          <cell r="Y62" t="e">
            <v>#N/A</v>
          </cell>
          <cell r="Z62" t="e">
            <v>#N/A</v>
          </cell>
          <cell r="AA62" t="e">
            <v>#N/A</v>
          </cell>
          <cell r="AB62" t="e">
            <v>#N/A</v>
          </cell>
          <cell r="AC62" t="e">
            <v>#N/A</v>
          </cell>
          <cell r="AD62" t="e">
            <v>#N/A</v>
          </cell>
          <cell r="AE62" t="e">
            <v>#N/A</v>
          </cell>
          <cell r="AF62" t="e">
            <v>#N/A</v>
          </cell>
          <cell r="AG62" t="e">
            <v>#N/A</v>
          </cell>
          <cell r="AH62" t="e">
            <v>#N/A</v>
          </cell>
          <cell r="AI62" t="e">
            <v>#N/A</v>
          </cell>
          <cell r="AJ62" t="e">
            <v>#N/A</v>
          </cell>
          <cell r="AK62" t="e">
            <v>#N/A</v>
          </cell>
          <cell r="AL62" t="e">
            <v>#N/A</v>
          </cell>
          <cell r="AM62" t="e">
            <v>#N/A</v>
          </cell>
          <cell r="AN62" t="e">
            <v>#N/A</v>
          </cell>
          <cell r="AO62" t="e">
            <v>#N/A</v>
          </cell>
          <cell r="AP62" t="e">
            <v>#N/A</v>
          </cell>
          <cell r="AQ62" t="e">
            <v>#N/A</v>
          </cell>
          <cell r="AR62" t="e">
            <v>#N/A</v>
          </cell>
          <cell r="AS62" t="e">
            <v>#N/A</v>
          </cell>
          <cell r="AT62" t="e">
            <v>#N/A</v>
          </cell>
          <cell r="AU62">
            <v>0</v>
          </cell>
          <cell r="AV62">
            <v>45</v>
          </cell>
          <cell r="AW62">
            <v>45</v>
          </cell>
          <cell r="AX62">
            <v>0</v>
          </cell>
          <cell r="AY62">
            <v>0</v>
          </cell>
          <cell r="AZ62" t="e">
            <v>#N/A</v>
          </cell>
          <cell r="BA62" t="e">
            <v>#N/A</v>
          </cell>
        </row>
        <row r="63">
          <cell r="C63" t="str">
            <v>-</v>
          </cell>
          <cell r="D63" t="e">
            <v>#N/A</v>
          </cell>
          <cell r="E63">
            <v>0</v>
          </cell>
          <cell r="F63">
            <v>0</v>
          </cell>
          <cell r="G63" t="e">
            <v>#N/A</v>
          </cell>
          <cell r="H63" t="e">
            <v>#N/A</v>
          </cell>
          <cell r="I63" t="str">
            <v>ROAD: Wind Erosion</v>
          </cell>
          <cell r="J63">
            <v>0</v>
          </cell>
          <cell r="K63" t="e">
            <v>#N/A</v>
          </cell>
          <cell r="L63" t="e">
            <v>#N/A</v>
          </cell>
          <cell r="M63" t="e">
            <v>#N/A</v>
          </cell>
          <cell r="N63">
            <v>0</v>
          </cell>
          <cell r="O63">
            <v>12.192</v>
          </cell>
          <cell r="P63">
            <v>0</v>
          </cell>
          <cell r="Q63">
            <v>12.192</v>
          </cell>
          <cell r="R63">
            <v>148.64486400000001</v>
          </cell>
          <cell r="S63">
            <v>0</v>
          </cell>
          <cell r="T63">
            <v>0</v>
          </cell>
          <cell r="U63">
            <v>0</v>
          </cell>
          <cell r="V63">
            <v>0</v>
          </cell>
          <cell r="W63" t="str">
            <v>S</v>
          </cell>
          <cell r="X63">
            <v>0</v>
          </cell>
          <cell r="Y63" t="e">
            <v>#N/A</v>
          </cell>
          <cell r="Z63" t="e">
            <v>#N/A</v>
          </cell>
          <cell r="AA63" t="e">
            <v>#N/A</v>
          </cell>
          <cell r="AB63" t="e">
            <v>#N/A</v>
          </cell>
          <cell r="AC63" t="e">
            <v>#N/A</v>
          </cell>
          <cell r="AD63" t="e">
            <v>#N/A</v>
          </cell>
          <cell r="AE63" t="e">
            <v>#N/A</v>
          </cell>
          <cell r="AF63" t="e">
            <v>#N/A</v>
          </cell>
          <cell r="AG63" t="e">
            <v>#N/A</v>
          </cell>
          <cell r="AH63" t="e">
            <v>#N/A</v>
          </cell>
          <cell r="AI63" t="e">
            <v>#N/A</v>
          </cell>
          <cell r="AJ63" t="e">
            <v>#N/A</v>
          </cell>
          <cell r="AK63" t="e">
            <v>#N/A</v>
          </cell>
          <cell r="AL63" t="e">
            <v>#N/A</v>
          </cell>
          <cell r="AM63" t="e">
            <v>#N/A</v>
          </cell>
          <cell r="AN63" t="e">
            <v>#N/A</v>
          </cell>
          <cell r="AO63" t="e">
            <v>#N/A</v>
          </cell>
          <cell r="AP63" t="e">
            <v>#N/A</v>
          </cell>
          <cell r="AQ63" t="e">
            <v>#N/A</v>
          </cell>
          <cell r="AR63" t="e">
            <v>#N/A</v>
          </cell>
          <cell r="AS63" t="e">
            <v>#N/A</v>
          </cell>
          <cell r="AT63" t="e">
            <v>#N/A</v>
          </cell>
          <cell r="AU63">
            <v>0</v>
          </cell>
          <cell r="AV63">
            <v>12.192</v>
          </cell>
          <cell r="AW63">
            <v>12.192</v>
          </cell>
          <cell r="AX63">
            <v>0</v>
          </cell>
          <cell r="AY63">
            <v>0</v>
          </cell>
          <cell r="AZ63" t="e">
            <v>#N/A</v>
          </cell>
          <cell r="BA63" t="e">
            <v>#N/A</v>
          </cell>
        </row>
        <row r="64">
          <cell r="C64" t="str">
            <v>-</v>
          </cell>
          <cell r="D64" t="e">
            <v>#N/A</v>
          </cell>
          <cell r="E64">
            <v>0</v>
          </cell>
          <cell r="F64">
            <v>0</v>
          </cell>
          <cell r="G64" t="e">
            <v>#N/A</v>
          </cell>
          <cell r="H64" t="e">
            <v>#N/A</v>
          </cell>
          <cell r="I64" t="str">
            <v>ROAD: Wind Erosion</v>
          </cell>
          <cell r="J64">
            <v>0</v>
          </cell>
          <cell r="K64" t="e">
            <v>#N/A</v>
          </cell>
          <cell r="L64" t="e">
            <v>#N/A</v>
          </cell>
          <cell r="M64" t="e">
            <v>#N/A</v>
          </cell>
          <cell r="N64">
            <v>0</v>
          </cell>
          <cell r="O64">
            <v>12.192</v>
          </cell>
          <cell r="P64">
            <v>0</v>
          </cell>
          <cell r="Q64">
            <v>12.192</v>
          </cell>
          <cell r="R64">
            <v>148.64486400000001</v>
          </cell>
          <cell r="S64">
            <v>0</v>
          </cell>
          <cell r="T64">
            <v>0</v>
          </cell>
          <cell r="U64">
            <v>0</v>
          </cell>
          <cell r="V64">
            <v>0</v>
          </cell>
          <cell r="W64" t="str">
            <v>S</v>
          </cell>
          <cell r="X64">
            <v>0</v>
          </cell>
          <cell r="Y64" t="e">
            <v>#N/A</v>
          </cell>
          <cell r="Z64" t="e">
            <v>#N/A</v>
          </cell>
          <cell r="AA64" t="e">
            <v>#N/A</v>
          </cell>
          <cell r="AB64" t="e">
            <v>#N/A</v>
          </cell>
          <cell r="AC64" t="e">
            <v>#N/A</v>
          </cell>
          <cell r="AD64" t="e">
            <v>#N/A</v>
          </cell>
          <cell r="AE64" t="e">
            <v>#N/A</v>
          </cell>
          <cell r="AF64" t="e">
            <v>#N/A</v>
          </cell>
          <cell r="AG64" t="e">
            <v>#N/A</v>
          </cell>
          <cell r="AH64" t="e">
            <v>#N/A</v>
          </cell>
          <cell r="AI64" t="e">
            <v>#N/A</v>
          </cell>
          <cell r="AJ64" t="e">
            <v>#N/A</v>
          </cell>
          <cell r="AK64" t="e">
            <v>#N/A</v>
          </cell>
          <cell r="AL64" t="e">
            <v>#N/A</v>
          </cell>
          <cell r="AM64" t="e">
            <v>#N/A</v>
          </cell>
          <cell r="AN64" t="e">
            <v>#N/A</v>
          </cell>
          <cell r="AO64" t="e">
            <v>#N/A</v>
          </cell>
          <cell r="AP64" t="e">
            <v>#N/A</v>
          </cell>
          <cell r="AQ64" t="e">
            <v>#N/A</v>
          </cell>
          <cell r="AR64" t="e">
            <v>#N/A</v>
          </cell>
          <cell r="AS64" t="e">
            <v>#N/A</v>
          </cell>
          <cell r="AT64" t="e">
            <v>#N/A</v>
          </cell>
          <cell r="AU64">
            <v>0</v>
          </cell>
          <cell r="AV64">
            <v>12.192</v>
          </cell>
          <cell r="AW64">
            <v>12.192</v>
          </cell>
          <cell r="AX64">
            <v>0</v>
          </cell>
          <cell r="AY64">
            <v>0</v>
          </cell>
          <cell r="AZ64" t="e">
            <v>#N/A</v>
          </cell>
          <cell r="BA64" t="e">
            <v>#N/A</v>
          </cell>
        </row>
        <row r="65">
          <cell r="C65" t="str">
            <v>-</v>
          </cell>
          <cell r="D65" t="e">
            <v>#N/A</v>
          </cell>
          <cell r="E65">
            <v>0</v>
          </cell>
          <cell r="F65">
            <v>0</v>
          </cell>
          <cell r="G65" t="e">
            <v>#N/A</v>
          </cell>
          <cell r="H65" t="e">
            <v>#N/A</v>
          </cell>
          <cell r="I65" t="str">
            <v>ROAD: Wind Erosion</v>
          </cell>
          <cell r="J65">
            <v>0</v>
          </cell>
          <cell r="K65" t="e">
            <v>#N/A</v>
          </cell>
          <cell r="L65" t="e">
            <v>#N/A</v>
          </cell>
          <cell r="M65" t="e">
            <v>#N/A</v>
          </cell>
          <cell r="N65">
            <v>0</v>
          </cell>
          <cell r="O65">
            <v>12.192</v>
          </cell>
          <cell r="P65">
            <v>0</v>
          </cell>
          <cell r="Q65">
            <v>12.192</v>
          </cell>
          <cell r="R65">
            <v>148.64486400000001</v>
          </cell>
          <cell r="S65">
            <v>0</v>
          </cell>
          <cell r="T65">
            <v>0</v>
          </cell>
          <cell r="U65">
            <v>0</v>
          </cell>
          <cell r="V65">
            <v>0</v>
          </cell>
          <cell r="W65" t="str">
            <v>S</v>
          </cell>
          <cell r="X65">
            <v>0</v>
          </cell>
          <cell r="Y65" t="e">
            <v>#N/A</v>
          </cell>
          <cell r="Z65" t="e">
            <v>#N/A</v>
          </cell>
          <cell r="AA65" t="e">
            <v>#N/A</v>
          </cell>
          <cell r="AB65" t="e">
            <v>#N/A</v>
          </cell>
          <cell r="AC65" t="e">
            <v>#N/A</v>
          </cell>
          <cell r="AD65" t="e">
            <v>#N/A</v>
          </cell>
          <cell r="AE65" t="e">
            <v>#N/A</v>
          </cell>
          <cell r="AF65" t="e">
            <v>#N/A</v>
          </cell>
          <cell r="AG65" t="e">
            <v>#N/A</v>
          </cell>
          <cell r="AH65" t="e">
            <v>#N/A</v>
          </cell>
          <cell r="AI65" t="e">
            <v>#N/A</v>
          </cell>
          <cell r="AJ65" t="e">
            <v>#N/A</v>
          </cell>
          <cell r="AK65" t="e">
            <v>#N/A</v>
          </cell>
          <cell r="AL65" t="e">
            <v>#N/A</v>
          </cell>
          <cell r="AM65" t="e">
            <v>#N/A</v>
          </cell>
          <cell r="AN65" t="e">
            <v>#N/A</v>
          </cell>
          <cell r="AO65" t="e">
            <v>#N/A</v>
          </cell>
          <cell r="AP65" t="e">
            <v>#N/A</v>
          </cell>
          <cell r="AQ65" t="e">
            <v>#N/A</v>
          </cell>
          <cell r="AR65" t="e">
            <v>#N/A</v>
          </cell>
          <cell r="AS65" t="e">
            <v>#N/A</v>
          </cell>
          <cell r="AT65" t="e">
            <v>#N/A</v>
          </cell>
          <cell r="AU65">
            <v>0</v>
          </cell>
          <cell r="AV65">
            <v>12.192</v>
          </cell>
          <cell r="AW65">
            <v>12.192</v>
          </cell>
          <cell r="AX65">
            <v>0</v>
          </cell>
          <cell r="AY65">
            <v>0</v>
          </cell>
          <cell r="AZ65" t="e">
            <v>#N/A</v>
          </cell>
          <cell r="BA65" t="e">
            <v>#N/A</v>
          </cell>
        </row>
      </sheetData>
      <sheetData sheetId="9" refreshError="1"/>
      <sheetData sheetId="10" refreshError="1">
        <row r="5">
          <cell r="C5">
            <v>0</v>
          </cell>
          <cell r="D5" t="str">
            <v>Scenarios</v>
          </cell>
          <cell r="E5">
            <v>0</v>
          </cell>
          <cell r="F5" t="str">
            <v>EmissionsSourceCat</v>
          </cell>
          <cell r="G5" t="str">
            <v>InventoryTable</v>
          </cell>
          <cell r="H5" t="str">
            <v>SRCTYPE</v>
          </cell>
          <cell r="I5">
            <v>0</v>
          </cell>
          <cell r="J5">
            <v>0</v>
          </cell>
          <cell r="K5" t="str">
            <v>Center UTM E (m)</v>
          </cell>
          <cell r="L5" t="str">
            <v>Center UTM N (m)</v>
          </cell>
          <cell r="M5" t="str">
            <v>Elevation (m)</v>
          </cell>
          <cell r="N5">
            <v>0</v>
          </cell>
          <cell r="O5" t="str">
            <v>Length of Side X (m)</v>
          </cell>
          <cell r="P5">
            <v>0</v>
          </cell>
          <cell r="Q5" t="str">
            <v>Length of Side Y (m)</v>
          </cell>
          <cell r="R5" t="str">
            <v>Area (sq m)</v>
          </cell>
          <cell r="S5">
            <v>0</v>
          </cell>
          <cell r="T5" t="str">
            <v>Angle (deg)</v>
          </cell>
          <cell r="U5" t="str">
            <v>Height (m)</v>
          </cell>
          <cell r="V5" t="str">
            <v>Release Height (m)</v>
          </cell>
          <cell r="W5">
            <v>0</v>
          </cell>
          <cell r="X5">
            <v>0</v>
          </cell>
          <cell r="Y5">
            <v>0</v>
          </cell>
          <cell r="Z5" t="str">
            <v>NO2_1-hr</v>
          </cell>
          <cell r="AA5" t="str">
            <v>NO2_Ann</v>
          </cell>
          <cell r="AB5" t="str">
            <v>SO2_1-hr</v>
          </cell>
          <cell r="AC5" t="str">
            <v>SO2_3-hr</v>
          </cell>
          <cell r="AD5" t="str">
            <v>SO2_24-hr</v>
          </cell>
          <cell r="AE5" t="str">
            <v>SO2_Ann</v>
          </cell>
          <cell r="AF5" t="str">
            <v>PM10_Ann</v>
          </cell>
          <cell r="AG5" t="str">
            <v>PM10_24-hr</v>
          </cell>
          <cell r="AH5" t="str">
            <v>PM25_Ann</v>
          </cell>
          <cell r="AI5" t="str">
            <v>PM25_24-hr</v>
          </cell>
          <cell r="AJ5" t="str">
            <v>CO_1-hr</v>
          </cell>
          <cell r="AK5" t="str">
            <v>CO_8-hr</v>
          </cell>
          <cell r="AL5" t="str">
            <v>Bz_1-hr</v>
          </cell>
          <cell r="AM5" t="str">
            <v>Bz_Ann</v>
          </cell>
          <cell r="AN5" t="str">
            <v>Tn_1-hr</v>
          </cell>
          <cell r="AO5" t="str">
            <v>Tn_Ann</v>
          </cell>
          <cell r="AP5" t="str">
            <v>EBz_1-hr</v>
          </cell>
          <cell r="AQ5" t="str">
            <v>EBz_Ann</v>
          </cell>
          <cell r="AR5" t="str">
            <v>Xy_1-hr</v>
          </cell>
          <cell r="AS5" t="str">
            <v>Xy_Ann</v>
          </cell>
          <cell r="AT5" t="str">
            <v>nHx_1-hr</v>
          </cell>
          <cell r="AU5" t="str">
            <v>nHx_Ann</v>
          </cell>
          <cell r="AV5" t="str">
            <v>HS</v>
          </cell>
          <cell r="AW5" t="str">
            <v>XINIT</v>
          </cell>
          <cell r="AX5" t="str">
            <v>YINIT</v>
          </cell>
          <cell r="AY5" t="str">
            <v>DEG</v>
          </cell>
          <cell r="AZ5" t="str">
            <v>ZINIT</v>
          </cell>
          <cell r="BA5" t="str">
            <v>EMISFACTOR_Keyword</v>
          </cell>
          <cell r="BB5" t="str">
            <v>EMISFACTORS</v>
          </cell>
        </row>
        <row r="6">
          <cell r="C6" t="str">
            <v>Lookup Info</v>
          </cell>
          <cell r="D6">
            <v>0</v>
          </cell>
          <cell r="E6">
            <v>0</v>
          </cell>
          <cell r="F6">
            <v>0</v>
          </cell>
          <cell r="G6">
            <v>0</v>
          </cell>
          <cell r="H6">
            <v>0</v>
          </cell>
          <cell r="I6">
            <v>0</v>
          </cell>
          <cell r="J6">
            <v>0</v>
          </cell>
          <cell r="K6" t="str">
            <v>Location</v>
          </cell>
          <cell r="L6">
            <v>0</v>
          </cell>
          <cell r="M6">
            <v>0</v>
          </cell>
          <cell r="N6" t="str">
            <v>Physical Parameters</v>
          </cell>
          <cell r="O6">
            <v>0</v>
          </cell>
          <cell r="P6">
            <v>0</v>
          </cell>
          <cell r="Q6">
            <v>0</v>
          </cell>
          <cell r="R6">
            <v>0</v>
          </cell>
          <cell r="S6">
            <v>0</v>
          </cell>
          <cell r="T6">
            <v>0</v>
          </cell>
          <cell r="U6">
            <v>0</v>
          </cell>
          <cell r="V6">
            <v>0</v>
          </cell>
          <cell r="W6" t="str">
            <v>Characteristics</v>
          </cell>
          <cell r="X6" t="str">
            <v>Characteristics</v>
          </cell>
          <cell r="Y6">
            <v>0</v>
          </cell>
          <cell r="Z6" t="str">
            <v>Emission Rates (grams/second/square meter)</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t="str">
            <v>Modeled Parameters</v>
          </cell>
          <cell r="AW6">
            <v>0</v>
          </cell>
          <cell r="AX6">
            <v>0</v>
          </cell>
          <cell r="AY6">
            <v>0</v>
          </cell>
          <cell r="AZ6">
            <v>0</v>
          </cell>
          <cell r="BA6">
            <v>0</v>
          </cell>
          <cell r="BB6">
            <v>0</v>
          </cell>
        </row>
        <row r="7">
          <cell r="C7" t="str">
            <v>AERMOD ID</v>
          </cell>
          <cell r="D7" t="str">
            <v>Scenarios</v>
          </cell>
          <cell r="E7" t="str">
            <v>Emission ID</v>
          </cell>
          <cell r="F7" t="str">
            <v>Source Description</v>
          </cell>
          <cell r="G7">
            <v>0</v>
          </cell>
          <cell r="H7" t="str">
            <v>Source Type</v>
          </cell>
          <cell r="I7" t="str">
            <v>Specs Lookup</v>
          </cell>
          <cell r="J7" t="str">
            <v>Location ID</v>
          </cell>
          <cell r="K7" t="str">
            <v>SW UTM E</v>
          </cell>
          <cell r="L7" t="str">
            <v>SW UTM N</v>
          </cell>
          <cell r="M7" t="str">
            <v>Base Elev.</v>
          </cell>
          <cell r="N7" t="str">
            <v>Length</v>
          </cell>
          <cell r="O7">
            <v>0</v>
          </cell>
          <cell r="P7" t="str">
            <v>Width</v>
          </cell>
          <cell r="Q7">
            <v>0</v>
          </cell>
          <cell r="R7" t="str">
            <v>Area</v>
          </cell>
          <cell r="S7">
            <v>0</v>
          </cell>
          <cell r="T7" t="str">
            <v>Angle</v>
          </cell>
          <cell r="U7" t="str">
            <v>Height</v>
          </cell>
          <cell r="V7" t="str">
            <v>Release Hgt</v>
          </cell>
          <cell r="W7" t="str">
            <v>Z</v>
          </cell>
          <cell r="X7" t="str">
            <v>Z</v>
          </cell>
          <cell r="Y7">
            <v>0</v>
          </cell>
          <cell r="Z7" t="str">
            <v>NOx</v>
          </cell>
          <cell r="AA7" t="str">
            <v>SO2</v>
          </cell>
          <cell r="AB7">
            <v>0</v>
          </cell>
          <cell r="AC7">
            <v>0</v>
          </cell>
          <cell r="AD7">
            <v>0</v>
          </cell>
          <cell r="AE7">
            <v>0</v>
          </cell>
          <cell r="AF7" t="str">
            <v>PM10</v>
          </cell>
          <cell r="AG7">
            <v>0</v>
          </cell>
          <cell r="AH7" t="str">
            <v>PM2.5</v>
          </cell>
          <cell r="AI7">
            <v>0</v>
          </cell>
          <cell r="AJ7" t="str">
            <v>CO</v>
          </cell>
          <cell r="AK7">
            <v>0</v>
          </cell>
          <cell r="AL7" t="str">
            <v>Benzene</v>
          </cell>
          <cell r="AM7">
            <v>0</v>
          </cell>
          <cell r="AN7" t="str">
            <v>Toluene</v>
          </cell>
          <cell r="AO7">
            <v>0</v>
          </cell>
          <cell r="AP7" t="str">
            <v>Ethylbenzene</v>
          </cell>
          <cell r="AQ7">
            <v>0</v>
          </cell>
          <cell r="AR7" t="str">
            <v>Xylene</v>
          </cell>
          <cell r="AS7">
            <v>0</v>
          </cell>
          <cell r="AT7" t="str">
            <v>n-hexane</v>
          </cell>
          <cell r="AU7">
            <v>0</v>
          </cell>
          <cell r="AV7" t="str">
            <v>Release Hgt</v>
          </cell>
          <cell r="AW7" t="str">
            <v>X Init</v>
          </cell>
          <cell r="AX7" t="str">
            <v>Y Init</v>
          </cell>
          <cell r="AY7" t="str">
            <v>Angle</v>
          </cell>
          <cell r="AZ7" t="str">
            <v>Sz Init</v>
          </cell>
          <cell r="BA7" t="str">
            <v>EMISFACTOR_Keyword</v>
          </cell>
          <cell r="BB7" t="str">
            <v>EMISFACTOR_Keyword</v>
          </cell>
        </row>
        <row r="8">
          <cell r="C8">
            <v>0</v>
          </cell>
          <cell r="D8">
            <v>0</v>
          </cell>
          <cell r="E8">
            <v>0</v>
          </cell>
          <cell r="F8">
            <v>0</v>
          </cell>
          <cell r="G8">
            <v>0</v>
          </cell>
          <cell r="H8">
            <v>0</v>
          </cell>
          <cell r="I8">
            <v>0</v>
          </cell>
          <cell r="J8">
            <v>0</v>
          </cell>
          <cell r="K8" t="str">
            <v>(m)</v>
          </cell>
          <cell r="L8" t="str">
            <v>(m)</v>
          </cell>
          <cell r="M8" t="str">
            <v>(m)</v>
          </cell>
          <cell r="N8" t="str">
            <v>(ft)</v>
          </cell>
          <cell r="O8" t="str">
            <v>(m)</v>
          </cell>
          <cell r="P8" t="str">
            <v>(ft)</v>
          </cell>
          <cell r="Q8" t="str">
            <v>(m)</v>
          </cell>
          <cell r="R8" t="str">
            <v>sq m.</v>
          </cell>
          <cell r="S8" t="str">
            <v>acres</v>
          </cell>
          <cell r="T8" t="str">
            <v>(deg)</v>
          </cell>
          <cell r="U8" t="str">
            <v>(m)</v>
          </cell>
          <cell r="V8" t="str">
            <v>(m)</v>
          </cell>
          <cell r="W8" t="str">
            <v>(S,A,E)</v>
          </cell>
          <cell r="X8" t="str">
            <v>(S,A,E)</v>
          </cell>
          <cell r="Y8" t="str">
            <v>Div Factor</v>
          </cell>
          <cell r="Z8" t="str">
            <v>1-hr</v>
          </cell>
          <cell r="AA8" t="str">
            <v>Ann</v>
          </cell>
          <cell r="AB8" t="str">
            <v>1-hr</v>
          </cell>
          <cell r="AC8" t="str">
            <v>3-hr</v>
          </cell>
          <cell r="AD8" t="str">
            <v>24-hr</v>
          </cell>
          <cell r="AE8" t="str">
            <v>Ann</v>
          </cell>
          <cell r="AF8" t="str">
            <v>Ann</v>
          </cell>
          <cell r="AG8" t="str">
            <v>24-hr</v>
          </cell>
          <cell r="AH8" t="str">
            <v>Ann</v>
          </cell>
          <cell r="AI8" t="str">
            <v>24-hr</v>
          </cell>
          <cell r="AJ8" t="str">
            <v>1-hr</v>
          </cell>
          <cell r="AK8" t="str">
            <v>8-hr</v>
          </cell>
          <cell r="AL8" t="str">
            <v>1-hr</v>
          </cell>
          <cell r="AM8" t="str">
            <v>Ann</v>
          </cell>
          <cell r="AN8" t="str">
            <v>1-hr</v>
          </cell>
          <cell r="AO8" t="str">
            <v>Ann</v>
          </cell>
          <cell r="AP8" t="str">
            <v>1-hr</v>
          </cell>
          <cell r="AQ8" t="str">
            <v>Ann</v>
          </cell>
          <cell r="AR8" t="str">
            <v>1-hr</v>
          </cell>
          <cell r="AS8" t="str">
            <v>Ann</v>
          </cell>
          <cell r="AT8" t="str">
            <v>1-hr</v>
          </cell>
          <cell r="AU8" t="str">
            <v>Ann</v>
          </cell>
          <cell r="AV8" t="str">
            <v>(m)</v>
          </cell>
          <cell r="AW8" t="str">
            <v>(m)</v>
          </cell>
          <cell r="AX8" t="str">
            <v>(m)</v>
          </cell>
          <cell r="AY8" t="str">
            <v>(deg)</v>
          </cell>
          <cell r="AZ8" t="str">
            <v>(m)</v>
          </cell>
          <cell r="BA8">
            <v>0</v>
          </cell>
          <cell r="BB8">
            <v>0</v>
          </cell>
        </row>
        <row r="9">
          <cell r="C9">
            <v>0</v>
          </cell>
          <cell r="D9" t="str">
            <v>SCENARIO 1</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row>
        <row r="10">
          <cell r="C10" t="str">
            <v>Pad Sources</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row>
        <row r="11">
          <cell r="C11" t="str">
            <v>HCPMM-M0</v>
          </cell>
          <cell r="D11" t="e">
            <v>#N/A</v>
          </cell>
          <cell r="E11" t="str">
            <v>HCPMM</v>
          </cell>
          <cell r="F11" t="str">
            <v>Construction PM Emissions (Multiwell Pad)</v>
          </cell>
          <cell r="G11" t="str">
            <v>2-3</v>
          </cell>
          <cell r="H11" t="str">
            <v>Volume</v>
          </cell>
          <cell r="I11" t="str">
            <v>MULTI: Pad Construction Surface Disturbance</v>
          </cell>
          <cell r="J11" t="str">
            <v>M0</v>
          </cell>
          <cell r="K11">
            <v>0</v>
          </cell>
          <cell r="L11">
            <v>0</v>
          </cell>
          <cell r="M11">
            <v>0</v>
          </cell>
          <cell r="N11">
            <v>0</v>
          </cell>
          <cell r="O11">
            <v>110.2</v>
          </cell>
          <cell r="P11">
            <v>0</v>
          </cell>
          <cell r="Q11">
            <v>110.2</v>
          </cell>
          <cell r="R11">
            <v>12144.04</v>
          </cell>
          <cell r="S11">
            <v>0</v>
          </cell>
          <cell r="T11">
            <v>0</v>
          </cell>
          <cell r="U11">
            <v>6.0960000000000001</v>
          </cell>
          <cell r="V11">
            <v>3.048</v>
          </cell>
          <cell r="W11" t="str">
            <v>S</v>
          </cell>
          <cell r="X11" t="str">
            <v>S</v>
          </cell>
          <cell r="Y11">
            <v>0</v>
          </cell>
          <cell r="Z11" t="str">
            <v/>
          </cell>
          <cell r="AA11" t="str">
            <v/>
          </cell>
          <cell r="AB11" t="str">
            <v/>
          </cell>
          <cell r="AC11" t="str">
            <v/>
          </cell>
          <cell r="AD11" t="str">
            <v/>
          </cell>
          <cell r="AE11" t="str">
            <v/>
          </cell>
          <cell r="AF11">
            <v>1.4912625863013697E-2</v>
          </cell>
          <cell r="AG11">
            <v>0.54431084399999996</v>
          </cell>
          <cell r="AH11">
            <v>3.9352762694063919E-3</v>
          </cell>
          <cell r="AI11">
            <v>0.14363758383333333</v>
          </cell>
          <cell r="AJ11" t="str">
            <v/>
          </cell>
          <cell r="AK11" t="str">
            <v/>
          </cell>
          <cell r="AL11" t="str">
            <v/>
          </cell>
          <cell r="AM11" t="str">
            <v/>
          </cell>
          <cell r="AN11" t="str">
            <v/>
          </cell>
          <cell r="AO11" t="str">
            <v/>
          </cell>
          <cell r="AP11" t="str">
            <v/>
          </cell>
          <cell r="AQ11" t="str">
            <v/>
          </cell>
          <cell r="AR11" t="str">
            <v/>
          </cell>
          <cell r="AS11" t="str">
            <v/>
          </cell>
          <cell r="AT11" t="str">
            <v/>
          </cell>
          <cell r="AU11" t="str">
            <v/>
          </cell>
          <cell r="AV11">
            <v>3.048</v>
          </cell>
          <cell r="AW11">
            <v>110.2</v>
          </cell>
          <cell r="AX11">
            <v>110.2</v>
          </cell>
          <cell r="AY11">
            <v>0</v>
          </cell>
          <cell r="AZ11">
            <v>1.4176744186046513</v>
          </cell>
          <cell r="BA11" t="str">
            <v>HROFDAY</v>
          </cell>
          <cell r="BB11" t="str">
            <v>0  0  0  0  0  0  0  0   1  1  1  1  1  1  1  1  1  1  0  0  0  0  0  0</v>
          </cell>
        </row>
        <row r="12">
          <cell r="C12" t="str">
            <v>HCRDM-M0</v>
          </cell>
          <cell r="D12" t="e">
            <v>#N/A</v>
          </cell>
          <cell r="E12" t="str">
            <v>HCRDM</v>
          </cell>
          <cell r="F12" t="str">
            <v>Construction Rd Dust (Multi-well Pad)</v>
          </cell>
          <cell r="G12" t="str">
            <v>2-10</v>
          </cell>
          <cell r="H12" t="str">
            <v>Volume</v>
          </cell>
          <cell r="I12" t="str">
            <v>MULTI: Construction Equipment Tailpipe Emissions - Pad Construction</v>
          </cell>
          <cell r="J12" t="str">
            <v>M0</v>
          </cell>
          <cell r="K12">
            <v>0</v>
          </cell>
          <cell r="L12">
            <v>0</v>
          </cell>
          <cell r="M12">
            <v>0</v>
          </cell>
          <cell r="N12">
            <v>0</v>
          </cell>
          <cell r="O12">
            <v>110.2</v>
          </cell>
          <cell r="P12">
            <v>0</v>
          </cell>
          <cell r="Q12">
            <v>110.2</v>
          </cell>
          <cell r="R12">
            <v>12144.04</v>
          </cell>
          <cell r="S12">
            <v>0</v>
          </cell>
          <cell r="T12">
            <v>0</v>
          </cell>
          <cell r="U12">
            <v>10</v>
          </cell>
          <cell r="V12">
            <v>5</v>
          </cell>
          <cell r="W12" t="str">
            <v>S</v>
          </cell>
          <cell r="X12" t="str">
            <v>S</v>
          </cell>
          <cell r="Y12">
            <v>0</v>
          </cell>
          <cell r="Z12" t="str">
            <v/>
          </cell>
          <cell r="AA12" t="str">
            <v/>
          </cell>
          <cell r="AB12" t="str">
            <v/>
          </cell>
          <cell r="AC12" t="str">
            <v/>
          </cell>
          <cell r="AD12" t="str">
            <v/>
          </cell>
          <cell r="AE12" t="str">
            <v/>
          </cell>
          <cell r="AF12">
            <v>8.3128237148931639E-2</v>
          </cell>
          <cell r="AG12">
            <v>2.7666708791470467</v>
          </cell>
          <cell r="AH12">
            <v>8.3128237148931642E-3</v>
          </cell>
          <cell r="AI12">
            <v>0.27666708791470473</v>
          </cell>
          <cell r="AJ12" t="str">
            <v/>
          </cell>
          <cell r="AK12" t="str">
            <v/>
          </cell>
          <cell r="AL12" t="str">
            <v/>
          </cell>
          <cell r="AM12" t="str">
            <v/>
          </cell>
          <cell r="AN12" t="str">
            <v/>
          </cell>
          <cell r="AO12" t="str">
            <v/>
          </cell>
          <cell r="AP12" t="str">
            <v/>
          </cell>
          <cell r="AQ12" t="str">
            <v/>
          </cell>
          <cell r="AR12" t="str">
            <v/>
          </cell>
          <cell r="AS12" t="str">
            <v/>
          </cell>
          <cell r="AT12" t="str">
            <v/>
          </cell>
          <cell r="AU12" t="str">
            <v/>
          </cell>
          <cell r="AV12">
            <v>5</v>
          </cell>
          <cell r="AW12">
            <v>110.2</v>
          </cell>
          <cell r="AX12">
            <v>110.2</v>
          </cell>
          <cell r="AY12">
            <v>0</v>
          </cell>
          <cell r="AZ12">
            <v>2.3255813953488373</v>
          </cell>
          <cell r="BA12" t="str">
            <v>HROFDAY</v>
          </cell>
          <cell r="BB12" t="str">
            <v>0  0  0  0  0  0  0  0   1  1  1  1  1  1  1  1  1  1  0  0  0  0  0  0</v>
          </cell>
        </row>
        <row r="13">
          <cell r="C13" t="str">
            <v>HCMEM-M0</v>
          </cell>
          <cell r="D13" t="e">
            <v>#N/A</v>
          </cell>
          <cell r="E13" t="str">
            <v>HCMEM</v>
          </cell>
          <cell r="F13" t="str">
            <v>Construction Mobile Exhaust (Multi-well Pad)</v>
          </cell>
          <cell r="G13" t="str">
            <v>2-11</v>
          </cell>
          <cell r="H13" t="str">
            <v>Volume</v>
          </cell>
          <cell r="I13" t="str">
            <v>MULTI: Construction Equipment Tailpipe Emissions - Pad Construction</v>
          </cell>
          <cell r="J13" t="str">
            <v>M0</v>
          </cell>
          <cell r="K13">
            <v>0</v>
          </cell>
          <cell r="L13">
            <v>0</v>
          </cell>
          <cell r="M13">
            <v>0</v>
          </cell>
          <cell r="N13">
            <v>0</v>
          </cell>
          <cell r="O13">
            <v>110.2</v>
          </cell>
          <cell r="P13">
            <v>0</v>
          </cell>
          <cell r="Q13">
            <v>110.2</v>
          </cell>
          <cell r="R13">
            <v>12144.04</v>
          </cell>
          <cell r="S13">
            <v>0</v>
          </cell>
          <cell r="T13">
            <v>0</v>
          </cell>
          <cell r="U13">
            <v>10</v>
          </cell>
          <cell r="V13">
            <v>5</v>
          </cell>
          <cell r="W13" t="str">
            <v>S</v>
          </cell>
          <cell r="X13" t="str">
            <v>S</v>
          </cell>
          <cell r="Y13">
            <v>0</v>
          </cell>
          <cell r="Z13">
            <v>7.1801356244208707E-3</v>
          </cell>
          <cell r="AA13">
            <v>1.9671604450468137E-4</v>
          </cell>
          <cell r="AB13">
            <v>3.4099095283655491E-5</v>
          </cell>
          <cell r="AC13">
            <v>3.3963533756162173E-5</v>
          </cell>
          <cell r="AD13">
            <v>3.1840447366693339E-5</v>
          </cell>
          <cell r="AE13">
            <v>9.3422178859330098E-7</v>
          </cell>
          <cell r="AF13">
            <v>1.1868151444698855E-5</v>
          </cell>
          <cell r="AG13">
            <v>3.9886698617370173E-4</v>
          </cell>
          <cell r="AH13">
            <v>7.6215424440351392E-6</v>
          </cell>
          <cell r="AI13">
            <v>2.6260243968011292E-4</v>
          </cell>
          <cell r="AJ13">
            <v>5.6773047054659237E-3</v>
          </cell>
          <cell r="AK13">
            <v>5.5475447314371033E-3</v>
          </cell>
          <cell r="AL13">
            <v>1.413188625599905E-5</v>
          </cell>
          <cell r="AM13">
            <v>3.8717496591778217E-7</v>
          </cell>
          <cell r="AN13">
            <v>1.3210134657204731E-5</v>
          </cell>
          <cell r="AO13">
            <v>3.619214974576639E-7</v>
          </cell>
          <cell r="AP13">
            <v>3.2480802992804878E-6</v>
          </cell>
          <cell r="AQ13">
            <v>8.8988501350150338E-8</v>
          </cell>
          <cell r="AR13">
            <v>1.1843567254299605E-5</v>
          </cell>
          <cell r="AS13">
            <v>3.2448129463834535E-7</v>
          </cell>
          <cell r="AT13">
            <v>2.621013561427932E-6</v>
          </cell>
          <cell r="AU13">
            <v>7.1808590724052935E-8</v>
          </cell>
          <cell r="AV13">
            <v>5</v>
          </cell>
          <cell r="AW13">
            <v>110.2</v>
          </cell>
          <cell r="AX13">
            <v>110.2</v>
          </cell>
          <cell r="AY13">
            <v>0</v>
          </cell>
          <cell r="AZ13">
            <v>2.3255813953488373</v>
          </cell>
          <cell r="BA13" t="str">
            <v>HROFDAY</v>
          </cell>
          <cell r="BB13" t="str">
            <v>0  0  0  0  0  0  0  0   1  1  1  1  1  1  1  1  1  1  0  0  0  0  0  0</v>
          </cell>
        </row>
        <row r="14">
          <cell r="C14" t="str">
            <v>HCEM-M0</v>
          </cell>
          <cell r="D14" t="e">
            <v>#N/A</v>
          </cell>
          <cell r="E14" t="str">
            <v>HCEM</v>
          </cell>
          <cell r="F14" t="str">
            <v>Construction Eqpmt (Multi-Pad)</v>
          </cell>
          <cell r="G14" t="str">
            <v>2-12</v>
          </cell>
          <cell r="H14" t="str">
            <v>Volume</v>
          </cell>
          <cell r="I14" t="str">
            <v>MULTI: Construction Equipment Tailpipe Emissions - Pad Construction</v>
          </cell>
          <cell r="J14" t="str">
            <v>M0</v>
          </cell>
          <cell r="K14">
            <v>0</v>
          </cell>
          <cell r="L14">
            <v>0</v>
          </cell>
          <cell r="M14">
            <v>0</v>
          </cell>
          <cell r="N14">
            <v>0</v>
          </cell>
          <cell r="O14">
            <v>110.2</v>
          </cell>
          <cell r="P14">
            <v>0</v>
          </cell>
          <cell r="Q14">
            <v>110.2</v>
          </cell>
          <cell r="R14">
            <v>12144.04</v>
          </cell>
          <cell r="S14">
            <v>0</v>
          </cell>
          <cell r="T14">
            <v>0</v>
          </cell>
          <cell r="U14">
            <v>10</v>
          </cell>
          <cell r="V14">
            <v>5</v>
          </cell>
          <cell r="W14" t="str">
            <v>S</v>
          </cell>
          <cell r="X14" t="str">
            <v>S</v>
          </cell>
          <cell r="Y14">
            <v>0</v>
          </cell>
          <cell r="Z14">
            <v>3.748517145844979E-2</v>
          </cell>
          <cell r="AA14">
            <v>1.0269909988616381E-3</v>
          </cell>
          <cell r="AB14">
            <v>1.6610523737286767E-4</v>
          </cell>
          <cell r="AC14">
            <v>1.6610523737286767E-4</v>
          </cell>
          <cell r="AD14">
            <v>1.6610523737286767E-4</v>
          </cell>
          <cell r="AE14">
            <v>4.5508284211744551E-6</v>
          </cell>
          <cell r="AF14">
            <v>1.1646181508975255E-4</v>
          </cell>
          <cell r="AG14">
            <v>4.2508562507759676E-3</v>
          </cell>
          <cell r="AH14">
            <v>1.1296827206541053E-4</v>
          </cell>
          <cell r="AI14">
            <v>4.1233419303874841E-3</v>
          </cell>
          <cell r="AJ14">
            <v>3.7552837709850712E-2</v>
          </cell>
          <cell r="AK14">
            <v>3.7552837709850712E-2</v>
          </cell>
          <cell r="AL14">
            <v>2.1290537318470064E-4</v>
          </cell>
          <cell r="AM14">
            <v>5.8330239228685112E-6</v>
          </cell>
          <cell r="AN14">
            <v>1.5666350757966583E-4</v>
          </cell>
          <cell r="AO14">
            <v>4.2921508925935841E-6</v>
          </cell>
          <cell r="AP14">
            <v>3.2483197121070362E-5</v>
          </cell>
          <cell r="AQ14">
            <v>8.8995060605672201E-7</v>
          </cell>
          <cell r="AR14">
            <v>1.1072624064921479E-4</v>
          </cell>
          <cell r="AS14">
            <v>3.0335956342250627E-6</v>
          </cell>
          <cell r="AT14">
            <v>1.6658082372649506E-5</v>
          </cell>
          <cell r="AU14">
            <v>4.5638581842875346E-7</v>
          </cell>
          <cell r="AV14">
            <v>5</v>
          </cell>
          <cell r="AW14">
            <v>110.2</v>
          </cell>
          <cell r="AX14">
            <v>110.2</v>
          </cell>
          <cell r="AY14">
            <v>0</v>
          </cell>
          <cell r="AZ14">
            <v>2.3255813953488373</v>
          </cell>
          <cell r="BA14" t="str">
            <v>HROFDAY</v>
          </cell>
          <cell r="BB14" t="str">
            <v>0  0  0  0  0  0  0  0   1  1  1  1  1  1  1  1  1  1  0  0  0  0  0  0</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row>
        <row r="16">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row>
        <row r="17">
          <cell r="C17" t="str">
            <v>HRD-C1</v>
          </cell>
          <cell r="D17" t="e">
            <v>#N/A</v>
          </cell>
          <cell r="E17" t="str">
            <v>HRD</v>
          </cell>
          <cell r="F17" t="str">
            <v>TOTAL ROAD</v>
          </cell>
          <cell r="G17">
            <v>0</v>
          </cell>
          <cell r="H17">
            <v>0</v>
          </cell>
          <cell r="I17" t="str">
            <v>ROAD: Construction Equipment Tailpipe Emissions - ROAD Construction</v>
          </cell>
          <cell r="J17" t="str">
            <v>C1</v>
          </cell>
          <cell r="K17">
            <v>0</v>
          </cell>
          <cell r="L17">
            <v>-67.284099999999995</v>
          </cell>
          <cell r="M17">
            <v>0</v>
          </cell>
          <cell r="N17">
            <v>0</v>
          </cell>
          <cell r="O17">
            <v>12.192</v>
          </cell>
          <cell r="P17">
            <v>0</v>
          </cell>
          <cell r="Q17">
            <v>12.192</v>
          </cell>
          <cell r="R17">
            <v>148.64486400000001</v>
          </cell>
          <cell r="S17">
            <v>0</v>
          </cell>
          <cell r="T17">
            <v>0</v>
          </cell>
          <cell r="U17">
            <v>10</v>
          </cell>
          <cell r="V17">
            <v>5</v>
          </cell>
          <cell r="W17" t="str">
            <v>S</v>
          </cell>
          <cell r="X17" t="str">
            <v>S</v>
          </cell>
          <cell r="Y17">
            <v>27</v>
          </cell>
          <cell r="Z17">
            <v>7.7423545697746385E-2</v>
          </cell>
          <cell r="AA17">
            <v>8.4898138893865283E-4</v>
          </cell>
          <cell r="AB17">
            <v>8.2624252339990917E-5</v>
          </cell>
          <cell r="AC17">
            <v>8.2624252339990917E-5</v>
          </cell>
          <cell r="AD17">
            <v>8.2624252339990917E-5</v>
          </cell>
          <cell r="AE17">
            <v>9.0848138783627456E-7</v>
          </cell>
          <cell r="AF17">
            <v>6.8845076003809665E-4</v>
          </cell>
          <cell r="AG17">
            <v>0.11317293297691595</v>
          </cell>
          <cell r="AH17">
            <v>1.0140374670678983E-4</v>
          </cell>
          <cell r="AI17">
            <v>1.4954304697299471E-2</v>
          </cell>
          <cell r="AJ17">
            <v>4.425639023416808E-2</v>
          </cell>
          <cell r="AK17">
            <v>4.425639023416808E-2</v>
          </cell>
          <cell r="AL17">
            <v>9.2053853241770716E-5</v>
          </cell>
          <cell r="AM17">
            <v>1.0121261580611516E-6</v>
          </cell>
          <cell r="AN17">
            <v>6.7710333385743749E-5</v>
          </cell>
          <cell r="AO17">
            <v>7.4446833107254914E-7</v>
          </cell>
          <cell r="AP17">
            <v>1.4039666589238279E-5</v>
          </cell>
          <cell r="AQ17">
            <v>1.5436485122463463E-7</v>
          </cell>
          <cell r="AR17">
            <v>4.7961827655233557E-5</v>
          </cell>
          <cell r="AS17">
            <v>5.2733541313726131E-7</v>
          </cell>
          <cell r="AT17">
            <v>7.2072174828315008E-6</v>
          </cell>
          <cell r="AU17">
            <v>7.9242243683749636E-8</v>
          </cell>
          <cell r="AV17">
            <v>5</v>
          </cell>
          <cell r="AW17">
            <v>12.192</v>
          </cell>
          <cell r="AX17">
            <v>12.192</v>
          </cell>
          <cell r="AY17">
            <v>0</v>
          </cell>
          <cell r="AZ17">
            <v>2.3255813953488373</v>
          </cell>
          <cell r="BA17" t="str">
            <v>HROFDAY</v>
          </cell>
          <cell r="BB17" t="str">
            <v>0  0  0  0  0  0  0  0   1  1  1  1  1  1  1  1  1  1  0  0  0  0  0  0</v>
          </cell>
        </row>
        <row r="18">
          <cell r="C18" t="str">
            <v>HRD-C2</v>
          </cell>
          <cell r="D18" t="e">
            <v>#N/A</v>
          </cell>
          <cell r="E18" t="str">
            <v>HRD</v>
          </cell>
          <cell r="F18" t="str">
            <v>TOTAL ROAD</v>
          </cell>
          <cell r="G18">
            <v>0</v>
          </cell>
          <cell r="H18">
            <v>0</v>
          </cell>
          <cell r="I18" t="str">
            <v>ROAD: Construction Equipment Tailpipe Emissions - ROAD Construction</v>
          </cell>
          <cell r="J18" t="str">
            <v>C2</v>
          </cell>
          <cell r="K18">
            <v>0</v>
          </cell>
          <cell r="L18">
            <v>-79.476100000000002</v>
          </cell>
          <cell r="M18">
            <v>0</v>
          </cell>
          <cell r="N18">
            <v>0</v>
          </cell>
          <cell r="O18">
            <v>12.192</v>
          </cell>
          <cell r="P18">
            <v>0</v>
          </cell>
          <cell r="Q18">
            <v>12.192</v>
          </cell>
          <cell r="R18">
            <v>148.64486400000001</v>
          </cell>
          <cell r="S18">
            <v>0</v>
          </cell>
          <cell r="T18">
            <v>0</v>
          </cell>
          <cell r="U18">
            <v>10</v>
          </cell>
          <cell r="V18">
            <v>5</v>
          </cell>
          <cell r="W18" t="str">
            <v>S</v>
          </cell>
          <cell r="X18" t="str">
            <v>S</v>
          </cell>
          <cell r="Y18">
            <v>27</v>
          </cell>
          <cell r="Z18">
            <v>7.7423545697746385E-2</v>
          </cell>
          <cell r="AA18">
            <v>8.4898138893865283E-4</v>
          </cell>
          <cell r="AB18">
            <v>8.2624252339990917E-5</v>
          </cell>
          <cell r="AC18">
            <v>8.2624252339990917E-5</v>
          </cell>
          <cell r="AD18">
            <v>8.2624252339990917E-5</v>
          </cell>
          <cell r="AE18">
            <v>9.0848138783627456E-7</v>
          </cell>
          <cell r="AF18">
            <v>6.8845076003809665E-4</v>
          </cell>
          <cell r="AG18">
            <v>0.11317293297691595</v>
          </cell>
          <cell r="AH18">
            <v>1.0140374670678983E-4</v>
          </cell>
          <cell r="AI18">
            <v>1.4954304697299471E-2</v>
          </cell>
          <cell r="AJ18">
            <v>4.425639023416808E-2</v>
          </cell>
          <cell r="AK18">
            <v>4.425639023416808E-2</v>
          </cell>
          <cell r="AL18">
            <v>9.2053853241770716E-5</v>
          </cell>
          <cell r="AM18">
            <v>1.0121261580611516E-6</v>
          </cell>
          <cell r="AN18">
            <v>6.7710333385743749E-5</v>
          </cell>
          <cell r="AO18">
            <v>7.4446833107254914E-7</v>
          </cell>
          <cell r="AP18">
            <v>1.4039666589238279E-5</v>
          </cell>
          <cell r="AQ18">
            <v>1.5436485122463463E-7</v>
          </cell>
          <cell r="AR18">
            <v>4.7961827655233557E-5</v>
          </cell>
          <cell r="AS18">
            <v>5.2733541313726131E-7</v>
          </cell>
          <cell r="AT18">
            <v>7.2072174828315008E-6</v>
          </cell>
          <cell r="AU18">
            <v>7.9242243683749636E-8</v>
          </cell>
          <cell r="AV18">
            <v>5</v>
          </cell>
          <cell r="AW18">
            <v>12.192</v>
          </cell>
          <cell r="AX18">
            <v>12.192</v>
          </cell>
          <cell r="AY18">
            <v>0</v>
          </cell>
          <cell r="AZ18">
            <v>2.3255813953488373</v>
          </cell>
          <cell r="BA18" t="str">
            <v>HROFDAY</v>
          </cell>
          <cell r="BB18" t="str">
            <v>0  0  0  0  0  0  0  0   1  1  1  1  1  1  1  1  1  1  0  0  0  0  0  0</v>
          </cell>
        </row>
        <row r="19">
          <cell r="C19" t="str">
            <v>HRD-C3</v>
          </cell>
          <cell r="D19" t="e">
            <v>#N/A</v>
          </cell>
          <cell r="E19" t="str">
            <v>HRD</v>
          </cell>
          <cell r="F19" t="str">
            <v>TOTAL ROAD</v>
          </cell>
          <cell r="G19">
            <v>0</v>
          </cell>
          <cell r="H19">
            <v>0</v>
          </cell>
          <cell r="I19" t="str">
            <v>ROAD: Construction Equipment Tailpipe Emissions - ROAD Construction</v>
          </cell>
          <cell r="J19" t="str">
            <v>C3</v>
          </cell>
          <cell r="K19">
            <v>0</v>
          </cell>
          <cell r="L19">
            <v>-91.66810000000001</v>
          </cell>
          <cell r="M19">
            <v>0</v>
          </cell>
          <cell r="N19">
            <v>0</v>
          </cell>
          <cell r="O19">
            <v>12.192</v>
          </cell>
          <cell r="P19">
            <v>0</v>
          </cell>
          <cell r="Q19">
            <v>12.192</v>
          </cell>
          <cell r="R19">
            <v>148.64486400000001</v>
          </cell>
          <cell r="S19">
            <v>0</v>
          </cell>
          <cell r="T19">
            <v>0</v>
          </cell>
          <cell r="U19">
            <v>10</v>
          </cell>
          <cell r="V19">
            <v>5</v>
          </cell>
          <cell r="W19" t="str">
            <v>S</v>
          </cell>
          <cell r="X19" t="str">
            <v>S</v>
          </cell>
          <cell r="Y19">
            <v>27</v>
          </cell>
          <cell r="Z19">
            <v>7.7423545697746385E-2</v>
          </cell>
          <cell r="AA19">
            <v>8.4898138893865283E-4</v>
          </cell>
          <cell r="AB19">
            <v>8.2624252339990917E-5</v>
          </cell>
          <cell r="AC19">
            <v>8.2624252339990917E-5</v>
          </cell>
          <cell r="AD19">
            <v>8.2624252339990917E-5</v>
          </cell>
          <cell r="AE19">
            <v>9.0848138783627456E-7</v>
          </cell>
          <cell r="AF19">
            <v>6.8845076003809665E-4</v>
          </cell>
          <cell r="AG19">
            <v>0.11317293297691595</v>
          </cell>
          <cell r="AH19">
            <v>1.0140374670678983E-4</v>
          </cell>
          <cell r="AI19">
            <v>1.4954304697299471E-2</v>
          </cell>
          <cell r="AJ19">
            <v>4.425639023416808E-2</v>
          </cell>
          <cell r="AK19">
            <v>4.425639023416808E-2</v>
          </cell>
          <cell r="AL19">
            <v>9.2053853241770716E-5</v>
          </cell>
          <cell r="AM19">
            <v>1.0121261580611516E-6</v>
          </cell>
          <cell r="AN19">
            <v>6.7710333385743749E-5</v>
          </cell>
          <cell r="AO19">
            <v>7.4446833107254914E-7</v>
          </cell>
          <cell r="AP19">
            <v>1.4039666589238279E-5</v>
          </cell>
          <cell r="AQ19">
            <v>1.5436485122463463E-7</v>
          </cell>
          <cell r="AR19">
            <v>4.7961827655233557E-5</v>
          </cell>
          <cell r="AS19">
            <v>5.2733541313726131E-7</v>
          </cell>
          <cell r="AT19">
            <v>7.2072174828315008E-6</v>
          </cell>
          <cell r="AU19">
            <v>7.9242243683749636E-8</v>
          </cell>
          <cell r="AV19">
            <v>5</v>
          </cell>
          <cell r="AW19">
            <v>12.192</v>
          </cell>
          <cell r="AX19">
            <v>12.192</v>
          </cell>
          <cell r="AY19">
            <v>0</v>
          </cell>
          <cell r="AZ19">
            <v>2.3255813953488373</v>
          </cell>
          <cell r="BA19" t="str">
            <v>HROFDAY</v>
          </cell>
          <cell r="BB19" t="str">
            <v>0  0  0  0  0  0  0  0   1  1  1  1  1  1  1  1  1  1  0  0  0  0  0  0</v>
          </cell>
        </row>
        <row r="20">
          <cell r="C20" t="str">
            <v>HRD-C4</v>
          </cell>
          <cell r="D20" t="e">
            <v>#N/A</v>
          </cell>
          <cell r="E20" t="str">
            <v>HRD</v>
          </cell>
          <cell r="F20" t="str">
            <v>TOTAL ROAD</v>
          </cell>
          <cell r="G20">
            <v>0</v>
          </cell>
          <cell r="H20">
            <v>0</v>
          </cell>
          <cell r="I20" t="str">
            <v>ROAD: Construction Equipment Tailpipe Emissions - ROAD Construction</v>
          </cell>
          <cell r="J20" t="str">
            <v>C4</v>
          </cell>
          <cell r="K20">
            <v>0</v>
          </cell>
          <cell r="L20">
            <v>-103.86010000000002</v>
          </cell>
          <cell r="M20">
            <v>0</v>
          </cell>
          <cell r="N20">
            <v>0</v>
          </cell>
          <cell r="O20">
            <v>12.192</v>
          </cell>
          <cell r="P20">
            <v>0</v>
          </cell>
          <cell r="Q20">
            <v>12.192</v>
          </cell>
          <cell r="R20">
            <v>148.64486400000001</v>
          </cell>
          <cell r="S20">
            <v>0</v>
          </cell>
          <cell r="T20">
            <v>0</v>
          </cell>
          <cell r="U20">
            <v>10</v>
          </cell>
          <cell r="V20">
            <v>5</v>
          </cell>
          <cell r="W20" t="str">
            <v>S</v>
          </cell>
          <cell r="X20" t="str">
            <v>S</v>
          </cell>
          <cell r="Y20">
            <v>27</v>
          </cell>
          <cell r="Z20">
            <v>7.7423545697746385E-2</v>
          </cell>
          <cell r="AA20">
            <v>8.4898138893865283E-4</v>
          </cell>
          <cell r="AB20">
            <v>8.2624252339990917E-5</v>
          </cell>
          <cell r="AC20">
            <v>8.2624252339990917E-5</v>
          </cell>
          <cell r="AD20">
            <v>8.2624252339990917E-5</v>
          </cell>
          <cell r="AE20">
            <v>9.0848138783627456E-7</v>
          </cell>
          <cell r="AF20">
            <v>6.8845076003809665E-4</v>
          </cell>
          <cell r="AG20">
            <v>0.11317293297691595</v>
          </cell>
          <cell r="AH20">
            <v>1.0140374670678983E-4</v>
          </cell>
          <cell r="AI20">
            <v>1.4954304697299471E-2</v>
          </cell>
          <cell r="AJ20">
            <v>4.425639023416808E-2</v>
          </cell>
          <cell r="AK20">
            <v>4.425639023416808E-2</v>
          </cell>
          <cell r="AL20">
            <v>9.2053853241770716E-5</v>
          </cell>
          <cell r="AM20">
            <v>1.0121261580611516E-6</v>
          </cell>
          <cell r="AN20">
            <v>6.7710333385743749E-5</v>
          </cell>
          <cell r="AO20">
            <v>7.4446833107254914E-7</v>
          </cell>
          <cell r="AP20">
            <v>1.4039666589238279E-5</v>
          </cell>
          <cell r="AQ20">
            <v>1.5436485122463463E-7</v>
          </cell>
          <cell r="AR20">
            <v>4.7961827655233557E-5</v>
          </cell>
          <cell r="AS20">
            <v>5.2733541313726131E-7</v>
          </cell>
          <cell r="AT20">
            <v>7.2072174828315008E-6</v>
          </cell>
          <cell r="AU20">
            <v>7.9242243683749636E-8</v>
          </cell>
          <cell r="AV20">
            <v>5</v>
          </cell>
          <cell r="AW20">
            <v>12.192</v>
          </cell>
          <cell r="AX20">
            <v>12.192</v>
          </cell>
          <cell r="AY20">
            <v>0</v>
          </cell>
          <cell r="AZ20">
            <v>2.3255813953488373</v>
          </cell>
          <cell r="BA20" t="str">
            <v>HROFDAY</v>
          </cell>
          <cell r="BB20" t="str">
            <v>0  0  0  0  0  0  0  0   1  1  1  1  1  1  1  1  1  1  0  0  0  0  0  0</v>
          </cell>
        </row>
        <row r="21">
          <cell r="C21" t="str">
            <v>HRD-C5</v>
          </cell>
          <cell r="D21" t="e">
            <v>#N/A</v>
          </cell>
          <cell r="E21" t="str">
            <v>HRD</v>
          </cell>
          <cell r="F21" t="str">
            <v>TOTAL ROAD</v>
          </cell>
          <cell r="G21">
            <v>0</v>
          </cell>
          <cell r="H21">
            <v>0</v>
          </cell>
          <cell r="I21" t="str">
            <v>ROAD: Construction Equipment Tailpipe Emissions - ROAD Construction</v>
          </cell>
          <cell r="J21" t="str">
            <v>C5</v>
          </cell>
          <cell r="K21">
            <v>0</v>
          </cell>
          <cell r="L21">
            <v>-116.05210000000002</v>
          </cell>
          <cell r="M21">
            <v>0</v>
          </cell>
          <cell r="N21">
            <v>0</v>
          </cell>
          <cell r="O21">
            <v>12.192</v>
          </cell>
          <cell r="P21">
            <v>0</v>
          </cell>
          <cell r="Q21">
            <v>12.192</v>
          </cell>
          <cell r="R21">
            <v>148.64486400000001</v>
          </cell>
          <cell r="S21">
            <v>0</v>
          </cell>
          <cell r="T21">
            <v>0</v>
          </cell>
          <cell r="U21">
            <v>10</v>
          </cell>
          <cell r="V21">
            <v>5</v>
          </cell>
          <cell r="W21" t="str">
            <v>S</v>
          </cell>
          <cell r="X21" t="str">
            <v>S</v>
          </cell>
          <cell r="Y21">
            <v>27</v>
          </cell>
          <cell r="Z21">
            <v>7.7423545697746385E-2</v>
          </cell>
          <cell r="AA21">
            <v>8.4898138893865283E-4</v>
          </cell>
          <cell r="AB21">
            <v>8.2624252339990917E-5</v>
          </cell>
          <cell r="AC21">
            <v>8.2624252339990917E-5</v>
          </cell>
          <cell r="AD21">
            <v>8.2624252339990917E-5</v>
          </cell>
          <cell r="AE21">
            <v>9.0848138783627456E-7</v>
          </cell>
          <cell r="AF21">
            <v>6.8845076003809665E-4</v>
          </cell>
          <cell r="AG21">
            <v>0.11317293297691595</v>
          </cell>
          <cell r="AH21">
            <v>1.0140374670678983E-4</v>
          </cell>
          <cell r="AI21">
            <v>1.4954304697299471E-2</v>
          </cell>
          <cell r="AJ21">
            <v>4.425639023416808E-2</v>
          </cell>
          <cell r="AK21">
            <v>4.425639023416808E-2</v>
          </cell>
          <cell r="AL21">
            <v>9.2053853241770716E-5</v>
          </cell>
          <cell r="AM21">
            <v>1.0121261580611516E-6</v>
          </cell>
          <cell r="AN21">
            <v>6.7710333385743749E-5</v>
          </cell>
          <cell r="AO21">
            <v>7.4446833107254914E-7</v>
          </cell>
          <cell r="AP21">
            <v>1.4039666589238279E-5</v>
          </cell>
          <cell r="AQ21">
            <v>1.5436485122463463E-7</v>
          </cell>
          <cell r="AR21">
            <v>4.7961827655233557E-5</v>
          </cell>
          <cell r="AS21">
            <v>5.2733541313726131E-7</v>
          </cell>
          <cell r="AT21">
            <v>7.2072174828315008E-6</v>
          </cell>
          <cell r="AU21">
            <v>7.9242243683749636E-8</v>
          </cell>
          <cell r="AV21">
            <v>5</v>
          </cell>
          <cell r="AW21">
            <v>12.192</v>
          </cell>
          <cell r="AX21">
            <v>12.192</v>
          </cell>
          <cell r="AY21">
            <v>0</v>
          </cell>
          <cell r="AZ21">
            <v>2.3255813953488373</v>
          </cell>
          <cell r="BA21" t="str">
            <v>HROFDAY</v>
          </cell>
          <cell r="BB21" t="str">
            <v>0  0  0  0  0  0  0  0   1  1  1  1  1  1  1  1  1  1  0  0  0  0  0  0</v>
          </cell>
        </row>
        <row r="22">
          <cell r="C22" t="str">
            <v>HRD-C6</v>
          </cell>
          <cell r="D22" t="e">
            <v>#N/A</v>
          </cell>
          <cell r="E22" t="str">
            <v>HRD</v>
          </cell>
          <cell r="F22" t="str">
            <v>TOTAL ROAD</v>
          </cell>
          <cell r="G22">
            <v>0</v>
          </cell>
          <cell r="H22">
            <v>0</v>
          </cell>
          <cell r="I22" t="str">
            <v>ROAD: Construction Equipment Tailpipe Emissions - ROAD Construction</v>
          </cell>
          <cell r="J22" t="str">
            <v>C6</v>
          </cell>
          <cell r="K22">
            <v>0</v>
          </cell>
          <cell r="L22">
            <v>-128.24410000000003</v>
          </cell>
          <cell r="M22">
            <v>0</v>
          </cell>
          <cell r="N22">
            <v>0</v>
          </cell>
          <cell r="O22">
            <v>12.192</v>
          </cell>
          <cell r="P22">
            <v>0</v>
          </cell>
          <cell r="Q22">
            <v>12.192</v>
          </cell>
          <cell r="R22">
            <v>148.64486400000001</v>
          </cell>
          <cell r="S22">
            <v>0</v>
          </cell>
          <cell r="T22">
            <v>0</v>
          </cell>
          <cell r="U22">
            <v>10</v>
          </cell>
          <cell r="V22">
            <v>5</v>
          </cell>
          <cell r="W22" t="str">
            <v>S</v>
          </cell>
          <cell r="X22" t="str">
            <v>S</v>
          </cell>
          <cell r="Y22">
            <v>27</v>
          </cell>
          <cell r="Z22">
            <v>7.7423545697746385E-2</v>
          </cell>
          <cell r="AA22">
            <v>8.4898138893865283E-4</v>
          </cell>
          <cell r="AB22">
            <v>8.2624252339990917E-5</v>
          </cell>
          <cell r="AC22">
            <v>8.2624252339990917E-5</v>
          </cell>
          <cell r="AD22">
            <v>8.2624252339990917E-5</v>
          </cell>
          <cell r="AE22">
            <v>9.0848138783627456E-7</v>
          </cell>
          <cell r="AF22">
            <v>6.8845076003809665E-4</v>
          </cell>
          <cell r="AG22">
            <v>0.11317293297691595</v>
          </cell>
          <cell r="AH22">
            <v>1.0140374670678983E-4</v>
          </cell>
          <cell r="AI22">
            <v>1.4954304697299471E-2</v>
          </cell>
          <cell r="AJ22">
            <v>4.425639023416808E-2</v>
          </cell>
          <cell r="AK22">
            <v>4.425639023416808E-2</v>
          </cell>
          <cell r="AL22">
            <v>9.2053853241770716E-5</v>
          </cell>
          <cell r="AM22">
            <v>1.0121261580611516E-6</v>
          </cell>
          <cell r="AN22">
            <v>6.7710333385743749E-5</v>
          </cell>
          <cell r="AO22">
            <v>7.4446833107254914E-7</v>
          </cell>
          <cell r="AP22">
            <v>1.4039666589238279E-5</v>
          </cell>
          <cell r="AQ22">
            <v>1.5436485122463463E-7</v>
          </cell>
          <cell r="AR22">
            <v>4.7961827655233557E-5</v>
          </cell>
          <cell r="AS22">
            <v>5.2733541313726131E-7</v>
          </cell>
          <cell r="AT22">
            <v>7.2072174828315008E-6</v>
          </cell>
          <cell r="AU22">
            <v>7.9242243683749636E-8</v>
          </cell>
          <cell r="AV22">
            <v>5</v>
          </cell>
          <cell r="AW22">
            <v>12.192</v>
          </cell>
          <cell r="AX22">
            <v>12.192</v>
          </cell>
          <cell r="AY22">
            <v>0</v>
          </cell>
          <cell r="AZ22">
            <v>2.3255813953488373</v>
          </cell>
          <cell r="BA22" t="str">
            <v>HROFDAY</v>
          </cell>
          <cell r="BB22" t="str">
            <v>0  0  0  0  0  0  0  0   1  1  1  1  1  1  1  1  1  1  0  0  0  0  0  0</v>
          </cell>
        </row>
        <row r="23">
          <cell r="C23" t="str">
            <v>HRD-C7</v>
          </cell>
          <cell r="D23" t="e">
            <v>#N/A</v>
          </cell>
          <cell r="E23" t="str">
            <v>HRD</v>
          </cell>
          <cell r="F23" t="str">
            <v>TOTAL ROAD</v>
          </cell>
          <cell r="G23">
            <v>0</v>
          </cell>
          <cell r="H23">
            <v>0</v>
          </cell>
          <cell r="I23" t="str">
            <v>ROAD: Construction Equipment Tailpipe Emissions - ROAD Construction</v>
          </cell>
          <cell r="J23" t="str">
            <v>C7</v>
          </cell>
          <cell r="K23">
            <v>0</v>
          </cell>
          <cell r="L23">
            <v>-140.43610000000004</v>
          </cell>
          <cell r="M23">
            <v>0</v>
          </cell>
          <cell r="N23">
            <v>0</v>
          </cell>
          <cell r="O23">
            <v>12.192</v>
          </cell>
          <cell r="P23">
            <v>0</v>
          </cell>
          <cell r="Q23">
            <v>12.192</v>
          </cell>
          <cell r="R23">
            <v>148.64486400000001</v>
          </cell>
          <cell r="S23">
            <v>0</v>
          </cell>
          <cell r="T23">
            <v>0</v>
          </cell>
          <cell r="U23">
            <v>10</v>
          </cell>
          <cell r="V23">
            <v>5</v>
          </cell>
          <cell r="W23" t="str">
            <v>S</v>
          </cell>
          <cell r="X23" t="str">
            <v>S</v>
          </cell>
          <cell r="Y23">
            <v>27</v>
          </cell>
          <cell r="Z23">
            <v>7.7423545697746385E-2</v>
          </cell>
          <cell r="AA23">
            <v>8.4898138893865283E-4</v>
          </cell>
          <cell r="AB23">
            <v>8.2624252339990917E-5</v>
          </cell>
          <cell r="AC23">
            <v>8.2624252339990917E-5</v>
          </cell>
          <cell r="AD23">
            <v>8.2624252339990917E-5</v>
          </cell>
          <cell r="AE23">
            <v>9.0848138783627456E-7</v>
          </cell>
          <cell r="AF23">
            <v>6.8845076003809665E-4</v>
          </cell>
          <cell r="AG23">
            <v>0.11317293297691595</v>
          </cell>
          <cell r="AH23">
            <v>1.0140374670678983E-4</v>
          </cell>
          <cell r="AI23">
            <v>1.4954304697299471E-2</v>
          </cell>
          <cell r="AJ23">
            <v>4.425639023416808E-2</v>
          </cell>
          <cell r="AK23">
            <v>4.425639023416808E-2</v>
          </cell>
          <cell r="AL23">
            <v>9.2053853241770716E-5</v>
          </cell>
          <cell r="AM23">
            <v>1.0121261580611516E-6</v>
          </cell>
          <cell r="AN23">
            <v>6.7710333385743749E-5</v>
          </cell>
          <cell r="AO23">
            <v>7.4446833107254914E-7</v>
          </cell>
          <cell r="AP23">
            <v>1.4039666589238279E-5</v>
          </cell>
          <cell r="AQ23">
            <v>1.5436485122463463E-7</v>
          </cell>
          <cell r="AR23">
            <v>4.7961827655233557E-5</v>
          </cell>
          <cell r="AS23">
            <v>5.2733541313726131E-7</v>
          </cell>
          <cell r="AT23">
            <v>7.2072174828315008E-6</v>
          </cell>
          <cell r="AU23">
            <v>7.9242243683749636E-8</v>
          </cell>
          <cell r="AV23">
            <v>5</v>
          </cell>
          <cell r="AW23">
            <v>12.192</v>
          </cell>
          <cell r="AX23">
            <v>12.192</v>
          </cell>
          <cell r="AY23">
            <v>0</v>
          </cell>
          <cell r="AZ23">
            <v>2.3255813953488373</v>
          </cell>
          <cell r="BA23" t="str">
            <v>HROFDAY</v>
          </cell>
          <cell r="BB23" t="str">
            <v>0  0  0  0  0  0  0  0   1  1  1  1  1  1  1  1  1  1  0  0  0  0  0  0</v>
          </cell>
        </row>
        <row r="24">
          <cell r="C24" t="str">
            <v>HRD-C8</v>
          </cell>
          <cell r="D24" t="e">
            <v>#N/A</v>
          </cell>
          <cell r="E24" t="str">
            <v>HRD</v>
          </cell>
          <cell r="F24" t="str">
            <v>TOTAL ROAD</v>
          </cell>
          <cell r="G24">
            <v>0</v>
          </cell>
          <cell r="H24">
            <v>0</v>
          </cell>
          <cell r="I24" t="str">
            <v>ROAD: Construction Equipment Tailpipe Emissions - ROAD Construction</v>
          </cell>
          <cell r="J24" t="str">
            <v>C8</v>
          </cell>
          <cell r="K24">
            <v>0</v>
          </cell>
          <cell r="L24">
            <v>-152.62810000000005</v>
          </cell>
          <cell r="M24">
            <v>0</v>
          </cell>
          <cell r="N24">
            <v>0</v>
          </cell>
          <cell r="O24">
            <v>12.192</v>
          </cell>
          <cell r="P24">
            <v>0</v>
          </cell>
          <cell r="Q24">
            <v>12.192</v>
          </cell>
          <cell r="R24">
            <v>148.64486400000001</v>
          </cell>
          <cell r="S24">
            <v>0</v>
          </cell>
          <cell r="T24">
            <v>0</v>
          </cell>
          <cell r="U24">
            <v>10</v>
          </cell>
          <cell r="V24">
            <v>5</v>
          </cell>
          <cell r="W24" t="str">
            <v>S</v>
          </cell>
          <cell r="X24" t="str">
            <v>S</v>
          </cell>
          <cell r="Y24">
            <v>27</v>
          </cell>
          <cell r="Z24">
            <v>7.7423545697746385E-2</v>
          </cell>
          <cell r="AA24">
            <v>8.4898138893865283E-4</v>
          </cell>
          <cell r="AB24">
            <v>8.2624252339990917E-5</v>
          </cell>
          <cell r="AC24">
            <v>8.2624252339990917E-5</v>
          </cell>
          <cell r="AD24">
            <v>8.2624252339990917E-5</v>
          </cell>
          <cell r="AE24">
            <v>9.0848138783627456E-7</v>
          </cell>
          <cell r="AF24">
            <v>6.8845076003809665E-4</v>
          </cell>
          <cell r="AG24">
            <v>0.11317293297691595</v>
          </cell>
          <cell r="AH24">
            <v>1.0140374670678983E-4</v>
          </cell>
          <cell r="AI24">
            <v>1.4954304697299471E-2</v>
          </cell>
          <cell r="AJ24">
            <v>4.425639023416808E-2</v>
          </cell>
          <cell r="AK24">
            <v>4.425639023416808E-2</v>
          </cell>
          <cell r="AL24">
            <v>9.2053853241770716E-5</v>
          </cell>
          <cell r="AM24">
            <v>1.0121261580611516E-6</v>
          </cell>
          <cell r="AN24">
            <v>6.7710333385743749E-5</v>
          </cell>
          <cell r="AO24">
            <v>7.4446833107254914E-7</v>
          </cell>
          <cell r="AP24">
            <v>1.4039666589238279E-5</v>
          </cell>
          <cell r="AQ24">
            <v>1.5436485122463463E-7</v>
          </cell>
          <cell r="AR24">
            <v>4.7961827655233557E-5</v>
          </cell>
          <cell r="AS24">
            <v>5.2733541313726131E-7</v>
          </cell>
          <cell r="AT24">
            <v>7.2072174828315008E-6</v>
          </cell>
          <cell r="AU24">
            <v>7.9242243683749636E-8</v>
          </cell>
          <cell r="AV24">
            <v>5</v>
          </cell>
          <cell r="AW24">
            <v>12.192</v>
          </cell>
          <cell r="AX24">
            <v>12.192</v>
          </cell>
          <cell r="AY24">
            <v>0</v>
          </cell>
          <cell r="AZ24">
            <v>2.3255813953488373</v>
          </cell>
          <cell r="BA24" t="str">
            <v>HROFDAY</v>
          </cell>
          <cell r="BB24" t="str">
            <v>0  0  0  0  0  0  0  0   1  1  1  1  1  1  1  1  1  1  0  0  0  0  0  0</v>
          </cell>
        </row>
        <row r="25">
          <cell r="C25" t="str">
            <v>HRD-C9</v>
          </cell>
          <cell r="D25" t="e">
            <v>#N/A</v>
          </cell>
          <cell r="E25" t="str">
            <v>HRD</v>
          </cell>
          <cell r="F25" t="str">
            <v>TOTAL ROAD</v>
          </cell>
          <cell r="G25">
            <v>0</v>
          </cell>
          <cell r="H25">
            <v>0</v>
          </cell>
          <cell r="I25" t="str">
            <v>ROAD: Construction Equipment Tailpipe Emissions - ROAD Construction</v>
          </cell>
          <cell r="J25" t="str">
            <v>C9</v>
          </cell>
          <cell r="K25">
            <v>0</v>
          </cell>
          <cell r="L25">
            <v>-164.82010000000005</v>
          </cell>
          <cell r="M25">
            <v>0</v>
          </cell>
          <cell r="N25">
            <v>0</v>
          </cell>
          <cell r="O25">
            <v>12.192</v>
          </cell>
          <cell r="P25">
            <v>0</v>
          </cell>
          <cell r="Q25">
            <v>12.192</v>
          </cell>
          <cell r="R25">
            <v>148.64486400000001</v>
          </cell>
          <cell r="S25">
            <v>0</v>
          </cell>
          <cell r="T25">
            <v>0</v>
          </cell>
          <cell r="U25">
            <v>10</v>
          </cell>
          <cell r="V25">
            <v>5</v>
          </cell>
          <cell r="W25" t="str">
            <v>S</v>
          </cell>
          <cell r="X25" t="str">
            <v>S</v>
          </cell>
          <cell r="Y25">
            <v>27</v>
          </cell>
          <cell r="Z25">
            <v>7.7423545697746385E-2</v>
          </cell>
          <cell r="AA25">
            <v>8.4898138893865283E-4</v>
          </cell>
          <cell r="AB25">
            <v>8.2624252339990917E-5</v>
          </cell>
          <cell r="AC25">
            <v>8.2624252339990917E-5</v>
          </cell>
          <cell r="AD25">
            <v>8.2624252339990917E-5</v>
          </cell>
          <cell r="AE25">
            <v>9.0848138783627456E-7</v>
          </cell>
          <cell r="AF25">
            <v>6.8845076003809665E-4</v>
          </cell>
          <cell r="AG25">
            <v>0.11317293297691595</v>
          </cell>
          <cell r="AH25">
            <v>1.0140374670678983E-4</v>
          </cell>
          <cell r="AI25">
            <v>1.4954304697299471E-2</v>
          </cell>
          <cell r="AJ25">
            <v>4.425639023416808E-2</v>
          </cell>
          <cell r="AK25">
            <v>4.425639023416808E-2</v>
          </cell>
          <cell r="AL25">
            <v>9.2053853241770716E-5</v>
          </cell>
          <cell r="AM25">
            <v>1.0121261580611516E-6</v>
          </cell>
          <cell r="AN25">
            <v>6.7710333385743749E-5</v>
          </cell>
          <cell r="AO25">
            <v>7.4446833107254914E-7</v>
          </cell>
          <cell r="AP25">
            <v>1.4039666589238279E-5</v>
          </cell>
          <cell r="AQ25">
            <v>1.5436485122463463E-7</v>
          </cell>
          <cell r="AR25">
            <v>4.7961827655233557E-5</v>
          </cell>
          <cell r="AS25">
            <v>5.2733541313726131E-7</v>
          </cell>
          <cell r="AT25">
            <v>7.2072174828315008E-6</v>
          </cell>
          <cell r="AU25">
            <v>7.9242243683749636E-8</v>
          </cell>
          <cell r="AV25">
            <v>5</v>
          </cell>
          <cell r="AW25">
            <v>12.192</v>
          </cell>
          <cell r="AX25">
            <v>12.192</v>
          </cell>
          <cell r="AY25">
            <v>0</v>
          </cell>
          <cell r="AZ25">
            <v>2.3255813953488373</v>
          </cell>
          <cell r="BA25" t="str">
            <v>HROFDAY</v>
          </cell>
          <cell r="BB25" t="str">
            <v>0  0  0  0  0  0  0  0   1  1  1  1  1  1  1  1  1  1  0  0  0  0  0  0</v>
          </cell>
        </row>
        <row r="26">
          <cell r="C26" t="str">
            <v>HRD-C10</v>
          </cell>
          <cell r="D26" t="e">
            <v>#N/A</v>
          </cell>
          <cell r="E26" t="str">
            <v>HRD</v>
          </cell>
          <cell r="F26" t="str">
            <v>TOTAL ROAD</v>
          </cell>
          <cell r="G26">
            <v>0</v>
          </cell>
          <cell r="H26">
            <v>0</v>
          </cell>
          <cell r="I26" t="str">
            <v>ROAD: Construction Equipment Tailpipe Emissions - ROAD Construction</v>
          </cell>
          <cell r="J26" t="str">
            <v>C10</v>
          </cell>
          <cell r="K26">
            <v>0</v>
          </cell>
          <cell r="L26">
            <v>-177.01210000000006</v>
          </cell>
          <cell r="M26">
            <v>0</v>
          </cell>
          <cell r="N26">
            <v>0</v>
          </cell>
          <cell r="O26">
            <v>12.192</v>
          </cell>
          <cell r="P26">
            <v>0</v>
          </cell>
          <cell r="Q26">
            <v>12.192</v>
          </cell>
          <cell r="R26">
            <v>148.64486400000001</v>
          </cell>
          <cell r="S26">
            <v>0</v>
          </cell>
          <cell r="T26">
            <v>0</v>
          </cell>
          <cell r="U26">
            <v>10</v>
          </cell>
          <cell r="V26">
            <v>5</v>
          </cell>
          <cell r="W26" t="str">
            <v>S</v>
          </cell>
          <cell r="X26" t="str">
            <v>S</v>
          </cell>
          <cell r="Y26">
            <v>27</v>
          </cell>
          <cell r="Z26">
            <v>7.7423545697746385E-2</v>
          </cell>
          <cell r="AA26">
            <v>8.4898138893865283E-4</v>
          </cell>
          <cell r="AB26">
            <v>8.2624252339990917E-5</v>
          </cell>
          <cell r="AC26">
            <v>8.2624252339990917E-5</v>
          </cell>
          <cell r="AD26">
            <v>8.2624252339990917E-5</v>
          </cell>
          <cell r="AE26">
            <v>9.0848138783627456E-7</v>
          </cell>
          <cell r="AF26">
            <v>6.8845076003809665E-4</v>
          </cell>
          <cell r="AG26">
            <v>0.11317293297691595</v>
          </cell>
          <cell r="AH26">
            <v>1.0140374670678983E-4</v>
          </cell>
          <cell r="AI26">
            <v>1.4954304697299471E-2</v>
          </cell>
          <cell r="AJ26">
            <v>4.425639023416808E-2</v>
          </cell>
          <cell r="AK26">
            <v>4.425639023416808E-2</v>
          </cell>
          <cell r="AL26">
            <v>9.2053853241770716E-5</v>
          </cell>
          <cell r="AM26">
            <v>1.0121261580611516E-6</v>
          </cell>
          <cell r="AN26">
            <v>6.7710333385743749E-5</v>
          </cell>
          <cell r="AO26">
            <v>7.4446833107254914E-7</v>
          </cell>
          <cell r="AP26">
            <v>1.4039666589238279E-5</v>
          </cell>
          <cell r="AQ26">
            <v>1.5436485122463463E-7</v>
          </cell>
          <cell r="AR26">
            <v>4.7961827655233557E-5</v>
          </cell>
          <cell r="AS26">
            <v>5.2733541313726131E-7</v>
          </cell>
          <cell r="AT26">
            <v>7.2072174828315008E-6</v>
          </cell>
          <cell r="AU26">
            <v>7.9242243683749636E-8</v>
          </cell>
          <cell r="AV26">
            <v>5</v>
          </cell>
          <cell r="AW26">
            <v>12.192</v>
          </cell>
          <cell r="AX26">
            <v>12.192</v>
          </cell>
          <cell r="AY26">
            <v>0</v>
          </cell>
          <cell r="AZ26">
            <v>2.3255813953488373</v>
          </cell>
          <cell r="BA26" t="str">
            <v>HROFDAY</v>
          </cell>
          <cell r="BB26" t="str">
            <v>0  0  0  0  0  0  0  0   1  1  1  1  1  1  1  1  1  1  0  0  0  0  0  0</v>
          </cell>
        </row>
        <row r="27">
          <cell r="C27" t="str">
            <v>HRD-C11</v>
          </cell>
          <cell r="D27" t="e">
            <v>#N/A</v>
          </cell>
          <cell r="E27" t="str">
            <v>HRD</v>
          </cell>
          <cell r="F27" t="str">
            <v>TOTAL ROAD</v>
          </cell>
          <cell r="G27">
            <v>0</v>
          </cell>
          <cell r="H27">
            <v>0</v>
          </cell>
          <cell r="I27" t="str">
            <v>ROAD: Construction Equipment Tailpipe Emissions - ROAD Construction</v>
          </cell>
          <cell r="J27" t="str">
            <v>C11</v>
          </cell>
          <cell r="K27">
            <v>0</v>
          </cell>
          <cell r="L27">
            <v>-189.20410000000007</v>
          </cell>
          <cell r="M27">
            <v>0</v>
          </cell>
          <cell r="N27">
            <v>0</v>
          </cell>
          <cell r="O27">
            <v>12.192</v>
          </cell>
          <cell r="P27">
            <v>0</v>
          </cell>
          <cell r="Q27">
            <v>12.192</v>
          </cell>
          <cell r="R27">
            <v>148.64486400000001</v>
          </cell>
          <cell r="S27">
            <v>0</v>
          </cell>
          <cell r="T27">
            <v>0</v>
          </cell>
          <cell r="U27">
            <v>10</v>
          </cell>
          <cell r="V27">
            <v>5</v>
          </cell>
          <cell r="W27" t="str">
            <v>S</v>
          </cell>
          <cell r="X27" t="str">
            <v>S</v>
          </cell>
          <cell r="Y27">
            <v>27</v>
          </cell>
          <cell r="Z27">
            <v>7.7423545697746385E-2</v>
          </cell>
          <cell r="AA27">
            <v>8.4898138893865283E-4</v>
          </cell>
          <cell r="AB27">
            <v>8.2624252339990917E-5</v>
          </cell>
          <cell r="AC27">
            <v>8.2624252339990917E-5</v>
          </cell>
          <cell r="AD27">
            <v>8.2624252339990917E-5</v>
          </cell>
          <cell r="AE27">
            <v>9.0848138783627456E-7</v>
          </cell>
          <cell r="AF27">
            <v>6.8845076003809665E-4</v>
          </cell>
          <cell r="AG27">
            <v>0.11317293297691595</v>
          </cell>
          <cell r="AH27">
            <v>1.0140374670678983E-4</v>
          </cell>
          <cell r="AI27">
            <v>1.4954304697299471E-2</v>
          </cell>
          <cell r="AJ27">
            <v>4.425639023416808E-2</v>
          </cell>
          <cell r="AK27">
            <v>4.425639023416808E-2</v>
          </cell>
          <cell r="AL27">
            <v>9.2053853241770716E-5</v>
          </cell>
          <cell r="AM27">
            <v>1.0121261580611516E-6</v>
          </cell>
          <cell r="AN27">
            <v>6.7710333385743749E-5</v>
          </cell>
          <cell r="AO27">
            <v>7.4446833107254914E-7</v>
          </cell>
          <cell r="AP27">
            <v>1.4039666589238279E-5</v>
          </cell>
          <cell r="AQ27">
            <v>1.5436485122463463E-7</v>
          </cell>
          <cell r="AR27">
            <v>4.7961827655233557E-5</v>
          </cell>
          <cell r="AS27">
            <v>5.2733541313726131E-7</v>
          </cell>
          <cell r="AT27">
            <v>7.2072174828315008E-6</v>
          </cell>
          <cell r="AU27">
            <v>7.9242243683749636E-8</v>
          </cell>
          <cell r="AV27">
            <v>5</v>
          </cell>
          <cell r="AW27">
            <v>12.192</v>
          </cell>
          <cell r="AX27">
            <v>12.192</v>
          </cell>
          <cell r="AY27">
            <v>0</v>
          </cell>
          <cell r="AZ27">
            <v>2.3255813953488373</v>
          </cell>
          <cell r="BA27" t="str">
            <v>HROFDAY</v>
          </cell>
          <cell r="BB27" t="str">
            <v>0  0  0  0  0  0  0  0   1  1  1  1  1  1  1  1  1  1  0  0  0  0  0  0</v>
          </cell>
        </row>
        <row r="28">
          <cell r="C28" t="str">
            <v>HRD-C12</v>
          </cell>
          <cell r="D28" t="e">
            <v>#N/A</v>
          </cell>
          <cell r="E28" t="str">
            <v>HRD</v>
          </cell>
          <cell r="F28" t="str">
            <v>TOTAL ROAD</v>
          </cell>
          <cell r="G28">
            <v>0</v>
          </cell>
          <cell r="H28">
            <v>0</v>
          </cell>
          <cell r="I28" t="str">
            <v>ROAD: Construction Equipment Tailpipe Emissions - ROAD Construction</v>
          </cell>
          <cell r="J28" t="str">
            <v>C12</v>
          </cell>
          <cell r="K28">
            <v>0</v>
          </cell>
          <cell r="L28">
            <v>-201.39610000000008</v>
          </cell>
          <cell r="M28">
            <v>0</v>
          </cell>
          <cell r="N28">
            <v>0</v>
          </cell>
          <cell r="O28">
            <v>12.192</v>
          </cell>
          <cell r="P28">
            <v>0</v>
          </cell>
          <cell r="Q28">
            <v>12.192</v>
          </cell>
          <cell r="R28">
            <v>148.64486400000001</v>
          </cell>
          <cell r="S28">
            <v>0</v>
          </cell>
          <cell r="T28">
            <v>0</v>
          </cell>
          <cell r="U28">
            <v>10</v>
          </cell>
          <cell r="V28">
            <v>5</v>
          </cell>
          <cell r="W28" t="str">
            <v>S</v>
          </cell>
          <cell r="X28" t="str">
            <v>S</v>
          </cell>
          <cell r="Y28">
            <v>27</v>
          </cell>
          <cell r="Z28">
            <v>7.7423545697746385E-2</v>
          </cell>
          <cell r="AA28">
            <v>8.4898138893865283E-4</v>
          </cell>
          <cell r="AB28">
            <v>8.2624252339990917E-5</v>
          </cell>
          <cell r="AC28">
            <v>8.2624252339990917E-5</v>
          </cell>
          <cell r="AD28">
            <v>8.2624252339990917E-5</v>
          </cell>
          <cell r="AE28">
            <v>9.0848138783627456E-7</v>
          </cell>
          <cell r="AF28">
            <v>6.8845076003809665E-4</v>
          </cell>
          <cell r="AG28">
            <v>0.11317293297691595</v>
          </cell>
          <cell r="AH28">
            <v>1.0140374670678983E-4</v>
          </cell>
          <cell r="AI28">
            <v>1.4954304697299471E-2</v>
          </cell>
          <cell r="AJ28">
            <v>4.425639023416808E-2</v>
          </cell>
          <cell r="AK28">
            <v>4.425639023416808E-2</v>
          </cell>
          <cell r="AL28">
            <v>9.2053853241770716E-5</v>
          </cell>
          <cell r="AM28">
            <v>1.0121261580611516E-6</v>
          </cell>
          <cell r="AN28">
            <v>6.7710333385743749E-5</v>
          </cell>
          <cell r="AO28">
            <v>7.4446833107254914E-7</v>
          </cell>
          <cell r="AP28">
            <v>1.4039666589238279E-5</v>
          </cell>
          <cell r="AQ28">
            <v>1.5436485122463463E-7</v>
          </cell>
          <cell r="AR28">
            <v>4.7961827655233557E-5</v>
          </cell>
          <cell r="AS28">
            <v>5.2733541313726131E-7</v>
          </cell>
          <cell r="AT28">
            <v>7.2072174828315008E-6</v>
          </cell>
          <cell r="AU28">
            <v>7.9242243683749636E-8</v>
          </cell>
          <cell r="AV28">
            <v>5</v>
          </cell>
          <cell r="AW28">
            <v>12.192</v>
          </cell>
          <cell r="AX28">
            <v>12.192</v>
          </cell>
          <cell r="AY28">
            <v>0</v>
          </cell>
          <cell r="AZ28">
            <v>2.3255813953488373</v>
          </cell>
          <cell r="BA28" t="str">
            <v>HROFDAY</v>
          </cell>
          <cell r="BB28" t="str">
            <v>0  0  0  0  0  0  0  0   1  1  1  1  1  1  1  1  1  1  0  0  0  0  0  0</v>
          </cell>
        </row>
        <row r="29">
          <cell r="C29" t="str">
            <v>HRD-C13</v>
          </cell>
          <cell r="D29" t="e">
            <v>#N/A</v>
          </cell>
          <cell r="E29" t="str">
            <v>HRD</v>
          </cell>
          <cell r="F29" t="str">
            <v>TOTAL ROAD</v>
          </cell>
          <cell r="G29">
            <v>0</v>
          </cell>
          <cell r="H29">
            <v>0</v>
          </cell>
          <cell r="I29" t="str">
            <v>ROAD: Construction Equipment Tailpipe Emissions - ROAD Construction</v>
          </cell>
          <cell r="J29" t="str">
            <v>C13</v>
          </cell>
          <cell r="K29">
            <v>0</v>
          </cell>
          <cell r="L29">
            <v>-213.58810000000008</v>
          </cell>
          <cell r="M29">
            <v>0</v>
          </cell>
          <cell r="N29">
            <v>0</v>
          </cell>
          <cell r="O29">
            <v>12.192</v>
          </cell>
          <cell r="P29">
            <v>0</v>
          </cell>
          <cell r="Q29">
            <v>12.192</v>
          </cell>
          <cell r="R29">
            <v>148.64486400000001</v>
          </cell>
          <cell r="S29">
            <v>0</v>
          </cell>
          <cell r="T29">
            <v>0</v>
          </cell>
          <cell r="U29">
            <v>10</v>
          </cell>
          <cell r="V29">
            <v>5</v>
          </cell>
          <cell r="W29" t="str">
            <v>S</v>
          </cell>
          <cell r="X29" t="str">
            <v>S</v>
          </cell>
          <cell r="Y29">
            <v>27</v>
          </cell>
          <cell r="Z29">
            <v>7.7423545697746385E-2</v>
          </cell>
          <cell r="AA29">
            <v>8.4898138893865283E-4</v>
          </cell>
          <cell r="AB29">
            <v>8.2624252339990917E-5</v>
          </cell>
          <cell r="AC29">
            <v>8.2624252339990917E-5</v>
          </cell>
          <cell r="AD29">
            <v>8.2624252339990917E-5</v>
          </cell>
          <cell r="AE29">
            <v>9.0848138783627456E-7</v>
          </cell>
          <cell r="AF29">
            <v>6.8845076003809665E-4</v>
          </cell>
          <cell r="AG29">
            <v>0.11317293297691595</v>
          </cell>
          <cell r="AH29">
            <v>1.0140374670678983E-4</v>
          </cell>
          <cell r="AI29">
            <v>1.4954304697299471E-2</v>
          </cell>
          <cell r="AJ29">
            <v>4.425639023416808E-2</v>
          </cell>
          <cell r="AK29">
            <v>4.425639023416808E-2</v>
          </cell>
          <cell r="AL29">
            <v>9.2053853241770716E-5</v>
          </cell>
          <cell r="AM29">
            <v>1.0121261580611516E-6</v>
          </cell>
          <cell r="AN29">
            <v>6.7710333385743749E-5</v>
          </cell>
          <cell r="AO29">
            <v>7.4446833107254914E-7</v>
          </cell>
          <cell r="AP29">
            <v>1.4039666589238279E-5</v>
          </cell>
          <cell r="AQ29">
            <v>1.5436485122463463E-7</v>
          </cell>
          <cell r="AR29">
            <v>4.7961827655233557E-5</v>
          </cell>
          <cell r="AS29">
            <v>5.2733541313726131E-7</v>
          </cell>
          <cell r="AT29">
            <v>7.2072174828315008E-6</v>
          </cell>
          <cell r="AU29">
            <v>7.9242243683749636E-8</v>
          </cell>
          <cell r="AV29">
            <v>5</v>
          </cell>
          <cell r="AW29">
            <v>12.192</v>
          </cell>
          <cell r="AX29">
            <v>12.192</v>
          </cell>
          <cell r="AY29">
            <v>0</v>
          </cell>
          <cell r="AZ29">
            <v>2.3255813953488373</v>
          </cell>
          <cell r="BA29" t="str">
            <v>HROFDAY</v>
          </cell>
          <cell r="BB29" t="str">
            <v>0  0  0  0  0  0  0  0   1  1  1  1  1  1  1  1  1  1  0  0  0  0  0  0</v>
          </cell>
        </row>
        <row r="30">
          <cell r="C30" t="str">
            <v>HRD-C14</v>
          </cell>
          <cell r="D30" t="e">
            <v>#N/A</v>
          </cell>
          <cell r="E30" t="str">
            <v>HRD</v>
          </cell>
          <cell r="F30" t="str">
            <v>TOTAL ROAD</v>
          </cell>
          <cell r="G30">
            <v>0</v>
          </cell>
          <cell r="H30">
            <v>0</v>
          </cell>
          <cell r="I30" t="str">
            <v>ROAD: Construction Equipment Tailpipe Emissions - ROAD Construction</v>
          </cell>
          <cell r="J30" t="str">
            <v>C14</v>
          </cell>
          <cell r="K30">
            <v>0</v>
          </cell>
          <cell r="L30">
            <v>-225.78010000000009</v>
          </cell>
          <cell r="M30">
            <v>0</v>
          </cell>
          <cell r="N30">
            <v>0</v>
          </cell>
          <cell r="O30">
            <v>12.192</v>
          </cell>
          <cell r="P30">
            <v>0</v>
          </cell>
          <cell r="Q30">
            <v>12.192</v>
          </cell>
          <cell r="R30">
            <v>148.64486400000001</v>
          </cell>
          <cell r="S30">
            <v>0</v>
          </cell>
          <cell r="T30">
            <v>0</v>
          </cell>
          <cell r="U30">
            <v>10</v>
          </cell>
          <cell r="V30">
            <v>5</v>
          </cell>
          <cell r="W30" t="str">
            <v>S</v>
          </cell>
          <cell r="X30" t="str">
            <v>S</v>
          </cell>
          <cell r="Y30">
            <v>27</v>
          </cell>
          <cell r="Z30">
            <v>7.7423545697746385E-2</v>
          </cell>
          <cell r="AA30">
            <v>8.4898138893865283E-4</v>
          </cell>
          <cell r="AB30">
            <v>8.2624252339990917E-5</v>
          </cell>
          <cell r="AC30">
            <v>8.2624252339990917E-5</v>
          </cell>
          <cell r="AD30">
            <v>8.2624252339990917E-5</v>
          </cell>
          <cell r="AE30">
            <v>9.0848138783627456E-7</v>
          </cell>
          <cell r="AF30">
            <v>6.8845076003809665E-4</v>
          </cell>
          <cell r="AG30">
            <v>0.11317293297691595</v>
          </cell>
          <cell r="AH30">
            <v>1.0140374670678983E-4</v>
          </cell>
          <cell r="AI30">
            <v>1.4954304697299471E-2</v>
          </cell>
          <cell r="AJ30">
            <v>4.425639023416808E-2</v>
          </cell>
          <cell r="AK30">
            <v>4.425639023416808E-2</v>
          </cell>
          <cell r="AL30">
            <v>9.2053853241770716E-5</v>
          </cell>
          <cell r="AM30">
            <v>1.0121261580611516E-6</v>
          </cell>
          <cell r="AN30">
            <v>6.7710333385743749E-5</v>
          </cell>
          <cell r="AO30">
            <v>7.4446833107254914E-7</v>
          </cell>
          <cell r="AP30">
            <v>1.4039666589238279E-5</v>
          </cell>
          <cell r="AQ30">
            <v>1.5436485122463463E-7</v>
          </cell>
          <cell r="AR30">
            <v>4.7961827655233557E-5</v>
          </cell>
          <cell r="AS30">
            <v>5.2733541313726131E-7</v>
          </cell>
          <cell r="AT30">
            <v>7.2072174828315008E-6</v>
          </cell>
          <cell r="AU30">
            <v>7.9242243683749636E-8</v>
          </cell>
          <cell r="AV30">
            <v>5</v>
          </cell>
          <cell r="AW30">
            <v>12.192</v>
          </cell>
          <cell r="AX30">
            <v>12.192</v>
          </cell>
          <cell r="AY30">
            <v>0</v>
          </cell>
          <cell r="AZ30">
            <v>2.3255813953488373</v>
          </cell>
          <cell r="BA30" t="str">
            <v>HROFDAY</v>
          </cell>
          <cell r="BB30" t="str">
            <v>0  0  0  0  0  0  0  0   1  1  1  1  1  1  1  1  1  1  0  0  0  0  0  0</v>
          </cell>
        </row>
        <row r="31">
          <cell r="C31" t="str">
            <v>HRD-C15</v>
          </cell>
          <cell r="D31" t="e">
            <v>#N/A</v>
          </cell>
          <cell r="E31" t="str">
            <v>HRD</v>
          </cell>
          <cell r="F31" t="str">
            <v>TOTAL ROAD</v>
          </cell>
          <cell r="G31">
            <v>0</v>
          </cell>
          <cell r="H31">
            <v>0</v>
          </cell>
          <cell r="I31" t="str">
            <v>ROAD: Construction Equipment Tailpipe Emissions - ROAD Construction</v>
          </cell>
          <cell r="J31" t="str">
            <v>C15</v>
          </cell>
          <cell r="K31">
            <v>0</v>
          </cell>
          <cell r="L31">
            <v>-237.9721000000001</v>
          </cell>
          <cell r="M31">
            <v>0</v>
          </cell>
          <cell r="N31">
            <v>0</v>
          </cell>
          <cell r="O31">
            <v>12.192</v>
          </cell>
          <cell r="P31">
            <v>0</v>
          </cell>
          <cell r="Q31">
            <v>12.192</v>
          </cell>
          <cell r="R31">
            <v>148.64486400000001</v>
          </cell>
          <cell r="S31">
            <v>0</v>
          </cell>
          <cell r="T31">
            <v>0</v>
          </cell>
          <cell r="U31">
            <v>10</v>
          </cell>
          <cell r="V31">
            <v>5</v>
          </cell>
          <cell r="W31" t="str">
            <v>S</v>
          </cell>
          <cell r="X31" t="str">
            <v>S</v>
          </cell>
          <cell r="Y31">
            <v>27</v>
          </cell>
          <cell r="Z31">
            <v>7.7423545697746385E-2</v>
          </cell>
          <cell r="AA31">
            <v>8.4898138893865283E-4</v>
          </cell>
          <cell r="AB31">
            <v>8.2624252339990917E-5</v>
          </cell>
          <cell r="AC31">
            <v>8.2624252339990917E-5</v>
          </cell>
          <cell r="AD31">
            <v>8.2624252339990917E-5</v>
          </cell>
          <cell r="AE31">
            <v>9.0848138783627456E-7</v>
          </cell>
          <cell r="AF31">
            <v>6.8845076003809665E-4</v>
          </cell>
          <cell r="AG31">
            <v>0.11317293297691595</v>
          </cell>
          <cell r="AH31">
            <v>1.0140374670678983E-4</v>
          </cell>
          <cell r="AI31">
            <v>1.4954304697299471E-2</v>
          </cell>
          <cell r="AJ31">
            <v>4.425639023416808E-2</v>
          </cell>
          <cell r="AK31">
            <v>4.425639023416808E-2</v>
          </cell>
          <cell r="AL31">
            <v>9.2053853241770716E-5</v>
          </cell>
          <cell r="AM31">
            <v>1.0121261580611516E-6</v>
          </cell>
          <cell r="AN31">
            <v>6.7710333385743749E-5</v>
          </cell>
          <cell r="AO31">
            <v>7.4446833107254914E-7</v>
          </cell>
          <cell r="AP31">
            <v>1.4039666589238279E-5</v>
          </cell>
          <cell r="AQ31">
            <v>1.5436485122463463E-7</v>
          </cell>
          <cell r="AR31">
            <v>4.7961827655233557E-5</v>
          </cell>
          <cell r="AS31">
            <v>5.2733541313726131E-7</v>
          </cell>
          <cell r="AT31">
            <v>7.2072174828315008E-6</v>
          </cell>
          <cell r="AU31">
            <v>7.9242243683749636E-8</v>
          </cell>
          <cell r="AV31">
            <v>5</v>
          </cell>
          <cell r="AW31">
            <v>12.192</v>
          </cell>
          <cell r="AX31">
            <v>12.192</v>
          </cell>
          <cell r="AY31">
            <v>0</v>
          </cell>
          <cell r="AZ31">
            <v>2.3255813953488373</v>
          </cell>
          <cell r="BA31" t="str">
            <v>HROFDAY</v>
          </cell>
          <cell r="BB31" t="str">
            <v>0  0  0  0  0  0  0  0   1  1  1  1  1  1  1  1  1  1  0  0  0  0  0  0</v>
          </cell>
        </row>
        <row r="32">
          <cell r="C32" t="str">
            <v>HRD-C16</v>
          </cell>
          <cell r="D32" t="e">
            <v>#N/A</v>
          </cell>
          <cell r="E32" t="str">
            <v>HRD</v>
          </cell>
          <cell r="F32" t="str">
            <v>TOTAL ROAD</v>
          </cell>
          <cell r="G32">
            <v>0</v>
          </cell>
          <cell r="H32">
            <v>0</v>
          </cell>
          <cell r="I32" t="str">
            <v>ROAD: Construction Equipment Tailpipe Emissions - ROAD Construction</v>
          </cell>
          <cell r="J32" t="str">
            <v>C16</v>
          </cell>
          <cell r="K32">
            <v>0</v>
          </cell>
          <cell r="L32">
            <v>-250.1641000000001</v>
          </cell>
          <cell r="M32">
            <v>0</v>
          </cell>
          <cell r="N32">
            <v>0</v>
          </cell>
          <cell r="O32">
            <v>12.192</v>
          </cell>
          <cell r="P32">
            <v>0</v>
          </cell>
          <cell r="Q32">
            <v>12.192</v>
          </cell>
          <cell r="R32">
            <v>148.64486400000001</v>
          </cell>
          <cell r="S32">
            <v>0</v>
          </cell>
          <cell r="T32">
            <v>0</v>
          </cell>
          <cell r="U32">
            <v>10</v>
          </cell>
          <cell r="V32">
            <v>5</v>
          </cell>
          <cell r="W32" t="str">
            <v>S</v>
          </cell>
          <cell r="X32" t="str">
            <v>S</v>
          </cell>
          <cell r="Y32">
            <v>27</v>
          </cell>
          <cell r="Z32">
            <v>7.7423545697746385E-2</v>
          </cell>
          <cell r="AA32">
            <v>8.4898138893865283E-4</v>
          </cell>
          <cell r="AB32">
            <v>8.2624252339990917E-5</v>
          </cell>
          <cell r="AC32">
            <v>8.2624252339990917E-5</v>
          </cell>
          <cell r="AD32">
            <v>8.2624252339990917E-5</v>
          </cell>
          <cell r="AE32">
            <v>9.0848138783627456E-7</v>
          </cell>
          <cell r="AF32">
            <v>6.8845076003809665E-4</v>
          </cell>
          <cell r="AG32">
            <v>0.11317293297691595</v>
          </cell>
          <cell r="AH32">
            <v>1.0140374670678983E-4</v>
          </cell>
          <cell r="AI32">
            <v>1.4954304697299471E-2</v>
          </cell>
          <cell r="AJ32">
            <v>4.425639023416808E-2</v>
          </cell>
          <cell r="AK32">
            <v>4.425639023416808E-2</v>
          </cell>
          <cell r="AL32">
            <v>9.2053853241770716E-5</v>
          </cell>
          <cell r="AM32">
            <v>1.0121261580611516E-6</v>
          </cell>
          <cell r="AN32">
            <v>6.7710333385743749E-5</v>
          </cell>
          <cell r="AO32">
            <v>7.4446833107254914E-7</v>
          </cell>
          <cell r="AP32">
            <v>1.4039666589238279E-5</v>
          </cell>
          <cell r="AQ32">
            <v>1.5436485122463463E-7</v>
          </cell>
          <cell r="AR32">
            <v>4.7961827655233557E-5</v>
          </cell>
          <cell r="AS32">
            <v>5.2733541313726131E-7</v>
          </cell>
          <cell r="AT32">
            <v>7.2072174828315008E-6</v>
          </cell>
          <cell r="AU32">
            <v>7.9242243683749636E-8</v>
          </cell>
          <cell r="AV32">
            <v>5</v>
          </cell>
          <cell r="AW32">
            <v>12.192</v>
          </cell>
          <cell r="AX32">
            <v>12.192</v>
          </cell>
          <cell r="AY32">
            <v>0</v>
          </cell>
          <cell r="AZ32">
            <v>2.3255813953488373</v>
          </cell>
          <cell r="BA32" t="str">
            <v>HROFDAY</v>
          </cell>
          <cell r="BB32" t="str">
            <v>0  0  0  0  0  0  0  0   1  1  1  1  1  1  1  1  1  1  0  0  0  0  0  0</v>
          </cell>
        </row>
        <row r="33">
          <cell r="C33" t="str">
            <v>HRD-C17</v>
          </cell>
          <cell r="D33" t="e">
            <v>#N/A</v>
          </cell>
          <cell r="E33" t="str">
            <v>HRD</v>
          </cell>
          <cell r="F33" t="str">
            <v>TOTAL ROAD</v>
          </cell>
          <cell r="G33">
            <v>0</v>
          </cell>
          <cell r="H33">
            <v>0</v>
          </cell>
          <cell r="I33" t="str">
            <v>ROAD: Construction Equipment Tailpipe Emissions - ROAD Construction</v>
          </cell>
          <cell r="J33" t="str">
            <v>C17</v>
          </cell>
          <cell r="K33">
            <v>0</v>
          </cell>
          <cell r="L33">
            <v>-262.35610000000008</v>
          </cell>
          <cell r="M33">
            <v>0</v>
          </cell>
          <cell r="N33">
            <v>0</v>
          </cell>
          <cell r="O33">
            <v>12.192</v>
          </cell>
          <cell r="P33">
            <v>0</v>
          </cell>
          <cell r="Q33">
            <v>12.192</v>
          </cell>
          <cell r="R33">
            <v>148.64486400000001</v>
          </cell>
          <cell r="S33">
            <v>0</v>
          </cell>
          <cell r="T33">
            <v>0</v>
          </cell>
          <cell r="U33">
            <v>10</v>
          </cell>
          <cell r="V33">
            <v>5</v>
          </cell>
          <cell r="W33" t="str">
            <v>S</v>
          </cell>
          <cell r="X33" t="str">
            <v>S</v>
          </cell>
          <cell r="Y33">
            <v>27</v>
          </cell>
          <cell r="Z33">
            <v>7.7423545697746385E-2</v>
          </cell>
          <cell r="AA33">
            <v>8.4898138893865283E-4</v>
          </cell>
          <cell r="AB33">
            <v>8.2624252339990917E-5</v>
          </cell>
          <cell r="AC33">
            <v>8.2624252339990917E-5</v>
          </cell>
          <cell r="AD33">
            <v>8.2624252339990917E-5</v>
          </cell>
          <cell r="AE33">
            <v>9.0848138783627456E-7</v>
          </cell>
          <cell r="AF33">
            <v>6.8845076003809665E-4</v>
          </cell>
          <cell r="AG33">
            <v>0.11317293297691595</v>
          </cell>
          <cell r="AH33">
            <v>1.0140374670678983E-4</v>
          </cell>
          <cell r="AI33">
            <v>1.4954304697299471E-2</v>
          </cell>
          <cell r="AJ33">
            <v>4.425639023416808E-2</v>
          </cell>
          <cell r="AK33">
            <v>4.425639023416808E-2</v>
          </cell>
          <cell r="AL33">
            <v>9.2053853241770716E-5</v>
          </cell>
          <cell r="AM33">
            <v>1.0121261580611516E-6</v>
          </cell>
          <cell r="AN33">
            <v>6.7710333385743749E-5</v>
          </cell>
          <cell r="AO33">
            <v>7.4446833107254914E-7</v>
          </cell>
          <cell r="AP33">
            <v>1.4039666589238279E-5</v>
          </cell>
          <cell r="AQ33">
            <v>1.5436485122463463E-7</v>
          </cell>
          <cell r="AR33">
            <v>4.7961827655233557E-5</v>
          </cell>
          <cell r="AS33">
            <v>5.2733541313726131E-7</v>
          </cell>
          <cell r="AT33">
            <v>7.2072174828315008E-6</v>
          </cell>
          <cell r="AU33">
            <v>7.9242243683749636E-8</v>
          </cell>
          <cell r="AV33">
            <v>5</v>
          </cell>
          <cell r="AW33">
            <v>12.192</v>
          </cell>
          <cell r="AX33">
            <v>12.192</v>
          </cell>
          <cell r="AY33">
            <v>0</v>
          </cell>
          <cell r="AZ33">
            <v>2.3255813953488373</v>
          </cell>
          <cell r="BA33" t="str">
            <v>HROFDAY</v>
          </cell>
          <cell r="BB33" t="str">
            <v>0  0  0  0  0  0  0  0   1  1  1  1  1  1  1  1  1  1  0  0  0  0  0  0</v>
          </cell>
        </row>
        <row r="34">
          <cell r="C34" t="str">
            <v>HRD-C18</v>
          </cell>
          <cell r="D34" t="e">
            <v>#N/A</v>
          </cell>
          <cell r="E34" t="str">
            <v>HRD</v>
          </cell>
          <cell r="F34" t="str">
            <v>TOTAL ROAD</v>
          </cell>
          <cell r="G34">
            <v>0</v>
          </cell>
          <cell r="H34">
            <v>0</v>
          </cell>
          <cell r="I34" t="str">
            <v>ROAD: Construction Equipment Tailpipe Emissions - ROAD Construction</v>
          </cell>
          <cell r="J34" t="str">
            <v>C18</v>
          </cell>
          <cell r="K34">
            <v>0</v>
          </cell>
          <cell r="L34">
            <v>-274.54810000000009</v>
          </cell>
          <cell r="M34">
            <v>0</v>
          </cell>
          <cell r="N34">
            <v>0</v>
          </cell>
          <cell r="O34">
            <v>12.192</v>
          </cell>
          <cell r="P34">
            <v>0</v>
          </cell>
          <cell r="Q34">
            <v>12.192</v>
          </cell>
          <cell r="R34">
            <v>148.64486400000001</v>
          </cell>
          <cell r="S34">
            <v>0</v>
          </cell>
          <cell r="T34">
            <v>0</v>
          </cell>
          <cell r="U34">
            <v>10</v>
          </cell>
          <cell r="V34">
            <v>5</v>
          </cell>
          <cell r="W34" t="str">
            <v>S</v>
          </cell>
          <cell r="X34" t="str">
            <v>S</v>
          </cell>
          <cell r="Y34">
            <v>27</v>
          </cell>
          <cell r="Z34">
            <v>7.7423545697746385E-2</v>
          </cell>
          <cell r="AA34">
            <v>8.4898138893865283E-4</v>
          </cell>
          <cell r="AB34">
            <v>8.2624252339990917E-5</v>
          </cell>
          <cell r="AC34">
            <v>8.2624252339990917E-5</v>
          </cell>
          <cell r="AD34">
            <v>8.2624252339990917E-5</v>
          </cell>
          <cell r="AE34">
            <v>9.0848138783627456E-7</v>
          </cell>
          <cell r="AF34">
            <v>6.8845076003809665E-4</v>
          </cell>
          <cell r="AG34">
            <v>0.11317293297691595</v>
          </cell>
          <cell r="AH34">
            <v>1.0140374670678983E-4</v>
          </cell>
          <cell r="AI34">
            <v>1.4954304697299471E-2</v>
          </cell>
          <cell r="AJ34">
            <v>4.425639023416808E-2</v>
          </cell>
          <cell r="AK34">
            <v>4.425639023416808E-2</v>
          </cell>
          <cell r="AL34">
            <v>9.2053853241770716E-5</v>
          </cell>
          <cell r="AM34">
            <v>1.0121261580611516E-6</v>
          </cell>
          <cell r="AN34">
            <v>6.7710333385743749E-5</v>
          </cell>
          <cell r="AO34">
            <v>7.4446833107254914E-7</v>
          </cell>
          <cell r="AP34">
            <v>1.4039666589238279E-5</v>
          </cell>
          <cell r="AQ34">
            <v>1.5436485122463463E-7</v>
          </cell>
          <cell r="AR34">
            <v>4.7961827655233557E-5</v>
          </cell>
          <cell r="AS34">
            <v>5.2733541313726131E-7</v>
          </cell>
          <cell r="AT34">
            <v>7.2072174828315008E-6</v>
          </cell>
          <cell r="AU34">
            <v>7.9242243683749636E-8</v>
          </cell>
          <cell r="AV34">
            <v>5</v>
          </cell>
          <cell r="AW34">
            <v>12.192</v>
          </cell>
          <cell r="AX34">
            <v>12.192</v>
          </cell>
          <cell r="AY34">
            <v>0</v>
          </cell>
          <cell r="AZ34">
            <v>2.3255813953488373</v>
          </cell>
          <cell r="BA34" t="str">
            <v>HROFDAY</v>
          </cell>
          <cell r="BB34" t="str">
            <v>0  0  0  0  0  0  0  0   1  1  1  1  1  1  1  1  1  1  0  0  0  0  0  0</v>
          </cell>
        </row>
        <row r="35">
          <cell r="C35" t="str">
            <v>HRD-C19</v>
          </cell>
          <cell r="D35" t="e">
            <v>#N/A</v>
          </cell>
          <cell r="E35" t="str">
            <v>HRD</v>
          </cell>
          <cell r="F35" t="str">
            <v>TOTAL ROAD</v>
          </cell>
          <cell r="G35">
            <v>0</v>
          </cell>
          <cell r="H35">
            <v>0</v>
          </cell>
          <cell r="I35" t="str">
            <v>ROAD: Construction Equipment Tailpipe Emissions - ROAD Construction</v>
          </cell>
          <cell r="J35" t="str">
            <v>C19</v>
          </cell>
          <cell r="K35">
            <v>0</v>
          </cell>
          <cell r="L35">
            <v>-286.7401000000001</v>
          </cell>
          <cell r="M35">
            <v>0</v>
          </cell>
          <cell r="N35">
            <v>0</v>
          </cell>
          <cell r="O35">
            <v>12.192</v>
          </cell>
          <cell r="P35">
            <v>0</v>
          </cell>
          <cell r="Q35">
            <v>12.192</v>
          </cell>
          <cell r="R35">
            <v>148.64486400000001</v>
          </cell>
          <cell r="S35">
            <v>0</v>
          </cell>
          <cell r="T35">
            <v>0</v>
          </cell>
          <cell r="U35">
            <v>10</v>
          </cell>
          <cell r="V35">
            <v>5</v>
          </cell>
          <cell r="W35" t="str">
            <v>S</v>
          </cell>
          <cell r="X35" t="str">
            <v>S</v>
          </cell>
          <cell r="Y35">
            <v>27</v>
          </cell>
          <cell r="Z35">
            <v>7.7423545697746385E-2</v>
          </cell>
          <cell r="AA35">
            <v>8.4898138893865283E-4</v>
          </cell>
          <cell r="AB35">
            <v>8.2624252339990917E-5</v>
          </cell>
          <cell r="AC35">
            <v>8.2624252339990917E-5</v>
          </cell>
          <cell r="AD35">
            <v>8.2624252339990917E-5</v>
          </cell>
          <cell r="AE35">
            <v>9.0848138783627456E-7</v>
          </cell>
          <cell r="AF35">
            <v>6.8845076003809665E-4</v>
          </cell>
          <cell r="AG35">
            <v>0.11317293297691595</v>
          </cell>
          <cell r="AH35">
            <v>1.0140374670678983E-4</v>
          </cell>
          <cell r="AI35">
            <v>1.4954304697299471E-2</v>
          </cell>
          <cell r="AJ35">
            <v>4.425639023416808E-2</v>
          </cell>
          <cell r="AK35">
            <v>4.425639023416808E-2</v>
          </cell>
          <cell r="AL35">
            <v>9.2053853241770716E-5</v>
          </cell>
          <cell r="AM35">
            <v>1.0121261580611516E-6</v>
          </cell>
          <cell r="AN35">
            <v>6.7710333385743749E-5</v>
          </cell>
          <cell r="AO35">
            <v>7.4446833107254914E-7</v>
          </cell>
          <cell r="AP35">
            <v>1.4039666589238279E-5</v>
          </cell>
          <cell r="AQ35">
            <v>1.5436485122463463E-7</v>
          </cell>
          <cell r="AR35">
            <v>4.7961827655233557E-5</v>
          </cell>
          <cell r="AS35">
            <v>5.2733541313726131E-7</v>
          </cell>
          <cell r="AT35">
            <v>7.2072174828315008E-6</v>
          </cell>
          <cell r="AU35">
            <v>7.9242243683749636E-8</v>
          </cell>
          <cell r="AV35">
            <v>5</v>
          </cell>
          <cell r="AW35">
            <v>12.192</v>
          </cell>
          <cell r="AX35">
            <v>12.192</v>
          </cell>
          <cell r="AY35">
            <v>0</v>
          </cell>
          <cell r="AZ35">
            <v>2.3255813953488373</v>
          </cell>
          <cell r="BA35" t="str">
            <v>HROFDAY</v>
          </cell>
          <cell r="BB35" t="str">
            <v>0  0  0  0  0  0  0  0   1  1  1  1  1  1  1  1  1  1  0  0  0  0  0  0</v>
          </cell>
        </row>
        <row r="36">
          <cell r="C36" t="str">
            <v>HRD-C20</v>
          </cell>
          <cell r="D36" t="e">
            <v>#N/A</v>
          </cell>
          <cell r="E36" t="str">
            <v>HRD</v>
          </cell>
          <cell r="F36" t="str">
            <v>TOTAL ROAD</v>
          </cell>
          <cell r="G36">
            <v>0</v>
          </cell>
          <cell r="H36">
            <v>0</v>
          </cell>
          <cell r="I36" t="str">
            <v>ROAD: Construction Equipment Tailpipe Emissions - ROAD Construction</v>
          </cell>
          <cell r="J36" t="str">
            <v>C20</v>
          </cell>
          <cell r="K36">
            <v>0</v>
          </cell>
          <cell r="L36">
            <v>-298.9321000000001</v>
          </cell>
          <cell r="M36">
            <v>0</v>
          </cell>
          <cell r="N36">
            <v>0</v>
          </cell>
          <cell r="O36">
            <v>12.192</v>
          </cell>
          <cell r="P36">
            <v>0</v>
          </cell>
          <cell r="Q36">
            <v>12.192</v>
          </cell>
          <cell r="R36">
            <v>148.64486400000001</v>
          </cell>
          <cell r="S36">
            <v>0</v>
          </cell>
          <cell r="T36">
            <v>0</v>
          </cell>
          <cell r="U36">
            <v>10</v>
          </cell>
          <cell r="V36">
            <v>5</v>
          </cell>
          <cell r="W36" t="str">
            <v>S</v>
          </cell>
          <cell r="X36" t="str">
            <v>S</v>
          </cell>
          <cell r="Y36">
            <v>27</v>
          </cell>
          <cell r="Z36">
            <v>7.7423545697746385E-2</v>
          </cell>
          <cell r="AA36">
            <v>8.4898138893865283E-4</v>
          </cell>
          <cell r="AB36">
            <v>8.2624252339990917E-5</v>
          </cell>
          <cell r="AC36">
            <v>8.2624252339990917E-5</v>
          </cell>
          <cell r="AD36">
            <v>8.2624252339990917E-5</v>
          </cell>
          <cell r="AE36">
            <v>9.0848138783627456E-7</v>
          </cell>
          <cell r="AF36">
            <v>6.8845076003809665E-4</v>
          </cell>
          <cell r="AG36">
            <v>0.11317293297691595</v>
          </cell>
          <cell r="AH36">
            <v>1.0140374670678983E-4</v>
          </cell>
          <cell r="AI36">
            <v>1.4954304697299471E-2</v>
          </cell>
          <cell r="AJ36">
            <v>4.425639023416808E-2</v>
          </cell>
          <cell r="AK36">
            <v>4.425639023416808E-2</v>
          </cell>
          <cell r="AL36">
            <v>9.2053853241770716E-5</v>
          </cell>
          <cell r="AM36">
            <v>1.0121261580611516E-6</v>
          </cell>
          <cell r="AN36">
            <v>6.7710333385743749E-5</v>
          </cell>
          <cell r="AO36">
            <v>7.4446833107254914E-7</v>
          </cell>
          <cell r="AP36">
            <v>1.4039666589238279E-5</v>
          </cell>
          <cell r="AQ36">
            <v>1.5436485122463463E-7</v>
          </cell>
          <cell r="AR36">
            <v>4.7961827655233557E-5</v>
          </cell>
          <cell r="AS36">
            <v>5.2733541313726131E-7</v>
          </cell>
          <cell r="AT36">
            <v>7.2072174828315008E-6</v>
          </cell>
          <cell r="AU36">
            <v>7.9242243683749636E-8</v>
          </cell>
          <cell r="AV36">
            <v>5</v>
          </cell>
          <cell r="AW36">
            <v>12.192</v>
          </cell>
          <cell r="AX36">
            <v>12.192</v>
          </cell>
          <cell r="AY36">
            <v>0</v>
          </cell>
          <cell r="AZ36">
            <v>2.3255813953488373</v>
          </cell>
          <cell r="BA36" t="str">
            <v>HROFDAY</v>
          </cell>
          <cell r="BB36" t="str">
            <v>0  0  0  0  0  0  0  0   1  1  1  1  1  1  1  1  1  1  0  0  0  0  0  0</v>
          </cell>
        </row>
        <row r="37">
          <cell r="C37" t="str">
            <v>HRD-C21</v>
          </cell>
          <cell r="D37" t="e">
            <v>#N/A</v>
          </cell>
          <cell r="E37" t="str">
            <v>HRD</v>
          </cell>
          <cell r="F37" t="str">
            <v>TOTAL ROAD</v>
          </cell>
          <cell r="G37">
            <v>0</v>
          </cell>
          <cell r="H37">
            <v>0</v>
          </cell>
          <cell r="I37" t="str">
            <v>ROAD: Construction Equipment Tailpipe Emissions - ROAD Construction</v>
          </cell>
          <cell r="J37" t="str">
            <v>C21</v>
          </cell>
          <cell r="K37">
            <v>0</v>
          </cell>
          <cell r="L37">
            <v>-311.12410000000011</v>
          </cell>
          <cell r="M37">
            <v>0</v>
          </cell>
          <cell r="N37">
            <v>0</v>
          </cell>
          <cell r="O37">
            <v>12.192</v>
          </cell>
          <cell r="P37">
            <v>0</v>
          </cell>
          <cell r="Q37">
            <v>12.192</v>
          </cell>
          <cell r="R37">
            <v>148.64486400000001</v>
          </cell>
          <cell r="S37">
            <v>0</v>
          </cell>
          <cell r="T37">
            <v>0</v>
          </cell>
          <cell r="U37">
            <v>10</v>
          </cell>
          <cell r="V37">
            <v>5</v>
          </cell>
          <cell r="W37" t="str">
            <v>S</v>
          </cell>
          <cell r="X37" t="str">
            <v>S</v>
          </cell>
          <cell r="Y37">
            <v>27</v>
          </cell>
          <cell r="Z37">
            <v>7.7423545697746385E-2</v>
          </cell>
          <cell r="AA37">
            <v>8.4898138893865283E-4</v>
          </cell>
          <cell r="AB37">
            <v>8.2624252339990917E-5</v>
          </cell>
          <cell r="AC37">
            <v>8.2624252339990917E-5</v>
          </cell>
          <cell r="AD37">
            <v>8.2624252339990917E-5</v>
          </cell>
          <cell r="AE37">
            <v>9.0848138783627456E-7</v>
          </cell>
          <cell r="AF37">
            <v>6.8845076003809665E-4</v>
          </cell>
          <cell r="AG37">
            <v>0.11317293297691595</v>
          </cell>
          <cell r="AH37">
            <v>1.0140374670678983E-4</v>
          </cell>
          <cell r="AI37">
            <v>1.4954304697299471E-2</v>
          </cell>
          <cell r="AJ37">
            <v>4.425639023416808E-2</v>
          </cell>
          <cell r="AK37">
            <v>4.425639023416808E-2</v>
          </cell>
          <cell r="AL37">
            <v>9.2053853241770716E-5</v>
          </cell>
          <cell r="AM37">
            <v>1.0121261580611516E-6</v>
          </cell>
          <cell r="AN37">
            <v>6.7710333385743749E-5</v>
          </cell>
          <cell r="AO37">
            <v>7.4446833107254914E-7</v>
          </cell>
          <cell r="AP37">
            <v>1.4039666589238279E-5</v>
          </cell>
          <cell r="AQ37">
            <v>1.5436485122463463E-7</v>
          </cell>
          <cell r="AR37">
            <v>4.7961827655233557E-5</v>
          </cell>
          <cell r="AS37">
            <v>5.2733541313726131E-7</v>
          </cell>
          <cell r="AT37">
            <v>7.2072174828315008E-6</v>
          </cell>
          <cell r="AU37">
            <v>7.9242243683749636E-8</v>
          </cell>
          <cell r="AV37">
            <v>5</v>
          </cell>
          <cell r="AW37">
            <v>12.192</v>
          </cell>
          <cell r="AX37">
            <v>12.192</v>
          </cell>
          <cell r="AY37">
            <v>0</v>
          </cell>
          <cell r="AZ37">
            <v>2.3255813953488373</v>
          </cell>
          <cell r="BA37" t="str">
            <v>HROFDAY</v>
          </cell>
          <cell r="BB37" t="str">
            <v>0  0  0  0  0  0  0  0   1  1  1  1  1  1  1  1  1  1  0  0  0  0  0  0</v>
          </cell>
        </row>
        <row r="38">
          <cell r="C38" t="str">
            <v>HRD-C22</v>
          </cell>
          <cell r="D38" t="e">
            <v>#N/A</v>
          </cell>
          <cell r="E38" t="str">
            <v>HRD</v>
          </cell>
          <cell r="F38" t="str">
            <v>TOTAL ROAD</v>
          </cell>
          <cell r="G38">
            <v>0</v>
          </cell>
          <cell r="H38">
            <v>0</v>
          </cell>
          <cell r="I38" t="str">
            <v>ROAD: Construction Equipment Tailpipe Emissions - ROAD Construction</v>
          </cell>
          <cell r="J38" t="str">
            <v>C22</v>
          </cell>
          <cell r="K38">
            <v>0</v>
          </cell>
          <cell r="L38">
            <v>-323.31610000000012</v>
          </cell>
          <cell r="M38">
            <v>0</v>
          </cell>
          <cell r="N38">
            <v>0</v>
          </cell>
          <cell r="O38">
            <v>12.192</v>
          </cell>
          <cell r="P38">
            <v>0</v>
          </cell>
          <cell r="Q38">
            <v>12.192</v>
          </cell>
          <cell r="R38">
            <v>148.64486400000001</v>
          </cell>
          <cell r="S38">
            <v>0</v>
          </cell>
          <cell r="T38">
            <v>0</v>
          </cell>
          <cell r="U38">
            <v>10</v>
          </cell>
          <cell r="V38">
            <v>5</v>
          </cell>
          <cell r="W38" t="str">
            <v>S</v>
          </cell>
          <cell r="X38" t="str">
            <v>S</v>
          </cell>
          <cell r="Y38">
            <v>27</v>
          </cell>
          <cell r="Z38">
            <v>7.7423545697746385E-2</v>
          </cell>
          <cell r="AA38">
            <v>8.4898138893865283E-4</v>
          </cell>
          <cell r="AB38">
            <v>8.2624252339990917E-5</v>
          </cell>
          <cell r="AC38">
            <v>8.2624252339990917E-5</v>
          </cell>
          <cell r="AD38">
            <v>8.2624252339990917E-5</v>
          </cell>
          <cell r="AE38">
            <v>9.0848138783627456E-7</v>
          </cell>
          <cell r="AF38">
            <v>6.8845076003809665E-4</v>
          </cell>
          <cell r="AG38">
            <v>0.11317293297691595</v>
          </cell>
          <cell r="AH38">
            <v>1.0140374670678983E-4</v>
          </cell>
          <cell r="AI38">
            <v>1.4954304697299471E-2</v>
          </cell>
          <cell r="AJ38">
            <v>4.425639023416808E-2</v>
          </cell>
          <cell r="AK38">
            <v>4.425639023416808E-2</v>
          </cell>
          <cell r="AL38">
            <v>9.2053853241770716E-5</v>
          </cell>
          <cell r="AM38">
            <v>1.0121261580611516E-6</v>
          </cell>
          <cell r="AN38">
            <v>6.7710333385743749E-5</v>
          </cell>
          <cell r="AO38">
            <v>7.4446833107254914E-7</v>
          </cell>
          <cell r="AP38">
            <v>1.4039666589238279E-5</v>
          </cell>
          <cell r="AQ38">
            <v>1.5436485122463463E-7</v>
          </cell>
          <cell r="AR38">
            <v>4.7961827655233557E-5</v>
          </cell>
          <cell r="AS38">
            <v>5.2733541313726131E-7</v>
          </cell>
          <cell r="AT38">
            <v>7.2072174828315008E-6</v>
          </cell>
          <cell r="AU38">
            <v>7.9242243683749636E-8</v>
          </cell>
          <cell r="AV38">
            <v>5</v>
          </cell>
          <cell r="AW38">
            <v>12.192</v>
          </cell>
          <cell r="AX38">
            <v>12.192</v>
          </cell>
          <cell r="AY38">
            <v>0</v>
          </cell>
          <cell r="AZ38">
            <v>2.3255813953488373</v>
          </cell>
          <cell r="BA38" t="str">
            <v>HROFDAY</v>
          </cell>
          <cell r="BB38" t="str">
            <v>0  0  0  0  0  0  0  0   1  1  1  1  1  1  1  1  1  1  0  0  0  0  0  0</v>
          </cell>
        </row>
        <row r="39">
          <cell r="C39" t="str">
            <v>HRD-C23</v>
          </cell>
          <cell r="D39" t="e">
            <v>#N/A</v>
          </cell>
          <cell r="E39" t="str">
            <v>HRD</v>
          </cell>
          <cell r="F39" t="str">
            <v>TOTAL ROAD</v>
          </cell>
          <cell r="G39">
            <v>0</v>
          </cell>
          <cell r="H39">
            <v>0</v>
          </cell>
          <cell r="I39" t="str">
            <v>ROAD: Construction Equipment Tailpipe Emissions - ROAD Construction</v>
          </cell>
          <cell r="J39" t="str">
            <v>C23</v>
          </cell>
          <cell r="K39">
            <v>0</v>
          </cell>
          <cell r="L39">
            <v>-335.50810000000013</v>
          </cell>
          <cell r="M39">
            <v>0</v>
          </cell>
          <cell r="N39">
            <v>0</v>
          </cell>
          <cell r="O39">
            <v>12.192</v>
          </cell>
          <cell r="P39">
            <v>0</v>
          </cell>
          <cell r="Q39">
            <v>12.192</v>
          </cell>
          <cell r="R39">
            <v>148.64486400000001</v>
          </cell>
          <cell r="S39">
            <v>0</v>
          </cell>
          <cell r="T39">
            <v>0</v>
          </cell>
          <cell r="U39">
            <v>10</v>
          </cell>
          <cell r="V39">
            <v>5</v>
          </cell>
          <cell r="W39" t="str">
            <v>S</v>
          </cell>
          <cell r="X39" t="str">
            <v>S</v>
          </cell>
          <cell r="Y39">
            <v>27</v>
          </cell>
          <cell r="Z39">
            <v>7.7423545697746385E-2</v>
          </cell>
          <cell r="AA39">
            <v>8.4898138893865283E-4</v>
          </cell>
          <cell r="AB39">
            <v>8.2624252339990917E-5</v>
          </cell>
          <cell r="AC39">
            <v>8.2624252339990917E-5</v>
          </cell>
          <cell r="AD39">
            <v>8.2624252339990917E-5</v>
          </cell>
          <cell r="AE39">
            <v>9.0848138783627456E-7</v>
          </cell>
          <cell r="AF39">
            <v>6.8845076003809665E-4</v>
          </cell>
          <cell r="AG39">
            <v>0.11317293297691595</v>
          </cell>
          <cell r="AH39">
            <v>1.0140374670678983E-4</v>
          </cell>
          <cell r="AI39">
            <v>1.4954304697299471E-2</v>
          </cell>
          <cell r="AJ39">
            <v>4.425639023416808E-2</v>
          </cell>
          <cell r="AK39">
            <v>4.425639023416808E-2</v>
          </cell>
          <cell r="AL39">
            <v>9.2053853241770716E-5</v>
          </cell>
          <cell r="AM39">
            <v>1.0121261580611516E-6</v>
          </cell>
          <cell r="AN39">
            <v>6.7710333385743749E-5</v>
          </cell>
          <cell r="AO39">
            <v>7.4446833107254914E-7</v>
          </cell>
          <cell r="AP39">
            <v>1.4039666589238279E-5</v>
          </cell>
          <cell r="AQ39">
            <v>1.5436485122463463E-7</v>
          </cell>
          <cell r="AR39">
            <v>4.7961827655233557E-5</v>
          </cell>
          <cell r="AS39">
            <v>5.2733541313726131E-7</v>
          </cell>
          <cell r="AT39">
            <v>7.2072174828315008E-6</v>
          </cell>
          <cell r="AU39">
            <v>7.9242243683749636E-8</v>
          </cell>
          <cell r="AV39">
            <v>5</v>
          </cell>
          <cell r="AW39">
            <v>12.192</v>
          </cell>
          <cell r="AX39">
            <v>12.192</v>
          </cell>
          <cell r="AY39">
            <v>0</v>
          </cell>
          <cell r="AZ39">
            <v>2.3255813953488373</v>
          </cell>
          <cell r="BA39" t="str">
            <v>HROFDAY</v>
          </cell>
          <cell r="BB39" t="str">
            <v>0  0  0  0  0  0  0  0   1  1  1  1  1  1  1  1  1  1  0  0  0  0  0  0</v>
          </cell>
        </row>
        <row r="40">
          <cell r="C40" t="str">
            <v>HRD-C24</v>
          </cell>
          <cell r="D40" t="e">
            <v>#N/A</v>
          </cell>
          <cell r="E40" t="str">
            <v>HRD</v>
          </cell>
          <cell r="F40" t="str">
            <v>TOTAL ROAD</v>
          </cell>
          <cell r="G40">
            <v>0</v>
          </cell>
          <cell r="H40">
            <v>0</v>
          </cell>
          <cell r="I40" t="str">
            <v>ROAD: Construction Equipment Tailpipe Emissions - ROAD Construction</v>
          </cell>
          <cell r="J40" t="str">
            <v>C24</v>
          </cell>
          <cell r="K40">
            <v>0</v>
          </cell>
          <cell r="L40">
            <v>-347.70010000000013</v>
          </cell>
          <cell r="M40">
            <v>0</v>
          </cell>
          <cell r="N40">
            <v>0</v>
          </cell>
          <cell r="O40">
            <v>12.192</v>
          </cell>
          <cell r="P40">
            <v>0</v>
          </cell>
          <cell r="Q40">
            <v>12.192</v>
          </cell>
          <cell r="R40">
            <v>148.64486400000001</v>
          </cell>
          <cell r="S40">
            <v>0</v>
          </cell>
          <cell r="T40">
            <v>0</v>
          </cell>
          <cell r="U40">
            <v>10</v>
          </cell>
          <cell r="V40">
            <v>5</v>
          </cell>
          <cell r="W40" t="str">
            <v>S</v>
          </cell>
          <cell r="X40" t="str">
            <v>S</v>
          </cell>
          <cell r="Y40">
            <v>27</v>
          </cell>
          <cell r="Z40">
            <v>7.7423545697746385E-2</v>
          </cell>
          <cell r="AA40">
            <v>8.4898138893865283E-4</v>
          </cell>
          <cell r="AB40">
            <v>8.2624252339990917E-5</v>
          </cell>
          <cell r="AC40">
            <v>8.2624252339990917E-5</v>
          </cell>
          <cell r="AD40">
            <v>8.2624252339990917E-5</v>
          </cell>
          <cell r="AE40">
            <v>9.0848138783627456E-7</v>
          </cell>
          <cell r="AF40">
            <v>6.8845076003809665E-4</v>
          </cell>
          <cell r="AG40">
            <v>0.11317293297691595</v>
          </cell>
          <cell r="AH40">
            <v>1.0140374670678983E-4</v>
          </cell>
          <cell r="AI40">
            <v>1.4954304697299471E-2</v>
          </cell>
          <cell r="AJ40">
            <v>4.425639023416808E-2</v>
          </cell>
          <cell r="AK40">
            <v>4.425639023416808E-2</v>
          </cell>
          <cell r="AL40">
            <v>9.2053853241770716E-5</v>
          </cell>
          <cell r="AM40">
            <v>1.0121261580611516E-6</v>
          </cell>
          <cell r="AN40">
            <v>6.7710333385743749E-5</v>
          </cell>
          <cell r="AO40">
            <v>7.4446833107254914E-7</v>
          </cell>
          <cell r="AP40">
            <v>1.4039666589238279E-5</v>
          </cell>
          <cell r="AQ40">
            <v>1.5436485122463463E-7</v>
          </cell>
          <cell r="AR40">
            <v>4.7961827655233557E-5</v>
          </cell>
          <cell r="AS40">
            <v>5.2733541313726131E-7</v>
          </cell>
          <cell r="AT40">
            <v>7.2072174828315008E-6</v>
          </cell>
          <cell r="AU40">
            <v>7.9242243683749636E-8</v>
          </cell>
          <cell r="AV40">
            <v>5</v>
          </cell>
          <cell r="AW40">
            <v>12.192</v>
          </cell>
          <cell r="AX40">
            <v>12.192</v>
          </cell>
          <cell r="AY40">
            <v>0</v>
          </cell>
          <cell r="AZ40">
            <v>2.3255813953488373</v>
          </cell>
          <cell r="BA40" t="str">
            <v>HROFDAY</v>
          </cell>
          <cell r="BB40" t="str">
            <v>0  0  0  0  0  0  0  0   1  1  1  1  1  1  1  1  1  1  0  0  0  0  0  0</v>
          </cell>
        </row>
        <row r="41">
          <cell r="C41" t="str">
            <v>HRD-C25</v>
          </cell>
          <cell r="D41" t="e">
            <v>#N/A</v>
          </cell>
          <cell r="E41" t="str">
            <v>HRD</v>
          </cell>
          <cell r="F41" t="str">
            <v>TOTAL ROAD</v>
          </cell>
          <cell r="G41">
            <v>0</v>
          </cell>
          <cell r="H41">
            <v>0</v>
          </cell>
          <cell r="I41" t="str">
            <v>ROAD: Construction Equipment Tailpipe Emissions - ROAD Construction</v>
          </cell>
          <cell r="J41" t="str">
            <v>C25</v>
          </cell>
          <cell r="K41">
            <v>0</v>
          </cell>
          <cell r="L41">
            <v>-359.89210000000014</v>
          </cell>
          <cell r="M41">
            <v>0</v>
          </cell>
          <cell r="N41">
            <v>0</v>
          </cell>
          <cell r="O41">
            <v>12.192</v>
          </cell>
          <cell r="P41">
            <v>0</v>
          </cell>
          <cell r="Q41">
            <v>12.192</v>
          </cell>
          <cell r="R41">
            <v>148.64486400000001</v>
          </cell>
          <cell r="S41">
            <v>0</v>
          </cell>
          <cell r="T41">
            <v>0</v>
          </cell>
          <cell r="U41">
            <v>10</v>
          </cell>
          <cell r="V41">
            <v>5</v>
          </cell>
          <cell r="W41" t="str">
            <v>S</v>
          </cell>
          <cell r="X41" t="str">
            <v>S</v>
          </cell>
          <cell r="Y41">
            <v>27</v>
          </cell>
          <cell r="Z41">
            <v>7.7423545697746385E-2</v>
          </cell>
          <cell r="AA41">
            <v>8.4898138893865283E-4</v>
          </cell>
          <cell r="AB41">
            <v>8.2624252339990917E-5</v>
          </cell>
          <cell r="AC41">
            <v>8.2624252339990917E-5</v>
          </cell>
          <cell r="AD41">
            <v>8.2624252339990917E-5</v>
          </cell>
          <cell r="AE41">
            <v>9.0848138783627456E-7</v>
          </cell>
          <cell r="AF41">
            <v>6.8845076003809665E-4</v>
          </cell>
          <cell r="AG41">
            <v>0.11317293297691595</v>
          </cell>
          <cell r="AH41">
            <v>1.0140374670678983E-4</v>
          </cell>
          <cell r="AI41">
            <v>1.4954304697299471E-2</v>
          </cell>
          <cell r="AJ41">
            <v>4.425639023416808E-2</v>
          </cell>
          <cell r="AK41">
            <v>4.425639023416808E-2</v>
          </cell>
          <cell r="AL41">
            <v>9.2053853241770716E-5</v>
          </cell>
          <cell r="AM41">
            <v>1.0121261580611516E-6</v>
          </cell>
          <cell r="AN41">
            <v>6.7710333385743749E-5</v>
          </cell>
          <cell r="AO41">
            <v>7.4446833107254914E-7</v>
          </cell>
          <cell r="AP41">
            <v>1.4039666589238279E-5</v>
          </cell>
          <cell r="AQ41">
            <v>1.5436485122463463E-7</v>
          </cell>
          <cell r="AR41">
            <v>4.7961827655233557E-5</v>
          </cell>
          <cell r="AS41">
            <v>5.2733541313726131E-7</v>
          </cell>
          <cell r="AT41">
            <v>7.2072174828315008E-6</v>
          </cell>
          <cell r="AU41">
            <v>7.9242243683749636E-8</v>
          </cell>
          <cell r="AV41">
            <v>5</v>
          </cell>
          <cell r="AW41">
            <v>12.192</v>
          </cell>
          <cell r="AX41">
            <v>12.192</v>
          </cell>
          <cell r="AY41">
            <v>0</v>
          </cell>
          <cell r="AZ41">
            <v>2.3255813953488373</v>
          </cell>
          <cell r="BA41" t="str">
            <v>HROFDAY</v>
          </cell>
          <cell r="BB41" t="str">
            <v>0  0  0  0  0  0  0  0   1  1  1  1  1  1  1  1  1  1  0  0  0  0  0  0</v>
          </cell>
        </row>
        <row r="42">
          <cell r="C42" t="str">
            <v>HRD-C26</v>
          </cell>
          <cell r="D42" t="e">
            <v>#N/A</v>
          </cell>
          <cell r="E42" t="str">
            <v>HRD</v>
          </cell>
          <cell r="F42" t="str">
            <v>TOTAL ROAD</v>
          </cell>
          <cell r="G42">
            <v>0</v>
          </cell>
          <cell r="H42">
            <v>0</v>
          </cell>
          <cell r="I42" t="str">
            <v>ROAD: Construction Equipment Tailpipe Emissions - ROAD Construction</v>
          </cell>
          <cell r="J42" t="str">
            <v>C26</v>
          </cell>
          <cell r="K42">
            <v>0</v>
          </cell>
          <cell r="L42">
            <v>-372.08410000000015</v>
          </cell>
          <cell r="M42">
            <v>0</v>
          </cell>
          <cell r="N42">
            <v>0</v>
          </cell>
          <cell r="O42">
            <v>12.192</v>
          </cell>
          <cell r="P42">
            <v>0</v>
          </cell>
          <cell r="Q42">
            <v>12.192</v>
          </cell>
          <cell r="R42">
            <v>148.64486400000001</v>
          </cell>
          <cell r="S42">
            <v>0</v>
          </cell>
          <cell r="T42">
            <v>0</v>
          </cell>
          <cell r="U42">
            <v>10</v>
          </cell>
          <cell r="V42">
            <v>5</v>
          </cell>
          <cell r="W42" t="str">
            <v>S</v>
          </cell>
          <cell r="X42" t="str">
            <v>S</v>
          </cell>
          <cell r="Y42">
            <v>27</v>
          </cell>
          <cell r="Z42">
            <v>7.7423545697746385E-2</v>
          </cell>
          <cell r="AA42">
            <v>8.4898138893865283E-4</v>
          </cell>
          <cell r="AB42">
            <v>8.2624252339990917E-5</v>
          </cell>
          <cell r="AC42">
            <v>8.2624252339990917E-5</v>
          </cell>
          <cell r="AD42">
            <v>8.2624252339990917E-5</v>
          </cell>
          <cell r="AE42">
            <v>9.0848138783627456E-7</v>
          </cell>
          <cell r="AF42">
            <v>6.8845076003809665E-4</v>
          </cell>
          <cell r="AG42">
            <v>0.11317293297691595</v>
          </cell>
          <cell r="AH42">
            <v>1.0140374670678983E-4</v>
          </cell>
          <cell r="AI42">
            <v>1.4954304697299471E-2</v>
          </cell>
          <cell r="AJ42">
            <v>4.425639023416808E-2</v>
          </cell>
          <cell r="AK42">
            <v>4.425639023416808E-2</v>
          </cell>
          <cell r="AL42">
            <v>9.2053853241770716E-5</v>
          </cell>
          <cell r="AM42">
            <v>1.0121261580611516E-6</v>
          </cell>
          <cell r="AN42">
            <v>6.7710333385743749E-5</v>
          </cell>
          <cell r="AO42">
            <v>7.4446833107254914E-7</v>
          </cell>
          <cell r="AP42">
            <v>1.4039666589238279E-5</v>
          </cell>
          <cell r="AQ42">
            <v>1.5436485122463463E-7</v>
          </cell>
          <cell r="AR42">
            <v>4.7961827655233557E-5</v>
          </cell>
          <cell r="AS42">
            <v>5.2733541313726131E-7</v>
          </cell>
          <cell r="AT42">
            <v>7.2072174828315008E-6</v>
          </cell>
          <cell r="AU42">
            <v>7.9242243683749636E-8</v>
          </cell>
          <cell r="AV42">
            <v>5</v>
          </cell>
          <cell r="AW42">
            <v>12.192</v>
          </cell>
          <cell r="AX42">
            <v>12.192</v>
          </cell>
          <cell r="AY42">
            <v>0</v>
          </cell>
          <cell r="AZ42">
            <v>2.3255813953488373</v>
          </cell>
          <cell r="BA42" t="str">
            <v>HROFDAY</v>
          </cell>
          <cell r="BB42" t="str">
            <v>0  0  0  0  0  0  0  0   1  1  1  1  1  1  1  1  1  1  0  0  0  0  0  0</v>
          </cell>
        </row>
        <row r="43">
          <cell r="C43" t="str">
            <v>HRD-C27</v>
          </cell>
          <cell r="D43" t="e">
            <v>#N/A</v>
          </cell>
          <cell r="E43" t="str">
            <v>HRD</v>
          </cell>
          <cell r="F43" t="str">
            <v>TOTAL ROAD</v>
          </cell>
          <cell r="G43">
            <v>0</v>
          </cell>
          <cell r="H43">
            <v>0</v>
          </cell>
          <cell r="I43" t="str">
            <v>ROAD: Construction Equipment Tailpipe Emissions - ROAD Construction</v>
          </cell>
          <cell r="J43" t="str">
            <v>C27</v>
          </cell>
          <cell r="K43">
            <v>0</v>
          </cell>
          <cell r="L43">
            <v>-384.27610000000016</v>
          </cell>
          <cell r="M43">
            <v>0</v>
          </cell>
          <cell r="N43">
            <v>0</v>
          </cell>
          <cell r="O43">
            <v>12.192</v>
          </cell>
          <cell r="P43">
            <v>0</v>
          </cell>
          <cell r="Q43">
            <v>12.192</v>
          </cell>
          <cell r="R43">
            <v>148.64486400000001</v>
          </cell>
          <cell r="S43">
            <v>0</v>
          </cell>
          <cell r="T43">
            <v>0</v>
          </cell>
          <cell r="U43">
            <v>10</v>
          </cell>
          <cell r="V43">
            <v>5</v>
          </cell>
          <cell r="W43" t="str">
            <v>S</v>
          </cell>
          <cell r="X43" t="str">
            <v>S</v>
          </cell>
          <cell r="Y43">
            <v>27</v>
          </cell>
          <cell r="Z43">
            <v>7.7423545697746385E-2</v>
          </cell>
          <cell r="AA43">
            <v>8.4898138893865283E-4</v>
          </cell>
          <cell r="AB43">
            <v>8.2624252339990917E-5</v>
          </cell>
          <cell r="AC43">
            <v>8.2624252339990917E-5</v>
          </cell>
          <cell r="AD43">
            <v>8.2624252339990917E-5</v>
          </cell>
          <cell r="AE43">
            <v>9.0848138783627456E-7</v>
          </cell>
          <cell r="AF43">
            <v>6.8845076003809665E-4</v>
          </cell>
          <cell r="AG43">
            <v>0.11317293297691595</v>
          </cell>
          <cell r="AH43">
            <v>1.0140374670678983E-4</v>
          </cell>
          <cell r="AI43">
            <v>1.4954304697299471E-2</v>
          </cell>
          <cell r="AJ43">
            <v>4.425639023416808E-2</v>
          </cell>
          <cell r="AK43">
            <v>4.425639023416808E-2</v>
          </cell>
          <cell r="AL43">
            <v>9.2053853241770716E-5</v>
          </cell>
          <cell r="AM43">
            <v>1.0121261580611516E-6</v>
          </cell>
          <cell r="AN43">
            <v>6.7710333385743749E-5</v>
          </cell>
          <cell r="AO43">
            <v>7.4446833107254914E-7</v>
          </cell>
          <cell r="AP43">
            <v>1.4039666589238279E-5</v>
          </cell>
          <cell r="AQ43">
            <v>1.5436485122463463E-7</v>
          </cell>
          <cell r="AR43">
            <v>4.7961827655233557E-5</v>
          </cell>
          <cell r="AS43">
            <v>5.2733541313726131E-7</v>
          </cell>
          <cell r="AT43">
            <v>7.2072174828315008E-6</v>
          </cell>
          <cell r="AU43">
            <v>7.9242243683749636E-8</v>
          </cell>
          <cell r="AV43">
            <v>5</v>
          </cell>
          <cell r="AW43">
            <v>12.192</v>
          </cell>
          <cell r="AX43">
            <v>12.192</v>
          </cell>
          <cell r="AY43">
            <v>0</v>
          </cell>
          <cell r="AZ43">
            <v>2.3255813953488373</v>
          </cell>
          <cell r="BA43" t="str">
            <v>HROFDAY</v>
          </cell>
          <cell r="BB43" t="str">
            <v>0  0  0  0  0  0  0  0   1  1  1  1  1  1  1  1  1  1  0  0  0  0  0  0</v>
          </cell>
        </row>
        <row r="44">
          <cell r="C44" t="str">
            <v>HRD-C28</v>
          </cell>
          <cell r="D44" t="e">
            <v>#N/A</v>
          </cell>
          <cell r="E44" t="str">
            <v>HRD</v>
          </cell>
          <cell r="F44" t="str">
            <v>TOTAL ROAD</v>
          </cell>
          <cell r="G44">
            <v>0</v>
          </cell>
          <cell r="H44">
            <v>0</v>
          </cell>
          <cell r="I44" t="str">
            <v>ROAD: Construction Equipment Tailpipe Emissions - ROAD Construction</v>
          </cell>
          <cell r="J44" t="str">
            <v>C28</v>
          </cell>
          <cell r="K44">
            <v>0</v>
          </cell>
          <cell r="L44">
            <v>-396.46810000000016</v>
          </cell>
          <cell r="M44">
            <v>0</v>
          </cell>
          <cell r="N44">
            <v>0</v>
          </cell>
          <cell r="O44">
            <v>12.192</v>
          </cell>
          <cell r="P44">
            <v>0</v>
          </cell>
          <cell r="Q44">
            <v>12.192</v>
          </cell>
          <cell r="R44">
            <v>148.64486400000001</v>
          </cell>
          <cell r="S44">
            <v>0</v>
          </cell>
          <cell r="T44">
            <v>0</v>
          </cell>
          <cell r="U44">
            <v>10</v>
          </cell>
          <cell r="V44">
            <v>5</v>
          </cell>
          <cell r="W44" t="str">
            <v>S</v>
          </cell>
          <cell r="X44" t="str">
            <v>S</v>
          </cell>
          <cell r="Y44">
            <v>27</v>
          </cell>
          <cell r="Z44">
            <v>7.7423545697746385E-2</v>
          </cell>
          <cell r="AA44">
            <v>8.4898138893865283E-4</v>
          </cell>
          <cell r="AB44">
            <v>8.2624252339990917E-5</v>
          </cell>
          <cell r="AC44">
            <v>8.2624252339990917E-5</v>
          </cell>
          <cell r="AD44">
            <v>8.2624252339990917E-5</v>
          </cell>
          <cell r="AE44">
            <v>9.0848138783627456E-7</v>
          </cell>
          <cell r="AF44">
            <v>6.8845076003809665E-4</v>
          </cell>
          <cell r="AG44">
            <v>0.11317293297691595</v>
          </cell>
          <cell r="AH44">
            <v>1.0140374670678983E-4</v>
          </cell>
          <cell r="AI44">
            <v>1.4954304697299471E-2</v>
          </cell>
          <cell r="AJ44">
            <v>4.425639023416808E-2</v>
          </cell>
          <cell r="AK44">
            <v>4.425639023416808E-2</v>
          </cell>
          <cell r="AL44">
            <v>9.2053853241770716E-5</v>
          </cell>
          <cell r="AM44">
            <v>1.0121261580611516E-6</v>
          </cell>
          <cell r="AN44">
            <v>6.7710333385743749E-5</v>
          </cell>
          <cell r="AO44">
            <v>7.4446833107254914E-7</v>
          </cell>
          <cell r="AP44">
            <v>1.4039666589238279E-5</v>
          </cell>
          <cell r="AQ44">
            <v>1.5436485122463463E-7</v>
          </cell>
          <cell r="AR44">
            <v>4.7961827655233557E-5</v>
          </cell>
          <cell r="AS44">
            <v>5.2733541313726131E-7</v>
          </cell>
          <cell r="AT44">
            <v>7.2072174828315008E-6</v>
          </cell>
          <cell r="AU44">
            <v>7.9242243683749636E-8</v>
          </cell>
          <cell r="AV44">
            <v>5</v>
          </cell>
          <cell r="AW44">
            <v>12.192</v>
          </cell>
          <cell r="AX44">
            <v>12.192</v>
          </cell>
          <cell r="AY44">
            <v>0</v>
          </cell>
          <cell r="AZ44">
            <v>2.3255813953488373</v>
          </cell>
          <cell r="BA44" t="str">
            <v>HROFDAY</v>
          </cell>
          <cell r="BB44" t="str">
            <v>0  0  0  0  0  0  0  0   1  1  1  1  1  1  1  1  1  1  0  0  0  0  0  0</v>
          </cell>
        </row>
        <row r="45">
          <cell r="C45" t="str">
            <v>HRD-C29</v>
          </cell>
          <cell r="D45" t="e">
            <v>#N/A</v>
          </cell>
          <cell r="E45" t="str">
            <v>HRD</v>
          </cell>
          <cell r="F45" t="str">
            <v>TOTAL ROAD</v>
          </cell>
          <cell r="G45">
            <v>0</v>
          </cell>
          <cell r="H45">
            <v>0</v>
          </cell>
          <cell r="I45" t="str">
            <v>ROAD: Construction Equipment Tailpipe Emissions - ROAD Construction</v>
          </cell>
          <cell r="J45" t="str">
            <v>C29</v>
          </cell>
          <cell r="K45">
            <v>0</v>
          </cell>
          <cell r="L45">
            <v>-408.66010000000017</v>
          </cell>
          <cell r="M45">
            <v>0</v>
          </cell>
          <cell r="N45">
            <v>0</v>
          </cell>
          <cell r="O45">
            <v>12.192</v>
          </cell>
          <cell r="P45">
            <v>0</v>
          </cell>
          <cell r="Q45">
            <v>12.192</v>
          </cell>
          <cell r="R45">
            <v>148.64486400000001</v>
          </cell>
          <cell r="S45">
            <v>0</v>
          </cell>
          <cell r="T45">
            <v>0</v>
          </cell>
          <cell r="U45">
            <v>10</v>
          </cell>
          <cell r="V45">
            <v>5</v>
          </cell>
          <cell r="W45" t="str">
            <v>S</v>
          </cell>
          <cell r="X45" t="str">
            <v>S</v>
          </cell>
          <cell r="Y45">
            <v>27</v>
          </cell>
          <cell r="Z45">
            <v>7.7423545697746385E-2</v>
          </cell>
          <cell r="AA45">
            <v>8.4898138893865283E-4</v>
          </cell>
          <cell r="AB45">
            <v>8.2624252339990917E-5</v>
          </cell>
          <cell r="AC45">
            <v>8.2624252339990917E-5</v>
          </cell>
          <cell r="AD45">
            <v>8.2624252339990917E-5</v>
          </cell>
          <cell r="AE45">
            <v>9.0848138783627456E-7</v>
          </cell>
          <cell r="AF45">
            <v>6.8845076003809665E-4</v>
          </cell>
          <cell r="AG45">
            <v>0.11317293297691595</v>
          </cell>
          <cell r="AH45">
            <v>1.0140374670678983E-4</v>
          </cell>
          <cell r="AI45">
            <v>1.4954304697299471E-2</v>
          </cell>
          <cell r="AJ45">
            <v>4.425639023416808E-2</v>
          </cell>
          <cell r="AK45">
            <v>4.425639023416808E-2</v>
          </cell>
          <cell r="AL45">
            <v>9.2053853241770716E-5</v>
          </cell>
          <cell r="AM45">
            <v>1.0121261580611516E-6</v>
          </cell>
          <cell r="AN45">
            <v>6.7710333385743749E-5</v>
          </cell>
          <cell r="AO45">
            <v>7.4446833107254914E-7</v>
          </cell>
          <cell r="AP45">
            <v>1.4039666589238279E-5</v>
          </cell>
          <cell r="AQ45">
            <v>1.5436485122463463E-7</v>
          </cell>
          <cell r="AR45">
            <v>4.7961827655233557E-5</v>
          </cell>
          <cell r="AS45">
            <v>5.2733541313726131E-7</v>
          </cell>
          <cell r="AT45">
            <v>7.2072174828315008E-6</v>
          </cell>
          <cell r="AU45">
            <v>7.9242243683749636E-8</v>
          </cell>
          <cell r="AV45">
            <v>5</v>
          </cell>
          <cell r="AW45">
            <v>12.192</v>
          </cell>
          <cell r="AX45">
            <v>12.192</v>
          </cell>
          <cell r="AY45">
            <v>0</v>
          </cell>
          <cell r="AZ45">
            <v>2.3255813953488373</v>
          </cell>
          <cell r="BA45" t="str">
            <v>HROFDAY</v>
          </cell>
          <cell r="BB45" t="str">
            <v>0  0  0  0  0  0  0  0   1  1  1  1  1  1  1  1  1  1  0  0  0  0  0  0</v>
          </cell>
        </row>
        <row r="46">
          <cell r="C46" t="str">
            <v>HRD-C30</v>
          </cell>
          <cell r="D46" t="e">
            <v>#N/A</v>
          </cell>
          <cell r="E46" t="str">
            <v>HRD</v>
          </cell>
          <cell r="F46" t="str">
            <v>TOTAL ROAD</v>
          </cell>
          <cell r="G46">
            <v>0</v>
          </cell>
          <cell r="H46">
            <v>0</v>
          </cell>
          <cell r="I46" t="str">
            <v>ROAD: Construction Equipment Tailpipe Emissions - ROAD Construction</v>
          </cell>
          <cell r="J46" t="str">
            <v>C30</v>
          </cell>
          <cell r="K46">
            <v>0</v>
          </cell>
          <cell r="L46">
            <v>-420.85210000000018</v>
          </cell>
          <cell r="M46">
            <v>0</v>
          </cell>
          <cell r="N46">
            <v>0</v>
          </cell>
          <cell r="O46">
            <v>12.192</v>
          </cell>
          <cell r="P46">
            <v>0</v>
          </cell>
          <cell r="Q46">
            <v>12.192</v>
          </cell>
          <cell r="R46">
            <v>148.64486400000001</v>
          </cell>
          <cell r="S46">
            <v>0</v>
          </cell>
          <cell r="T46">
            <v>0</v>
          </cell>
          <cell r="U46">
            <v>10</v>
          </cell>
          <cell r="V46">
            <v>5</v>
          </cell>
          <cell r="W46" t="str">
            <v>S</v>
          </cell>
          <cell r="X46" t="str">
            <v>S</v>
          </cell>
          <cell r="Y46">
            <v>27</v>
          </cell>
          <cell r="Z46">
            <v>7.7423545697746385E-2</v>
          </cell>
          <cell r="AA46">
            <v>8.4898138893865283E-4</v>
          </cell>
          <cell r="AB46">
            <v>8.2624252339990917E-5</v>
          </cell>
          <cell r="AC46">
            <v>8.2624252339990917E-5</v>
          </cell>
          <cell r="AD46">
            <v>8.2624252339990917E-5</v>
          </cell>
          <cell r="AE46">
            <v>9.0848138783627456E-7</v>
          </cell>
          <cell r="AF46">
            <v>6.8845076003809665E-4</v>
          </cell>
          <cell r="AG46">
            <v>0.11317293297691595</v>
          </cell>
          <cell r="AH46">
            <v>1.0140374670678983E-4</v>
          </cell>
          <cell r="AI46">
            <v>1.4954304697299471E-2</v>
          </cell>
          <cell r="AJ46">
            <v>4.425639023416808E-2</v>
          </cell>
          <cell r="AK46">
            <v>4.425639023416808E-2</v>
          </cell>
          <cell r="AL46">
            <v>9.2053853241770716E-5</v>
          </cell>
          <cell r="AM46">
            <v>1.0121261580611516E-6</v>
          </cell>
          <cell r="AN46">
            <v>6.7710333385743749E-5</v>
          </cell>
          <cell r="AO46">
            <v>7.4446833107254914E-7</v>
          </cell>
          <cell r="AP46">
            <v>1.4039666589238279E-5</v>
          </cell>
          <cell r="AQ46">
            <v>1.5436485122463463E-7</v>
          </cell>
          <cell r="AR46">
            <v>4.7961827655233557E-5</v>
          </cell>
          <cell r="AS46">
            <v>5.2733541313726131E-7</v>
          </cell>
          <cell r="AT46">
            <v>7.2072174828315008E-6</v>
          </cell>
          <cell r="AU46">
            <v>7.9242243683749636E-8</v>
          </cell>
          <cell r="AV46">
            <v>5</v>
          </cell>
          <cell r="AW46">
            <v>12.192</v>
          </cell>
          <cell r="AX46">
            <v>12.192</v>
          </cell>
          <cell r="AY46">
            <v>0</v>
          </cell>
          <cell r="AZ46">
            <v>2.3255813953488373</v>
          </cell>
          <cell r="BA46" t="str">
            <v>HROFDAY</v>
          </cell>
          <cell r="BB46" t="str">
            <v>0  0  0  0  0  0  0  0   1  1  1  1  1  1  1  1  1  1  0  0  0  0  0  0</v>
          </cell>
        </row>
        <row r="47">
          <cell r="C47" t="str">
            <v>HRD-C31</v>
          </cell>
          <cell r="D47" t="e">
            <v>#N/A</v>
          </cell>
          <cell r="E47" t="str">
            <v>HRD</v>
          </cell>
          <cell r="F47" t="str">
            <v>TOTAL ROAD</v>
          </cell>
          <cell r="G47">
            <v>0</v>
          </cell>
          <cell r="H47">
            <v>0</v>
          </cell>
          <cell r="I47" t="str">
            <v>ROAD: Construction Equipment Tailpipe Emissions - ROAD Construction</v>
          </cell>
          <cell r="J47" t="str">
            <v>C31</v>
          </cell>
          <cell r="K47">
            <v>0</v>
          </cell>
          <cell r="L47">
            <v>-433.04410000000018</v>
          </cell>
          <cell r="M47">
            <v>0</v>
          </cell>
          <cell r="N47">
            <v>0</v>
          </cell>
          <cell r="O47">
            <v>12.192</v>
          </cell>
          <cell r="P47">
            <v>0</v>
          </cell>
          <cell r="Q47">
            <v>12.192</v>
          </cell>
          <cell r="R47">
            <v>148.64486400000001</v>
          </cell>
          <cell r="S47">
            <v>0</v>
          </cell>
          <cell r="T47">
            <v>0</v>
          </cell>
          <cell r="U47">
            <v>10</v>
          </cell>
          <cell r="V47">
            <v>5</v>
          </cell>
          <cell r="W47" t="str">
            <v>S</v>
          </cell>
          <cell r="X47" t="str">
            <v>S</v>
          </cell>
          <cell r="Y47">
            <v>27</v>
          </cell>
          <cell r="Z47">
            <v>7.7423545697746385E-2</v>
          </cell>
          <cell r="AA47">
            <v>8.4898138893865283E-4</v>
          </cell>
          <cell r="AB47">
            <v>8.2624252339990917E-5</v>
          </cell>
          <cell r="AC47">
            <v>8.2624252339990917E-5</v>
          </cell>
          <cell r="AD47">
            <v>8.2624252339990917E-5</v>
          </cell>
          <cell r="AE47">
            <v>9.0848138783627456E-7</v>
          </cell>
          <cell r="AF47">
            <v>6.8845076003809665E-4</v>
          </cell>
          <cell r="AG47">
            <v>0.11317293297691595</v>
          </cell>
          <cell r="AH47">
            <v>1.0140374670678983E-4</v>
          </cell>
          <cell r="AI47">
            <v>1.4954304697299471E-2</v>
          </cell>
          <cell r="AJ47">
            <v>4.425639023416808E-2</v>
          </cell>
          <cell r="AK47">
            <v>4.425639023416808E-2</v>
          </cell>
          <cell r="AL47">
            <v>9.2053853241770716E-5</v>
          </cell>
          <cell r="AM47">
            <v>1.0121261580611516E-6</v>
          </cell>
          <cell r="AN47">
            <v>6.7710333385743749E-5</v>
          </cell>
          <cell r="AO47">
            <v>7.4446833107254914E-7</v>
          </cell>
          <cell r="AP47">
            <v>1.4039666589238279E-5</v>
          </cell>
          <cell r="AQ47">
            <v>1.5436485122463463E-7</v>
          </cell>
          <cell r="AR47">
            <v>4.7961827655233557E-5</v>
          </cell>
          <cell r="AS47">
            <v>5.2733541313726131E-7</v>
          </cell>
          <cell r="AT47">
            <v>7.2072174828315008E-6</v>
          </cell>
          <cell r="AU47">
            <v>7.9242243683749636E-8</v>
          </cell>
          <cell r="AV47">
            <v>5</v>
          </cell>
          <cell r="AW47">
            <v>12.192</v>
          </cell>
          <cell r="AX47">
            <v>12.192</v>
          </cell>
          <cell r="AY47">
            <v>0</v>
          </cell>
          <cell r="AZ47">
            <v>2.3255813953488373</v>
          </cell>
          <cell r="BA47" t="str">
            <v>HROFDAY</v>
          </cell>
          <cell r="BB47" t="str">
            <v>0  0  0  0  0  0  0  0   1  1  1  1  1  1  1  1  1  1  0  0  0  0  0  0</v>
          </cell>
        </row>
        <row r="48">
          <cell r="C48" t="str">
            <v>HRD-C32</v>
          </cell>
          <cell r="D48" t="e">
            <v>#N/A</v>
          </cell>
          <cell r="E48" t="str">
            <v>HRD</v>
          </cell>
          <cell r="F48" t="str">
            <v>TOTAL ROAD</v>
          </cell>
          <cell r="G48">
            <v>0</v>
          </cell>
          <cell r="H48">
            <v>0</v>
          </cell>
          <cell r="I48" t="str">
            <v>ROAD: Construction Equipment Tailpipe Emissions - ROAD Construction</v>
          </cell>
          <cell r="J48" t="str">
            <v>C32</v>
          </cell>
          <cell r="K48">
            <v>0</v>
          </cell>
          <cell r="L48">
            <v>-445.23610000000019</v>
          </cell>
          <cell r="M48">
            <v>0</v>
          </cell>
          <cell r="N48">
            <v>0</v>
          </cell>
          <cell r="O48">
            <v>12.192</v>
          </cell>
          <cell r="P48">
            <v>0</v>
          </cell>
          <cell r="Q48">
            <v>12.192</v>
          </cell>
          <cell r="R48">
            <v>148.64486400000001</v>
          </cell>
          <cell r="S48">
            <v>0</v>
          </cell>
          <cell r="T48">
            <v>0</v>
          </cell>
          <cell r="U48">
            <v>10</v>
          </cell>
          <cell r="V48">
            <v>5</v>
          </cell>
          <cell r="W48" t="str">
            <v>S</v>
          </cell>
          <cell r="X48" t="str">
            <v>S</v>
          </cell>
          <cell r="Y48">
            <v>27</v>
          </cell>
          <cell r="Z48">
            <v>7.7423545697746385E-2</v>
          </cell>
          <cell r="AA48">
            <v>8.4898138893865283E-4</v>
          </cell>
          <cell r="AB48">
            <v>8.2624252339990917E-5</v>
          </cell>
          <cell r="AC48">
            <v>8.2624252339990917E-5</v>
          </cell>
          <cell r="AD48">
            <v>8.2624252339990917E-5</v>
          </cell>
          <cell r="AE48">
            <v>9.0848138783627456E-7</v>
          </cell>
          <cell r="AF48">
            <v>6.8845076003809665E-4</v>
          </cell>
          <cell r="AG48">
            <v>0.11317293297691595</v>
          </cell>
          <cell r="AH48">
            <v>1.0140374670678983E-4</v>
          </cell>
          <cell r="AI48">
            <v>1.4954304697299471E-2</v>
          </cell>
          <cell r="AJ48">
            <v>4.425639023416808E-2</v>
          </cell>
          <cell r="AK48">
            <v>4.425639023416808E-2</v>
          </cell>
          <cell r="AL48">
            <v>9.2053853241770716E-5</v>
          </cell>
          <cell r="AM48">
            <v>1.0121261580611516E-6</v>
          </cell>
          <cell r="AN48">
            <v>6.7710333385743749E-5</v>
          </cell>
          <cell r="AO48">
            <v>7.4446833107254914E-7</v>
          </cell>
          <cell r="AP48">
            <v>1.4039666589238279E-5</v>
          </cell>
          <cell r="AQ48">
            <v>1.5436485122463463E-7</v>
          </cell>
          <cell r="AR48">
            <v>4.7961827655233557E-5</v>
          </cell>
          <cell r="AS48">
            <v>5.2733541313726131E-7</v>
          </cell>
          <cell r="AT48">
            <v>7.2072174828315008E-6</v>
          </cell>
          <cell r="AU48">
            <v>7.9242243683749636E-8</v>
          </cell>
          <cell r="AV48">
            <v>5</v>
          </cell>
          <cell r="AW48">
            <v>12.192</v>
          </cell>
          <cell r="AX48">
            <v>12.192</v>
          </cell>
          <cell r="AY48">
            <v>0</v>
          </cell>
          <cell r="AZ48">
            <v>2.3255813953488373</v>
          </cell>
          <cell r="BA48" t="str">
            <v>HROFDAY</v>
          </cell>
          <cell r="BB48" t="str">
            <v>0  0  0  0  0  0  0  0   1  1  1  1  1  1  1  1  1  1  0  0  0  0  0  0</v>
          </cell>
        </row>
        <row r="49">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row>
        <row r="50">
          <cell r="C50" t="str">
            <v>HCPMAsee above</v>
          </cell>
          <cell r="D50" t="e">
            <v>#N/A</v>
          </cell>
          <cell r="E50" t="str">
            <v>HCPMA</v>
          </cell>
          <cell r="F50" t="str">
            <v>Construction PM Emissions (Access Road)</v>
          </cell>
          <cell r="G50" t="str">
            <v>2-3</v>
          </cell>
          <cell r="H50" t="str">
            <v>Volume</v>
          </cell>
          <cell r="I50" t="str">
            <v>ROAD: Construction Equipment Tailpipe Emissions - Road Construction</v>
          </cell>
          <cell r="J50" t="str">
            <v>see above</v>
          </cell>
          <cell r="K50" t="e">
            <v>#N/A</v>
          </cell>
          <cell r="L50" t="e">
            <v>#N/A</v>
          </cell>
          <cell r="M50" t="e">
            <v>#N/A</v>
          </cell>
          <cell r="N50">
            <v>0</v>
          </cell>
          <cell r="O50">
            <v>12.192</v>
          </cell>
          <cell r="P50">
            <v>0</v>
          </cell>
          <cell r="Q50">
            <v>12.192</v>
          </cell>
          <cell r="R50">
            <v>148.64486400000001</v>
          </cell>
          <cell r="S50">
            <v>0</v>
          </cell>
          <cell r="T50">
            <v>0</v>
          </cell>
          <cell r="U50">
            <v>10</v>
          </cell>
          <cell r="V50">
            <v>5</v>
          </cell>
          <cell r="W50" t="str">
            <v>S</v>
          </cell>
          <cell r="X50" t="str">
            <v>S</v>
          </cell>
          <cell r="Y50">
            <v>0</v>
          </cell>
          <cell r="Z50" t="str">
            <v/>
          </cell>
          <cell r="AA50" t="str">
            <v/>
          </cell>
          <cell r="AB50" t="str">
            <v/>
          </cell>
          <cell r="AC50" t="str">
            <v/>
          </cell>
          <cell r="AD50" t="str">
            <v/>
          </cell>
          <cell r="AE50" t="str">
            <v/>
          </cell>
          <cell r="AF50">
            <v>1.2050700817639122E-3</v>
          </cell>
          <cell r="AG50">
            <v>0.21992528992191399</v>
          </cell>
          <cell r="AH50">
            <v>3.1800460490992129E-4</v>
          </cell>
          <cell r="AI50">
            <v>5.8035840396060634E-2</v>
          </cell>
          <cell r="AJ50" t="str">
            <v/>
          </cell>
          <cell r="AK50" t="str">
            <v/>
          </cell>
          <cell r="AL50" t="str">
            <v/>
          </cell>
          <cell r="AM50" t="str">
            <v/>
          </cell>
          <cell r="AN50" t="str">
            <v/>
          </cell>
          <cell r="AO50" t="str">
            <v/>
          </cell>
          <cell r="AP50" t="str">
            <v/>
          </cell>
          <cell r="AQ50" t="str">
            <v/>
          </cell>
          <cell r="AR50" t="str">
            <v/>
          </cell>
          <cell r="AS50" t="str">
            <v/>
          </cell>
          <cell r="AT50" t="str">
            <v/>
          </cell>
          <cell r="AU50" t="str">
            <v/>
          </cell>
          <cell r="AV50">
            <v>5</v>
          </cell>
          <cell r="AW50">
            <v>12.192</v>
          </cell>
          <cell r="AX50">
            <v>12.192</v>
          </cell>
          <cell r="AY50">
            <v>0</v>
          </cell>
          <cell r="AZ50">
            <v>2.3255813953488373</v>
          </cell>
          <cell r="BA50" t="str">
            <v>HROFDAY</v>
          </cell>
          <cell r="BB50" t="str">
            <v>0  0  0  0  0  0  0  0   1  1  1  1  1  1  1  1  1  1  0  0  0  0  0  0</v>
          </cell>
        </row>
        <row r="51">
          <cell r="C51" t="str">
            <v>HCRDAsee above</v>
          </cell>
          <cell r="D51" t="e">
            <v>#N/A</v>
          </cell>
          <cell r="E51" t="str">
            <v>HCRDA</v>
          </cell>
          <cell r="F51" t="str">
            <v>Construction Rd Dust (Access Road)</v>
          </cell>
          <cell r="G51" t="str">
            <v>2-10</v>
          </cell>
          <cell r="H51" t="str">
            <v>Volume</v>
          </cell>
          <cell r="I51" t="str">
            <v>ROAD: Construction Equipment Tailpipe Emissions - Road Construction</v>
          </cell>
          <cell r="J51" t="str">
            <v>see above</v>
          </cell>
          <cell r="K51" t="e">
            <v>#N/A</v>
          </cell>
          <cell r="L51" t="e">
            <v>#N/A</v>
          </cell>
          <cell r="M51" t="e">
            <v>#N/A</v>
          </cell>
          <cell r="N51">
            <v>0</v>
          </cell>
          <cell r="O51">
            <v>12.192</v>
          </cell>
          <cell r="P51">
            <v>0</v>
          </cell>
          <cell r="Q51">
            <v>12.192</v>
          </cell>
          <cell r="R51">
            <v>148.64486400000001</v>
          </cell>
          <cell r="S51">
            <v>0</v>
          </cell>
          <cell r="T51">
            <v>0</v>
          </cell>
          <cell r="U51">
            <v>10</v>
          </cell>
          <cell r="V51">
            <v>5</v>
          </cell>
          <cell r="W51" t="str">
            <v>S</v>
          </cell>
          <cell r="X51" t="str">
            <v>S</v>
          </cell>
          <cell r="Y51">
            <v>0</v>
          </cell>
          <cell r="Z51" t="str">
            <v/>
          </cell>
          <cell r="AA51" t="str">
            <v/>
          </cell>
          <cell r="AB51" t="str">
            <v/>
          </cell>
          <cell r="AC51" t="str">
            <v/>
          </cell>
          <cell r="AD51" t="str">
            <v/>
          </cell>
          <cell r="AE51" t="str">
            <v/>
          </cell>
          <cell r="AF51">
            <v>1.6625647429786328E-2</v>
          </cell>
          <cell r="AG51">
            <v>2.7666708791470467</v>
          </cell>
          <cell r="AH51">
            <v>1.6625647429786327E-3</v>
          </cell>
          <cell r="AI51">
            <v>0.27666708791470473</v>
          </cell>
          <cell r="AJ51" t="str">
            <v/>
          </cell>
          <cell r="AK51" t="str">
            <v/>
          </cell>
          <cell r="AL51" t="str">
            <v/>
          </cell>
          <cell r="AM51" t="str">
            <v/>
          </cell>
          <cell r="AN51" t="str">
            <v/>
          </cell>
          <cell r="AO51" t="str">
            <v/>
          </cell>
          <cell r="AP51" t="str">
            <v/>
          </cell>
          <cell r="AQ51" t="str">
            <v/>
          </cell>
          <cell r="AR51" t="str">
            <v/>
          </cell>
          <cell r="AS51" t="str">
            <v/>
          </cell>
          <cell r="AT51" t="str">
            <v/>
          </cell>
          <cell r="AU51" t="str">
            <v/>
          </cell>
          <cell r="AV51">
            <v>5</v>
          </cell>
          <cell r="AW51">
            <v>12.192</v>
          </cell>
          <cell r="AX51">
            <v>12.192</v>
          </cell>
          <cell r="AY51">
            <v>0</v>
          </cell>
          <cell r="AZ51">
            <v>2.3255813953488373</v>
          </cell>
          <cell r="BA51" t="str">
            <v>HROFDAY</v>
          </cell>
          <cell r="BB51" t="str">
            <v>0  0  0  0  0  0  0  0   1  1  1  1  1  1  1  1  1  1  0  0  0  0  0  0</v>
          </cell>
        </row>
        <row r="52">
          <cell r="C52" t="str">
            <v>HCEGsee above</v>
          </cell>
          <cell r="D52" t="e">
            <v>#N/A</v>
          </cell>
          <cell r="E52" t="str">
            <v>HCEG</v>
          </cell>
          <cell r="F52" t="str">
            <v>Construction Eqpmt (Gathering Pipeline)</v>
          </cell>
          <cell r="G52" t="str">
            <v>2-12</v>
          </cell>
          <cell r="H52" t="str">
            <v>Volume</v>
          </cell>
          <cell r="I52" t="str">
            <v>ROAD: Construction Equipment Tailpipe Emissions - Road Construction</v>
          </cell>
          <cell r="J52" t="str">
            <v>see above</v>
          </cell>
          <cell r="K52" t="e">
            <v>#N/A</v>
          </cell>
          <cell r="L52" t="e">
            <v>#N/A</v>
          </cell>
          <cell r="M52" t="e">
            <v>#N/A</v>
          </cell>
          <cell r="N52">
            <v>0</v>
          </cell>
          <cell r="O52">
            <v>12.192</v>
          </cell>
          <cell r="P52">
            <v>0</v>
          </cell>
          <cell r="Q52">
            <v>12.192</v>
          </cell>
          <cell r="R52">
            <v>148.64486400000001</v>
          </cell>
          <cell r="S52">
            <v>0</v>
          </cell>
          <cell r="T52">
            <v>0</v>
          </cell>
          <cell r="U52">
            <v>10</v>
          </cell>
          <cell r="V52">
            <v>5</v>
          </cell>
          <cell r="W52" t="str">
            <v>S</v>
          </cell>
          <cell r="X52" t="str">
            <v>S</v>
          </cell>
          <cell r="Y52">
            <v>0</v>
          </cell>
          <cell r="Z52">
            <v>2.0904357338391524</v>
          </cell>
          <cell r="AA52">
            <v>2.2922497501343626E-2</v>
          </cell>
          <cell r="AB52">
            <v>2.2308548131797549E-3</v>
          </cell>
          <cell r="AC52">
            <v>2.2308548131797549E-3</v>
          </cell>
          <cell r="AD52">
            <v>2.2308548131797549E-3</v>
          </cell>
          <cell r="AE52">
            <v>2.4528997471579414E-5</v>
          </cell>
          <cell r="AF52">
            <v>7.5745300947837181E-4</v>
          </cell>
          <cell r="AG52">
            <v>6.9073021307769961E-2</v>
          </cell>
          <cell r="AH52">
            <v>7.5733181319477159E-4</v>
          </cell>
          <cell r="AI52">
            <v>6.9063298516320398E-2</v>
          </cell>
          <cell r="AJ52">
            <v>1.1949225363225382</v>
          </cell>
          <cell r="AK52">
            <v>1.1949225363225382</v>
          </cell>
          <cell r="AL52">
            <v>2.4854540375278092E-3</v>
          </cell>
          <cell r="AM52">
            <v>2.732740626765109E-5</v>
          </cell>
          <cell r="AN52">
            <v>1.8281790014150812E-3</v>
          </cell>
          <cell r="AO52">
            <v>2.0100644938958827E-5</v>
          </cell>
          <cell r="AP52">
            <v>3.7907099790943354E-4</v>
          </cell>
          <cell r="AQ52">
            <v>4.1678509830651353E-6</v>
          </cell>
          <cell r="AR52">
            <v>1.2949693466913061E-3</v>
          </cell>
          <cell r="AS52">
            <v>1.4238056154706055E-5</v>
          </cell>
          <cell r="AT52">
            <v>1.9459487203645051E-4</v>
          </cell>
          <cell r="AU52">
            <v>2.1395405794612403E-6</v>
          </cell>
          <cell r="AV52">
            <v>5</v>
          </cell>
          <cell r="AW52">
            <v>12.192</v>
          </cell>
          <cell r="AX52">
            <v>12.192</v>
          </cell>
          <cell r="AY52">
            <v>0</v>
          </cell>
          <cell r="AZ52">
            <v>2.3255813953488373</v>
          </cell>
          <cell r="BA52" t="str">
            <v>HROFDAY</v>
          </cell>
          <cell r="BB52" t="str">
            <v>0  0  0  0  0  0  0  0   1  1  1  1  1  1  1  1  1  1  0  0  0  0  0  0</v>
          </cell>
        </row>
        <row r="53">
          <cell r="C53">
            <v>0</v>
          </cell>
          <cell r="D53" t="str">
            <v>SCENARIO 2</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cell r="BB53">
            <v>0</v>
          </cell>
        </row>
        <row r="54">
          <cell r="C54" t="str">
            <v>Horizontal Pad 1</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row>
        <row r="55">
          <cell r="C55" t="str">
            <v>HDRD2-T1</v>
          </cell>
          <cell r="D55" t="e">
            <v>#N/A</v>
          </cell>
          <cell r="E55" t="str">
            <v>HDRD2</v>
          </cell>
          <cell r="F55" t="str">
            <v>Drilling Rd Dust -Rig 2</v>
          </cell>
          <cell r="G55" t="str">
            <v>2-23a</v>
          </cell>
          <cell r="H55" t="str">
            <v>Volume</v>
          </cell>
          <cell r="I55" t="str">
            <v>TWIN: Non-Construction Equipment Tailpipe Emissions</v>
          </cell>
          <cell r="J55" t="str">
            <v>T1</v>
          </cell>
          <cell r="K55">
            <v>-71.123599999999996</v>
          </cell>
          <cell r="L55">
            <v>0</v>
          </cell>
          <cell r="M55">
            <v>0</v>
          </cell>
          <cell r="N55">
            <v>0</v>
          </cell>
          <cell r="O55">
            <v>45</v>
          </cell>
          <cell r="P55">
            <v>0</v>
          </cell>
          <cell r="Q55">
            <v>45</v>
          </cell>
          <cell r="R55">
            <v>2025</v>
          </cell>
          <cell r="S55">
            <v>0</v>
          </cell>
          <cell r="T55">
            <v>0</v>
          </cell>
          <cell r="U55">
            <v>5</v>
          </cell>
          <cell r="V55">
            <v>2.5</v>
          </cell>
          <cell r="W55" t="str">
            <v>S</v>
          </cell>
          <cell r="X55" t="str">
            <v>S</v>
          </cell>
          <cell r="Y55">
            <v>0</v>
          </cell>
          <cell r="Z55" t="str">
            <v/>
          </cell>
          <cell r="AA55" t="str">
            <v/>
          </cell>
          <cell r="AB55" t="str">
            <v/>
          </cell>
          <cell r="AC55" t="str">
            <v/>
          </cell>
          <cell r="AD55" t="str">
            <v/>
          </cell>
          <cell r="AE55" t="str">
            <v/>
          </cell>
          <cell r="AF55">
            <v>2.5670098845656737</v>
          </cell>
          <cell r="AG55">
            <v>14.158195052884107</v>
          </cell>
          <cell r="AH55">
            <v>0.25670098845656736</v>
          </cell>
          <cell r="AI55">
            <v>1.4158195052884106</v>
          </cell>
          <cell r="AJ55" t="str">
            <v/>
          </cell>
          <cell r="AK55" t="str">
            <v/>
          </cell>
          <cell r="AL55" t="str">
            <v/>
          </cell>
          <cell r="AM55" t="str">
            <v/>
          </cell>
          <cell r="AN55" t="str">
            <v/>
          </cell>
          <cell r="AO55" t="str">
            <v/>
          </cell>
          <cell r="AP55" t="str">
            <v/>
          </cell>
          <cell r="AQ55" t="str">
            <v/>
          </cell>
          <cell r="AR55" t="str">
            <v/>
          </cell>
          <cell r="AS55" t="str">
            <v/>
          </cell>
          <cell r="AT55" t="e">
            <v>#VALUE!</v>
          </cell>
          <cell r="AU55" t="str">
            <v/>
          </cell>
          <cell r="AV55">
            <v>2.5</v>
          </cell>
          <cell r="AW55">
            <v>45</v>
          </cell>
          <cell r="AX55">
            <v>45</v>
          </cell>
          <cell r="AY55">
            <v>0</v>
          </cell>
          <cell r="AZ55">
            <v>1.1627906976744187</v>
          </cell>
          <cell r="BA55">
            <v>0</v>
          </cell>
          <cell r="BB55">
            <v>0</v>
          </cell>
        </row>
        <row r="56">
          <cell r="C56" t="str">
            <v>HRRD-T1</v>
          </cell>
          <cell r="D56" t="e">
            <v>#N/A</v>
          </cell>
          <cell r="E56" t="str">
            <v>HRRD</v>
          </cell>
          <cell r="F56" t="str">
            <v>Rig_Up_Down_Rd_Dust</v>
          </cell>
          <cell r="G56" t="str">
            <v>2-23c</v>
          </cell>
          <cell r="H56" t="str">
            <v>Volume</v>
          </cell>
          <cell r="I56" t="str">
            <v>TWIN: Construction Equipment Tailpipe Emissions - Pad Construction</v>
          </cell>
          <cell r="J56" t="str">
            <v>T1</v>
          </cell>
          <cell r="K56">
            <v>-71.123599999999996</v>
          </cell>
          <cell r="L56">
            <v>0</v>
          </cell>
          <cell r="M56">
            <v>0</v>
          </cell>
          <cell r="N56">
            <v>0</v>
          </cell>
          <cell r="O56">
            <v>45</v>
          </cell>
          <cell r="P56">
            <v>0</v>
          </cell>
          <cell r="Q56">
            <v>45</v>
          </cell>
          <cell r="R56">
            <v>2025</v>
          </cell>
          <cell r="S56">
            <v>0</v>
          </cell>
          <cell r="T56">
            <v>0</v>
          </cell>
          <cell r="U56">
            <v>10</v>
          </cell>
          <cell r="V56">
            <v>5</v>
          </cell>
          <cell r="W56" t="str">
            <v>S</v>
          </cell>
          <cell r="X56" t="str">
            <v>S</v>
          </cell>
          <cell r="Y56">
            <v>0</v>
          </cell>
          <cell r="Z56" t="str">
            <v/>
          </cell>
          <cell r="AA56" t="str">
            <v/>
          </cell>
          <cell r="AB56" t="str">
            <v/>
          </cell>
          <cell r="AC56" t="str">
            <v/>
          </cell>
          <cell r="AD56" t="str">
            <v/>
          </cell>
          <cell r="AE56" t="str">
            <v/>
          </cell>
          <cell r="AF56">
            <v>4.5568146255332322E-3</v>
          </cell>
          <cell r="AG56">
            <v>0.45573909812647356</v>
          </cell>
          <cell r="AH56">
            <v>4.5568146255332322E-4</v>
          </cell>
          <cell r="AI56">
            <v>4.5573909812647355E-2</v>
          </cell>
          <cell r="AJ56" t="str">
            <v/>
          </cell>
          <cell r="AK56" t="str">
            <v/>
          </cell>
          <cell r="AL56" t="str">
            <v/>
          </cell>
          <cell r="AM56" t="str">
            <v/>
          </cell>
          <cell r="AN56" t="str">
            <v/>
          </cell>
          <cell r="AO56" t="str">
            <v/>
          </cell>
          <cell r="AP56" t="str">
            <v/>
          </cell>
          <cell r="AQ56" t="str">
            <v/>
          </cell>
          <cell r="AR56" t="str">
            <v/>
          </cell>
          <cell r="AS56" t="str">
            <v/>
          </cell>
          <cell r="AT56" t="str">
            <v/>
          </cell>
          <cell r="AU56" t="str">
            <v/>
          </cell>
          <cell r="AV56">
            <v>5</v>
          </cell>
          <cell r="AW56">
            <v>45</v>
          </cell>
          <cell r="AX56">
            <v>45</v>
          </cell>
          <cell r="AY56">
            <v>0</v>
          </cell>
          <cell r="AZ56">
            <v>2.3255813953488373</v>
          </cell>
          <cell r="BA56">
            <v>0</v>
          </cell>
          <cell r="BB56">
            <v>0</v>
          </cell>
        </row>
        <row r="57">
          <cell r="C57" t="str">
            <v>HDME2-T1</v>
          </cell>
          <cell r="D57" t="e">
            <v>#N/A</v>
          </cell>
          <cell r="E57" t="str">
            <v>HDME2</v>
          </cell>
          <cell r="F57" t="str">
            <v>Drilling Mobile Exhaust - DR2</v>
          </cell>
          <cell r="G57" t="str">
            <v>2-24</v>
          </cell>
          <cell r="H57" t="str">
            <v>Volume</v>
          </cell>
          <cell r="I57" t="str">
            <v>TWIN: Non-Construction Equipment Tailpipe Emissions</v>
          </cell>
          <cell r="J57" t="str">
            <v>T1</v>
          </cell>
          <cell r="K57">
            <v>-71.123599999999996</v>
          </cell>
          <cell r="L57">
            <v>0</v>
          </cell>
          <cell r="M57">
            <v>0</v>
          </cell>
          <cell r="N57">
            <v>0</v>
          </cell>
          <cell r="O57">
            <v>45</v>
          </cell>
          <cell r="P57">
            <v>0</v>
          </cell>
          <cell r="Q57">
            <v>45</v>
          </cell>
          <cell r="R57">
            <v>2025</v>
          </cell>
          <cell r="S57">
            <v>0</v>
          </cell>
          <cell r="T57">
            <v>0</v>
          </cell>
          <cell r="U57">
            <v>5</v>
          </cell>
          <cell r="V57">
            <v>2.5</v>
          </cell>
          <cell r="W57" t="str">
            <v>S</v>
          </cell>
          <cell r="X57" t="str">
            <v>S</v>
          </cell>
          <cell r="Y57">
            <v>0</v>
          </cell>
          <cell r="Z57">
            <v>0.12732403080256796</v>
          </cell>
          <cell r="AA57">
            <v>2.2674142471690188E-2</v>
          </cell>
          <cell r="AB57">
            <v>7.4971739336686079E-4</v>
          </cell>
          <cell r="AC57">
            <v>7.4971739336686079E-4</v>
          </cell>
          <cell r="AD57">
            <v>7.435035251120726E-4</v>
          </cell>
          <cell r="AE57">
            <v>1.3351131662697518E-4</v>
          </cell>
          <cell r="AF57">
            <v>1.8159517426115776E-3</v>
          </cell>
          <cell r="AG57">
            <v>1.0108048880526115E-2</v>
          </cell>
          <cell r="AH57">
            <v>9.9015997421143895E-4</v>
          </cell>
          <cell r="AI57">
            <v>5.5210171340682214E-3</v>
          </cell>
          <cell r="AJ57">
            <v>5.2120558572246144E-2</v>
          </cell>
          <cell r="AK57">
            <v>5.2101641086081701E-2</v>
          </cell>
          <cell r="AL57">
            <v>5.8930545553806381E-5</v>
          </cell>
          <cell r="AM57">
            <v>1.0494480715061409E-5</v>
          </cell>
          <cell r="AN57">
            <v>1.2743426884893967E-4</v>
          </cell>
          <cell r="AO57">
            <v>2.2693773904605691E-5</v>
          </cell>
          <cell r="AP57">
            <v>3.2784015858180251E-5</v>
          </cell>
          <cell r="AQ57">
            <v>5.8382493994019633E-6</v>
          </cell>
          <cell r="AR57">
            <v>1.2220341671695281E-4</v>
          </cell>
          <cell r="AS57">
            <v>2.1762252292060083E-5</v>
          </cell>
          <cell r="AT57">
            <v>5.0947989495407708E-5</v>
          </cell>
          <cell r="AU57">
            <v>9.0729296361684947E-6</v>
          </cell>
          <cell r="AV57">
            <v>2.5</v>
          </cell>
          <cell r="AW57">
            <v>45</v>
          </cell>
          <cell r="AX57">
            <v>45</v>
          </cell>
          <cell r="AY57">
            <v>0</v>
          </cell>
          <cell r="AZ57">
            <v>1.1627906976744187</v>
          </cell>
          <cell r="BA57">
            <v>0</v>
          </cell>
          <cell r="BB57">
            <v>0</v>
          </cell>
        </row>
        <row r="58">
          <cell r="C58" t="str">
            <v>HRME-T1</v>
          </cell>
          <cell r="D58" t="e">
            <v>#N/A</v>
          </cell>
          <cell r="E58" t="str">
            <v>HRME</v>
          </cell>
          <cell r="F58" t="str">
            <v>Rig_Up_down Mobile Exhaust</v>
          </cell>
          <cell r="G58" t="str">
            <v>2-26</v>
          </cell>
          <cell r="H58" t="str">
            <v>Volume</v>
          </cell>
          <cell r="I58" t="str">
            <v>TWIN: Construction Equipment Tailpipe Emissions - Pad Construction</v>
          </cell>
          <cell r="J58" t="str">
            <v>T1</v>
          </cell>
          <cell r="K58">
            <v>-71.123599999999996</v>
          </cell>
          <cell r="L58">
            <v>0</v>
          </cell>
          <cell r="M58">
            <v>0</v>
          </cell>
          <cell r="N58">
            <v>0</v>
          </cell>
          <cell r="O58">
            <v>45</v>
          </cell>
          <cell r="P58">
            <v>0</v>
          </cell>
          <cell r="Q58">
            <v>45</v>
          </cell>
          <cell r="R58">
            <v>2025</v>
          </cell>
          <cell r="S58">
            <v>0</v>
          </cell>
          <cell r="T58">
            <v>0</v>
          </cell>
          <cell r="U58">
            <v>10</v>
          </cell>
          <cell r="V58">
            <v>5</v>
          </cell>
          <cell r="W58" t="str">
            <v>S</v>
          </cell>
          <cell r="X58" t="str">
            <v>S</v>
          </cell>
          <cell r="Y58">
            <v>0</v>
          </cell>
          <cell r="Z58">
            <v>7.7784900304829121E-3</v>
          </cell>
          <cell r="AA58">
            <v>2.6638664487955177E-5</v>
          </cell>
          <cell r="AB58">
            <v>4.0990703460797486E-5</v>
          </cell>
          <cell r="AC58">
            <v>4.0990703460797486E-5</v>
          </cell>
          <cell r="AD58">
            <v>1.4911653905111257E-5</v>
          </cell>
          <cell r="AE58">
            <v>1.4037912144108728E-7</v>
          </cell>
          <cell r="AF58">
            <v>1.8341899402159909E-6</v>
          </cell>
          <cell r="AG58">
            <v>1.9231669149843923E-4</v>
          </cell>
          <cell r="AH58">
            <v>9.3401995181116272E-7</v>
          </cell>
          <cell r="AI58">
            <v>9.988266713723012E-5</v>
          </cell>
          <cell r="AJ58">
            <v>6.5953286150031206E-3</v>
          </cell>
          <cell r="AK58">
            <v>6.3962064336260255E-3</v>
          </cell>
          <cell r="AL58">
            <v>6.2402320587168237E-6</v>
          </cell>
          <cell r="AM58">
            <v>2.1370657735331589E-8</v>
          </cell>
          <cell r="AN58">
            <v>9.7186363525665636E-6</v>
          </cell>
          <cell r="AO58">
            <v>3.3283001207419745E-8</v>
          </cell>
          <cell r="AP58">
            <v>2.5495942207074583E-6</v>
          </cell>
          <cell r="AQ58">
            <v>8.731487057217324E-9</v>
          </cell>
          <cell r="AR58">
            <v>9.7107850817932191E-6</v>
          </cell>
          <cell r="AS58">
            <v>3.3256113293812399E-8</v>
          </cell>
          <cell r="AT58">
            <v>2.8452115699138078E-6</v>
          </cell>
          <cell r="AU58">
            <v>9.7438752394308488E-9</v>
          </cell>
          <cell r="AV58">
            <v>5</v>
          </cell>
          <cell r="AW58">
            <v>45</v>
          </cell>
          <cell r="AX58">
            <v>45</v>
          </cell>
          <cell r="AY58">
            <v>0</v>
          </cell>
          <cell r="AZ58">
            <v>2.3255813953488373</v>
          </cell>
          <cell r="BA58">
            <v>0</v>
          </cell>
          <cell r="BB58">
            <v>0</v>
          </cell>
        </row>
        <row r="59">
          <cell r="C59" t="str">
            <v>HDC-T1</v>
          </cell>
          <cell r="D59" t="e">
            <v>#N/A</v>
          </cell>
          <cell r="E59" t="str">
            <v>HDC</v>
          </cell>
          <cell r="F59" t="str">
            <v>Drilling Construction</v>
          </cell>
          <cell r="G59" t="str">
            <v>2-27</v>
          </cell>
          <cell r="H59" t="str">
            <v>Volume</v>
          </cell>
          <cell r="I59" t="str">
            <v>TWIN: Pad Construction Surface Disturbance</v>
          </cell>
          <cell r="J59" t="str">
            <v>T1</v>
          </cell>
          <cell r="K59">
            <v>-71.123599999999996</v>
          </cell>
          <cell r="L59">
            <v>0</v>
          </cell>
          <cell r="M59">
            <v>0</v>
          </cell>
          <cell r="N59">
            <v>0</v>
          </cell>
          <cell r="O59">
            <v>45</v>
          </cell>
          <cell r="P59">
            <v>0</v>
          </cell>
          <cell r="Q59">
            <v>45</v>
          </cell>
          <cell r="R59">
            <v>2025</v>
          </cell>
          <cell r="S59">
            <v>0</v>
          </cell>
          <cell r="T59">
            <v>0</v>
          </cell>
          <cell r="U59">
            <v>6.0960000000000001</v>
          </cell>
          <cell r="V59">
            <v>3.048</v>
          </cell>
          <cell r="W59" t="str">
            <v>S</v>
          </cell>
          <cell r="X59" t="str">
            <v>S</v>
          </cell>
          <cell r="Y59">
            <v>0</v>
          </cell>
          <cell r="Z59">
            <v>2.5018268481498459E-2</v>
          </cell>
          <cell r="AA59">
            <v>1.075134796246112E-3</v>
          </cell>
          <cell r="AB59">
            <v>9.2631520567388066E-5</v>
          </cell>
          <cell r="AC59">
            <v>9.2631520567388066E-5</v>
          </cell>
          <cell r="AD59">
            <v>7.7192933806156724E-5</v>
          </cell>
          <cell r="AE59">
            <v>2.9917586243163767E-6</v>
          </cell>
          <cell r="AF59">
            <v>7.8799180444408726E-5</v>
          </cell>
          <cell r="AG59">
            <v>1.4181984030264107E-3</v>
          </cell>
          <cell r="AH59">
            <v>7.6435204931581154E-5</v>
          </cell>
          <cell r="AI59">
            <v>1.3756525419132653E-3</v>
          </cell>
          <cell r="AJ59">
            <v>1.5855322051743254E-2</v>
          </cell>
          <cell r="AK59">
            <v>1.5855322051743254E-2</v>
          </cell>
          <cell r="AL59">
            <v>1.2356369087696773E-4</v>
          </cell>
          <cell r="AM59">
            <v>4.3918945927198909E-6</v>
          </cell>
          <cell r="AN59">
            <v>9.0911506775693334E-5</v>
          </cell>
          <cell r="AO59">
            <v>3.2310448753701046E-6</v>
          </cell>
          <cell r="AP59">
            <v>1.8807422219241955E-5</v>
          </cell>
          <cell r="AQ59">
            <v>6.6830260742762273E-7</v>
          </cell>
          <cell r="AR59">
            <v>6.4302379728464813E-5</v>
          </cell>
          <cell r="AS59">
            <v>2.2853289452686249E-6</v>
          </cell>
          <cell r="AT59">
            <v>9.6631526385553059E-6</v>
          </cell>
          <cell r="AU59">
            <v>3.4346056038229826E-7</v>
          </cell>
          <cell r="AV59">
            <v>3.048</v>
          </cell>
          <cell r="AW59">
            <v>45</v>
          </cell>
          <cell r="AX59">
            <v>45</v>
          </cell>
          <cell r="AY59">
            <v>0</v>
          </cell>
          <cell r="AZ59">
            <v>1.4176744186046513</v>
          </cell>
          <cell r="BA59" t="str">
            <v>HROFDAY</v>
          </cell>
          <cell r="BB59" t="str">
            <v>0  0  0  0  0  0  1  1  1  1  1  1  1  1  1  1  1  1  0  0  0  0  0  0  0</v>
          </cell>
        </row>
        <row r="60">
          <cell r="C60" t="str">
            <v>HRCE-T1</v>
          </cell>
          <cell r="D60" t="e">
            <v>#N/A</v>
          </cell>
          <cell r="E60" t="str">
            <v>HRCE</v>
          </cell>
          <cell r="F60" t="str">
            <v>Rig Up_down Construction equipment</v>
          </cell>
          <cell r="G60" t="str">
            <v>2-29</v>
          </cell>
          <cell r="H60" t="str">
            <v>Volume</v>
          </cell>
          <cell r="I60" t="str">
            <v>TWIN: Construction Equipment Tailpipe Emissions - Pad Construction</v>
          </cell>
          <cell r="J60" t="str">
            <v>T1</v>
          </cell>
          <cell r="K60">
            <v>-71.123599999999996</v>
          </cell>
          <cell r="L60">
            <v>0</v>
          </cell>
          <cell r="M60">
            <v>0</v>
          </cell>
          <cell r="N60">
            <v>0</v>
          </cell>
          <cell r="O60">
            <v>45</v>
          </cell>
          <cell r="P60">
            <v>0</v>
          </cell>
          <cell r="Q60">
            <v>45</v>
          </cell>
          <cell r="R60">
            <v>2025</v>
          </cell>
          <cell r="S60">
            <v>0</v>
          </cell>
          <cell r="T60">
            <v>0</v>
          </cell>
          <cell r="U60">
            <v>10</v>
          </cell>
          <cell r="V60">
            <v>5</v>
          </cell>
          <cell r="W60" t="str">
            <v>S</v>
          </cell>
          <cell r="X60" t="str">
            <v>S</v>
          </cell>
          <cell r="Y60">
            <v>0</v>
          </cell>
          <cell r="Z60">
            <v>8.6536407634378448E-2</v>
          </cell>
          <cell r="AA60">
            <v>5.7391474996928505E-4</v>
          </cell>
          <cell r="AB60">
            <v>9.9271049558068321E-5</v>
          </cell>
          <cell r="AC60">
            <v>9.9271049558068321E-5</v>
          </cell>
          <cell r="AD60">
            <v>8.2725874631723578E-5</v>
          </cell>
          <cell r="AE60">
            <v>5.6215273017980058E-7</v>
          </cell>
          <cell r="AF60">
            <v>3.2547011630872825E-5</v>
          </cell>
          <cell r="AG60">
            <v>4.1020122973947828E-3</v>
          </cell>
          <cell r="AH60">
            <v>3.2529490367567291E-5</v>
          </cell>
          <cell r="AI60">
            <v>4.0956170362882625E-3</v>
          </cell>
          <cell r="AJ60">
            <v>5.9485115733363202E-2</v>
          </cell>
          <cell r="AK60">
            <v>5.9485115733363202E-2</v>
          </cell>
          <cell r="AL60">
            <v>1.2408313891174965E-4</v>
          </cell>
          <cell r="AM60">
            <v>7.1959881256461129E-7</v>
          </cell>
          <cell r="AN60">
            <v>7.6028918645355272E-5</v>
          </cell>
          <cell r="AO60">
            <v>5.2922417227628686E-7</v>
          </cell>
          <cell r="AP60">
            <v>1.8921765057150421E-5</v>
          </cell>
          <cell r="AQ60">
            <v>1.097457820713389E-7</v>
          </cell>
          <cell r="AR60">
            <v>6.4630531281278556E-5</v>
          </cell>
          <cell r="AS60">
            <v>3.7488784679080204E-7</v>
          </cell>
          <cell r="AT60">
            <v>9.7134465099389437E-6</v>
          </cell>
          <cell r="AU60">
            <v>5.6338363845583222E-8</v>
          </cell>
          <cell r="AV60">
            <v>5</v>
          </cell>
          <cell r="AW60">
            <v>45</v>
          </cell>
          <cell r="AX60">
            <v>45</v>
          </cell>
          <cell r="AY60">
            <v>0</v>
          </cell>
          <cell r="AZ60">
            <v>2.3255813953488373</v>
          </cell>
          <cell r="BA60" t="str">
            <v>HROFDAY</v>
          </cell>
          <cell r="BB60" t="str">
            <v>0  0  0  0  0  0  1  1  1  1  1  1  1  1  1  1  1  1  0  0  0  0  0  0  0</v>
          </cell>
        </row>
        <row r="61">
          <cell r="C61" t="str">
            <v>HPRDN-T1</v>
          </cell>
          <cell r="D61" t="e">
            <v>#N/A</v>
          </cell>
          <cell r="E61" t="str">
            <v>HPRDN</v>
          </cell>
          <cell r="F61" t="str">
            <v>Production Rd  Dust New Well</v>
          </cell>
          <cell r="G61" t="str">
            <v>2-35</v>
          </cell>
          <cell r="H61" t="str">
            <v>Volume</v>
          </cell>
          <cell r="I61" t="str">
            <v>TWIN: Non-Construction Equipment Tailpipe Emissions</v>
          </cell>
          <cell r="J61" t="str">
            <v>T1</v>
          </cell>
          <cell r="K61">
            <v>-71.123599999999996</v>
          </cell>
          <cell r="L61">
            <v>0</v>
          </cell>
          <cell r="M61">
            <v>0</v>
          </cell>
          <cell r="N61">
            <v>0</v>
          </cell>
          <cell r="O61">
            <v>45</v>
          </cell>
          <cell r="P61">
            <v>0</v>
          </cell>
          <cell r="Q61">
            <v>45</v>
          </cell>
          <cell r="R61">
            <v>2025</v>
          </cell>
          <cell r="S61">
            <v>0</v>
          </cell>
          <cell r="T61">
            <v>0</v>
          </cell>
          <cell r="U61">
            <v>5</v>
          </cell>
          <cell r="V61">
            <v>2.5</v>
          </cell>
          <cell r="W61" t="str">
            <v>S</v>
          </cell>
          <cell r="X61" t="str">
            <v>S</v>
          </cell>
          <cell r="Y61">
            <v>0</v>
          </cell>
          <cell r="Z61" t="str">
            <v/>
          </cell>
          <cell r="AA61" t="str">
            <v/>
          </cell>
          <cell r="AB61" t="str">
            <v/>
          </cell>
          <cell r="AC61" t="str">
            <v/>
          </cell>
          <cell r="AD61" t="str">
            <v/>
          </cell>
          <cell r="AE61" t="str">
            <v/>
          </cell>
          <cell r="AF61">
            <v>0.26510823393820115</v>
          </cell>
          <cell r="AG61">
            <v>0.57881261904295189</v>
          </cell>
          <cell r="AH61">
            <v>2.6607587225399382E-2</v>
          </cell>
          <cell r="AI61">
            <v>5.7620529786716029E-2</v>
          </cell>
          <cell r="AJ61" t="str">
            <v/>
          </cell>
          <cell r="AK61" t="str">
            <v/>
          </cell>
          <cell r="AL61" t="str">
            <v/>
          </cell>
          <cell r="AM61" t="str">
            <v/>
          </cell>
          <cell r="AN61" t="str">
            <v/>
          </cell>
          <cell r="AO61" t="str">
            <v/>
          </cell>
          <cell r="AP61" t="str">
            <v/>
          </cell>
          <cell r="AQ61" t="str">
            <v/>
          </cell>
          <cell r="AR61" t="str">
            <v/>
          </cell>
          <cell r="AS61" t="str">
            <v/>
          </cell>
          <cell r="AT61" t="str">
            <v/>
          </cell>
          <cell r="AU61" t="str">
            <v/>
          </cell>
          <cell r="AV61">
            <v>2.5</v>
          </cell>
          <cell r="AW61">
            <v>45</v>
          </cell>
          <cell r="AX61">
            <v>45</v>
          </cell>
          <cell r="AY61">
            <v>0</v>
          </cell>
          <cell r="AZ61">
            <v>1.1627906976744187</v>
          </cell>
          <cell r="BA61" t="str">
            <v>HROFDAY</v>
          </cell>
          <cell r="BB61" t="str">
            <v>0  0  0  0  0  0  0  0   1  1  1  1  1  1  1  1  1  1  0  0  0  0  0  0</v>
          </cell>
        </row>
        <row r="62">
          <cell r="C62" t="str">
            <v>HPMEN-T1</v>
          </cell>
          <cell r="D62" t="e">
            <v>#N/A</v>
          </cell>
          <cell r="E62" t="str">
            <v>HPMEN</v>
          </cell>
          <cell r="F62" t="str">
            <v>Prd. Mobile Exhaust - New Well</v>
          </cell>
          <cell r="G62" t="str">
            <v>2-36</v>
          </cell>
          <cell r="H62" t="str">
            <v>Volume</v>
          </cell>
          <cell r="I62" t="str">
            <v>TWIN: Non-Construction Equipment Tailpipe Emissions</v>
          </cell>
          <cell r="J62" t="str">
            <v>T1</v>
          </cell>
          <cell r="K62">
            <v>-71.123599999999996</v>
          </cell>
          <cell r="L62">
            <v>0</v>
          </cell>
          <cell r="M62">
            <v>0</v>
          </cell>
          <cell r="N62">
            <v>0</v>
          </cell>
          <cell r="O62">
            <v>45</v>
          </cell>
          <cell r="P62">
            <v>0</v>
          </cell>
          <cell r="Q62">
            <v>45</v>
          </cell>
          <cell r="R62">
            <v>2025</v>
          </cell>
          <cell r="S62">
            <v>0</v>
          </cell>
          <cell r="T62">
            <v>0</v>
          </cell>
          <cell r="U62">
            <v>5</v>
          </cell>
          <cell r="V62">
            <v>2.5</v>
          </cell>
          <cell r="W62" t="str">
            <v>S</v>
          </cell>
          <cell r="X62" t="str">
            <v>S</v>
          </cell>
          <cell r="Y62">
            <v>0</v>
          </cell>
          <cell r="Z62">
            <v>2.0407821630127894E-2</v>
          </cell>
          <cell r="AA62">
            <v>1.4980490385297779E-3</v>
          </cell>
          <cell r="AB62">
            <v>3.4919926566030096E-4</v>
          </cell>
          <cell r="AC62">
            <v>1.1639975522010031E-4</v>
          </cell>
          <cell r="AD62">
            <v>3.4919926566030094E-5</v>
          </cell>
          <cell r="AE62">
            <v>3.0632197955227528E-5</v>
          </cell>
          <cell r="AF62">
            <v>3.6794171422557088E-4</v>
          </cell>
          <cell r="AG62">
            <v>4.2428900483333334E-4</v>
          </cell>
          <cell r="AH62">
            <v>2.4491426432216045E-4</v>
          </cell>
          <cell r="AI62">
            <v>2.7707423774479166E-4</v>
          </cell>
          <cell r="AJ62">
            <v>0.23068702190246523</v>
          </cell>
          <cell r="AK62">
            <v>2.8835877737808154E-2</v>
          </cell>
          <cell r="AL62">
            <v>1.1036343368616901E-4</v>
          </cell>
          <cell r="AM62">
            <v>1.0460411964705213E-5</v>
          </cell>
          <cell r="AN62">
            <v>5.2255572027604168E-4</v>
          </cell>
          <cell r="AO62">
            <v>4.9804395505769126E-5</v>
          </cell>
          <cell r="AP62">
            <v>8.5048983613865734E-5</v>
          </cell>
          <cell r="AQ62">
            <v>8.0698302706352672E-6</v>
          </cell>
          <cell r="AR62">
            <v>2.4485120504727665E-3</v>
          </cell>
          <cell r="AS62">
            <v>2.3427615111524096E-4</v>
          </cell>
          <cell r="AT62">
            <v>1.3061440395370369E-4</v>
          </cell>
          <cell r="AU62">
            <v>1.2364081807399797E-5</v>
          </cell>
          <cell r="AV62">
            <v>2.5</v>
          </cell>
          <cell r="AW62">
            <v>45</v>
          </cell>
          <cell r="AX62">
            <v>45</v>
          </cell>
          <cell r="AY62">
            <v>0</v>
          </cell>
          <cell r="AZ62">
            <v>1.1627906976744187</v>
          </cell>
          <cell r="BA62" t="str">
            <v>HROFDAY</v>
          </cell>
          <cell r="BB62" t="str">
            <v>0  0  0  0  0  0  0  0   1  1  1  1  1  1  1  1  1  1  0  0  0  0  0  0</v>
          </cell>
        </row>
        <row r="63">
          <cell r="C63" t="str">
            <v>HPH-T1</v>
          </cell>
          <cell r="D63" t="e">
            <v>#N/A</v>
          </cell>
          <cell r="E63" t="str">
            <v>HPH</v>
          </cell>
          <cell r="F63" t="str">
            <v>Production Heater</v>
          </cell>
          <cell r="G63" t="str">
            <v>2-40</v>
          </cell>
          <cell r="H63" t="str">
            <v>Volume</v>
          </cell>
          <cell r="I63" t="str">
            <v>Heater</v>
          </cell>
          <cell r="J63" t="str">
            <v>T1</v>
          </cell>
          <cell r="K63">
            <v>-71.123599999999996</v>
          </cell>
          <cell r="L63">
            <v>0</v>
          </cell>
          <cell r="M63">
            <v>0</v>
          </cell>
          <cell r="N63">
            <v>0</v>
          </cell>
          <cell r="O63">
            <v>0</v>
          </cell>
          <cell r="P63">
            <v>0</v>
          </cell>
          <cell r="Q63">
            <v>0</v>
          </cell>
          <cell r="R63">
            <v>0</v>
          </cell>
          <cell r="S63">
            <v>0</v>
          </cell>
          <cell r="T63">
            <v>0</v>
          </cell>
          <cell r="U63">
            <v>0</v>
          </cell>
          <cell r="V63">
            <v>0</v>
          </cell>
          <cell r="W63" t="str">
            <v>S</v>
          </cell>
          <cell r="X63" t="str">
            <v>S</v>
          </cell>
          <cell r="Y63">
            <v>0</v>
          </cell>
          <cell r="Z63">
            <v>4.9410933551198256E-3</v>
          </cell>
          <cell r="AA63">
            <v>4.9410933551198256E-3</v>
          </cell>
          <cell r="AB63">
            <v>2.9771353341975505E-4</v>
          </cell>
          <cell r="AC63">
            <v>2.9771353341975505E-4</v>
          </cell>
          <cell r="AD63">
            <v>2.9771353341975505E-4</v>
          </cell>
          <cell r="AE63">
            <v>2.9771353341975505E-4</v>
          </cell>
          <cell r="AF63">
            <v>3.7552309498910681E-4</v>
          </cell>
          <cell r="AG63">
            <v>3.7552309498910681E-4</v>
          </cell>
          <cell r="AH63">
            <v>3.7552309498910681E-4</v>
          </cell>
          <cell r="AI63">
            <v>3.7552309498910681E-4</v>
          </cell>
          <cell r="AJ63">
            <v>4.1505184183006543E-3</v>
          </cell>
          <cell r="AK63">
            <v>0</v>
          </cell>
          <cell r="AL63">
            <v>7.7393475751263511E-8</v>
          </cell>
          <cell r="AM63">
            <v>7.7393475751263511E-8</v>
          </cell>
          <cell r="AN63">
            <v>7.4620796256974713E-8</v>
          </cell>
          <cell r="AO63">
            <v>7.4620796256974713E-8</v>
          </cell>
          <cell r="AP63">
            <v>1.4561120887824058E-8</v>
          </cell>
          <cell r="AQ63">
            <v>1.4561120887824058E-8</v>
          </cell>
          <cell r="AR63">
            <v>1.164306058966292E-7</v>
          </cell>
          <cell r="AS63">
            <v>1.164306058966292E-7</v>
          </cell>
          <cell r="AT63">
            <v>3.5521344347211526E-7</v>
          </cell>
          <cell r="AU63">
            <v>3.5521344347211526E-7</v>
          </cell>
          <cell r="AV63">
            <v>0</v>
          </cell>
          <cell r="AW63">
            <v>0</v>
          </cell>
          <cell r="AX63">
            <v>0</v>
          </cell>
          <cell r="AY63">
            <v>0</v>
          </cell>
          <cell r="AZ63">
            <v>0</v>
          </cell>
          <cell r="BA63" t="str">
            <v>MONTH</v>
          </cell>
          <cell r="BB63" t="str">
            <v>0 0 0 0 1 1 1 1 1 1 1 0</v>
          </cell>
        </row>
        <row r="64">
          <cell r="C64" t="str">
            <v>HOWCF-T1</v>
          </cell>
          <cell r="D64" t="e">
            <v>#N/A</v>
          </cell>
          <cell r="E64" t="str">
            <v>HOWCF</v>
          </cell>
          <cell r="F64" t="str">
            <v>2+ yr Well Cond. Flash - Cntrld</v>
          </cell>
          <cell r="G64" t="str">
            <v>2-46</v>
          </cell>
          <cell r="H64" t="str">
            <v>Volume</v>
          </cell>
          <cell r="I64" t="str">
            <v>Well Production - Single Well</v>
          </cell>
          <cell r="J64" t="str">
            <v>T1</v>
          </cell>
          <cell r="K64">
            <v>-71.123599999999996</v>
          </cell>
          <cell r="L64">
            <v>0</v>
          </cell>
          <cell r="M64">
            <v>0</v>
          </cell>
          <cell r="N64">
            <v>0</v>
          </cell>
          <cell r="O64">
            <v>10</v>
          </cell>
          <cell r="P64">
            <v>0</v>
          </cell>
          <cell r="Q64">
            <v>10</v>
          </cell>
          <cell r="R64">
            <v>100</v>
          </cell>
          <cell r="S64">
            <v>0</v>
          </cell>
          <cell r="T64">
            <v>0</v>
          </cell>
          <cell r="U64">
            <v>10</v>
          </cell>
          <cell r="V64">
            <v>5</v>
          </cell>
          <cell r="W64" t="str">
            <v>S</v>
          </cell>
          <cell r="X64" t="str">
            <v>S</v>
          </cell>
          <cell r="Y64">
            <v>0</v>
          </cell>
          <cell r="Z64" t="str">
            <v/>
          </cell>
          <cell r="AA64" t="str">
            <v/>
          </cell>
          <cell r="AB64" t="str">
            <v/>
          </cell>
          <cell r="AC64" t="str">
            <v/>
          </cell>
          <cell r="AD64" t="str">
            <v/>
          </cell>
          <cell r="AE64" t="str">
            <v/>
          </cell>
          <cell r="AF64" t="str">
            <v/>
          </cell>
          <cell r="AG64" t="str">
            <v/>
          </cell>
          <cell r="AH64" t="str">
            <v/>
          </cell>
          <cell r="AI64" t="str">
            <v/>
          </cell>
          <cell r="AJ64" t="str">
            <v/>
          </cell>
          <cell r="AK64" t="str">
            <v/>
          </cell>
          <cell r="AL64" t="str">
            <v/>
          </cell>
          <cell r="AM64" t="str">
            <v/>
          </cell>
          <cell r="AN64" t="str">
            <v/>
          </cell>
          <cell r="AO64" t="str">
            <v/>
          </cell>
          <cell r="AP64" t="str">
            <v/>
          </cell>
          <cell r="AQ64" t="str">
            <v/>
          </cell>
          <cell r="AR64" t="str">
            <v/>
          </cell>
          <cell r="AS64" t="str">
            <v/>
          </cell>
          <cell r="AT64" t="str">
            <v/>
          </cell>
          <cell r="AU64" t="str">
            <v/>
          </cell>
          <cell r="AV64">
            <v>5</v>
          </cell>
          <cell r="AW64">
            <v>10</v>
          </cell>
          <cell r="AX64">
            <v>10</v>
          </cell>
          <cell r="AY64">
            <v>0</v>
          </cell>
          <cell r="AZ64">
            <v>2.3255813953488373</v>
          </cell>
          <cell r="BA64">
            <v>0</v>
          </cell>
          <cell r="BB64">
            <v>0</v>
          </cell>
        </row>
        <row r="65">
          <cell r="C65" t="str">
            <v>HDHYD-T1</v>
          </cell>
          <cell r="D65" t="e">
            <v>#N/A</v>
          </cell>
          <cell r="E65" t="str">
            <v>HDHYD</v>
          </cell>
          <cell r="F65" t="str">
            <v>Dehydrator</v>
          </cell>
          <cell r="G65" t="str">
            <v>2-53</v>
          </cell>
          <cell r="H65" t="str">
            <v>Volume</v>
          </cell>
          <cell r="I65" t="str">
            <v>Heater</v>
          </cell>
          <cell r="J65" t="str">
            <v>T1</v>
          </cell>
          <cell r="K65">
            <v>-71.123599999999996</v>
          </cell>
          <cell r="L65">
            <v>0</v>
          </cell>
          <cell r="M65">
            <v>0</v>
          </cell>
          <cell r="N65">
            <v>0</v>
          </cell>
          <cell r="O65">
            <v>0</v>
          </cell>
          <cell r="P65">
            <v>0</v>
          </cell>
          <cell r="Q65">
            <v>0</v>
          </cell>
          <cell r="R65">
            <v>0</v>
          </cell>
          <cell r="S65">
            <v>0</v>
          </cell>
          <cell r="T65">
            <v>0</v>
          </cell>
          <cell r="U65">
            <v>0</v>
          </cell>
          <cell r="V65">
            <v>0</v>
          </cell>
          <cell r="W65" t="str">
            <v>S</v>
          </cell>
          <cell r="X65" t="str">
            <v>S</v>
          </cell>
          <cell r="Y65">
            <v>0</v>
          </cell>
          <cell r="Z65">
            <v>1.1633804304629632E-2</v>
          </cell>
          <cell r="AA65">
            <v>1.1633804304629632E-2</v>
          </cell>
          <cell r="AB65">
            <v>6.362207472789299E-5</v>
          </cell>
          <cell r="AC65">
            <v>6.362207472789299E-5</v>
          </cell>
          <cell r="AD65">
            <v>6.362207472789299E-5</v>
          </cell>
          <cell r="AE65">
            <v>6.362207472789299E-5</v>
          </cell>
          <cell r="AF65">
            <v>1.7215948840912595E-3</v>
          </cell>
          <cell r="AG65">
            <v>1.7215948840912595E-3</v>
          </cell>
          <cell r="AH65">
            <v>1.7215948840912595E-3</v>
          </cell>
          <cell r="AI65">
            <v>1.7215948840912595E-3</v>
          </cell>
          <cell r="AJ65">
            <v>3.5279406555555563E-3</v>
          </cell>
          <cell r="AK65">
            <v>3.5279406555555563E-3</v>
          </cell>
          <cell r="AL65">
            <v>1.2789438291306189E-4</v>
          </cell>
          <cell r="AM65">
            <v>1.2789438291306189E-4</v>
          </cell>
          <cell r="AN65">
            <v>5.834980051896161E-4</v>
          </cell>
          <cell r="AO65">
            <v>5.834980051896161E-4</v>
          </cell>
          <cell r="AP65">
            <v>7.0835869702768849E-5</v>
          </cell>
          <cell r="AQ65">
            <v>7.0835869702768849E-5</v>
          </cell>
          <cell r="AR65">
            <v>9.0536756343906799E-4</v>
          </cell>
          <cell r="AS65">
            <v>9.0536756343906799E-4</v>
          </cell>
          <cell r="AT65">
            <v>1.6484012206273098E-5</v>
          </cell>
          <cell r="AU65">
            <v>1.6484012206273098E-5</v>
          </cell>
          <cell r="AV65">
            <v>0</v>
          </cell>
          <cell r="AW65">
            <v>0</v>
          </cell>
          <cell r="AX65">
            <v>0</v>
          </cell>
          <cell r="AY65">
            <v>0</v>
          </cell>
          <cell r="AZ65">
            <v>0</v>
          </cell>
          <cell r="BA65">
            <v>0</v>
          </cell>
          <cell r="BB65">
            <v>0</v>
          </cell>
        </row>
        <row r="66">
          <cell r="C66" t="str">
            <v>HPMLC-T1</v>
          </cell>
          <cell r="D66" t="e">
            <v>#N/A</v>
          </cell>
          <cell r="E66" t="str">
            <v>HPMLC</v>
          </cell>
          <cell r="F66" t="str">
            <v>"Pneumatic Pumps" &amp; "Liquid Level Controllers"</v>
          </cell>
          <cell r="G66" t="str">
            <v>2-54</v>
          </cell>
          <cell r="H66" t="str">
            <v>Volume</v>
          </cell>
          <cell r="I66" t="str">
            <v>Well Production - Single Well</v>
          </cell>
          <cell r="J66" t="str">
            <v>T1</v>
          </cell>
          <cell r="K66">
            <v>-71.123599999999996</v>
          </cell>
          <cell r="L66">
            <v>0</v>
          </cell>
          <cell r="M66">
            <v>0</v>
          </cell>
          <cell r="N66">
            <v>0</v>
          </cell>
          <cell r="O66">
            <v>10</v>
          </cell>
          <cell r="P66">
            <v>0</v>
          </cell>
          <cell r="Q66">
            <v>10</v>
          </cell>
          <cell r="R66">
            <v>100</v>
          </cell>
          <cell r="S66">
            <v>0</v>
          </cell>
          <cell r="T66">
            <v>0</v>
          </cell>
          <cell r="U66">
            <v>10</v>
          </cell>
          <cell r="V66">
            <v>5</v>
          </cell>
          <cell r="W66" t="str">
            <v>S</v>
          </cell>
          <cell r="X66" t="str">
            <v>S</v>
          </cell>
          <cell r="Y66">
            <v>0</v>
          </cell>
          <cell r="Z66">
            <v>2.6459554916666669E-10</v>
          </cell>
          <cell r="AA66">
            <v>1.2081988546423137E-10</v>
          </cell>
          <cell r="AB66">
            <v>1.0573720127858805E-8</v>
          </cell>
          <cell r="AC66">
            <v>1.0573720127858805E-8</v>
          </cell>
          <cell r="AD66">
            <v>1.0573720127858805E-8</v>
          </cell>
          <cell r="AE66">
            <v>4.8281827067848429E-9</v>
          </cell>
          <cell r="AF66">
            <v>0</v>
          </cell>
          <cell r="AG66">
            <v>0</v>
          </cell>
          <cell r="AH66">
            <v>0</v>
          </cell>
          <cell r="AI66">
            <v>0</v>
          </cell>
          <cell r="AJ66">
            <v>6.6148887291666672E-11</v>
          </cell>
          <cell r="AK66">
            <v>6.6148887291666672E-11</v>
          </cell>
          <cell r="AL66">
            <v>3.2093284821875957E-9</v>
          </cell>
          <cell r="AM66">
            <v>2.9186815344095713E-9</v>
          </cell>
          <cell r="AN66">
            <v>3.1010367176809389E-9</v>
          </cell>
          <cell r="AO66">
            <v>2.8201970149381441E-9</v>
          </cell>
          <cell r="AP66">
            <v>6.2835560255072395E-10</v>
          </cell>
          <cell r="AQ66">
            <v>5.7144972986918952E-10</v>
          </cell>
          <cell r="AR66">
            <v>4.3584513008233665E-9</v>
          </cell>
          <cell r="AS66">
            <v>3.9637361525752831E-9</v>
          </cell>
          <cell r="AT66">
            <v>1.472909128159611E-8</v>
          </cell>
          <cell r="AU66">
            <v>1.3395178144221728E-8</v>
          </cell>
          <cell r="AV66">
            <v>5</v>
          </cell>
          <cell r="AW66">
            <v>10</v>
          </cell>
          <cell r="AX66">
            <v>10</v>
          </cell>
          <cell r="AY66">
            <v>0</v>
          </cell>
          <cell r="AZ66">
            <v>2.3255813953488373</v>
          </cell>
          <cell r="BA66">
            <v>0</v>
          </cell>
          <cell r="BB66">
            <v>0</v>
          </cell>
        </row>
        <row r="67">
          <cell r="C67" t="str">
            <v>HBF-T1</v>
          </cell>
          <cell r="D67" t="e">
            <v>#N/A</v>
          </cell>
          <cell r="E67" t="str">
            <v>HBF</v>
          </cell>
          <cell r="F67" t="str">
            <v>Blowdown Flaring</v>
          </cell>
          <cell r="G67" t="str">
            <v>2-56</v>
          </cell>
          <cell r="H67" t="str">
            <v>Volume</v>
          </cell>
          <cell r="I67" t="str">
            <v>Well Production - Single Well</v>
          </cell>
          <cell r="J67" t="str">
            <v>T1</v>
          </cell>
          <cell r="K67">
            <v>-71.123599999999996</v>
          </cell>
          <cell r="L67">
            <v>0</v>
          </cell>
          <cell r="M67">
            <v>0</v>
          </cell>
          <cell r="N67">
            <v>0</v>
          </cell>
          <cell r="O67">
            <v>10</v>
          </cell>
          <cell r="P67">
            <v>0</v>
          </cell>
          <cell r="Q67">
            <v>10</v>
          </cell>
          <cell r="R67">
            <v>100</v>
          </cell>
          <cell r="S67">
            <v>0</v>
          </cell>
          <cell r="T67">
            <v>0</v>
          </cell>
          <cell r="U67">
            <v>10</v>
          </cell>
          <cell r="V67">
            <v>5</v>
          </cell>
          <cell r="W67" t="str">
            <v>S</v>
          </cell>
          <cell r="X67" t="str">
            <v>S</v>
          </cell>
          <cell r="Y67">
            <v>0</v>
          </cell>
          <cell r="Z67">
            <v>1.2965777870188084E-2</v>
          </cell>
          <cell r="AA67">
            <v>4.4403348870507141E-6</v>
          </cell>
          <cell r="AB67">
            <v>5.3614233142628704E-6</v>
          </cell>
          <cell r="AC67">
            <v>1.7871411047542901E-6</v>
          </cell>
          <cell r="AD67">
            <v>2.2339263809428626E-7</v>
          </cell>
          <cell r="AE67">
            <v>1.8361038747475584E-9</v>
          </cell>
          <cell r="AF67">
            <v>6.8879891257610591E-7</v>
          </cell>
          <cell r="AG67">
            <v>8.3803867696759547E-5</v>
          </cell>
          <cell r="AH67">
            <v>6.8879891257610591E-7</v>
          </cell>
          <cell r="AI67">
            <v>8.3803867696759547E-5</v>
          </cell>
          <cell r="AJ67">
            <v>3.2414444675470211E-3</v>
          </cell>
          <cell r="AK67">
            <v>4.0518055844337763E-4</v>
          </cell>
          <cell r="AL67">
            <v>2.848285966000779E-5</v>
          </cell>
          <cell r="AM67">
            <v>9.7544039931533522E-9</v>
          </cell>
          <cell r="AN67">
            <v>2.752176790891497E-5</v>
          </cell>
          <cell r="AO67">
            <v>9.4252629825051262E-9</v>
          </cell>
          <cell r="AP67">
            <v>5.5766695566894412E-6</v>
          </cell>
          <cell r="AQ67">
            <v>1.9098183413320002E-9</v>
          </cell>
          <cell r="AR67">
            <v>4.1825021675170793E-5</v>
          </cell>
          <cell r="AS67">
            <v>1.432363755999E-8</v>
          </cell>
          <cell r="AT67">
            <v>1.307210035437636E-4</v>
          </cell>
          <cell r="AU67">
            <v>4.4767466967042332E-8</v>
          </cell>
          <cell r="AV67">
            <v>5</v>
          </cell>
          <cell r="AW67">
            <v>10</v>
          </cell>
          <cell r="AX67">
            <v>10</v>
          </cell>
          <cell r="AY67">
            <v>0</v>
          </cell>
          <cell r="AZ67">
            <v>2.3255813953488373</v>
          </cell>
          <cell r="BA67">
            <v>0</v>
          </cell>
          <cell r="BB67">
            <v>0</v>
          </cell>
        </row>
        <row r="68">
          <cell r="C68" t="str">
            <v>Horizontal Pad 2</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row>
        <row r="69">
          <cell r="C69" t="str">
            <v>HDRD2-T2</v>
          </cell>
          <cell r="D69" t="e">
            <v>#N/A</v>
          </cell>
          <cell r="E69" t="str">
            <v>HDRD2</v>
          </cell>
          <cell r="F69" t="str">
            <v>Drilling Rd Dust -Rig 2</v>
          </cell>
          <cell r="G69" t="str">
            <v>2-23a</v>
          </cell>
          <cell r="H69" t="str">
            <v>Volume</v>
          </cell>
          <cell r="I69" t="str">
            <v>TWIN: Non-Construction Equipment Tailpipe Emissions</v>
          </cell>
          <cell r="J69" t="str">
            <v>T2</v>
          </cell>
          <cell r="K69">
            <v>71.123599999999996</v>
          </cell>
          <cell r="L69">
            <v>0</v>
          </cell>
          <cell r="M69">
            <v>0</v>
          </cell>
          <cell r="N69">
            <v>0</v>
          </cell>
          <cell r="O69">
            <v>45</v>
          </cell>
          <cell r="P69">
            <v>0</v>
          </cell>
          <cell r="Q69">
            <v>45</v>
          </cell>
          <cell r="R69">
            <v>2025</v>
          </cell>
          <cell r="S69">
            <v>0</v>
          </cell>
          <cell r="T69">
            <v>0</v>
          </cell>
          <cell r="U69">
            <v>5</v>
          </cell>
          <cell r="V69">
            <v>2.5</v>
          </cell>
          <cell r="W69" t="str">
            <v>S</v>
          </cell>
          <cell r="X69" t="str">
            <v>S</v>
          </cell>
          <cell r="Y69">
            <v>0</v>
          </cell>
          <cell r="Z69" t="str">
            <v/>
          </cell>
          <cell r="AA69" t="str">
            <v/>
          </cell>
          <cell r="AB69" t="str">
            <v/>
          </cell>
          <cell r="AC69" t="str">
            <v/>
          </cell>
          <cell r="AD69" t="str">
            <v/>
          </cell>
          <cell r="AE69" t="str">
            <v/>
          </cell>
          <cell r="AF69">
            <v>2.5670098845656737</v>
          </cell>
          <cell r="AG69">
            <v>14.158195052884107</v>
          </cell>
          <cell r="AH69">
            <v>0.25670098845656736</v>
          </cell>
          <cell r="AI69">
            <v>1.4158195052884106</v>
          </cell>
          <cell r="AJ69" t="str">
            <v/>
          </cell>
          <cell r="AK69" t="str">
            <v/>
          </cell>
          <cell r="AL69" t="str">
            <v/>
          </cell>
          <cell r="AM69" t="str">
            <v/>
          </cell>
          <cell r="AN69" t="str">
            <v/>
          </cell>
          <cell r="AO69" t="str">
            <v/>
          </cell>
          <cell r="AP69" t="str">
            <v/>
          </cell>
          <cell r="AQ69" t="str">
            <v/>
          </cell>
          <cell r="AR69" t="str">
            <v/>
          </cell>
          <cell r="AS69" t="str">
            <v/>
          </cell>
          <cell r="AT69" t="e">
            <v>#VALUE!</v>
          </cell>
          <cell r="AU69" t="str">
            <v/>
          </cell>
          <cell r="AV69">
            <v>2.5</v>
          </cell>
          <cell r="AW69">
            <v>45</v>
          </cell>
          <cell r="AX69">
            <v>45</v>
          </cell>
          <cell r="AY69">
            <v>0</v>
          </cell>
          <cell r="AZ69">
            <v>1.1627906976744187</v>
          </cell>
          <cell r="BA69">
            <v>0</v>
          </cell>
          <cell r="BB69">
            <v>0</v>
          </cell>
        </row>
        <row r="70">
          <cell r="C70" t="str">
            <v>HRRD-T2</v>
          </cell>
          <cell r="D70" t="e">
            <v>#N/A</v>
          </cell>
          <cell r="E70" t="str">
            <v>HRRD</v>
          </cell>
          <cell r="F70" t="str">
            <v>Rig_Up_Down_Rd_Dust</v>
          </cell>
          <cell r="G70" t="str">
            <v>2-23c</v>
          </cell>
          <cell r="H70" t="str">
            <v>Volume</v>
          </cell>
          <cell r="I70" t="str">
            <v>TWIN: Construction Equipment Tailpipe Emissions - Pad Construction</v>
          </cell>
          <cell r="J70" t="str">
            <v>T2</v>
          </cell>
          <cell r="K70">
            <v>71.123599999999996</v>
          </cell>
          <cell r="L70">
            <v>0</v>
          </cell>
          <cell r="M70">
            <v>0</v>
          </cell>
          <cell r="N70">
            <v>0</v>
          </cell>
          <cell r="O70">
            <v>45</v>
          </cell>
          <cell r="P70">
            <v>0</v>
          </cell>
          <cell r="Q70">
            <v>45</v>
          </cell>
          <cell r="R70">
            <v>2025</v>
          </cell>
          <cell r="S70">
            <v>0</v>
          </cell>
          <cell r="T70">
            <v>0</v>
          </cell>
          <cell r="U70">
            <v>10</v>
          </cell>
          <cell r="V70">
            <v>5</v>
          </cell>
          <cell r="W70" t="str">
            <v>S</v>
          </cell>
          <cell r="X70" t="str">
            <v>S</v>
          </cell>
          <cell r="Y70">
            <v>0</v>
          </cell>
          <cell r="Z70" t="str">
            <v/>
          </cell>
          <cell r="AA70" t="str">
            <v/>
          </cell>
          <cell r="AB70" t="str">
            <v/>
          </cell>
          <cell r="AC70" t="str">
            <v/>
          </cell>
          <cell r="AD70" t="str">
            <v/>
          </cell>
          <cell r="AE70" t="str">
            <v/>
          </cell>
          <cell r="AF70">
            <v>4.5568146255332322E-3</v>
          </cell>
          <cell r="AG70">
            <v>0.45573909812647356</v>
          </cell>
          <cell r="AH70">
            <v>4.5568146255332322E-4</v>
          </cell>
          <cell r="AI70">
            <v>4.5573909812647355E-2</v>
          </cell>
          <cell r="AJ70" t="str">
            <v/>
          </cell>
          <cell r="AK70" t="str">
            <v/>
          </cell>
          <cell r="AL70" t="str">
            <v/>
          </cell>
          <cell r="AM70" t="str">
            <v/>
          </cell>
          <cell r="AN70" t="str">
            <v/>
          </cell>
          <cell r="AO70" t="str">
            <v/>
          </cell>
          <cell r="AP70" t="str">
            <v/>
          </cell>
          <cell r="AQ70" t="str">
            <v/>
          </cell>
          <cell r="AR70" t="str">
            <v/>
          </cell>
          <cell r="AS70" t="str">
            <v/>
          </cell>
          <cell r="AT70" t="str">
            <v/>
          </cell>
          <cell r="AU70" t="str">
            <v/>
          </cell>
          <cell r="AV70">
            <v>5</v>
          </cell>
          <cell r="AW70">
            <v>45</v>
          </cell>
          <cell r="AX70">
            <v>45</v>
          </cell>
          <cell r="AY70">
            <v>0</v>
          </cell>
          <cell r="AZ70">
            <v>2.3255813953488373</v>
          </cell>
          <cell r="BA70">
            <v>0</v>
          </cell>
          <cell r="BB70">
            <v>0</v>
          </cell>
        </row>
        <row r="71">
          <cell r="C71" t="str">
            <v>HDME2-T2</v>
          </cell>
          <cell r="D71" t="e">
            <v>#N/A</v>
          </cell>
          <cell r="E71" t="str">
            <v>HDME2</v>
          </cell>
          <cell r="F71" t="str">
            <v>Drilling Mobile Exhaust - DR2</v>
          </cell>
          <cell r="G71" t="str">
            <v>2-24</v>
          </cell>
          <cell r="H71" t="str">
            <v>Volume</v>
          </cell>
          <cell r="I71" t="str">
            <v>TWIN: Non-Construction Equipment Tailpipe Emissions</v>
          </cell>
          <cell r="J71" t="str">
            <v>T2</v>
          </cell>
          <cell r="K71">
            <v>71.123599999999996</v>
          </cell>
          <cell r="L71">
            <v>0</v>
          </cell>
          <cell r="M71">
            <v>0</v>
          </cell>
          <cell r="N71">
            <v>0</v>
          </cell>
          <cell r="O71">
            <v>45</v>
          </cell>
          <cell r="P71">
            <v>0</v>
          </cell>
          <cell r="Q71">
            <v>45</v>
          </cell>
          <cell r="R71">
            <v>2025</v>
          </cell>
          <cell r="S71">
            <v>0</v>
          </cell>
          <cell r="T71">
            <v>0</v>
          </cell>
          <cell r="U71">
            <v>5</v>
          </cell>
          <cell r="V71">
            <v>2.5</v>
          </cell>
          <cell r="W71" t="str">
            <v>S</v>
          </cell>
          <cell r="X71" t="str">
            <v>S</v>
          </cell>
          <cell r="Y71">
            <v>0</v>
          </cell>
          <cell r="Z71">
            <v>0.12732403080256796</v>
          </cell>
          <cell r="AA71">
            <v>2.2674142471690188E-2</v>
          </cell>
          <cell r="AB71">
            <v>7.4971739336686079E-4</v>
          </cell>
          <cell r="AC71">
            <v>7.4971739336686079E-4</v>
          </cell>
          <cell r="AD71">
            <v>7.435035251120726E-4</v>
          </cell>
          <cell r="AE71">
            <v>1.3351131662697518E-4</v>
          </cell>
          <cell r="AF71">
            <v>1.8159517426115776E-3</v>
          </cell>
          <cell r="AG71">
            <v>1.0108048880526115E-2</v>
          </cell>
          <cell r="AH71">
            <v>9.9015997421143895E-4</v>
          </cell>
          <cell r="AI71">
            <v>5.5210171340682214E-3</v>
          </cell>
          <cell r="AJ71">
            <v>5.2120558572246144E-2</v>
          </cell>
          <cell r="AK71">
            <v>5.2101641086081701E-2</v>
          </cell>
          <cell r="AL71">
            <v>5.8930545553806381E-5</v>
          </cell>
          <cell r="AM71">
            <v>1.0494480715061409E-5</v>
          </cell>
          <cell r="AN71">
            <v>1.2743426884893967E-4</v>
          </cell>
          <cell r="AO71">
            <v>2.2693773904605691E-5</v>
          </cell>
          <cell r="AP71">
            <v>3.2784015858180251E-5</v>
          </cell>
          <cell r="AQ71">
            <v>5.8382493994019633E-6</v>
          </cell>
          <cell r="AR71">
            <v>1.2220341671695281E-4</v>
          </cell>
          <cell r="AS71">
            <v>2.1762252292060083E-5</v>
          </cell>
          <cell r="AT71">
            <v>5.0947989495407708E-5</v>
          </cell>
          <cell r="AU71">
            <v>9.0729296361684947E-6</v>
          </cell>
          <cell r="AV71">
            <v>2.5</v>
          </cell>
          <cell r="AW71">
            <v>45</v>
          </cell>
          <cell r="AX71">
            <v>45</v>
          </cell>
          <cell r="AY71">
            <v>0</v>
          </cell>
          <cell r="AZ71">
            <v>1.1627906976744187</v>
          </cell>
          <cell r="BA71">
            <v>0</v>
          </cell>
          <cell r="BB71">
            <v>0</v>
          </cell>
        </row>
        <row r="72">
          <cell r="C72" t="str">
            <v>HRME-T2</v>
          </cell>
          <cell r="D72" t="e">
            <v>#N/A</v>
          </cell>
          <cell r="E72" t="str">
            <v>HRME</v>
          </cell>
          <cell r="F72" t="str">
            <v>Rig_Up_down Mobile Exhaust</v>
          </cell>
          <cell r="G72" t="str">
            <v>2-26</v>
          </cell>
          <cell r="H72" t="str">
            <v>Volume</v>
          </cell>
          <cell r="I72" t="str">
            <v>TWIN: Construction Equipment Tailpipe Emissions - Pad Construction</v>
          </cell>
          <cell r="J72" t="str">
            <v>T2</v>
          </cell>
          <cell r="K72">
            <v>71.123599999999996</v>
          </cell>
          <cell r="L72">
            <v>0</v>
          </cell>
          <cell r="M72">
            <v>0</v>
          </cell>
          <cell r="N72">
            <v>0</v>
          </cell>
          <cell r="O72">
            <v>45</v>
          </cell>
          <cell r="P72">
            <v>0</v>
          </cell>
          <cell r="Q72">
            <v>45</v>
          </cell>
          <cell r="R72">
            <v>2025</v>
          </cell>
          <cell r="S72">
            <v>0</v>
          </cell>
          <cell r="T72">
            <v>0</v>
          </cell>
          <cell r="U72">
            <v>10</v>
          </cell>
          <cell r="V72">
            <v>5</v>
          </cell>
          <cell r="W72" t="str">
            <v>S</v>
          </cell>
          <cell r="X72" t="str">
            <v>S</v>
          </cell>
          <cell r="Y72">
            <v>0</v>
          </cell>
          <cell r="Z72">
            <v>7.7784900304829121E-3</v>
          </cell>
          <cell r="AA72">
            <v>2.6638664487955177E-5</v>
          </cell>
          <cell r="AB72">
            <v>4.0990703460797486E-5</v>
          </cell>
          <cell r="AC72">
            <v>4.0990703460797486E-5</v>
          </cell>
          <cell r="AD72">
            <v>1.4911653905111257E-5</v>
          </cell>
          <cell r="AE72">
            <v>1.4037912144108728E-7</v>
          </cell>
          <cell r="AF72">
            <v>1.8341899402159909E-6</v>
          </cell>
          <cell r="AG72">
            <v>1.9231669149843923E-4</v>
          </cell>
          <cell r="AH72">
            <v>9.3401995181116272E-7</v>
          </cell>
          <cell r="AI72">
            <v>9.988266713723012E-5</v>
          </cell>
          <cell r="AJ72">
            <v>6.5953286150031206E-3</v>
          </cell>
          <cell r="AK72">
            <v>6.3962064336260255E-3</v>
          </cell>
          <cell r="AL72">
            <v>6.2402320587168237E-6</v>
          </cell>
          <cell r="AM72">
            <v>2.1370657735331589E-8</v>
          </cell>
          <cell r="AN72">
            <v>9.7186363525665636E-6</v>
          </cell>
          <cell r="AO72">
            <v>3.3283001207419745E-8</v>
          </cell>
          <cell r="AP72">
            <v>2.5495942207074583E-6</v>
          </cell>
          <cell r="AQ72">
            <v>8.731487057217324E-9</v>
          </cell>
          <cell r="AR72">
            <v>9.7107850817932191E-6</v>
          </cell>
          <cell r="AS72">
            <v>3.3256113293812399E-8</v>
          </cell>
          <cell r="AT72">
            <v>2.8452115699138078E-6</v>
          </cell>
          <cell r="AU72">
            <v>9.7438752394308488E-9</v>
          </cell>
          <cell r="AV72">
            <v>5</v>
          </cell>
          <cell r="AW72">
            <v>45</v>
          </cell>
          <cell r="AX72">
            <v>45</v>
          </cell>
          <cell r="AY72">
            <v>0</v>
          </cell>
          <cell r="AZ72">
            <v>2.3255813953488373</v>
          </cell>
          <cell r="BA72">
            <v>0</v>
          </cell>
          <cell r="BB72">
            <v>0</v>
          </cell>
        </row>
        <row r="73">
          <cell r="C73" t="str">
            <v>HDC-T2</v>
          </cell>
          <cell r="D73" t="e">
            <v>#N/A</v>
          </cell>
          <cell r="E73" t="str">
            <v>HDC</v>
          </cell>
          <cell r="F73" t="str">
            <v>Drilling Construction</v>
          </cell>
          <cell r="G73" t="str">
            <v>2-27</v>
          </cell>
          <cell r="H73" t="str">
            <v>Volume</v>
          </cell>
          <cell r="I73" t="str">
            <v>TWIN: Pad Construction Surface Disturbance</v>
          </cell>
          <cell r="J73" t="str">
            <v>T2</v>
          </cell>
          <cell r="K73">
            <v>71.123599999999996</v>
          </cell>
          <cell r="L73">
            <v>0</v>
          </cell>
          <cell r="M73">
            <v>0</v>
          </cell>
          <cell r="N73">
            <v>0</v>
          </cell>
          <cell r="O73">
            <v>45</v>
          </cell>
          <cell r="P73">
            <v>0</v>
          </cell>
          <cell r="Q73">
            <v>45</v>
          </cell>
          <cell r="R73">
            <v>2025</v>
          </cell>
          <cell r="S73">
            <v>0</v>
          </cell>
          <cell r="T73">
            <v>0</v>
          </cell>
          <cell r="U73">
            <v>6.0960000000000001</v>
          </cell>
          <cell r="V73">
            <v>3.048</v>
          </cell>
          <cell r="W73" t="str">
            <v>S</v>
          </cell>
          <cell r="X73" t="str">
            <v>S</v>
          </cell>
          <cell r="Y73">
            <v>0</v>
          </cell>
          <cell r="Z73">
            <v>2.5018268481498459E-2</v>
          </cell>
          <cell r="AA73">
            <v>1.075134796246112E-3</v>
          </cell>
          <cell r="AB73">
            <v>9.2631520567388066E-5</v>
          </cell>
          <cell r="AC73">
            <v>9.2631520567388066E-5</v>
          </cell>
          <cell r="AD73">
            <v>7.7192933806156724E-5</v>
          </cell>
          <cell r="AE73">
            <v>2.9917586243163767E-6</v>
          </cell>
          <cell r="AF73">
            <v>7.8799180444408726E-5</v>
          </cell>
          <cell r="AG73">
            <v>1.4181984030264107E-3</v>
          </cell>
          <cell r="AH73">
            <v>7.6435204931581154E-5</v>
          </cell>
          <cell r="AI73">
            <v>1.3756525419132653E-3</v>
          </cell>
          <cell r="AJ73">
            <v>1.5855322051743254E-2</v>
          </cell>
          <cell r="AK73">
            <v>1.5855322051743254E-2</v>
          </cell>
          <cell r="AL73">
            <v>1.2356369087696773E-4</v>
          </cell>
          <cell r="AM73">
            <v>4.3918945927198909E-6</v>
          </cell>
          <cell r="AN73">
            <v>9.0911506775693334E-5</v>
          </cell>
          <cell r="AO73">
            <v>3.2310448753701046E-6</v>
          </cell>
          <cell r="AP73">
            <v>1.8807422219241955E-5</v>
          </cell>
          <cell r="AQ73">
            <v>6.6830260742762273E-7</v>
          </cell>
          <cell r="AR73">
            <v>6.4302379728464813E-5</v>
          </cell>
          <cell r="AS73">
            <v>2.2853289452686249E-6</v>
          </cell>
          <cell r="AT73">
            <v>9.6631526385553059E-6</v>
          </cell>
          <cell r="AU73">
            <v>3.4346056038229826E-7</v>
          </cell>
          <cell r="AV73">
            <v>3.048</v>
          </cell>
          <cell r="AW73">
            <v>45</v>
          </cell>
          <cell r="AX73">
            <v>45</v>
          </cell>
          <cell r="AY73">
            <v>0</v>
          </cell>
          <cell r="AZ73">
            <v>1.4176744186046513</v>
          </cell>
          <cell r="BA73" t="str">
            <v>HROFDAY</v>
          </cell>
          <cell r="BB73" t="str">
            <v>0  0  0  0  0  0  1  1  1  1  1  1  1  1  1  1  1  1  0  0  0  0  0  0  0</v>
          </cell>
        </row>
        <row r="74">
          <cell r="C74" t="str">
            <v>HRCE-T2</v>
          </cell>
          <cell r="D74" t="e">
            <v>#N/A</v>
          </cell>
          <cell r="E74" t="str">
            <v>HRCE</v>
          </cell>
          <cell r="F74" t="str">
            <v>Rig Up_down Construction equipment</v>
          </cell>
          <cell r="G74" t="str">
            <v>2-29</v>
          </cell>
          <cell r="H74" t="str">
            <v>Volume</v>
          </cell>
          <cell r="I74" t="str">
            <v>TWIN: Construction Equipment Tailpipe Emissions - Pad Construction</v>
          </cell>
          <cell r="J74" t="str">
            <v>T2</v>
          </cell>
          <cell r="K74">
            <v>71.123599999999996</v>
          </cell>
          <cell r="L74">
            <v>0</v>
          </cell>
          <cell r="M74">
            <v>0</v>
          </cell>
          <cell r="N74">
            <v>0</v>
          </cell>
          <cell r="O74">
            <v>45</v>
          </cell>
          <cell r="P74">
            <v>0</v>
          </cell>
          <cell r="Q74">
            <v>45</v>
          </cell>
          <cell r="R74">
            <v>2025</v>
          </cell>
          <cell r="S74">
            <v>0</v>
          </cell>
          <cell r="T74">
            <v>0</v>
          </cell>
          <cell r="U74">
            <v>10</v>
          </cell>
          <cell r="V74">
            <v>5</v>
          </cell>
          <cell r="W74" t="str">
            <v>S</v>
          </cell>
          <cell r="X74" t="str">
            <v>S</v>
          </cell>
          <cell r="Y74">
            <v>0</v>
          </cell>
          <cell r="Z74">
            <v>8.6536407634378448E-2</v>
          </cell>
          <cell r="AA74">
            <v>5.7391474996928505E-4</v>
          </cell>
          <cell r="AB74">
            <v>9.9271049558068321E-5</v>
          </cell>
          <cell r="AC74">
            <v>9.9271049558068321E-5</v>
          </cell>
          <cell r="AD74">
            <v>8.2725874631723578E-5</v>
          </cell>
          <cell r="AE74">
            <v>5.6215273017980058E-7</v>
          </cell>
          <cell r="AF74">
            <v>3.2547011630872825E-5</v>
          </cell>
          <cell r="AG74">
            <v>4.1020122973947828E-3</v>
          </cell>
          <cell r="AH74">
            <v>3.2529490367567291E-5</v>
          </cell>
          <cell r="AI74">
            <v>4.0956170362882625E-3</v>
          </cell>
          <cell r="AJ74">
            <v>5.9485115733363202E-2</v>
          </cell>
          <cell r="AK74">
            <v>5.9485115733363202E-2</v>
          </cell>
          <cell r="AL74">
            <v>1.2408313891174965E-4</v>
          </cell>
          <cell r="AM74">
            <v>7.1959881256461129E-7</v>
          </cell>
          <cell r="AN74">
            <v>7.6028918645355272E-5</v>
          </cell>
          <cell r="AO74">
            <v>5.2922417227628686E-7</v>
          </cell>
          <cell r="AP74">
            <v>1.8921765057150421E-5</v>
          </cell>
          <cell r="AQ74">
            <v>1.097457820713389E-7</v>
          </cell>
          <cell r="AR74">
            <v>6.4630531281278556E-5</v>
          </cell>
          <cell r="AS74">
            <v>3.7488784679080204E-7</v>
          </cell>
          <cell r="AT74">
            <v>9.7134465099389437E-6</v>
          </cell>
          <cell r="AU74">
            <v>5.6338363845583222E-8</v>
          </cell>
          <cell r="AV74">
            <v>5</v>
          </cell>
          <cell r="AW74">
            <v>45</v>
          </cell>
          <cell r="AX74">
            <v>45</v>
          </cell>
          <cell r="AY74">
            <v>0</v>
          </cell>
          <cell r="AZ74">
            <v>2.3255813953488373</v>
          </cell>
          <cell r="BA74" t="str">
            <v>HROFDAY</v>
          </cell>
          <cell r="BB74" t="str">
            <v>0  0  0  0  0  0  1  1  1  1  1  1  1  1  1  1  1  1  0  0  0  0  0  0  0</v>
          </cell>
        </row>
        <row r="75">
          <cell r="C75" t="str">
            <v>HPRDN-T2</v>
          </cell>
          <cell r="D75" t="e">
            <v>#N/A</v>
          </cell>
          <cell r="E75" t="str">
            <v>HPRDN</v>
          </cell>
          <cell r="F75" t="str">
            <v>Production Rd  Dust New Well</v>
          </cell>
          <cell r="G75" t="str">
            <v>2-35</v>
          </cell>
          <cell r="H75" t="str">
            <v>Volume</v>
          </cell>
          <cell r="I75" t="str">
            <v>TWIN: Non-Construction Equipment Tailpipe Emissions</v>
          </cell>
          <cell r="J75" t="str">
            <v>T2</v>
          </cell>
          <cell r="K75">
            <v>71.123599999999996</v>
          </cell>
          <cell r="L75">
            <v>0</v>
          </cell>
          <cell r="M75">
            <v>0</v>
          </cell>
          <cell r="N75">
            <v>0</v>
          </cell>
          <cell r="O75">
            <v>45</v>
          </cell>
          <cell r="P75">
            <v>0</v>
          </cell>
          <cell r="Q75">
            <v>45</v>
          </cell>
          <cell r="R75">
            <v>2025</v>
          </cell>
          <cell r="S75">
            <v>0</v>
          </cell>
          <cell r="T75">
            <v>0</v>
          </cell>
          <cell r="U75">
            <v>5</v>
          </cell>
          <cell r="V75">
            <v>2.5</v>
          </cell>
          <cell r="W75" t="str">
            <v>S</v>
          </cell>
          <cell r="X75" t="str">
            <v>S</v>
          </cell>
          <cell r="Y75">
            <v>0</v>
          </cell>
          <cell r="Z75" t="str">
            <v/>
          </cell>
          <cell r="AA75" t="str">
            <v/>
          </cell>
          <cell r="AB75" t="str">
            <v/>
          </cell>
          <cell r="AC75" t="str">
            <v/>
          </cell>
          <cell r="AD75" t="str">
            <v/>
          </cell>
          <cell r="AE75" t="str">
            <v/>
          </cell>
          <cell r="AF75">
            <v>0.26510823393820115</v>
          </cell>
          <cell r="AG75">
            <v>0.57881261904295189</v>
          </cell>
          <cell r="AH75">
            <v>2.6607587225399382E-2</v>
          </cell>
          <cell r="AI75">
            <v>5.7620529786716029E-2</v>
          </cell>
          <cell r="AJ75" t="str">
            <v/>
          </cell>
          <cell r="AK75" t="str">
            <v/>
          </cell>
          <cell r="AL75" t="str">
            <v/>
          </cell>
          <cell r="AM75" t="str">
            <v/>
          </cell>
          <cell r="AN75" t="str">
            <v/>
          </cell>
          <cell r="AO75" t="str">
            <v/>
          </cell>
          <cell r="AP75" t="str">
            <v/>
          </cell>
          <cell r="AQ75" t="str">
            <v/>
          </cell>
          <cell r="AR75" t="str">
            <v/>
          </cell>
          <cell r="AS75" t="str">
            <v/>
          </cell>
          <cell r="AT75" t="str">
            <v/>
          </cell>
          <cell r="AU75" t="str">
            <v/>
          </cell>
          <cell r="AV75">
            <v>2.5</v>
          </cell>
          <cell r="AW75">
            <v>45</v>
          </cell>
          <cell r="AX75">
            <v>45</v>
          </cell>
          <cell r="AY75">
            <v>0</v>
          </cell>
          <cell r="AZ75">
            <v>1.1627906976744187</v>
          </cell>
          <cell r="BA75" t="str">
            <v>HROFDAY</v>
          </cell>
          <cell r="BB75" t="str">
            <v>0  0  0  0  0  0  0  0   1  1  1  1  1  1  1  1  1  1  0  0  0  0  0  0</v>
          </cell>
        </row>
        <row r="76">
          <cell r="C76" t="str">
            <v>HPMEN-T2</v>
          </cell>
          <cell r="D76" t="e">
            <v>#N/A</v>
          </cell>
          <cell r="E76" t="str">
            <v>HPMEN</v>
          </cell>
          <cell r="F76" t="str">
            <v>Prd. Mobile Exhaust - New Well</v>
          </cell>
          <cell r="G76" t="str">
            <v>2-36</v>
          </cell>
          <cell r="H76" t="str">
            <v>Volume</v>
          </cell>
          <cell r="I76" t="str">
            <v>TWIN: Non-Construction Equipment Tailpipe Emissions</v>
          </cell>
          <cell r="J76" t="str">
            <v>T2</v>
          </cell>
          <cell r="K76">
            <v>71.123599999999996</v>
          </cell>
          <cell r="L76">
            <v>0</v>
          </cell>
          <cell r="M76">
            <v>0</v>
          </cell>
          <cell r="N76">
            <v>0</v>
          </cell>
          <cell r="O76">
            <v>45</v>
          </cell>
          <cell r="P76">
            <v>0</v>
          </cell>
          <cell r="Q76">
            <v>45</v>
          </cell>
          <cell r="R76">
            <v>2025</v>
          </cell>
          <cell r="S76">
            <v>0</v>
          </cell>
          <cell r="T76">
            <v>0</v>
          </cell>
          <cell r="U76">
            <v>5</v>
          </cell>
          <cell r="V76">
            <v>2.5</v>
          </cell>
          <cell r="W76" t="str">
            <v>S</v>
          </cell>
          <cell r="X76" t="str">
            <v>S</v>
          </cell>
          <cell r="Y76">
            <v>0</v>
          </cell>
          <cell r="Z76">
            <v>2.0407821630127894E-2</v>
          </cell>
          <cell r="AA76">
            <v>1.4980490385297779E-3</v>
          </cell>
          <cell r="AB76">
            <v>3.4919926566030096E-4</v>
          </cell>
          <cell r="AC76">
            <v>1.1639975522010031E-4</v>
          </cell>
          <cell r="AD76">
            <v>3.4919926566030094E-5</v>
          </cell>
          <cell r="AE76">
            <v>3.0632197955227528E-5</v>
          </cell>
          <cell r="AF76">
            <v>3.6794171422557088E-4</v>
          </cell>
          <cell r="AG76">
            <v>4.2428900483333334E-4</v>
          </cell>
          <cell r="AH76">
            <v>2.4491426432216045E-4</v>
          </cell>
          <cell r="AI76">
            <v>2.7707423774479166E-4</v>
          </cell>
          <cell r="AJ76">
            <v>0.23068702190246523</v>
          </cell>
          <cell r="AK76">
            <v>2.8835877737808154E-2</v>
          </cell>
          <cell r="AL76">
            <v>1.1036343368616901E-4</v>
          </cell>
          <cell r="AM76">
            <v>1.0460411964705213E-5</v>
          </cell>
          <cell r="AN76">
            <v>5.2255572027604168E-4</v>
          </cell>
          <cell r="AO76">
            <v>4.9804395505769126E-5</v>
          </cell>
          <cell r="AP76">
            <v>8.5048983613865734E-5</v>
          </cell>
          <cell r="AQ76">
            <v>8.0698302706352672E-6</v>
          </cell>
          <cell r="AR76">
            <v>2.4485120504727665E-3</v>
          </cell>
          <cell r="AS76">
            <v>2.3427615111524096E-4</v>
          </cell>
          <cell r="AT76">
            <v>1.3061440395370369E-4</v>
          </cell>
          <cell r="AU76">
            <v>1.2364081807399797E-5</v>
          </cell>
          <cell r="AV76">
            <v>2.5</v>
          </cell>
          <cell r="AW76">
            <v>45</v>
          </cell>
          <cell r="AX76">
            <v>45</v>
          </cell>
          <cell r="AY76">
            <v>0</v>
          </cell>
          <cell r="AZ76">
            <v>1.1627906976744187</v>
          </cell>
          <cell r="BA76" t="str">
            <v>HROFDAY</v>
          </cell>
          <cell r="BB76" t="str">
            <v>0  0  0  0  0  0  0  0   1  1  1  1  1  1  1  1  1  1  0  0  0  0  0  0</v>
          </cell>
        </row>
        <row r="77">
          <cell r="C77" t="str">
            <v>HPH-T2</v>
          </cell>
          <cell r="D77" t="e">
            <v>#N/A</v>
          </cell>
          <cell r="E77" t="str">
            <v>HPH</v>
          </cell>
          <cell r="F77" t="str">
            <v>Production Heater</v>
          </cell>
          <cell r="G77" t="str">
            <v>2-40</v>
          </cell>
          <cell r="H77" t="str">
            <v>Volume</v>
          </cell>
          <cell r="I77" t="str">
            <v>Heater</v>
          </cell>
          <cell r="J77" t="str">
            <v>T2</v>
          </cell>
          <cell r="K77">
            <v>71.123599999999996</v>
          </cell>
          <cell r="L77">
            <v>0</v>
          </cell>
          <cell r="M77">
            <v>0</v>
          </cell>
          <cell r="N77">
            <v>0</v>
          </cell>
          <cell r="O77">
            <v>0</v>
          </cell>
          <cell r="P77">
            <v>0</v>
          </cell>
          <cell r="Q77">
            <v>0</v>
          </cell>
          <cell r="R77">
            <v>0</v>
          </cell>
          <cell r="S77">
            <v>0</v>
          </cell>
          <cell r="T77">
            <v>0</v>
          </cell>
          <cell r="U77">
            <v>0</v>
          </cell>
          <cell r="V77">
            <v>0</v>
          </cell>
          <cell r="W77" t="str">
            <v>S</v>
          </cell>
          <cell r="X77" t="str">
            <v>S</v>
          </cell>
          <cell r="Y77">
            <v>0</v>
          </cell>
          <cell r="Z77">
            <v>4.9410933551198256E-3</v>
          </cell>
          <cell r="AA77">
            <v>4.9410933551198256E-3</v>
          </cell>
          <cell r="AB77">
            <v>2.9771353341975505E-4</v>
          </cell>
          <cell r="AC77">
            <v>2.9771353341975505E-4</v>
          </cell>
          <cell r="AD77">
            <v>2.9771353341975505E-4</v>
          </cell>
          <cell r="AE77">
            <v>2.9771353341975505E-4</v>
          </cell>
          <cell r="AF77">
            <v>3.7552309498910681E-4</v>
          </cell>
          <cell r="AG77">
            <v>3.7552309498910681E-4</v>
          </cell>
          <cell r="AH77">
            <v>3.7552309498910681E-4</v>
          </cell>
          <cell r="AI77">
            <v>3.7552309498910681E-4</v>
          </cell>
          <cell r="AJ77">
            <v>4.1505184183006543E-3</v>
          </cell>
          <cell r="AK77">
            <v>0</v>
          </cell>
          <cell r="AL77">
            <v>7.7393475751263511E-8</v>
          </cell>
          <cell r="AM77">
            <v>7.7393475751263511E-8</v>
          </cell>
          <cell r="AN77">
            <v>7.4620796256974713E-8</v>
          </cell>
          <cell r="AO77">
            <v>7.4620796256974713E-8</v>
          </cell>
          <cell r="AP77">
            <v>1.4561120887824058E-8</v>
          </cell>
          <cell r="AQ77">
            <v>1.4561120887824058E-8</v>
          </cell>
          <cell r="AR77">
            <v>1.164306058966292E-7</v>
          </cell>
          <cell r="AS77">
            <v>1.164306058966292E-7</v>
          </cell>
          <cell r="AT77">
            <v>3.5521344347211526E-7</v>
          </cell>
          <cell r="AU77">
            <v>3.5521344347211526E-7</v>
          </cell>
          <cell r="AV77">
            <v>0</v>
          </cell>
          <cell r="AW77">
            <v>0</v>
          </cell>
          <cell r="AX77">
            <v>0</v>
          </cell>
          <cell r="AY77">
            <v>0</v>
          </cell>
          <cell r="AZ77">
            <v>0</v>
          </cell>
          <cell r="BA77" t="str">
            <v>MONTH</v>
          </cell>
          <cell r="BB77" t="str">
            <v>0 0 0 0 1 1 1 1 1 1 1 0</v>
          </cell>
        </row>
        <row r="78">
          <cell r="C78" t="str">
            <v>HOWCF-T2</v>
          </cell>
          <cell r="D78" t="e">
            <v>#N/A</v>
          </cell>
          <cell r="E78" t="str">
            <v>HOWCF</v>
          </cell>
          <cell r="F78" t="str">
            <v>2+ yr Well Cond. Flash - Cntrld</v>
          </cell>
          <cell r="G78" t="str">
            <v>2-46</v>
          </cell>
          <cell r="H78" t="str">
            <v>Volume</v>
          </cell>
          <cell r="I78" t="str">
            <v>Well Production - Single Well</v>
          </cell>
          <cell r="J78" t="str">
            <v>T2</v>
          </cell>
          <cell r="K78">
            <v>71.123599999999996</v>
          </cell>
          <cell r="L78">
            <v>0</v>
          </cell>
          <cell r="M78">
            <v>0</v>
          </cell>
          <cell r="N78">
            <v>0</v>
          </cell>
          <cell r="O78">
            <v>10</v>
          </cell>
          <cell r="P78">
            <v>0</v>
          </cell>
          <cell r="Q78">
            <v>10</v>
          </cell>
          <cell r="R78">
            <v>100</v>
          </cell>
          <cell r="S78">
            <v>0</v>
          </cell>
          <cell r="T78">
            <v>0</v>
          </cell>
          <cell r="U78">
            <v>10</v>
          </cell>
          <cell r="V78">
            <v>5</v>
          </cell>
          <cell r="W78" t="str">
            <v>S</v>
          </cell>
          <cell r="X78" t="str">
            <v>S</v>
          </cell>
          <cell r="Y78">
            <v>0</v>
          </cell>
          <cell r="Z78" t="str">
            <v/>
          </cell>
          <cell r="AA78" t="str">
            <v/>
          </cell>
          <cell r="AB78" t="str">
            <v/>
          </cell>
          <cell r="AC78" t="str">
            <v/>
          </cell>
          <cell r="AD78" t="str">
            <v/>
          </cell>
          <cell r="AE78" t="str">
            <v/>
          </cell>
          <cell r="AF78" t="str">
            <v/>
          </cell>
          <cell r="AG78" t="str">
            <v/>
          </cell>
          <cell r="AH78" t="str">
            <v/>
          </cell>
          <cell r="AI78" t="str">
            <v/>
          </cell>
          <cell r="AJ78" t="str">
            <v/>
          </cell>
          <cell r="AK78" t="str">
            <v/>
          </cell>
          <cell r="AL78" t="str">
            <v/>
          </cell>
          <cell r="AM78" t="str">
            <v/>
          </cell>
          <cell r="AN78" t="str">
            <v/>
          </cell>
          <cell r="AO78" t="str">
            <v/>
          </cell>
          <cell r="AP78" t="str">
            <v/>
          </cell>
          <cell r="AQ78" t="str">
            <v/>
          </cell>
          <cell r="AR78" t="str">
            <v/>
          </cell>
          <cell r="AS78" t="str">
            <v/>
          </cell>
          <cell r="AT78" t="str">
            <v/>
          </cell>
          <cell r="AU78" t="str">
            <v/>
          </cell>
          <cell r="AV78">
            <v>5</v>
          </cell>
          <cell r="AW78">
            <v>10</v>
          </cell>
          <cell r="AX78">
            <v>10</v>
          </cell>
          <cell r="AY78">
            <v>0</v>
          </cell>
          <cell r="AZ78">
            <v>2.3255813953488373</v>
          </cell>
          <cell r="BA78">
            <v>0</v>
          </cell>
          <cell r="BB78">
            <v>0</v>
          </cell>
        </row>
        <row r="79">
          <cell r="C79" t="str">
            <v>HDHYD-T2</v>
          </cell>
          <cell r="D79" t="e">
            <v>#N/A</v>
          </cell>
          <cell r="E79" t="str">
            <v>HDHYD</v>
          </cell>
          <cell r="F79" t="str">
            <v>Dehydrator</v>
          </cell>
          <cell r="G79" t="str">
            <v>2-53</v>
          </cell>
          <cell r="H79" t="str">
            <v>Volume</v>
          </cell>
          <cell r="I79" t="str">
            <v>Heater</v>
          </cell>
          <cell r="J79" t="str">
            <v>T2</v>
          </cell>
          <cell r="K79">
            <v>71.123599999999996</v>
          </cell>
          <cell r="L79">
            <v>0</v>
          </cell>
          <cell r="M79">
            <v>0</v>
          </cell>
          <cell r="N79">
            <v>0</v>
          </cell>
          <cell r="O79">
            <v>0</v>
          </cell>
          <cell r="P79">
            <v>0</v>
          </cell>
          <cell r="Q79">
            <v>0</v>
          </cell>
          <cell r="R79">
            <v>0</v>
          </cell>
          <cell r="S79">
            <v>0</v>
          </cell>
          <cell r="T79">
            <v>0</v>
          </cell>
          <cell r="U79">
            <v>0</v>
          </cell>
          <cell r="V79">
            <v>0</v>
          </cell>
          <cell r="W79" t="str">
            <v>S</v>
          </cell>
          <cell r="X79" t="str">
            <v>S</v>
          </cell>
          <cell r="Y79">
            <v>0</v>
          </cell>
          <cell r="Z79">
            <v>1.1633804304629632E-2</v>
          </cell>
          <cell r="AA79">
            <v>1.1633804304629632E-2</v>
          </cell>
          <cell r="AB79">
            <v>6.362207472789299E-5</v>
          </cell>
          <cell r="AC79">
            <v>6.362207472789299E-5</v>
          </cell>
          <cell r="AD79">
            <v>6.362207472789299E-5</v>
          </cell>
          <cell r="AE79">
            <v>6.362207472789299E-5</v>
          </cell>
          <cell r="AF79">
            <v>1.7215948840912595E-3</v>
          </cell>
          <cell r="AG79">
            <v>1.7215948840912595E-3</v>
          </cell>
          <cell r="AH79">
            <v>1.7215948840912595E-3</v>
          </cell>
          <cell r="AI79">
            <v>1.7215948840912595E-3</v>
          </cell>
          <cell r="AJ79">
            <v>3.5279406555555563E-3</v>
          </cell>
          <cell r="AK79">
            <v>3.5279406555555563E-3</v>
          </cell>
          <cell r="AL79">
            <v>1.2789438291306189E-4</v>
          </cell>
          <cell r="AM79">
            <v>1.2789438291306189E-4</v>
          </cell>
          <cell r="AN79">
            <v>5.834980051896161E-4</v>
          </cell>
          <cell r="AO79">
            <v>5.834980051896161E-4</v>
          </cell>
          <cell r="AP79">
            <v>7.0835869702768849E-5</v>
          </cell>
          <cell r="AQ79">
            <v>7.0835869702768849E-5</v>
          </cell>
          <cell r="AR79">
            <v>9.0536756343906799E-4</v>
          </cell>
          <cell r="AS79">
            <v>9.0536756343906799E-4</v>
          </cell>
          <cell r="AT79">
            <v>1.6484012206273098E-5</v>
          </cell>
          <cell r="AU79">
            <v>1.6484012206273098E-5</v>
          </cell>
          <cell r="AV79">
            <v>0</v>
          </cell>
          <cell r="AW79">
            <v>0</v>
          </cell>
          <cell r="AX79">
            <v>0</v>
          </cell>
          <cell r="AY79">
            <v>0</v>
          </cell>
          <cell r="AZ79">
            <v>0</v>
          </cell>
          <cell r="BA79">
            <v>0</v>
          </cell>
          <cell r="BB79">
            <v>0</v>
          </cell>
        </row>
        <row r="80">
          <cell r="C80" t="str">
            <v>HPMLC-T2</v>
          </cell>
          <cell r="D80" t="e">
            <v>#N/A</v>
          </cell>
          <cell r="E80" t="str">
            <v>HPMLC</v>
          </cell>
          <cell r="F80" t="str">
            <v>"Pneumatic Pumps" &amp; "Liquid Level Controllers"</v>
          </cell>
          <cell r="G80" t="str">
            <v>2-54</v>
          </cell>
          <cell r="H80" t="str">
            <v>Volume</v>
          </cell>
          <cell r="I80" t="str">
            <v>Well Production - Single Well</v>
          </cell>
          <cell r="J80" t="str">
            <v>T2</v>
          </cell>
          <cell r="K80">
            <v>71.123599999999996</v>
          </cell>
          <cell r="L80">
            <v>0</v>
          </cell>
          <cell r="M80">
            <v>0</v>
          </cell>
          <cell r="N80">
            <v>0</v>
          </cell>
          <cell r="O80">
            <v>10</v>
          </cell>
          <cell r="P80">
            <v>0</v>
          </cell>
          <cell r="Q80">
            <v>10</v>
          </cell>
          <cell r="R80">
            <v>100</v>
          </cell>
          <cell r="S80">
            <v>0</v>
          </cell>
          <cell r="T80">
            <v>0</v>
          </cell>
          <cell r="U80">
            <v>10</v>
          </cell>
          <cell r="V80">
            <v>5</v>
          </cell>
          <cell r="W80" t="str">
            <v>S</v>
          </cell>
          <cell r="X80" t="str">
            <v>S</v>
          </cell>
          <cell r="Y80">
            <v>0</v>
          </cell>
          <cell r="Z80">
            <v>2.6459554916666669E-10</v>
          </cell>
          <cell r="AA80">
            <v>1.2081988546423137E-10</v>
          </cell>
          <cell r="AB80">
            <v>1.0573720127858805E-8</v>
          </cell>
          <cell r="AC80">
            <v>1.0573720127858805E-8</v>
          </cell>
          <cell r="AD80">
            <v>1.0573720127858805E-8</v>
          </cell>
          <cell r="AE80">
            <v>4.8281827067848429E-9</v>
          </cell>
          <cell r="AF80">
            <v>0</v>
          </cell>
          <cell r="AG80">
            <v>0</v>
          </cell>
          <cell r="AH80">
            <v>0</v>
          </cell>
          <cell r="AI80">
            <v>0</v>
          </cell>
          <cell r="AJ80">
            <v>6.6148887291666672E-11</v>
          </cell>
          <cell r="AK80">
            <v>6.6148887291666672E-11</v>
          </cell>
          <cell r="AL80">
            <v>3.2093284821875957E-9</v>
          </cell>
          <cell r="AM80">
            <v>2.9186815344095713E-9</v>
          </cell>
          <cell r="AN80">
            <v>3.1010367176809389E-9</v>
          </cell>
          <cell r="AO80">
            <v>2.8201970149381441E-9</v>
          </cell>
          <cell r="AP80">
            <v>6.2835560255072395E-10</v>
          </cell>
          <cell r="AQ80">
            <v>5.7144972986918952E-10</v>
          </cell>
          <cell r="AR80">
            <v>4.3584513008233665E-9</v>
          </cell>
          <cell r="AS80">
            <v>3.9637361525752831E-9</v>
          </cell>
          <cell r="AT80">
            <v>1.472909128159611E-8</v>
          </cell>
          <cell r="AU80">
            <v>1.3395178144221728E-8</v>
          </cell>
          <cell r="AV80">
            <v>5</v>
          </cell>
          <cell r="AW80">
            <v>10</v>
          </cell>
          <cell r="AX80">
            <v>10</v>
          </cell>
          <cell r="AY80">
            <v>0</v>
          </cell>
          <cell r="AZ80">
            <v>2.3255813953488373</v>
          </cell>
          <cell r="BA80">
            <v>0</v>
          </cell>
          <cell r="BB80">
            <v>0</v>
          </cell>
        </row>
        <row r="81">
          <cell r="C81" t="str">
            <v>HBF-T2</v>
          </cell>
          <cell r="D81" t="e">
            <v>#N/A</v>
          </cell>
          <cell r="E81" t="str">
            <v>HBF</v>
          </cell>
          <cell r="F81" t="str">
            <v>Blowdown Flaring</v>
          </cell>
          <cell r="G81" t="str">
            <v>2-56</v>
          </cell>
          <cell r="H81" t="str">
            <v>Volume</v>
          </cell>
          <cell r="I81" t="str">
            <v>Well Production - Single Well</v>
          </cell>
          <cell r="J81" t="str">
            <v>T2</v>
          </cell>
          <cell r="K81">
            <v>71.123599999999996</v>
          </cell>
          <cell r="L81">
            <v>0</v>
          </cell>
          <cell r="M81">
            <v>0</v>
          </cell>
          <cell r="N81">
            <v>0</v>
          </cell>
          <cell r="O81">
            <v>10</v>
          </cell>
          <cell r="P81">
            <v>0</v>
          </cell>
          <cell r="Q81">
            <v>10</v>
          </cell>
          <cell r="R81">
            <v>100</v>
          </cell>
          <cell r="S81">
            <v>0</v>
          </cell>
          <cell r="T81">
            <v>0</v>
          </cell>
          <cell r="U81">
            <v>10</v>
          </cell>
          <cell r="V81">
            <v>5</v>
          </cell>
          <cell r="W81" t="str">
            <v>S</v>
          </cell>
          <cell r="X81" t="str">
            <v>S</v>
          </cell>
          <cell r="Y81">
            <v>0</v>
          </cell>
          <cell r="Z81">
            <v>1.2965777870188084E-2</v>
          </cell>
          <cell r="AA81">
            <v>4.4403348870507141E-6</v>
          </cell>
          <cell r="AB81">
            <v>5.3614233142628704E-6</v>
          </cell>
          <cell r="AC81">
            <v>1.7871411047542901E-6</v>
          </cell>
          <cell r="AD81">
            <v>2.2339263809428626E-7</v>
          </cell>
          <cell r="AE81">
            <v>1.8361038747475584E-9</v>
          </cell>
          <cell r="AF81">
            <v>6.8879891257610591E-7</v>
          </cell>
          <cell r="AG81">
            <v>8.3803867696759547E-5</v>
          </cell>
          <cell r="AH81">
            <v>6.8879891257610591E-7</v>
          </cell>
          <cell r="AI81">
            <v>8.3803867696759547E-5</v>
          </cell>
          <cell r="AJ81">
            <v>3.2414444675470211E-3</v>
          </cell>
          <cell r="AK81">
            <v>4.0518055844337763E-4</v>
          </cell>
          <cell r="AL81">
            <v>2.848285966000779E-5</v>
          </cell>
          <cell r="AM81">
            <v>9.7544039931533522E-9</v>
          </cell>
          <cell r="AN81">
            <v>2.752176790891497E-5</v>
          </cell>
          <cell r="AO81">
            <v>9.4252629825051262E-9</v>
          </cell>
          <cell r="AP81">
            <v>5.5766695566894412E-6</v>
          </cell>
          <cell r="AQ81">
            <v>1.9098183413320002E-9</v>
          </cell>
          <cell r="AR81">
            <v>4.1825021675170793E-5</v>
          </cell>
          <cell r="AS81">
            <v>1.432363755999E-8</v>
          </cell>
          <cell r="AT81">
            <v>1.307210035437636E-4</v>
          </cell>
          <cell r="AU81">
            <v>4.4767466967042332E-8</v>
          </cell>
          <cell r="AV81">
            <v>5</v>
          </cell>
          <cell r="AW81">
            <v>10</v>
          </cell>
          <cell r="AX81">
            <v>10</v>
          </cell>
          <cell r="AY81">
            <v>0</v>
          </cell>
          <cell r="AZ81">
            <v>2.3255813953488373</v>
          </cell>
          <cell r="BA81">
            <v>0</v>
          </cell>
          <cell r="BB81">
            <v>0</v>
          </cell>
        </row>
        <row r="82">
          <cell r="C82">
            <v>0</v>
          </cell>
          <cell r="D82">
            <v>0</v>
          </cell>
          <cell r="E82">
            <v>0</v>
          </cell>
          <cell r="F82">
            <v>0</v>
          </cell>
          <cell r="G82">
            <v>0</v>
          </cell>
          <cell r="H82">
            <v>0</v>
          </cell>
          <cell r="I82">
            <v>0</v>
          </cell>
          <cell r="J82">
            <v>0</v>
          </cell>
          <cell r="K82" t="e">
            <v>#N/A</v>
          </cell>
          <cell r="L82" t="e">
            <v>#N/A</v>
          </cell>
          <cell r="M82" t="e">
            <v>#N/A</v>
          </cell>
          <cell r="N82">
            <v>0</v>
          </cell>
          <cell r="O82" t="e">
            <v>#N/A</v>
          </cell>
          <cell r="P82">
            <v>0</v>
          </cell>
          <cell r="Q82" t="e">
            <v>#N/A</v>
          </cell>
          <cell r="R82" t="e">
            <v>#N/A</v>
          </cell>
          <cell r="S82">
            <v>0</v>
          </cell>
          <cell r="T82" t="e">
            <v>#N/A</v>
          </cell>
          <cell r="U82" t="e">
            <v>#N/A</v>
          </cell>
          <cell r="V82" t="e">
            <v>#N/A</v>
          </cell>
          <cell r="W82" t="str">
            <v>S</v>
          </cell>
          <cell r="X82" t="str">
            <v>S</v>
          </cell>
          <cell r="Y82">
            <v>0</v>
          </cell>
          <cell r="Z82" t="e">
            <v>#N/A</v>
          </cell>
          <cell r="AA82" t="e">
            <v>#N/A</v>
          </cell>
          <cell r="AB82" t="e">
            <v>#N/A</v>
          </cell>
          <cell r="AC82" t="e">
            <v>#N/A</v>
          </cell>
          <cell r="AD82" t="e">
            <v>#N/A</v>
          </cell>
          <cell r="AE82" t="e">
            <v>#N/A</v>
          </cell>
          <cell r="AF82" t="e">
            <v>#N/A</v>
          </cell>
          <cell r="AG82" t="e">
            <v>#N/A</v>
          </cell>
          <cell r="AH82" t="e">
            <v>#N/A</v>
          </cell>
          <cell r="AI82" t="e">
            <v>#N/A</v>
          </cell>
          <cell r="AJ82" t="e">
            <v>#N/A</v>
          </cell>
          <cell r="AK82" t="e">
            <v>#N/A</v>
          </cell>
          <cell r="AL82" t="e">
            <v>#N/A</v>
          </cell>
          <cell r="AM82" t="e">
            <v>#N/A</v>
          </cell>
          <cell r="AN82" t="e">
            <v>#N/A</v>
          </cell>
          <cell r="AO82" t="e">
            <v>#N/A</v>
          </cell>
          <cell r="AP82" t="e">
            <v>#N/A</v>
          </cell>
          <cell r="AQ82" t="e">
            <v>#N/A</v>
          </cell>
          <cell r="AR82" t="e">
            <v>#N/A</v>
          </cell>
          <cell r="AS82" t="e">
            <v>#N/A</v>
          </cell>
          <cell r="AT82" t="e">
            <v>#N/A</v>
          </cell>
          <cell r="AU82" t="e">
            <v>#N/A</v>
          </cell>
          <cell r="AV82" t="e">
            <v>#N/A</v>
          </cell>
          <cell r="AW82" t="e">
            <v>#N/A</v>
          </cell>
          <cell r="AX82" t="e">
            <v>#N/A</v>
          </cell>
          <cell r="AY82" t="e">
            <v>#N/A</v>
          </cell>
          <cell r="AZ82" t="e">
            <v>#N/A</v>
          </cell>
          <cell r="BA82" t="e">
            <v>#N/A</v>
          </cell>
          <cell r="BB82" t="e">
            <v>#N/A</v>
          </cell>
        </row>
        <row r="83">
          <cell r="C83">
            <v>0</v>
          </cell>
          <cell r="D83">
            <v>0</v>
          </cell>
          <cell r="E83">
            <v>0</v>
          </cell>
          <cell r="F83">
            <v>0</v>
          </cell>
          <cell r="G83">
            <v>0</v>
          </cell>
          <cell r="H83">
            <v>0</v>
          </cell>
          <cell r="I83">
            <v>0</v>
          </cell>
          <cell r="J83">
            <v>0</v>
          </cell>
          <cell r="K83" t="e">
            <v>#N/A</v>
          </cell>
          <cell r="L83" t="e">
            <v>#N/A</v>
          </cell>
          <cell r="M83" t="e">
            <v>#N/A</v>
          </cell>
          <cell r="N83">
            <v>0</v>
          </cell>
          <cell r="O83" t="e">
            <v>#N/A</v>
          </cell>
          <cell r="P83">
            <v>0</v>
          </cell>
          <cell r="Q83" t="e">
            <v>#N/A</v>
          </cell>
          <cell r="R83" t="e">
            <v>#N/A</v>
          </cell>
          <cell r="S83">
            <v>0</v>
          </cell>
          <cell r="T83" t="e">
            <v>#N/A</v>
          </cell>
          <cell r="U83" t="e">
            <v>#N/A</v>
          </cell>
          <cell r="V83" t="e">
            <v>#N/A</v>
          </cell>
          <cell r="W83" t="str">
            <v>S</v>
          </cell>
          <cell r="X83" t="str">
            <v>S</v>
          </cell>
          <cell r="Y83">
            <v>0</v>
          </cell>
          <cell r="Z83" t="e">
            <v>#N/A</v>
          </cell>
          <cell r="AA83" t="e">
            <v>#N/A</v>
          </cell>
          <cell r="AB83" t="e">
            <v>#N/A</v>
          </cell>
          <cell r="AC83" t="e">
            <v>#N/A</v>
          </cell>
          <cell r="AD83" t="e">
            <v>#N/A</v>
          </cell>
          <cell r="AE83" t="e">
            <v>#N/A</v>
          </cell>
          <cell r="AF83" t="e">
            <v>#N/A</v>
          </cell>
          <cell r="AG83" t="e">
            <v>#N/A</v>
          </cell>
          <cell r="AH83" t="e">
            <v>#N/A</v>
          </cell>
          <cell r="AI83" t="e">
            <v>#N/A</v>
          </cell>
          <cell r="AJ83" t="e">
            <v>#N/A</v>
          </cell>
          <cell r="AK83" t="e">
            <v>#N/A</v>
          </cell>
          <cell r="AL83" t="e">
            <v>#N/A</v>
          </cell>
          <cell r="AM83" t="e">
            <v>#N/A</v>
          </cell>
          <cell r="AN83" t="e">
            <v>#N/A</v>
          </cell>
          <cell r="AO83" t="e">
            <v>#N/A</v>
          </cell>
          <cell r="AP83" t="e">
            <v>#N/A</v>
          </cell>
          <cell r="AQ83" t="e">
            <v>#N/A</v>
          </cell>
          <cell r="AR83" t="e">
            <v>#N/A</v>
          </cell>
          <cell r="AS83" t="e">
            <v>#N/A</v>
          </cell>
          <cell r="AT83" t="e">
            <v>#N/A</v>
          </cell>
          <cell r="AU83" t="e">
            <v>#N/A</v>
          </cell>
          <cell r="AV83" t="e">
            <v>#N/A</v>
          </cell>
          <cell r="AW83" t="e">
            <v>#N/A</v>
          </cell>
          <cell r="AX83" t="e">
            <v>#N/A</v>
          </cell>
          <cell r="AY83" t="e">
            <v>#N/A</v>
          </cell>
          <cell r="AZ83" t="e">
            <v>#N/A</v>
          </cell>
          <cell r="BA83" t="e">
            <v>#N/A</v>
          </cell>
          <cell r="BB83" t="e">
            <v>#N/A</v>
          </cell>
        </row>
        <row r="84">
          <cell r="C84">
            <v>0</v>
          </cell>
          <cell r="D84">
            <v>0</v>
          </cell>
          <cell r="E84">
            <v>0</v>
          </cell>
          <cell r="F84">
            <v>0</v>
          </cell>
          <cell r="G84">
            <v>0</v>
          </cell>
          <cell r="H84">
            <v>0</v>
          </cell>
          <cell r="I84">
            <v>0</v>
          </cell>
          <cell r="J84">
            <v>0</v>
          </cell>
          <cell r="K84" t="e">
            <v>#N/A</v>
          </cell>
          <cell r="L84" t="e">
            <v>#N/A</v>
          </cell>
          <cell r="M84" t="e">
            <v>#N/A</v>
          </cell>
          <cell r="N84">
            <v>0</v>
          </cell>
          <cell r="O84" t="e">
            <v>#N/A</v>
          </cell>
          <cell r="P84">
            <v>0</v>
          </cell>
          <cell r="Q84" t="e">
            <v>#N/A</v>
          </cell>
          <cell r="R84" t="e">
            <v>#N/A</v>
          </cell>
          <cell r="S84">
            <v>0</v>
          </cell>
          <cell r="T84" t="e">
            <v>#N/A</v>
          </cell>
          <cell r="U84" t="e">
            <v>#N/A</v>
          </cell>
          <cell r="V84" t="e">
            <v>#N/A</v>
          </cell>
          <cell r="W84" t="str">
            <v>S</v>
          </cell>
          <cell r="X84" t="str">
            <v>S</v>
          </cell>
          <cell r="Y84">
            <v>0</v>
          </cell>
          <cell r="Z84" t="e">
            <v>#N/A</v>
          </cell>
          <cell r="AA84" t="e">
            <v>#N/A</v>
          </cell>
          <cell r="AB84" t="e">
            <v>#N/A</v>
          </cell>
          <cell r="AC84" t="e">
            <v>#N/A</v>
          </cell>
          <cell r="AD84" t="e">
            <v>#N/A</v>
          </cell>
          <cell r="AE84" t="e">
            <v>#N/A</v>
          </cell>
          <cell r="AF84" t="e">
            <v>#N/A</v>
          </cell>
          <cell r="AG84" t="e">
            <v>#N/A</v>
          </cell>
          <cell r="AH84" t="e">
            <v>#N/A</v>
          </cell>
          <cell r="AI84" t="e">
            <v>#N/A</v>
          </cell>
          <cell r="AJ84" t="e">
            <v>#N/A</v>
          </cell>
          <cell r="AK84" t="e">
            <v>#N/A</v>
          </cell>
          <cell r="AL84" t="e">
            <v>#N/A</v>
          </cell>
          <cell r="AM84" t="e">
            <v>#N/A</v>
          </cell>
          <cell r="AN84" t="e">
            <v>#N/A</v>
          </cell>
          <cell r="AO84" t="e">
            <v>#N/A</v>
          </cell>
          <cell r="AP84" t="e">
            <v>#N/A</v>
          </cell>
          <cell r="AQ84" t="e">
            <v>#N/A</v>
          </cell>
          <cell r="AR84" t="e">
            <v>#N/A</v>
          </cell>
          <cell r="AS84" t="e">
            <v>#N/A</v>
          </cell>
          <cell r="AT84" t="e">
            <v>#N/A</v>
          </cell>
          <cell r="AU84" t="e">
            <v>#N/A</v>
          </cell>
          <cell r="AV84" t="e">
            <v>#N/A</v>
          </cell>
          <cell r="AW84" t="e">
            <v>#N/A</v>
          </cell>
          <cell r="AX84" t="e">
            <v>#N/A</v>
          </cell>
          <cell r="AY84" t="e">
            <v>#N/A</v>
          </cell>
          <cell r="AZ84" t="e">
            <v>#N/A</v>
          </cell>
          <cell r="BA84" t="e">
            <v>#N/A</v>
          </cell>
          <cell r="BB84" t="e">
            <v>#N/A</v>
          </cell>
        </row>
        <row r="85">
          <cell r="C85" t="str">
            <v>vertical Pad 1</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row>
        <row r="86">
          <cell r="C86" t="str">
            <v>VDRD2-T1</v>
          </cell>
          <cell r="D86" t="e">
            <v>#N/A</v>
          </cell>
          <cell r="E86" t="str">
            <v>VDRD2</v>
          </cell>
          <cell r="F86" t="str">
            <v>Drilling Rd Dust -Rig 2</v>
          </cell>
          <cell r="G86" t="str">
            <v>2-23a</v>
          </cell>
          <cell r="H86" t="str">
            <v>Volume</v>
          </cell>
          <cell r="I86" t="str">
            <v>TWIN: Non-Construction Equipment Tailpipe Emissions</v>
          </cell>
          <cell r="J86" t="str">
            <v>T1</v>
          </cell>
          <cell r="K86">
            <v>-71.123599999999996</v>
          </cell>
          <cell r="L86">
            <v>0</v>
          </cell>
          <cell r="M86">
            <v>0</v>
          </cell>
          <cell r="N86">
            <v>0</v>
          </cell>
          <cell r="O86">
            <v>45</v>
          </cell>
          <cell r="P86">
            <v>0</v>
          </cell>
          <cell r="Q86">
            <v>45</v>
          </cell>
          <cell r="R86">
            <v>2025</v>
          </cell>
          <cell r="S86">
            <v>0</v>
          </cell>
          <cell r="T86">
            <v>0</v>
          </cell>
          <cell r="U86">
            <v>5</v>
          </cell>
          <cell r="V86">
            <v>2.5</v>
          </cell>
          <cell r="W86" t="str">
            <v>S</v>
          </cell>
          <cell r="X86" t="str">
            <v>S</v>
          </cell>
          <cell r="Y86">
            <v>0</v>
          </cell>
          <cell r="Z86" t="str">
            <v/>
          </cell>
          <cell r="AA86" t="str">
            <v/>
          </cell>
          <cell r="AB86" t="str">
            <v/>
          </cell>
          <cell r="AC86" t="str">
            <v/>
          </cell>
          <cell r="AD86" t="str">
            <v/>
          </cell>
          <cell r="AE86" t="str">
            <v/>
          </cell>
          <cell r="AF86">
            <v>0.67481366250547103</v>
          </cell>
          <cell r="AG86">
            <v>11.836328691273792</v>
          </cell>
          <cell r="AH86">
            <v>6.7481366250547084E-2</v>
          </cell>
          <cell r="AI86">
            <v>1.183632869127379</v>
          </cell>
          <cell r="AJ86" t="str">
            <v/>
          </cell>
          <cell r="AK86" t="str">
            <v/>
          </cell>
          <cell r="AL86" t="str">
            <v/>
          </cell>
          <cell r="AM86" t="str">
            <v/>
          </cell>
          <cell r="AN86" t="str">
            <v/>
          </cell>
          <cell r="AO86" t="str">
            <v/>
          </cell>
          <cell r="AP86" t="str">
            <v/>
          </cell>
          <cell r="AQ86" t="str">
            <v/>
          </cell>
          <cell r="AR86" t="str">
            <v/>
          </cell>
          <cell r="AS86" t="str">
            <v/>
          </cell>
          <cell r="AT86" t="e">
            <v>#VALUE!</v>
          </cell>
          <cell r="AU86" t="str">
            <v/>
          </cell>
          <cell r="AV86">
            <v>2.5</v>
          </cell>
          <cell r="AW86">
            <v>45</v>
          </cell>
          <cell r="AX86">
            <v>45</v>
          </cell>
          <cell r="AY86">
            <v>0</v>
          </cell>
          <cell r="AZ86">
            <v>1.1627906976744187</v>
          </cell>
          <cell r="BA86">
            <v>0</v>
          </cell>
          <cell r="BB86">
            <v>0</v>
          </cell>
        </row>
        <row r="87">
          <cell r="C87" t="str">
            <v>VRRD-T1</v>
          </cell>
          <cell r="D87" t="e">
            <v>#N/A</v>
          </cell>
          <cell r="E87" t="str">
            <v>VRRD</v>
          </cell>
          <cell r="F87" t="str">
            <v>Rig_Up_Down_Rd_Dust</v>
          </cell>
          <cell r="G87" t="str">
            <v>2-23c</v>
          </cell>
          <cell r="H87" t="str">
            <v>Volume</v>
          </cell>
          <cell r="I87" t="str">
            <v>TWIN: Construction Equipment Tailpipe Emissions - Pad Construction</v>
          </cell>
          <cell r="J87" t="str">
            <v>T1</v>
          </cell>
          <cell r="K87">
            <v>-71.123599999999996</v>
          </cell>
          <cell r="L87">
            <v>0</v>
          </cell>
          <cell r="M87">
            <v>0</v>
          </cell>
          <cell r="N87">
            <v>0</v>
          </cell>
          <cell r="O87">
            <v>45</v>
          </cell>
          <cell r="P87">
            <v>0</v>
          </cell>
          <cell r="Q87">
            <v>45</v>
          </cell>
          <cell r="R87">
            <v>2025</v>
          </cell>
          <cell r="S87">
            <v>0</v>
          </cell>
          <cell r="T87">
            <v>0</v>
          </cell>
          <cell r="U87">
            <v>10</v>
          </cell>
          <cell r="V87">
            <v>5</v>
          </cell>
          <cell r="W87" t="str">
            <v>S</v>
          </cell>
          <cell r="X87" t="str">
            <v>S</v>
          </cell>
          <cell r="Y87">
            <v>0</v>
          </cell>
          <cell r="Z87" t="str">
            <v/>
          </cell>
          <cell r="AA87" t="str">
            <v/>
          </cell>
          <cell r="AB87" t="str">
            <v/>
          </cell>
          <cell r="AC87" t="str">
            <v/>
          </cell>
          <cell r="AD87" t="str">
            <v/>
          </cell>
          <cell r="AE87" t="str">
            <v/>
          </cell>
          <cell r="AF87">
            <v>6.5397786631556237E-3</v>
          </cell>
          <cell r="AG87">
            <v>0.73826893344329059</v>
          </cell>
          <cell r="AH87">
            <v>6.5397786631556239E-4</v>
          </cell>
          <cell r="AI87">
            <v>7.382689334432907E-2</v>
          </cell>
          <cell r="AJ87" t="str">
            <v/>
          </cell>
          <cell r="AK87" t="str">
            <v/>
          </cell>
          <cell r="AL87" t="str">
            <v/>
          </cell>
          <cell r="AM87" t="str">
            <v/>
          </cell>
          <cell r="AN87" t="str">
            <v/>
          </cell>
          <cell r="AO87" t="str">
            <v/>
          </cell>
          <cell r="AP87" t="str">
            <v/>
          </cell>
          <cell r="AQ87" t="str">
            <v/>
          </cell>
          <cell r="AR87" t="str">
            <v/>
          </cell>
          <cell r="AS87" t="str">
            <v/>
          </cell>
          <cell r="AT87" t="str">
            <v/>
          </cell>
          <cell r="AU87" t="str">
            <v/>
          </cell>
          <cell r="AV87">
            <v>5</v>
          </cell>
          <cell r="AW87">
            <v>45</v>
          </cell>
          <cell r="AX87">
            <v>45</v>
          </cell>
          <cell r="AY87">
            <v>0</v>
          </cell>
          <cell r="AZ87">
            <v>2.3255813953488373</v>
          </cell>
          <cell r="BA87">
            <v>0</v>
          </cell>
          <cell r="BB87">
            <v>0</v>
          </cell>
        </row>
        <row r="88">
          <cell r="C88" t="str">
            <v>VDME2-T1</v>
          </cell>
          <cell r="D88" t="e">
            <v>#N/A</v>
          </cell>
          <cell r="E88" t="str">
            <v>VDME2</v>
          </cell>
          <cell r="F88" t="str">
            <v>Drilling Mobile Exhaust - DR2</v>
          </cell>
          <cell r="G88" t="str">
            <v>2-24</v>
          </cell>
          <cell r="H88" t="str">
            <v>Volume</v>
          </cell>
          <cell r="I88" t="str">
            <v>TWIN: Non-Construction Equipment Tailpipe Emissions</v>
          </cell>
          <cell r="J88" t="str">
            <v>T1</v>
          </cell>
          <cell r="K88">
            <v>-71.123599999999996</v>
          </cell>
          <cell r="L88">
            <v>0</v>
          </cell>
          <cell r="M88">
            <v>0</v>
          </cell>
          <cell r="N88">
            <v>0</v>
          </cell>
          <cell r="O88">
            <v>45</v>
          </cell>
          <cell r="P88">
            <v>0</v>
          </cell>
          <cell r="Q88">
            <v>45</v>
          </cell>
          <cell r="R88">
            <v>2025</v>
          </cell>
          <cell r="S88">
            <v>0</v>
          </cell>
          <cell r="T88">
            <v>0</v>
          </cell>
          <cell r="U88">
            <v>5</v>
          </cell>
          <cell r="V88">
            <v>2.5</v>
          </cell>
          <cell r="W88" t="str">
            <v>S</v>
          </cell>
          <cell r="X88" t="str">
            <v>S</v>
          </cell>
          <cell r="Y88">
            <v>0</v>
          </cell>
          <cell r="Z88">
            <v>0.10152801018939907</v>
          </cell>
          <cell r="AA88">
            <v>5.5631786405150171E-3</v>
          </cell>
          <cell r="AB88">
            <v>6.0345897057810646E-4</v>
          </cell>
          <cell r="AC88">
            <v>6.0334381182661299E-4</v>
          </cell>
          <cell r="AD88">
            <v>6.0314228401149952E-4</v>
          </cell>
          <cell r="AE88">
            <v>3.3066244963183904E-5</v>
          </cell>
          <cell r="AF88">
            <v>4.6477139354154527E-4</v>
          </cell>
          <cell r="AG88">
            <v>8.4808040537659463E-3</v>
          </cell>
          <cell r="AH88">
            <v>2.5393712026874123E-4</v>
          </cell>
          <cell r="AI88">
            <v>4.6331167818237963E-3</v>
          </cell>
          <cell r="AJ88">
            <v>4.1735006473988902E-2</v>
          </cell>
          <cell r="AK88">
            <v>4.1720818359365565E-2</v>
          </cell>
          <cell r="AL88">
            <v>5.5619814715746605E-5</v>
          </cell>
          <cell r="AM88">
            <v>3.0476610803148819E-6</v>
          </cell>
          <cell r="AN88">
            <v>1.1218733701127541E-4</v>
          </cell>
          <cell r="AO88">
            <v>6.1472513430835841E-6</v>
          </cell>
          <cell r="AP88">
            <v>2.8339760429627491E-5</v>
          </cell>
          <cell r="AQ88">
            <v>1.5528635851850684E-6</v>
          </cell>
          <cell r="AR88">
            <v>1.0035032720287596E-4</v>
          </cell>
          <cell r="AS88">
            <v>5.4986480659110106E-6</v>
          </cell>
          <cell r="AT88">
            <v>4.1850306205623826E-5</v>
          </cell>
          <cell r="AU88">
            <v>2.2931674633218528E-6</v>
          </cell>
          <cell r="AV88">
            <v>2.5</v>
          </cell>
          <cell r="AW88">
            <v>45</v>
          </cell>
          <cell r="AX88">
            <v>45</v>
          </cell>
          <cell r="AY88">
            <v>0</v>
          </cell>
          <cell r="AZ88">
            <v>1.1627906976744187</v>
          </cell>
          <cell r="BA88">
            <v>0</v>
          </cell>
          <cell r="BB88">
            <v>0</v>
          </cell>
        </row>
        <row r="89">
          <cell r="C89" t="str">
            <v>VRME-T1</v>
          </cell>
          <cell r="D89" t="e">
            <v>#N/A</v>
          </cell>
          <cell r="E89" t="str">
            <v>VRME</v>
          </cell>
          <cell r="F89" t="str">
            <v>Rig_Up_down Mobile Exhaust</v>
          </cell>
          <cell r="G89" t="str">
            <v>2-26</v>
          </cell>
          <cell r="H89" t="str">
            <v>Volume</v>
          </cell>
          <cell r="I89" t="str">
            <v>TWIN: Construction Equipment Tailpipe Emissions - Pad Construction</v>
          </cell>
          <cell r="J89" t="str">
            <v>T1</v>
          </cell>
          <cell r="K89">
            <v>-71.123599999999996</v>
          </cell>
          <cell r="L89">
            <v>0</v>
          </cell>
          <cell r="M89">
            <v>0</v>
          </cell>
          <cell r="N89">
            <v>0</v>
          </cell>
          <cell r="O89">
            <v>45</v>
          </cell>
          <cell r="P89">
            <v>0</v>
          </cell>
          <cell r="Q89">
            <v>45</v>
          </cell>
          <cell r="R89">
            <v>2025</v>
          </cell>
          <cell r="S89">
            <v>0</v>
          </cell>
          <cell r="T89">
            <v>0</v>
          </cell>
          <cell r="U89">
            <v>10</v>
          </cell>
          <cell r="V89">
            <v>5</v>
          </cell>
          <cell r="W89" t="str">
            <v>S</v>
          </cell>
          <cell r="X89" t="str">
            <v>S</v>
          </cell>
          <cell r="Y89">
            <v>0</v>
          </cell>
          <cell r="Z89">
            <v>1.10172951216488E-2</v>
          </cell>
          <cell r="AA89">
            <v>3.7730462745372605E-5</v>
          </cell>
          <cell r="AB89">
            <v>5.9837517637246113E-5</v>
          </cell>
          <cell r="AC89">
            <v>5.969356919787932E-5</v>
          </cell>
          <cell r="AD89">
            <v>2.4226413009165918E-5</v>
          </cell>
          <cell r="AE89">
            <v>2.0492300560700724E-7</v>
          </cell>
          <cell r="AF89">
            <v>2.7501267681643039E-6</v>
          </cell>
          <cell r="AG89">
            <v>3.2750065483459821E-4</v>
          </cell>
          <cell r="AH89">
            <v>1.3428910824429755E-6</v>
          </cell>
          <cell r="AI89">
            <v>1.5866121602849253E-4</v>
          </cell>
          <cell r="AJ89">
            <v>8.8320446830654764E-3</v>
          </cell>
          <cell r="AK89">
            <v>8.8040363872394743E-3</v>
          </cell>
          <cell r="AL89">
            <v>8.0200356863415257E-6</v>
          </cell>
          <cell r="AM89">
            <v>2.7465875638155905E-8</v>
          </cell>
          <cell r="AN89">
            <v>1.3827641414383854E-5</v>
          </cell>
          <cell r="AO89">
            <v>4.7354936350629642E-8</v>
          </cell>
          <cell r="AP89">
            <v>3.5744030080431812E-6</v>
          </cell>
          <cell r="AQ89">
            <v>1.2241106191928705E-8</v>
          </cell>
          <cell r="AR89">
            <v>1.3641740274356107E-5</v>
          </cell>
          <cell r="AS89">
            <v>4.6718288610808582E-8</v>
          </cell>
          <cell r="AT89">
            <v>4.1636675003733568E-6</v>
          </cell>
          <cell r="AU89">
            <v>1.4259135275251227E-8</v>
          </cell>
          <cell r="AV89">
            <v>5</v>
          </cell>
          <cell r="AW89">
            <v>45</v>
          </cell>
          <cell r="AX89">
            <v>45</v>
          </cell>
          <cell r="AY89">
            <v>0</v>
          </cell>
          <cell r="AZ89">
            <v>2.3255813953488373</v>
          </cell>
          <cell r="BA89">
            <v>0</v>
          </cell>
          <cell r="BB89">
            <v>0</v>
          </cell>
        </row>
        <row r="90">
          <cell r="C90" t="str">
            <v>VDC-T1</v>
          </cell>
          <cell r="D90" t="e">
            <v>#N/A</v>
          </cell>
          <cell r="E90" t="str">
            <v>VDC</v>
          </cell>
          <cell r="F90" t="str">
            <v>Drilling consturction</v>
          </cell>
          <cell r="G90" t="str">
            <v>2-27</v>
          </cell>
          <cell r="H90" t="str">
            <v>Volume</v>
          </cell>
          <cell r="I90" t="str">
            <v>TWIN: Pad Construction Surface Disturbance</v>
          </cell>
          <cell r="J90" t="str">
            <v>T1</v>
          </cell>
          <cell r="K90">
            <v>-71.123599999999996</v>
          </cell>
          <cell r="L90">
            <v>0</v>
          </cell>
          <cell r="M90">
            <v>0</v>
          </cell>
          <cell r="N90">
            <v>0</v>
          </cell>
          <cell r="O90">
            <v>45</v>
          </cell>
          <cell r="P90">
            <v>0</v>
          </cell>
          <cell r="Q90">
            <v>45</v>
          </cell>
          <cell r="R90">
            <v>2025</v>
          </cell>
          <cell r="S90">
            <v>0</v>
          </cell>
          <cell r="T90">
            <v>0</v>
          </cell>
          <cell r="U90">
            <v>6.0960000000000001</v>
          </cell>
          <cell r="V90">
            <v>3.048</v>
          </cell>
          <cell r="W90" t="str">
            <v>S</v>
          </cell>
          <cell r="X90" t="str">
            <v>S</v>
          </cell>
          <cell r="Y90">
            <v>0</v>
          </cell>
          <cell r="Z90">
            <v>2.9748061982675395E-2</v>
          </cell>
          <cell r="AA90">
            <v>6.8658670190610311E-4</v>
          </cell>
          <cell r="AB90">
            <v>1.5295901446906642E-4</v>
          </cell>
          <cell r="AC90">
            <v>1.5295901446906644E-4</v>
          </cell>
          <cell r="AD90">
            <v>1.274658453908887E-4</v>
          </cell>
          <cell r="AE90">
            <v>2.0256551746614037E-6</v>
          </cell>
          <cell r="AF90">
            <v>4.2668660586016693E-5</v>
          </cell>
          <cell r="AG90">
            <v>1.4009495608403835E-3</v>
          </cell>
          <cell r="AH90">
            <v>4.1388602326337038E-5</v>
          </cell>
          <cell r="AI90">
            <v>1.3589212873433144E-3</v>
          </cell>
          <cell r="AJ90">
            <v>1.6578304995271468E-2</v>
          </cell>
          <cell r="AK90">
            <v>1.6578304995271468E-2</v>
          </cell>
          <cell r="AL90">
            <v>1.6027008352836595E-4</v>
          </cell>
          <cell r="AM90">
            <v>2.7938460855210972E-6</v>
          </cell>
          <cell r="AN90">
            <v>1.1792598407273813E-4</v>
          </cell>
          <cell r="AO90">
            <v>2.0554986162683762E-6</v>
          </cell>
          <cell r="AP90">
            <v>2.4399622975822711E-5</v>
          </cell>
          <cell r="AQ90">
            <v>4.2520537620323422E-7</v>
          </cell>
          <cell r="AR90">
            <v>8.3410290888655139E-5</v>
          </cell>
          <cell r="AS90">
            <v>1.4538663811154831E-6</v>
          </cell>
          <cell r="AT90">
            <v>1.2533800987802776E-5</v>
          </cell>
          <cell r="AU90">
            <v>2.1848889325394765E-7</v>
          </cell>
          <cell r="AV90">
            <v>3.048</v>
          </cell>
          <cell r="AW90">
            <v>45</v>
          </cell>
          <cell r="AX90">
            <v>45</v>
          </cell>
          <cell r="AY90">
            <v>0</v>
          </cell>
          <cell r="AZ90">
            <v>1.4176744186046513</v>
          </cell>
          <cell r="BA90" t="str">
            <v>HROFDAY</v>
          </cell>
          <cell r="BB90" t="str">
            <v>0  0  0  0  0  0  1  1  1  1  1  1  1  1  1  1  1  1  0  0  0  0  0  0  0</v>
          </cell>
        </row>
        <row r="91">
          <cell r="C91" t="str">
            <v>VRCE-T1</v>
          </cell>
          <cell r="D91" t="e">
            <v>#N/A</v>
          </cell>
          <cell r="E91" t="str">
            <v>VRCE</v>
          </cell>
          <cell r="F91" t="str">
            <v>Rig Up_down Construction equipment</v>
          </cell>
          <cell r="G91" t="str">
            <v>2-29</v>
          </cell>
          <cell r="H91" t="str">
            <v>Volume</v>
          </cell>
          <cell r="I91" t="str">
            <v>TWIN: Construction Equipment Tailpipe Emissions - Pad Construction</v>
          </cell>
          <cell r="J91" t="str">
            <v>T1</v>
          </cell>
          <cell r="K91">
            <v>-71.123599999999996</v>
          </cell>
          <cell r="L91">
            <v>0</v>
          </cell>
          <cell r="M91">
            <v>0</v>
          </cell>
          <cell r="N91">
            <v>0</v>
          </cell>
          <cell r="O91">
            <v>45</v>
          </cell>
          <cell r="P91">
            <v>0</v>
          </cell>
          <cell r="Q91">
            <v>45</v>
          </cell>
          <cell r="R91">
            <v>2025</v>
          </cell>
          <cell r="S91">
            <v>0</v>
          </cell>
          <cell r="T91">
            <v>0</v>
          </cell>
          <cell r="U91">
            <v>10</v>
          </cell>
          <cell r="V91">
            <v>5</v>
          </cell>
          <cell r="W91" t="str">
            <v>S</v>
          </cell>
          <cell r="X91" t="str">
            <v>S</v>
          </cell>
          <cell r="Y91">
            <v>0</v>
          </cell>
          <cell r="Z91">
            <v>8.6536407634378448E-2</v>
          </cell>
          <cell r="AA91">
            <v>5.7391474996928505E-4</v>
          </cell>
          <cell r="AB91">
            <v>9.9271049558068321E-5</v>
          </cell>
          <cell r="AC91">
            <v>9.9271049558068321E-5</v>
          </cell>
          <cell r="AD91">
            <v>8.2725874631723578E-5</v>
          </cell>
          <cell r="AE91">
            <v>5.6215273017980058E-7</v>
          </cell>
          <cell r="AF91">
            <v>3.2547011630872825E-5</v>
          </cell>
          <cell r="AG91">
            <v>4.1020122973947828E-3</v>
          </cell>
          <cell r="AH91">
            <v>3.2529490367567291E-5</v>
          </cell>
          <cell r="AI91">
            <v>4.0956170362882625E-3</v>
          </cell>
          <cell r="AJ91">
            <v>5.9485115733363202E-2</v>
          </cell>
          <cell r="AK91">
            <v>5.9485115733363202E-2</v>
          </cell>
          <cell r="AL91">
            <v>1.2408313891174965E-4</v>
          </cell>
          <cell r="AM91">
            <v>7.1959881256461129E-7</v>
          </cell>
          <cell r="AN91">
            <v>7.6028918645355272E-5</v>
          </cell>
          <cell r="AO91">
            <v>5.2922417227628686E-7</v>
          </cell>
          <cell r="AP91">
            <v>1.8921765057150421E-5</v>
          </cell>
          <cell r="AQ91">
            <v>1.097457820713389E-7</v>
          </cell>
          <cell r="AR91">
            <v>6.4630531281278556E-5</v>
          </cell>
          <cell r="AS91">
            <v>3.7488784679080204E-7</v>
          </cell>
          <cell r="AT91">
            <v>9.7134465099389437E-6</v>
          </cell>
          <cell r="AU91">
            <v>5.6338363845583222E-8</v>
          </cell>
          <cell r="AV91">
            <v>5</v>
          </cell>
          <cell r="AW91">
            <v>45</v>
          </cell>
          <cell r="AX91">
            <v>45</v>
          </cell>
          <cell r="AY91">
            <v>0</v>
          </cell>
          <cell r="AZ91">
            <v>2.3255813953488373</v>
          </cell>
          <cell r="BA91" t="str">
            <v>HROFDAY</v>
          </cell>
          <cell r="BB91" t="str">
            <v>0  0  0  0  0  0  1  1  1  1  1  1  1  1  1  1  1  1  0  0  0  0  0  0  0</v>
          </cell>
        </row>
        <row r="92">
          <cell r="C92" t="str">
            <v>VPRDN-T1</v>
          </cell>
          <cell r="D92" t="e">
            <v>#N/A</v>
          </cell>
          <cell r="E92" t="str">
            <v>VPRDN</v>
          </cell>
          <cell r="F92" t="str">
            <v>Production Rd  Dust New Well</v>
          </cell>
          <cell r="G92" t="str">
            <v>2-35</v>
          </cell>
          <cell r="H92" t="str">
            <v>Volume</v>
          </cell>
          <cell r="I92" t="str">
            <v>TWIN: Non-Construction Equipment Tailpipe Emissions</v>
          </cell>
          <cell r="J92" t="str">
            <v>T1</v>
          </cell>
          <cell r="K92">
            <v>-71.123599999999996</v>
          </cell>
          <cell r="L92">
            <v>0</v>
          </cell>
          <cell r="M92">
            <v>0</v>
          </cell>
          <cell r="N92">
            <v>0</v>
          </cell>
          <cell r="O92">
            <v>45</v>
          </cell>
          <cell r="P92">
            <v>0</v>
          </cell>
          <cell r="Q92">
            <v>45</v>
          </cell>
          <cell r="R92">
            <v>2025</v>
          </cell>
          <cell r="S92">
            <v>0</v>
          </cell>
          <cell r="T92">
            <v>0</v>
          </cell>
          <cell r="U92">
            <v>5</v>
          </cell>
          <cell r="V92">
            <v>2.5</v>
          </cell>
          <cell r="W92" t="str">
            <v>S</v>
          </cell>
          <cell r="X92" t="str">
            <v>S</v>
          </cell>
          <cell r="Y92">
            <v>0</v>
          </cell>
          <cell r="Z92" t="str">
            <v/>
          </cell>
          <cell r="AA92" t="str">
            <v/>
          </cell>
          <cell r="AB92" t="str">
            <v/>
          </cell>
          <cell r="AC92" t="str">
            <v/>
          </cell>
          <cell r="AD92" t="str">
            <v/>
          </cell>
          <cell r="AE92" t="str">
            <v/>
          </cell>
          <cell r="AF92">
            <v>0.26510823393820115</v>
          </cell>
          <cell r="AG92">
            <v>0.57881261904295189</v>
          </cell>
          <cell r="AH92">
            <v>2.6607587225399382E-2</v>
          </cell>
          <cell r="AI92">
            <v>5.7620529786716029E-2</v>
          </cell>
          <cell r="AJ92" t="str">
            <v/>
          </cell>
          <cell r="AK92" t="str">
            <v/>
          </cell>
          <cell r="AL92" t="str">
            <v/>
          </cell>
          <cell r="AM92" t="str">
            <v/>
          </cell>
          <cell r="AN92" t="str">
            <v/>
          </cell>
          <cell r="AO92" t="str">
            <v/>
          </cell>
          <cell r="AP92" t="str">
            <v/>
          </cell>
          <cell r="AQ92" t="str">
            <v/>
          </cell>
          <cell r="AR92" t="str">
            <v/>
          </cell>
          <cell r="AS92" t="str">
            <v/>
          </cell>
          <cell r="AT92" t="str">
            <v/>
          </cell>
          <cell r="AU92" t="str">
            <v/>
          </cell>
          <cell r="AV92">
            <v>2.5</v>
          </cell>
          <cell r="AW92">
            <v>45</v>
          </cell>
          <cell r="AX92">
            <v>45</v>
          </cell>
          <cell r="AY92">
            <v>0</v>
          </cell>
          <cell r="AZ92">
            <v>1.1627906976744187</v>
          </cell>
          <cell r="BA92" t="str">
            <v>HROFDAY</v>
          </cell>
          <cell r="BB92" t="str">
            <v>0  0  0  0  0  0  0  0   1  1  1  1  1  1  1  1  1  1  0  0  0  0  0  0</v>
          </cell>
        </row>
        <row r="93">
          <cell r="C93" t="str">
            <v>VPMEN-T1</v>
          </cell>
          <cell r="D93" t="e">
            <v>#N/A</v>
          </cell>
          <cell r="E93" t="str">
            <v>VPMEN</v>
          </cell>
          <cell r="F93" t="str">
            <v>Prd. Mobile Exhaust - New Well</v>
          </cell>
          <cell r="G93" t="str">
            <v>2-36</v>
          </cell>
          <cell r="H93" t="str">
            <v>Volume</v>
          </cell>
          <cell r="I93" t="str">
            <v>TWIN: Non-Construction Equipment Tailpipe Emissions</v>
          </cell>
          <cell r="J93" t="str">
            <v>T1</v>
          </cell>
          <cell r="K93">
            <v>-71.123599999999996</v>
          </cell>
          <cell r="L93">
            <v>0</v>
          </cell>
          <cell r="M93">
            <v>0</v>
          </cell>
          <cell r="N93">
            <v>0</v>
          </cell>
          <cell r="O93">
            <v>45</v>
          </cell>
          <cell r="P93">
            <v>0</v>
          </cell>
          <cell r="Q93">
            <v>45</v>
          </cell>
          <cell r="R93">
            <v>2025</v>
          </cell>
          <cell r="S93">
            <v>0</v>
          </cell>
          <cell r="T93">
            <v>0</v>
          </cell>
          <cell r="U93">
            <v>5</v>
          </cell>
          <cell r="V93">
            <v>2.5</v>
          </cell>
          <cell r="W93" t="str">
            <v>S</v>
          </cell>
          <cell r="X93" t="str">
            <v>S</v>
          </cell>
          <cell r="Y93">
            <v>0</v>
          </cell>
          <cell r="Z93">
            <v>2.0407821630127894E-2</v>
          </cell>
          <cell r="AA93">
            <v>1.4980490385297779E-3</v>
          </cell>
          <cell r="AB93">
            <v>3.4919926566030096E-4</v>
          </cell>
          <cell r="AC93">
            <v>1.1639975522010031E-4</v>
          </cell>
          <cell r="AD93">
            <v>3.4919926566030094E-5</v>
          </cell>
          <cell r="AE93">
            <v>3.0632197955227528E-5</v>
          </cell>
          <cell r="AF93">
            <v>3.6794171422557088E-4</v>
          </cell>
          <cell r="AG93">
            <v>4.2428900483333334E-4</v>
          </cell>
          <cell r="AH93">
            <v>2.4491426432216045E-4</v>
          </cell>
          <cell r="AI93">
            <v>2.7707423774479166E-4</v>
          </cell>
          <cell r="AJ93">
            <v>0.23068702190246523</v>
          </cell>
          <cell r="AK93">
            <v>2.8835877737808154E-2</v>
          </cell>
          <cell r="AL93">
            <v>1.1036343368616901E-4</v>
          </cell>
          <cell r="AM93">
            <v>1.0460411964705213E-5</v>
          </cell>
          <cell r="AN93">
            <v>5.2255572027604168E-4</v>
          </cell>
          <cell r="AO93">
            <v>4.9804395505769126E-5</v>
          </cell>
          <cell r="AP93">
            <v>8.5048983613865734E-5</v>
          </cell>
          <cell r="AQ93">
            <v>8.0698302706352672E-6</v>
          </cell>
          <cell r="AR93">
            <v>2.4485120504727665E-3</v>
          </cell>
          <cell r="AS93">
            <v>2.3427615111524096E-4</v>
          </cell>
          <cell r="AT93">
            <v>1.3061440395370369E-4</v>
          </cell>
          <cell r="AU93">
            <v>1.2364081807399797E-5</v>
          </cell>
          <cell r="AV93">
            <v>2.5</v>
          </cell>
          <cell r="AW93">
            <v>45</v>
          </cell>
          <cell r="AX93">
            <v>45</v>
          </cell>
          <cell r="AY93">
            <v>0</v>
          </cell>
          <cell r="AZ93">
            <v>1.1627906976744187</v>
          </cell>
          <cell r="BA93" t="str">
            <v>HROFDAY</v>
          </cell>
          <cell r="BB93" t="str">
            <v>0  0  0  0  0  0  0  0   1  1  1  1  1  1  1  1  1  1  0  0  0  0  0  0</v>
          </cell>
        </row>
        <row r="94">
          <cell r="C94" t="str">
            <v>VPH-T1</v>
          </cell>
          <cell r="D94" t="e">
            <v>#N/A</v>
          </cell>
          <cell r="E94" t="str">
            <v>VPH</v>
          </cell>
          <cell r="F94" t="str">
            <v>Production Heater</v>
          </cell>
          <cell r="G94" t="str">
            <v>2-40</v>
          </cell>
          <cell r="H94" t="str">
            <v>Volume</v>
          </cell>
          <cell r="I94" t="str">
            <v>Heater</v>
          </cell>
          <cell r="J94" t="str">
            <v>T1</v>
          </cell>
          <cell r="K94">
            <v>-71.123599999999996</v>
          </cell>
          <cell r="L94">
            <v>0</v>
          </cell>
          <cell r="M94">
            <v>0</v>
          </cell>
          <cell r="N94">
            <v>0</v>
          </cell>
          <cell r="O94">
            <v>0</v>
          </cell>
          <cell r="P94">
            <v>0</v>
          </cell>
          <cell r="Q94">
            <v>0</v>
          </cell>
          <cell r="R94">
            <v>0</v>
          </cell>
          <cell r="S94">
            <v>0</v>
          </cell>
          <cell r="T94">
            <v>0</v>
          </cell>
          <cell r="U94">
            <v>0</v>
          </cell>
          <cell r="V94">
            <v>0</v>
          </cell>
          <cell r="W94" t="str">
            <v>S</v>
          </cell>
          <cell r="X94" t="str">
            <v>S</v>
          </cell>
          <cell r="Y94">
            <v>0</v>
          </cell>
          <cell r="Z94">
            <v>4.9410933551198256E-3</v>
          </cell>
          <cell r="AA94">
            <v>4.9410933551198256E-3</v>
          </cell>
          <cell r="AB94">
            <v>2.9771353341975505E-4</v>
          </cell>
          <cell r="AC94">
            <v>2.9771353341975505E-4</v>
          </cell>
          <cell r="AD94">
            <v>2.9771353341975505E-4</v>
          </cell>
          <cell r="AE94">
            <v>2.9771353341975505E-4</v>
          </cell>
          <cell r="AF94">
            <v>3.7552309498910681E-4</v>
          </cell>
          <cell r="AG94">
            <v>3.7552309498910681E-4</v>
          </cell>
          <cell r="AH94">
            <v>3.7552309498910681E-4</v>
          </cell>
          <cell r="AI94">
            <v>3.7552309498910681E-4</v>
          </cell>
          <cell r="AJ94">
            <v>4.1505184183006543E-3</v>
          </cell>
          <cell r="AK94">
            <v>0</v>
          </cell>
          <cell r="AL94">
            <v>7.7393475751263511E-8</v>
          </cell>
          <cell r="AM94">
            <v>7.7393475751263511E-8</v>
          </cell>
          <cell r="AN94">
            <v>7.4620796256974713E-8</v>
          </cell>
          <cell r="AO94">
            <v>7.4620796256974713E-8</v>
          </cell>
          <cell r="AP94">
            <v>1.4561120887824058E-8</v>
          </cell>
          <cell r="AQ94">
            <v>1.4561120887824058E-8</v>
          </cell>
          <cell r="AR94">
            <v>1.164306058966292E-7</v>
          </cell>
          <cell r="AS94">
            <v>1.164306058966292E-7</v>
          </cell>
          <cell r="AT94">
            <v>3.5521344347211526E-7</v>
          </cell>
          <cell r="AU94">
            <v>3.5521344347211526E-7</v>
          </cell>
          <cell r="AV94">
            <v>0</v>
          </cell>
          <cell r="AW94">
            <v>0</v>
          </cell>
          <cell r="AX94">
            <v>0</v>
          </cell>
          <cell r="AY94">
            <v>0</v>
          </cell>
          <cell r="AZ94">
            <v>0</v>
          </cell>
          <cell r="BA94" t="str">
            <v>MONTH</v>
          </cell>
          <cell r="BB94" t="str">
            <v>0 0 0 0 1 1 1 1 1 1 1 0</v>
          </cell>
        </row>
        <row r="95">
          <cell r="C95" t="str">
            <v>VOWCF-T1</v>
          </cell>
          <cell r="D95" t="e">
            <v>#N/A</v>
          </cell>
          <cell r="E95" t="str">
            <v>VOWCF</v>
          </cell>
          <cell r="F95" t="str">
            <v>2+ yr Well Cond. Flash - Cntrld</v>
          </cell>
          <cell r="G95" t="str">
            <v>2-46</v>
          </cell>
          <cell r="H95" t="str">
            <v>Volume</v>
          </cell>
          <cell r="I95" t="str">
            <v>Well Production - Single Well</v>
          </cell>
          <cell r="J95" t="str">
            <v>T1</v>
          </cell>
          <cell r="K95">
            <v>-71.123599999999996</v>
          </cell>
          <cell r="L95">
            <v>0</v>
          </cell>
          <cell r="M95">
            <v>0</v>
          </cell>
          <cell r="N95">
            <v>0</v>
          </cell>
          <cell r="O95">
            <v>10</v>
          </cell>
          <cell r="P95">
            <v>0</v>
          </cell>
          <cell r="Q95">
            <v>10</v>
          </cell>
          <cell r="R95">
            <v>100</v>
          </cell>
          <cell r="S95">
            <v>0</v>
          </cell>
          <cell r="T95">
            <v>0</v>
          </cell>
          <cell r="U95">
            <v>10</v>
          </cell>
          <cell r="V95">
            <v>5</v>
          </cell>
          <cell r="W95" t="str">
            <v>S</v>
          </cell>
          <cell r="X95" t="str">
            <v>S</v>
          </cell>
          <cell r="Y95">
            <v>0</v>
          </cell>
          <cell r="Z95" t="str">
            <v/>
          </cell>
          <cell r="AA95" t="str">
            <v/>
          </cell>
          <cell r="AB95" t="str">
            <v/>
          </cell>
          <cell r="AC95" t="str">
            <v/>
          </cell>
          <cell r="AD95" t="str">
            <v/>
          </cell>
          <cell r="AE95" t="str">
            <v/>
          </cell>
          <cell r="AF95" t="str">
            <v/>
          </cell>
          <cell r="AG95" t="str">
            <v/>
          </cell>
          <cell r="AH95" t="str">
            <v/>
          </cell>
          <cell r="AI95" t="str">
            <v/>
          </cell>
          <cell r="AJ95" t="str">
            <v/>
          </cell>
          <cell r="AK95" t="str">
            <v/>
          </cell>
          <cell r="AL95" t="str">
            <v/>
          </cell>
          <cell r="AM95" t="str">
            <v/>
          </cell>
          <cell r="AN95" t="str">
            <v/>
          </cell>
          <cell r="AO95" t="str">
            <v/>
          </cell>
          <cell r="AP95" t="str">
            <v/>
          </cell>
          <cell r="AQ95" t="str">
            <v/>
          </cell>
          <cell r="AR95" t="str">
            <v/>
          </cell>
          <cell r="AS95" t="str">
            <v/>
          </cell>
          <cell r="AT95" t="str">
            <v/>
          </cell>
          <cell r="AU95" t="str">
            <v/>
          </cell>
          <cell r="AV95">
            <v>5</v>
          </cell>
          <cell r="AW95">
            <v>10</v>
          </cell>
          <cell r="AX95">
            <v>10</v>
          </cell>
          <cell r="AY95">
            <v>0</v>
          </cell>
          <cell r="AZ95">
            <v>2.3255813953488373</v>
          </cell>
          <cell r="BA95">
            <v>0</v>
          </cell>
          <cell r="BB95">
            <v>0</v>
          </cell>
        </row>
        <row r="96">
          <cell r="C96" t="str">
            <v>VDHYD-T1</v>
          </cell>
          <cell r="D96" t="e">
            <v>#N/A</v>
          </cell>
          <cell r="E96" t="str">
            <v>VDHYD</v>
          </cell>
          <cell r="F96" t="str">
            <v>Dehydrator</v>
          </cell>
          <cell r="G96" t="str">
            <v>2-53</v>
          </cell>
          <cell r="H96" t="str">
            <v>Volume</v>
          </cell>
          <cell r="I96" t="str">
            <v>Heater</v>
          </cell>
          <cell r="J96" t="str">
            <v>T1</v>
          </cell>
          <cell r="K96">
            <v>-71.123599999999996</v>
          </cell>
          <cell r="L96">
            <v>0</v>
          </cell>
          <cell r="M96">
            <v>0</v>
          </cell>
          <cell r="N96">
            <v>0</v>
          </cell>
          <cell r="O96">
            <v>0</v>
          </cell>
          <cell r="P96">
            <v>0</v>
          </cell>
          <cell r="Q96">
            <v>0</v>
          </cell>
          <cell r="R96">
            <v>0</v>
          </cell>
          <cell r="S96">
            <v>0</v>
          </cell>
          <cell r="T96">
            <v>0</v>
          </cell>
          <cell r="U96">
            <v>0</v>
          </cell>
          <cell r="V96">
            <v>0</v>
          </cell>
          <cell r="W96" t="str">
            <v>S</v>
          </cell>
          <cell r="X96" t="str">
            <v>S</v>
          </cell>
          <cell r="Y96">
            <v>0</v>
          </cell>
          <cell r="Z96">
            <v>1.1633804304629632E-2</v>
          </cell>
          <cell r="AA96">
            <v>1.1633804304629632E-2</v>
          </cell>
          <cell r="AB96">
            <v>6.362207472789299E-5</v>
          </cell>
          <cell r="AC96">
            <v>6.362207472789299E-5</v>
          </cell>
          <cell r="AD96">
            <v>6.362207472789299E-5</v>
          </cell>
          <cell r="AE96">
            <v>6.362207472789299E-5</v>
          </cell>
          <cell r="AF96">
            <v>1.7215948840912595E-3</v>
          </cell>
          <cell r="AG96">
            <v>1.7215948840912595E-3</v>
          </cell>
          <cell r="AH96">
            <v>1.7215948840912595E-3</v>
          </cell>
          <cell r="AI96">
            <v>1.7215948840912595E-3</v>
          </cell>
          <cell r="AJ96">
            <v>3.5279406555555563E-3</v>
          </cell>
          <cell r="AK96">
            <v>3.5279406555555563E-3</v>
          </cell>
          <cell r="AL96">
            <v>1.4150215401306188E-4</v>
          </cell>
          <cell r="AM96">
            <v>1.4150215401306188E-4</v>
          </cell>
          <cell r="AN96">
            <v>6.6816858092294952E-4</v>
          </cell>
          <cell r="AO96">
            <v>6.6816858092294952E-4</v>
          </cell>
          <cell r="AP96">
            <v>8.34356577583244E-5</v>
          </cell>
          <cell r="AQ96">
            <v>8.34356577583244E-5</v>
          </cell>
          <cell r="AR96">
            <v>1.0311134482335125E-3</v>
          </cell>
          <cell r="AS96">
            <v>1.0311134482335125E-3</v>
          </cell>
          <cell r="AT96">
            <v>1.8499978295161996E-5</v>
          </cell>
          <cell r="AU96">
            <v>1.8499978295161996E-5</v>
          </cell>
          <cell r="AV96">
            <v>0</v>
          </cell>
          <cell r="AW96">
            <v>0</v>
          </cell>
          <cell r="AX96">
            <v>0</v>
          </cell>
          <cell r="AY96">
            <v>0</v>
          </cell>
          <cell r="AZ96">
            <v>0</v>
          </cell>
          <cell r="BA96">
            <v>0</v>
          </cell>
          <cell r="BB96">
            <v>0</v>
          </cell>
        </row>
        <row r="97">
          <cell r="C97" t="str">
            <v>VPMLC-T1</v>
          </cell>
          <cell r="D97" t="e">
            <v>#N/A</v>
          </cell>
          <cell r="E97" t="str">
            <v>VPMLC</v>
          </cell>
          <cell r="F97" t="str">
            <v>"Pneumatic Pumps" &amp; "Liquid Level Controllers"</v>
          </cell>
          <cell r="G97" t="str">
            <v>2-54</v>
          </cell>
          <cell r="H97" t="str">
            <v>Volume</v>
          </cell>
          <cell r="I97" t="str">
            <v>Well Production - Single Well</v>
          </cell>
          <cell r="J97" t="str">
            <v>T1</v>
          </cell>
          <cell r="K97">
            <v>-71.123599999999996</v>
          </cell>
          <cell r="L97">
            <v>0</v>
          </cell>
          <cell r="M97">
            <v>0</v>
          </cell>
          <cell r="N97">
            <v>0</v>
          </cell>
          <cell r="O97">
            <v>10</v>
          </cell>
          <cell r="P97">
            <v>0</v>
          </cell>
          <cell r="Q97">
            <v>10</v>
          </cell>
          <cell r="R97">
            <v>100</v>
          </cell>
          <cell r="S97">
            <v>0</v>
          </cell>
          <cell r="T97">
            <v>0</v>
          </cell>
          <cell r="U97">
            <v>10</v>
          </cell>
          <cell r="V97">
            <v>5</v>
          </cell>
          <cell r="W97" t="str">
            <v>S</v>
          </cell>
          <cell r="X97" t="str">
            <v>S</v>
          </cell>
          <cell r="Y97">
            <v>0</v>
          </cell>
          <cell r="Z97">
            <v>2.6459554916666669E-10</v>
          </cell>
          <cell r="AA97">
            <v>1.2081988546423137E-10</v>
          </cell>
          <cell r="AB97">
            <v>1.0573720127858805E-8</v>
          </cell>
          <cell r="AC97">
            <v>1.0573720127858805E-8</v>
          </cell>
          <cell r="AD97">
            <v>1.0573720127858805E-8</v>
          </cell>
          <cell r="AE97">
            <v>4.8281827067848429E-9</v>
          </cell>
          <cell r="AF97">
            <v>0</v>
          </cell>
          <cell r="AG97">
            <v>0</v>
          </cell>
          <cell r="AH97">
            <v>0</v>
          </cell>
          <cell r="AI97">
            <v>0</v>
          </cell>
          <cell r="AJ97">
            <v>6.6148887291666672E-11</v>
          </cell>
          <cell r="AK97">
            <v>6.6148887291666672E-11</v>
          </cell>
          <cell r="AL97">
            <v>3.2093284821875957E-9</v>
          </cell>
          <cell r="AM97">
            <v>2.9186815344095713E-9</v>
          </cell>
          <cell r="AN97">
            <v>3.1010367176809389E-9</v>
          </cell>
          <cell r="AO97">
            <v>2.8201970149381441E-9</v>
          </cell>
          <cell r="AP97">
            <v>6.2835560255072395E-10</v>
          </cell>
          <cell r="AQ97">
            <v>5.7144972986918952E-10</v>
          </cell>
          <cell r="AR97">
            <v>4.3584513008233665E-9</v>
          </cell>
          <cell r="AS97">
            <v>3.9637361525752831E-9</v>
          </cell>
          <cell r="AT97">
            <v>1.472909128159611E-8</v>
          </cell>
          <cell r="AU97">
            <v>1.3395178144221728E-8</v>
          </cell>
          <cell r="AV97">
            <v>5</v>
          </cell>
          <cell r="AW97">
            <v>10</v>
          </cell>
          <cell r="AX97">
            <v>10</v>
          </cell>
          <cell r="AY97">
            <v>0</v>
          </cell>
          <cell r="AZ97">
            <v>2.3255813953488373</v>
          </cell>
          <cell r="BA97">
            <v>0</v>
          </cell>
          <cell r="BB97">
            <v>0</v>
          </cell>
        </row>
        <row r="98">
          <cell r="C98" t="str">
            <v>VBF-T1</v>
          </cell>
          <cell r="D98" t="e">
            <v>#N/A</v>
          </cell>
          <cell r="E98" t="str">
            <v>VBF</v>
          </cell>
          <cell r="F98" t="str">
            <v>Blowdown Flaring</v>
          </cell>
          <cell r="G98" t="str">
            <v>2-56</v>
          </cell>
          <cell r="H98" t="str">
            <v>Volume</v>
          </cell>
          <cell r="I98" t="str">
            <v>Well Production - Single Well</v>
          </cell>
          <cell r="J98" t="str">
            <v>T1</v>
          </cell>
          <cell r="K98">
            <v>-71.123599999999996</v>
          </cell>
          <cell r="L98">
            <v>0</v>
          </cell>
          <cell r="M98">
            <v>0</v>
          </cell>
          <cell r="N98">
            <v>0</v>
          </cell>
          <cell r="O98">
            <v>10</v>
          </cell>
          <cell r="P98">
            <v>0</v>
          </cell>
          <cell r="Q98">
            <v>10</v>
          </cell>
          <cell r="R98">
            <v>100</v>
          </cell>
          <cell r="S98">
            <v>0</v>
          </cell>
          <cell r="T98">
            <v>0</v>
          </cell>
          <cell r="U98">
            <v>10</v>
          </cell>
          <cell r="V98">
            <v>5</v>
          </cell>
          <cell r="W98" t="str">
            <v>S</v>
          </cell>
          <cell r="X98" t="str">
            <v>S</v>
          </cell>
          <cell r="Y98">
            <v>0</v>
          </cell>
          <cell r="Z98">
            <v>2.6992028313092168E-2</v>
          </cell>
          <cell r="AA98">
            <v>9.2438453127027963E-6</v>
          </cell>
          <cell r="AB98">
            <v>1.1161358103303415E-5</v>
          </cell>
          <cell r="AC98">
            <v>3.7204527011011379E-6</v>
          </cell>
          <cell r="AD98">
            <v>4.6505658763764224E-7</v>
          </cell>
          <cell r="AE98">
            <v>3.8223829120902099E-9</v>
          </cell>
          <cell r="AF98">
            <v>1.4339347732487138E-6</v>
          </cell>
          <cell r="AG98">
            <v>1.7446206407859349E-4</v>
          </cell>
          <cell r="AH98">
            <v>1.4339347732487138E-6</v>
          </cell>
          <cell r="AI98">
            <v>1.7446206407859349E-4</v>
          </cell>
          <cell r="AJ98">
            <v>6.748007078273042E-3</v>
          </cell>
          <cell r="AK98">
            <v>8.4350088478413025E-4</v>
          </cell>
          <cell r="AL98">
            <v>5.9295335928010039E-5</v>
          </cell>
          <cell r="AM98">
            <v>2.0306621893154122E-8</v>
          </cell>
          <cell r="AN98">
            <v>5.7294544612849221E-5</v>
          </cell>
          <cell r="AO98">
            <v>1.9621419387962059E-8</v>
          </cell>
          <cell r="AP98">
            <v>1.1609455604898233E-5</v>
          </cell>
          <cell r="AQ98">
            <v>3.9758409605815865E-9</v>
          </cell>
          <cell r="AR98">
            <v>8.707091703673674E-5</v>
          </cell>
          <cell r="AS98">
            <v>2.9818807204361897E-8</v>
          </cell>
          <cell r="AT98">
            <v>2.7213369410576709E-4</v>
          </cell>
          <cell r="AU98">
            <v>9.3196470584166814E-8</v>
          </cell>
          <cell r="AV98">
            <v>5</v>
          </cell>
          <cell r="AW98">
            <v>10</v>
          </cell>
          <cell r="AX98">
            <v>10</v>
          </cell>
          <cell r="AY98">
            <v>0</v>
          </cell>
          <cell r="AZ98">
            <v>2.3255813953488373</v>
          </cell>
          <cell r="BA98">
            <v>0</v>
          </cell>
          <cell r="BB98">
            <v>0</v>
          </cell>
        </row>
        <row r="99">
          <cell r="C99" t="str">
            <v>vertical Pad 2</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row>
        <row r="100">
          <cell r="C100" t="str">
            <v>VDRD2-T2</v>
          </cell>
          <cell r="D100" t="e">
            <v>#N/A</v>
          </cell>
          <cell r="E100" t="str">
            <v>VDRD2</v>
          </cell>
          <cell r="F100" t="str">
            <v>Drilling Rd Dust -Rig 2</v>
          </cell>
          <cell r="G100" t="str">
            <v>2-23a</v>
          </cell>
          <cell r="H100" t="str">
            <v>Volume</v>
          </cell>
          <cell r="I100" t="str">
            <v>TWIN: Non-Construction Equipment Tailpipe Emissions</v>
          </cell>
          <cell r="J100" t="str">
            <v>T2</v>
          </cell>
          <cell r="K100">
            <v>71.123599999999996</v>
          </cell>
          <cell r="L100">
            <v>0</v>
          </cell>
          <cell r="M100">
            <v>0</v>
          </cell>
          <cell r="N100">
            <v>0</v>
          </cell>
          <cell r="O100">
            <v>45</v>
          </cell>
          <cell r="P100">
            <v>0</v>
          </cell>
          <cell r="Q100">
            <v>45</v>
          </cell>
          <cell r="R100">
            <v>2025</v>
          </cell>
          <cell r="S100">
            <v>0</v>
          </cell>
          <cell r="T100">
            <v>0</v>
          </cell>
          <cell r="U100">
            <v>5</v>
          </cell>
          <cell r="V100">
            <v>2.5</v>
          </cell>
          <cell r="W100" t="str">
            <v>S</v>
          </cell>
          <cell r="X100" t="str">
            <v>S</v>
          </cell>
          <cell r="Y100">
            <v>0</v>
          </cell>
          <cell r="Z100" t="str">
            <v/>
          </cell>
          <cell r="AA100" t="str">
            <v/>
          </cell>
          <cell r="AB100" t="str">
            <v/>
          </cell>
          <cell r="AC100" t="str">
            <v/>
          </cell>
          <cell r="AD100" t="str">
            <v/>
          </cell>
          <cell r="AE100" t="str">
            <v/>
          </cell>
          <cell r="AF100">
            <v>0.67481366250547103</v>
          </cell>
          <cell r="AG100">
            <v>11.836328691273792</v>
          </cell>
          <cell r="AH100">
            <v>6.7481366250547084E-2</v>
          </cell>
          <cell r="AI100">
            <v>1.183632869127379</v>
          </cell>
          <cell r="AJ100" t="str">
            <v/>
          </cell>
          <cell r="AK100" t="str">
            <v/>
          </cell>
          <cell r="AL100" t="str">
            <v/>
          </cell>
          <cell r="AM100" t="str">
            <v/>
          </cell>
          <cell r="AN100" t="str">
            <v/>
          </cell>
          <cell r="AO100" t="str">
            <v/>
          </cell>
          <cell r="AP100" t="str">
            <v/>
          </cell>
          <cell r="AQ100" t="str">
            <v/>
          </cell>
          <cell r="AR100" t="str">
            <v/>
          </cell>
          <cell r="AS100" t="str">
            <v/>
          </cell>
          <cell r="AT100" t="e">
            <v>#VALUE!</v>
          </cell>
          <cell r="AU100" t="str">
            <v/>
          </cell>
          <cell r="AV100">
            <v>2.5</v>
          </cell>
          <cell r="AW100">
            <v>45</v>
          </cell>
          <cell r="AX100">
            <v>45</v>
          </cell>
          <cell r="AY100">
            <v>0</v>
          </cell>
          <cell r="AZ100">
            <v>1.1627906976744187</v>
          </cell>
          <cell r="BA100">
            <v>0</v>
          </cell>
          <cell r="BB100">
            <v>0</v>
          </cell>
        </row>
        <row r="101">
          <cell r="C101" t="str">
            <v>VRRD-T2</v>
          </cell>
          <cell r="D101" t="e">
            <v>#N/A</v>
          </cell>
          <cell r="E101" t="str">
            <v>VRRD</v>
          </cell>
          <cell r="F101" t="str">
            <v>Rig_Up_Down_Rd_Dust</v>
          </cell>
          <cell r="G101" t="str">
            <v>2-23c</v>
          </cell>
          <cell r="H101" t="str">
            <v>Volume</v>
          </cell>
          <cell r="I101" t="str">
            <v>TWIN: Construction Equipment Tailpipe Emissions - Pad Construction</v>
          </cell>
          <cell r="J101" t="str">
            <v>T2</v>
          </cell>
          <cell r="K101">
            <v>71.123599999999996</v>
          </cell>
          <cell r="L101">
            <v>0</v>
          </cell>
          <cell r="M101">
            <v>0</v>
          </cell>
          <cell r="N101">
            <v>0</v>
          </cell>
          <cell r="O101">
            <v>45</v>
          </cell>
          <cell r="P101">
            <v>0</v>
          </cell>
          <cell r="Q101">
            <v>45</v>
          </cell>
          <cell r="R101">
            <v>2025</v>
          </cell>
          <cell r="S101">
            <v>0</v>
          </cell>
          <cell r="T101">
            <v>0</v>
          </cell>
          <cell r="U101">
            <v>10</v>
          </cell>
          <cell r="V101">
            <v>5</v>
          </cell>
          <cell r="W101" t="str">
            <v>S</v>
          </cell>
          <cell r="X101" t="str">
            <v>S</v>
          </cell>
          <cell r="Y101">
            <v>0</v>
          </cell>
          <cell r="Z101" t="str">
            <v/>
          </cell>
          <cell r="AA101" t="str">
            <v/>
          </cell>
          <cell r="AB101" t="str">
            <v/>
          </cell>
          <cell r="AC101" t="str">
            <v/>
          </cell>
          <cell r="AD101" t="str">
            <v/>
          </cell>
          <cell r="AE101" t="str">
            <v/>
          </cell>
          <cell r="AF101">
            <v>6.5397786631556237E-3</v>
          </cell>
          <cell r="AG101">
            <v>0.73826893344329059</v>
          </cell>
          <cell r="AH101">
            <v>6.5397786631556239E-4</v>
          </cell>
          <cell r="AI101">
            <v>7.382689334432907E-2</v>
          </cell>
          <cell r="AJ101" t="str">
            <v/>
          </cell>
          <cell r="AK101" t="str">
            <v/>
          </cell>
          <cell r="AL101" t="str">
            <v/>
          </cell>
          <cell r="AM101" t="str">
            <v/>
          </cell>
          <cell r="AN101" t="str">
            <v/>
          </cell>
          <cell r="AO101" t="str">
            <v/>
          </cell>
          <cell r="AP101" t="str">
            <v/>
          </cell>
          <cell r="AQ101" t="str">
            <v/>
          </cell>
          <cell r="AR101" t="str">
            <v/>
          </cell>
          <cell r="AS101" t="str">
            <v/>
          </cell>
          <cell r="AT101" t="str">
            <v/>
          </cell>
          <cell r="AU101" t="str">
            <v/>
          </cell>
          <cell r="AV101">
            <v>5</v>
          </cell>
          <cell r="AW101">
            <v>45</v>
          </cell>
          <cell r="AX101">
            <v>45</v>
          </cell>
          <cell r="AY101">
            <v>0</v>
          </cell>
          <cell r="AZ101">
            <v>2.3255813953488373</v>
          </cell>
          <cell r="BA101">
            <v>0</v>
          </cell>
          <cell r="BB101">
            <v>0</v>
          </cell>
        </row>
        <row r="102">
          <cell r="C102" t="str">
            <v>VDME2-T2</v>
          </cell>
          <cell r="D102" t="e">
            <v>#N/A</v>
          </cell>
          <cell r="E102" t="str">
            <v>VDME2</v>
          </cell>
          <cell r="F102" t="str">
            <v>Drilling Mobile Exhaust - DR2</v>
          </cell>
          <cell r="G102" t="str">
            <v>2-24</v>
          </cell>
          <cell r="H102" t="str">
            <v>Volume</v>
          </cell>
          <cell r="I102" t="str">
            <v>TWIN: Non-Construction Equipment Tailpipe Emissions</v>
          </cell>
          <cell r="J102" t="str">
            <v>T2</v>
          </cell>
          <cell r="K102">
            <v>71.123599999999996</v>
          </cell>
          <cell r="L102">
            <v>0</v>
          </cell>
          <cell r="M102">
            <v>0</v>
          </cell>
          <cell r="N102">
            <v>0</v>
          </cell>
          <cell r="O102">
            <v>45</v>
          </cell>
          <cell r="P102">
            <v>0</v>
          </cell>
          <cell r="Q102">
            <v>45</v>
          </cell>
          <cell r="R102">
            <v>2025</v>
          </cell>
          <cell r="S102">
            <v>0</v>
          </cell>
          <cell r="T102">
            <v>0</v>
          </cell>
          <cell r="U102">
            <v>5</v>
          </cell>
          <cell r="V102">
            <v>2.5</v>
          </cell>
          <cell r="W102" t="str">
            <v>S</v>
          </cell>
          <cell r="X102" t="str">
            <v>S</v>
          </cell>
          <cell r="Y102">
            <v>0</v>
          </cell>
          <cell r="Z102">
            <v>0.10152801018939907</v>
          </cell>
          <cell r="AA102">
            <v>5.5631786405150171E-3</v>
          </cell>
          <cell r="AB102">
            <v>6.0345897057810646E-4</v>
          </cell>
          <cell r="AC102">
            <v>6.0334381182661299E-4</v>
          </cell>
          <cell r="AD102">
            <v>6.0314228401149952E-4</v>
          </cell>
          <cell r="AE102">
            <v>3.3066244963183904E-5</v>
          </cell>
          <cell r="AF102">
            <v>4.6477139354154527E-4</v>
          </cell>
          <cell r="AG102">
            <v>8.4808040537659463E-3</v>
          </cell>
          <cell r="AH102">
            <v>2.5393712026874123E-4</v>
          </cell>
          <cell r="AI102">
            <v>4.6331167818237963E-3</v>
          </cell>
          <cell r="AJ102">
            <v>4.1735006473988902E-2</v>
          </cell>
          <cell r="AK102">
            <v>4.1720818359365565E-2</v>
          </cell>
          <cell r="AL102">
            <v>5.5619814715746605E-5</v>
          </cell>
          <cell r="AM102">
            <v>3.0476610803148819E-6</v>
          </cell>
          <cell r="AN102">
            <v>1.1218733701127541E-4</v>
          </cell>
          <cell r="AO102">
            <v>6.1472513430835841E-6</v>
          </cell>
          <cell r="AP102">
            <v>2.8339760429627491E-5</v>
          </cell>
          <cell r="AQ102">
            <v>1.5528635851850684E-6</v>
          </cell>
          <cell r="AR102">
            <v>1.0035032720287596E-4</v>
          </cell>
          <cell r="AS102">
            <v>5.4986480659110106E-6</v>
          </cell>
          <cell r="AT102">
            <v>4.1850306205623826E-5</v>
          </cell>
          <cell r="AU102">
            <v>2.2931674633218528E-6</v>
          </cell>
          <cell r="AV102">
            <v>2.5</v>
          </cell>
          <cell r="AW102">
            <v>45</v>
          </cell>
          <cell r="AX102">
            <v>45</v>
          </cell>
          <cell r="AY102">
            <v>0</v>
          </cell>
          <cell r="AZ102">
            <v>1.1627906976744187</v>
          </cell>
          <cell r="BA102">
            <v>0</v>
          </cell>
          <cell r="BB102">
            <v>0</v>
          </cell>
        </row>
        <row r="103">
          <cell r="C103" t="str">
            <v>VRME-T2</v>
          </cell>
          <cell r="D103" t="e">
            <v>#N/A</v>
          </cell>
          <cell r="E103" t="str">
            <v>VRME</v>
          </cell>
          <cell r="F103" t="str">
            <v>Rig_Up_down Mobile Exhaust</v>
          </cell>
          <cell r="G103" t="str">
            <v>2-26</v>
          </cell>
          <cell r="H103" t="str">
            <v>Volume</v>
          </cell>
          <cell r="I103" t="str">
            <v>TWIN: Construction Equipment Tailpipe Emissions - Pad Construction</v>
          </cell>
          <cell r="J103" t="str">
            <v>T2</v>
          </cell>
          <cell r="K103">
            <v>71.123599999999996</v>
          </cell>
          <cell r="L103">
            <v>0</v>
          </cell>
          <cell r="M103">
            <v>0</v>
          </cell>
          <cell r="N103">
            <v>0</v>
          </cell>
          <cell r="O103">
            <v>45</v>
          </cell>
          <cell r="P103">
            <v>0</v>
          </cell>
          <cell r="Q103">
            <v>45</v>
          </cell>
          <cell r="R103">
            <v>2025</v>
          </cell>
          <cell r="S103">
            <v>0</v>
          </cell>
          <cell r="T103">
            <v>0</v>
          </cell>
          <cell r="U103">
            <v>10</v>
          </cell>
          <cell r="V103">
            <v>5</v>
          </cell>
          <cell r="W103" t="str">
            <v>S</v>
          </cell>
          <cell r="X103" t="str">
            <v>S</v>
          </cell>
          <cell r="Y103">
            <v>0</v>
          </cell>
          <cell r="Z103">
            <v>1.10172951216488E-2</v>
          </cell>
          <cell r="AA103">
            <v>3.7730462745372605E-5</v>
          </cell>
          <cell r="AB103">
            <v>5.9837517637246113E-5</v>
          </cell>
          <cell r="AC103">
            <v>5.969356919787932E-5</v>
          </cell>
          <cell r="AD103">
            <v>2.4226413009165918E-5</v>
          </cell>
          <cell r="AE103">
            <v>2.0492300560700724E-7</v>
          </cell>
          <cell r="AF103">
            <v>2.7501267681643039E-6</v>
          </cell>
          <cell r="AG103">
            <v>3.2750065483459821E-4</v>
          </cell>
          <cell r="AH103">
            <v>1.3428910824429755E-6</v>
          </cell>
          <cell r="AI103">
            <v>1.5866121602849253E-4</v>
          </cell>
          <cell r="AJ103">
            <v>8.8320446830654764E-3</v>
          </cell>
          <cell r="AK103">
            <v>8.8040363872394743E-3</v>
          </cell>
          <cell r="AL103">
            <v>8.0200356863415257E-6</v>
          </cell>
          <cell r="AM103">
            <v>2.7465875638155905E-8</v>
          </cell>
          <cell r="AN103">
            <v>1.3827641414383854E-5</v>
          </cell>
          <cell r="AO103">
            <v>4.7354936350629642E-8</v>
          </cell>
          <cell r="AP103">
            <v>3.5744030080431812E-6</v>
          </cell>
          <cell r="AQ103">
            <v>1.2241106191928705E-8</v>
          </cell>
          <cell r="AR103">
            <v>1.3641740274356107E-5</v>
          </cell>
          <cell r="AS103">
            <v>4.6718288610808582E-8</v>
          </cell>
          <cell r="AT103">
            <v>4.1636675003733568E-6</v>
          </cell>
          <cell r="AU103">
            <v>1.4259135275251227E-8</v>
          </cell>
          <cell r="AV103">
            <v>5</v>
          </cell>
          <cell r="AW103">
            <v>45</v>
          </cell>
          <cell r="AX103">
            <v>45</v>
          </cell>
          <cell r="AY103">
            <v>0</v>
          </cell>
          <cell r="AZ103">
            <v>2.3255813953488373</v>
          </cell>
          <cell r="BA103">
            <v>0</v>
          </cell>
          <cell r="BB103">
            <v>0</v>
          </cell>
        </row>
        <row r="104">
          <cell r="C104" t="str">
            <v>VDC-T2</v>
          </cell>
          <cell r="D104" t="e">
            <v>#N/A</v>
          </cell>
          <cell r="E104" t="str">
            <v>VDC</v>
          </cell>
          <cell r="F104" t="str">
            <v>Drilling consturction</v>
          </cell>
          <cell r="G104" t="str">
            <v>2-27</v>
          </cell>
          <cell r="H104" t="str">
            <v>Volume</v>
          </cell>
          <cell r="I104" t="str">
            <v>TWIN: Pad Construction Surface Disturbance</v>
          </cell>
          <cell r="J104" t="str">
            <v>T2</v>
          </cell>
          <cell r="K104">
            <v>71.123599999999996</v>
          </cell>
          <cell r="L104">
            <v>0</v>
          </cell>
          <cell r="M104">
            <v>0</v>
          </cell>
          <cell r="N104">
            <v>0</v>
          </cell>
          <cell r="O104">
            <v>45</v>
          </cell>
          <cell r="P104">
            <v>0</v>
          </cell>
          <cell r="Q104">
            <v>45</v>
          </cell>
          <cell r="R104">
            <v>2025</v>
          </cell>
          <cell r="S104">
            <v>0</v>
          </cell>
          <cell r="T104">
            <v>0</v>
          </cell>
          <cell r="U104">
            <v>6.0960000000000001</v>
          </cell>
          <cell r="V104">
            <v>3.048</v>
          </cell>
          <cell r="W104" t="str">
            <v>S</v>
          </cell>
          <cell r="X104" t="str">
            <v>S</v>
          </cell>
          <cell r="Y104">
            <v>0</v>
          </cell>
          <cell r="Z104">
            <v>2.9748061982675395E-2</v>
          </cell>
          <cell r="AA104">
            <v>6.8658670190610311E-4</v>
          </cell>
          <cell r="AB104">
            <v>1.5295901446906642E-4</v>
          </cell>
          <cell r="AC104">
            <v>1.5295901446906644E-4</v>
          </cell>
          <cell r="AD104">
            <v>1.274658453908887E-4</v>
          </cell>
          <cell r="AE104">
            <v>2.0256551746614037E-6</v>
          </cell>
          <cell r="AF104">
            <v>4.2668660586016693E-5</v>
          </cell>
          <cell r="AG104">
            <v>1.4009495608403835E-3</v>
          </cell>
          <cell r="AH104">
            <v>4.1388602326337038E-5</v>
          </cell>
          <cell r="AI104">
            <v>1.3589212873433144E-3</v>
          </cell>
          <cell r="AJ104">
            <v>1.6578304995271468E-2</v>
          </cell>
          <cell r="AK104">
            <v>1.6578304995271468E-2</v>
          </cell>
          <cell r="AL104">
            <v>1.6027008352836595E-4</v>
          </cell>
          <cell r="AM104">
            <v>2.7938460855210972E-6</v>
          </cell>
          <cell r="AN104">
            <v>1.1792598407273813E-4</v>
          </cell>
          <cell r="AO104">
            <v>2.0554986162683762E-6</v>
          </cell>
          <cell r="AP104">
            <v>2.4399622975822711E-5</v>
          </cell>
          <cell r="AQ104">
            <v>4.2520537620323422E-7</v>
          </cell>
          <cell r="AR104">
            <v>8.3410290888655139E-5</v>
          </cell>
          <cell r="AS104">
            <v>1.4538663811154831E-6</v>
          </cell>
          <cell r="AT104">
            <v>1.2533800987802776E-5</v>
          </cell>
          <cell r="AU104">
            <v>2.1848889325394765E-7</v>
          </cell>
          <cell r="AV104">
            <v>3.048</v>
          </cell>
          <cell r="AW104">
            <v>45</v>
          </cell>
          <cell r="AX104">
            <v>45</v>
          </cell>
          <cell r="AY104">
            <v>0</v>
          </cell>
          <cell r="AZ104">
            <v>1.4176744186046513</v>
          </cell>
          <cell r="BA104" t="str">
            <v>HROFDAY</v>
          </cell>
          <cell r="BB104" t="str">
            <v>0  0  0  0  0  0  1  1  1  1  1  1  1  1  1  1  1  1  0  0  0  0  0  0  0</v>
          </cell>
        </row>
        <row r="105">
          <cell r="C105" t="str">
            <v>VRCE-T2</v>
          </cell>
          <cell r="D105" t="e">
            <v>#N/A</v>
          </cell>
          <cell r="E105" t="str">
            <v>VRCE</v>
          </cell>
          <cell r="F105" t="str">
            <v>Rig Up_down Construction equipment</v>
          </cell>
          <cell r="G105" t="str">
            <v>2-29</v>
          </cell>
          <cell r="H105" t="str">
            <v>Volume</v>
          </cell>
          <cell r="I105" t="str">
            <v>TWIN: Construction Equipment Tailpipe Emissions - Pad Construction</v>
          </cell>
          <cell r="J105" t="str">
            <v>T2</v>
          </cell>
          <cell r="K105">
            <v>71.123599999999996</v>
          </cell>
          <cell r="L105">
            <v>0</v>
          </cell>
          <cell r="M105">
            <v>0</v>
          </cell>
          <cell r="N105">
            <v>0</v>
          </cell>
          <cell r="O105">
            <v>45</v>
          </cell>
          <cell r="P105">
            <v>0</v>
          </cell>
          <cell r="Q105">
            <v>45</v>
          </cell>
          <cell r="R105">
            <v>2025</v>
          </cell>
          <cell r="S105">
            <v>0</v>
          </cell>
          <cell r="T105">
            <v>0</v>
          </cell>
          <cell r="U105">
            <v>10</v>
          </cell>
          <cell r="V105">
            <v>5</v>
          </cell>
          <cell r="W105" t="str">
            <v>S</v>
          </cell>
          <cell r="X105" t="str">
            <v>S</v>
          </cell>
          <cell r="Y105">
            <v>0</v>
          </cell>
          <cell r="Z105">
            <v>8.6536407634378448E-2</v>
          </cell>
          <cell r="AA105">
            <v>5.7391474996928505E-4</v>
          </cell>
          <cell r="AB105">
            <v>9.9271049558068321E-5</v>
          </cell>
          <cell r="AC105">
            <v>9.9271049558068321E-5</v>
          </cell>
          <cell r="AD105">
            <v>8.2725874631723578E-5</v>
          </cell>
          <cell r="AE105">
            <v>5.6215273017980058E-7</v>
          </cell>
          <cell r="AF105">
            <v>3.2547011630872825E-5</v>
          </cell>
          <cell r="AG105">
            <v>4.1020122973947828E-3</v>
          </cell>
          <cell r="AH105">
            <v>3.2529490367567291E-5</v>
          </cell>
          <cell r="AI105">
            <v>4.0956170362882625E-3</v>
          </cell>
          <cell r="AJ105">
            <v>5.9485115733363202E-2</v>
          </cell>
          <cell r="AK105">
            <v>5.9485115733363202E-2</v>
          </cell>
          <cell r="AL105">
            <v>1.2408313891174965E-4</v>
          </cell>
          <cell r="AM105">
            <v>7.1959881256461129E-7</v>
          </cell>
          <cell r="AN105">
            <v>7.6028918645355272E-5</v>
          </cell>
          <cell r="AO105">
            <v>5.2922417227628686E-7</v>
          </cell>
          <cell r="AP105">
            <v>1.8921765057150421E-5</v>
          </cell>
          <cell r="AQ105">
            <v>1.097457820713389E-7</v>
          </cell>
          <cell r="AR105">
            <v>6.4630531281278556E-5</v>
          </cell>
          <cell r="AS105">
            <v>3.7488784679080204E-7</v>
          </cell>
          <cell r="AT105">
            <v>9.7134465099389437E-6</v>
          </cell>
          <cell r="AU105">
            <v>5.6338363845583222E-8</v>
          </cell>
          <cell r="AV105">
            <v>5</v>
          </cell>
          <cell r="AW105">
            <v>45</v>
          </cell>
          <cell r="AX105">
            <v>45</v>
          </cell>
          <cell r="AY105">
            <v>0</v>
          </cell>
          <cell r="AZ105">
            <v>2.3255813953488373</v>
          </cell>
          <cell r="BA105" t="str">
            <v>HROFDAY</v>
          </cell>
          <cell r="BB105" t="str">
            <v>0  0  0  0  0  0  1  1  1  1  1  1  1  1  1  1  1  1  0  0  0  0  0  0  0</v>
          </cell>
        </row>
        <row r="106">
          <cell r="C106" t="str">
            <v>VPRDN-T2</v>
          </cell>
          <cell r="D106" t="e">
            <v>#N/A</v>
          </cell>
          <cell r="E106" t="str">
            <v>VPRDN</v>
          </cell>
          <cell r="F106" t="str">
            <v>Production Rd  Dust New Well</v>
          </cell>
          <cell r="G106" t="str">
            <v>2-35</v>
          </cell>
          <cell r="H106" t="str">
            <v>Volume</v>
          </cell>
          <cell r="I106" t="str">
            <v>TWIN: Non-Construction Equipment Tailpipe Emissions</v>
          </cell>
          <cell r="J106" t="str">
            <v>T2</v>
          </cell>
          <cell r="K106">
            <v>71.123599999999996</v>
          </cell>
          <cell r="L106">
            <v>0</v>
          </cell>
          <cell r="M106">
            <v>0</v>
          </cell>
          <cell r="N106">
            <v>0</v>
          </cell>
          <cell r="O106">
            <v>45</v>
          </cell>
          <cell r="P106">
            <v>0</v>
          </cell>
          <cell r="Q106">
            <v>45</v>
          </cell>
          <cell r="R106">
            <v>2025</v>
          </cell>
          <cell r="S106">
            <v>0</v>
          </cell>
          <cell r="T106">
            <v>0</v>
          </cell>
          <cell r="U106">
            <v>5</v>
          </cell>
          <cell r="V106">
            <v>2.5</v>
          </cell>
          <cell r="W106" t="str">
            <v>S</v>
          </cell>
          <cell r="X106" t="str">
            <v>S</v>
          </cell>
          <cell r="Y106">
            <v>0</v>
          </cell>
          <cell r="Z106" t="str">
            <v/>
          </cell>
          <cell r="AA106" t="str">
            <v/>
          </cell>
          <cell r="AB106" t="str">
            <v/>
          </cell>
          <cell r="AC106" t="str">
            <v/>
          </cell>
          <cell r="AD106" t="str">
            <v/>
          </cell>
          <cell r="AE106" t="str">
            <v/>
          </cell>
          <cell r="AF106">
            <v>0.26510823393820115</v>
          </cell>
          <cell r="AG106">
            <v>0.57881261904295189</v>
          </cell>
          <cell r="AH106">
            <v>2.6607587225399382E-2</v>
          </cell>
          <cell r="AI106">
            <v>5.7620529786716029E-2</v>
          </cell>
          <cell r="AJ106" t="str">
            <v/>
          </cell>
          <cell r="AK106" t="str">
            <v/>
          </cell>
          <cell r="AL106" t="str">
            <v/>
          </cell>
          <cell r="AM106" t="str">
            <v/>
          </cell>
          <cell r="AN106" t="str">
            <v/>
          </cell>
          <cell r="AO106" t="str">
            <v/>
          </cell>
          <cell r="AP106" t="str">
            <v/>
          </cell>
          <cell r="AQ106" t="str">
            <v/>
          </cell>
          <cell r="AR106" t="str">
            <v/>
          </cell>
          <cell r="AS106" t="str">
            <v/>
          </cell>
          <cell r="AT106" t="str">
            <v/>
          </cell>
          <cell r="AU106" t="str">
            <v/>
          </cell>
          <cell r="AV106">
            <v>2.5</v>
          </cell>
          <cell r="AW106">
            <v>45</v>
          </cell>
          <cell r="AX106">
            <v>45</v>
          </cell>
          <cell r="AY106">
            <v>0</v>
          </cell>
          <cell r="AZ106">
            <v>1.1627906976744187</v>
          </cell>
          <cell r="BA106" t="str">
            <v>HROFDAY</v>
          </cell>
          <cell r="BB106" t="str">
            <v>0  0  0  0  0  0  0  0   1  1  1  1  1  1  1  1  1  1  0  0  0  0  0  0</v>
          </cell>
        </row>
        <row r="107">
          <cell r="C107" t="str">
            <v>VPMEN-T2</v>
          </cell>
          <cell r="D107" t="e">
            <v>#N/A</v>
          </cell>
          <cell r="E107" t="str">
            <v>VPMEN</v>
          </cell>
          <cell r="F107" t="str">
            <v>Prd. Mobile Exhaust - New Well</v>
          </cell>
          <cell r="G107" t="str">
            <v>2-36</v>
          </cell>
          <cell r="H107" t="str">
            <v>Volume</v>
          </cell>
          <cell r="I107" t="str">
            <v>TWIN: Non-Construction Equipment Tailpipe Emissions</v>
          </cell>
          <cell r="J107" t="str">
            <v>T2</v>
          </cell>
          <cell r="K107">
            <v>71.123599999999996</v>
          </cell>
          <cell r="L107">
            <v>0</v>
          </cell>
          <cell r="M107">
            <v>0</v>
          </cell>
          <cell r="N107">
            <v>0</v>
          </cell>
          <cell r="O107">
            <v>45</v>
          </cell>
          <cell r="P107">
            <v>0</v>
          </cell>
          <cell r="Q107">
            <v>45</v>
          </cell>
          <cell r="R107">
            <v>2025</v>
          </cell>
          <cell r="S107">
            <v>0</v>
          </cell>
          <cell r="T107">
            <v>0</v>
          </cell>
          <cell r="U107">
            <v>5</v>
          </cell>
          <cell r="V107">
            <v>2.5</v>
          </cell>
          <cell r="W107" t="str">
            <v>S</v>
          </cell>
          <cell r="X107" t="str">
            <v>S</v>
          </cell>
          <cell r="Y107">
            <v>0</v>
          </cell>
          <cell r="Z107">
            <v>2.0407821630127894E-2</v>
          </cell>
          <cell r="AA107">
            <v>1.4980490385297779E-3</v>
          </cell>
          <cell r="AB107">
            <v>3.4919926566030096E-4</v>
          </cell>
          <cell r="AC107">
            <v>1.1639975522010031E-4</v>
          </cell>
          <cell r="AD107">
            <v>3.4919926566030094E-5</v>
          </cell>
          <cell r="AE107">
            <v>3.0632197955227528E-5</v>
          </cell>
          <cell r="AF107">
            <v>3.6794171422557088E-4</v>
          </cell>
          <cell r="AG107">
            <v>4.2428900483333334E-4</v>
          </cell>
          <cell r="AH107">
            <v>2.4491426432216045E-4</v>
          </cell>
          <cell r="AI107">
            <v>2.7707423774479166E-4</v>
          </cell>
          <cell r="AJ107">
            <v>0.23068702190246523</v>
          </cell>
          <cell r="AK107">
            <v>2.8835877737808154E-2</v>
          </cell>
          <cell r="AL107">
            <v>1.1036343368616901E-4</v>
          </cell>
          <cell r="AM107">
            <v>1.0460411964705213E-5</v>
          </cell>
          <cell r="AN107">
            <v>5.2255572027604168E-4</v>
          </cell>
          <cell r="AO107">
            <v>4.9804395505769126E-5</v>
          </cell>
          <cell r="AP107">
            <v>8.5048983613865734E-5</v>
          </cell>
          <cell r="AQ107">
            <v>8.0698302706352672E-6</v>
          </cell>
          <cell r="AR107">
            <v>2.4485120504727665E-3</v>
          </cell>
          <cell r="AS107">
            <v>2.3427615111524096E-4</v>
          </cell>
          <cell r="AT107">
            <v>1.3061440395370369E-4</v>
          </cell>
          <cell r="AU107">
            <v>1.2364081807399797E-5</v>
          </cell>
          <cell r="AV107">
            <v>2.5</v>
          </cell>
          <cell r="AW107">
            <v>45</v>
          </cell>
          <cell r="AX107">
            <v>45</v>
          </cell>
          <cell r="AY107">
            <v>0</v>
          </cell>
          <cell r="AZ107">
            <v>1.1627906976744187</v>
          </cell>
          <cell r="BA107" t="str">
            <v>HROFDAY</v>
          </cell>
          <cell r="BB107" t="str">
            <v>0  0  0  0  0  0  0  0   1  1  1  1  1  1  1  1  1  1  0  0  0  0  0  0</v>
          </cell>
        </row>
        <row r="108">
          <cell r="C108" t="str">
            <v>VPH-T2</v>
          </cell>
          <cell r="D108" t="e">
            <v>#N/A</v>
          </cell>
          <cell r="E108" t="str">
            <v>VPH</v>
          </cell>
          <cell r="F108" t="str">
            <v>Production Heater</v>
          </cell>
          <cell r="G108" t="str">
            <v>2-40</v>
          </cell>
          <cell r="H108" t="str">
            <v>Volume</v>
          </cell>
          <cell r="I108" t="str">
            <v>Heater</v>
          </cell>
          <cell r="J108" t="str">
            <v>T2</v>
          </cell>
          <cell r="K108">
            <v>71.123599999999996</v>
          </cell>
          <cell r="L108">
            <v>0</v>
          </cell>
          <cell r="M108">
            <v>0</v>
          </cell>
          <cell r="N108">
            <v>0</v>
          </cell>
          <cell r="O108">
            <v>0</v>
          </cell>
          <cell r="P108">
            <v>0</v>
          </cell>
          <cell r="Q108">
            <v>0</v>
          </cell>
          <cell r="R108">
            <v>0</v>
          </cell>
          <cell r="S108">
            <v>0</v>
          </cell>
          <cell r="T108">
            <v>0</v>
          </cell>
          <cell r="U108">
            <v>0</v>
          </cell>
          <cell r="V108">
            <v>0</v>
          </cell>
          <cell r="W108" t="str">
            <v>S</v>
          </cell>
          <cell r="X108" t="str">
            <v>S</v>
          </cell>
          <cell r="Y108">
            <v>0</v>
          </cell>
          <cell r="Z108">
            <v>4.9410933551198256E-3</v>
          </cell>
          <cell r="AA108">
            <v>4.9410933551198256E-3</v>
          </cell>
          <cell r="AB108">
            <v>2.9771353341975505E-4</v>
          </cell>
          <cell r="AC108">
            <v>2.9771353341975505E-4</v>
          </cell>
          <cell r="AD108">
            <v>2.9771353341975505E-4</v>
          </cell>
          <cell r="AE108">
            <v>2.9771353341975505E-4</v>
          </cell>
          <cell r="AF108">
            <v>3.7552309498910681E-4</v>
          </cell>
          <cell r="AG108">
            <v>3.7552309498910681E-4</v>
          </cell>
          <cell r="AH108">
            <v>3.7552309498910681E-4</v>
          </cell>
          <cell r="AI108">
            <v>3.7552309498910681E-4</v>
          </cell>
          <cell r="AJ108">
            <v>4.1505184183006543E-3</v>
          </cell>
          <cell r="AK108">
            <v>0</v>
          </cell>
          <cell r="AL108">
            <v>7.7393475751263511E-8</v>
          </cell>
          <cell r="AM108">
            <v>7.7393475751263511E-8</v>
          </cell>
          <cell r="AN108">
            <v>7.4620796256974713E-8</v>
          </cell>
          <cell r="AO108">
            <v>7.4620796256974713E-8</v>
          </cell>
          <cell r="AP108">
            <v>1.4561120887824058E-8</v>
          </cell>
          <cell r="AQ108">
            <v>1.4561120887824058E-8</v>
          </cell>
          <cell r="AR108">
            <v>1.164306058966292E-7</v>
          </cell>
          <cell r="AS108">
            <v>1.164306058966292E-7</v>
          </cell>
          <cell r="AT108">
            <v>3.5521344347211526E-7</v>
          </cell>
          <cell r="AU108">
            <v>3.5521344347211526E-7</v>
          </cell>
          <cell r="AV108">
            <v>0</v>
          </cell>
          <cell r="AW108">
            <v>0</v>
          </cell>
          <cell r="AX108">
            <v>0</v>
          </cell>
          <cell r="AY108">
            <v>0</v>
          </cell>
          <cell r="AZ108">
            <v>0</v>
          </cell>
          <cell r="BA108" t="str">
            <v>MONTH</v>
          </cell>
          <cell r="BB108" t="str">
            <v>0 0 0 0 1 1 1 1 1 1 1 0</v>
          </cell>
        </row>
        <row r="109">
          <cell r="C109" t="str">
            <v>VOWCF-T2</v>
          </cell>
          <cell r="D109" t="e">
            <v>#N/A</v>
          </cell>
          <cell r="E109" t="str">
            <v>VOWCF</v>
          </cell>
          <cell r="F109" t="str">
            <v>2+ yr Well Cond. Flash - Cntrld</v>
          </cell>
          <cell r="G109" t="str">
            <v>2-46</v>
          </cell>
          <cell r="H109" t="str">
            <v>Volume</v>
          </cell>
          <cell r="I109" t="str">
            <v>Well Production - Single Well</v>
          </cell>
          <cell r="J109" t="str">
            <v>T2</v>
          </cell>
          <cell r="K109">
            <v>71.123599999999996</v>
          </cell>
          <cell r="L109">
            <v>0</v>
          </cell>
          <cell r="M109">
            <v>0</v>
          </cell>
          <cell r="N109">
            <v>0</v>
          </cell>
          <cell r="O109">
            <v>10</v>
          </cell>
          <cell r="P109">
            <v>0</v>
          </cell>
          <cell r="Q109">
            <v>10</v>
          </cell>
          <cell r="R109">
            <v>100</v>
          </cell>
          <cell r="S109">
            <v>0</v>
          </cell>
          <cell r="T109">
            <v>0</v>
          </cell>
          <cell r="U109">
            <v>10</v>
          </cell>
          <cell r="V109">
            <v>5</v>
          </cell>
          <cell r="W109" t="str">
            <v>S</v>
          </cell>
          <cell r="X109" t="str">
            <v>S</v>
          </cell>
          <cell r="Y109">
            <v>0</v>
          </cell>
          <cell r="Z109" t="str">
            <v/>
          </cell>
          <cell r="AA109" t="str">
            <v/>
          </cell>
          <cell r="AB109" t="str">
            <v/>
          </cell>
          <cell r="AC109" t="str">
            <v/>
          </cell>
          <cell r="AD109" t="str">
            <v/>
          </cell>
          <cell r="AE109" t="str">
            <v/>
          </cell>
          <cell r="AF109" t="str">
            <v/>
          </cell>
          <cell r="AG109" t="str">
            <v/>
          </cell>
          <cell r="AH109" t="str">
            <v/>
          </cell>
          <cell r="AI109" t="str">
            <v/>
          </cell>
          <cell r="AJ109" t="str">
            <v/>
          </cell>
          <cell r="AK109" t="str">
            <v/>
          </cell>
          <cell r="AL109" t="str">
            <v/>
          </cell>
          <cell r="AM109" t="str">
            <v/>
          </cell>
          <cell r="AN109" t="str">
            <v/>
          </cell>
          <cell r="AO109" t="str">
            <v/>
          </cell>
          <cell r="AP109" t="str">
            <v/>
          </cell>
          <cell r="AQ109" t="str">
            <v/>
          </cell>
          <cell r="AR109" t="str">
            <v/>
          </cell>
          <cell r="AS109" t="str">
            <v/>
          </cell>
          <cell r="AT109" t="str">
            <v/>
          </cell>
          <cell r="AU109" t="str">
            <v/>
          </cell>
          <cell r="AV109">
            <v>5</v>
          </cell>
          <cell r="AW109">
            <v>10</v>
          </cell>
          <cell r="AX109">
            <v>10</v>
          </cell>
          <cell r="AY109">
            <v>0</v>
          </cell>
          <cell r="AZ109">
            <v>2.3255813953488373</v>
          </cell>
          <cell r="BA109">
            <v>0</v>
          </cell>
          <cell r="BB109">
            <v>0</v>
          </cell>
        </row>
        <row r="110">
          <cell r="C110" t="str">
            <v>VDHYD-T2</v>
          </cell>
          <cell r="D110" t="e">
            <v>#N/A</v>
          </cell>
          <cell r="E110" t="str">
            <v>VDHYD</v>
          </cell>
          <cell r="F110" t="str">
            <v>Dehydrator</v>
          </cell>
          <cell r="G110" t="str">
            <v>2-53</v>
          </cell>
          <cell r="H110" t="str">
            <v>Volume</v>
          </cell>
          <cell r="I110" t="str">
            <v>Heater</v>
          </cell>
          <cell r="J110" t="str">
            <v>T2</v>
          </cell>
          <cell r="K110">
            <v>71.123599999999996</v>
          </cell>
          <cell r="L110">
            <v>0</v>
          </cell>
          <cell r="M110">
            <v>0</v>
          </cell>
          <cell r="N110">
            <v>0</v>
          </cell>
          <cell r="O110">
            <v>0</v>
          </cell>
          <cell r="P110">
            <v>0</v>
          </cell>
          <cell r="Q110">
            <v>0</v>
          </cell>
          <cell r="R110">
            <v>0</v>
          </cell>
          <cell r="S110">
            <v>0</v>
          </cell>
          <cell r="T110">
            <v>0</v>
          </cell>
          <cell r="U110">
            <v>0</v>
          </cell>
          <cell r="V110">
            <v>0</v>
          </cell>
          <cell r="W110" t="str">
            <v>S</v>
          </cell>
          <cell r="X110" t="str">
            <v>S</v>
          </cell>
          <cell r="Y110">
            <v>0</v>
          </cell>
          <cell r="Z110">
            <v>1.1633804304629632E-2</v>
          </cell>
          <cell r="AA110">
            <v>1.1633804304629632E-2</v>
          </cell>
          <cell r="AB110">
            <v>6.362207472789299E-5</v>
          </cell>
          <cell r="AC110">
            <v>6.362207472789299E-5</v>
          </cell>
          <cell r="AD110">
            <v>6.362207472789299E-5</v>
          </cell>
          <cell r="AE110">
            <v>6.362207472789299E-5</v>
          </cell>
          <cell r="AF110">
            <v>1.7215948840912595E-3</v>
          </cell>
          <cell r="AG110">
            <v>1.7215948840912595E-3</v>
          </cell>
          <cell r="AH110">
            <v>1.7215948840912595E-3</v>
          </cell>
          <cell r="AI110">
            <v>1.7215948840912595E-3</v>
          </cell>
          <cell r="AJ110">
            <v>3.5279406555555563E-3</v>
          </cell>
          <cell r="AK110">
            <v>3.5279406555555563E-3</v>
          </cell>
          <cell r="AL110">
            <v>1.4150215401306188E-4</v>
          </cell>
          <cell r="AM110">
            <v>1.4150215401306188E-4</v>
          </cell>
          <cell r="AN110">
            <v>6.6816858092294952E-4</v>
          </cell>
          <cell r="AO110">
            <v>6.6816858092294952E-4</v>
          </cell>
          <cell r="AP110">
            <v>8.34356577583244E-5</v>
          </cell>
          <cell r="AQ110">
            <v>8.34356577583244E-5</v>
          </cell>
          <cell r="AR110">
            <v>1.0311134482335125E-3</v>
          </cell>
          <cell r="AS110">
            <v>1.0311134482335125E-3</v>
          </cell>
          <cell r="AT110">
            <v>1.8499978295161996E-5</v>
          </cell>
          <cell r="AU110">
            <v>1.8499978295161996E-5</v>
          </cell>
          <cell r="AV110">
            <v>0</v>
          </cell>
          <cell r="AW110">
            <v>0</v>
          </cell>
          <cell r="AX110">
            <v>0</v>
          </cell>
          <cell r="AY110">
            <v>0</v>
          </cell>
          <cell r="AZ110">
            <v>0</v>
          </cell>
          <cell r="BA110">
            <v>0</v>
          </cell>
          <cell r="BB110">
            <v>0</v>
          </cell>
        </row>
        <row r="111">
          <cell r="C111" t="str">
            <v>VPMLC-T2</v>
          </cell>
          <cell r="D111" t="e">
            <v>#N/A</v>
          </cell>
          <cell r="E111" t="str">
            <v>VPMLC</v>
          </cell>
          <cell r="F111" t="str">
            <v>"Pneumatic Pumps" &amp; "Liquid Level Controllers"</v>
          </cell>
          <cell r="G111" t="str">
            <v>2-54</v>
          </cell>
          <cell r="H111" t="str">
            <v>Volume</v>
          </cell>
          <cell r="I111" t="str">
            <v>Well Production - Single Well</v>
          </cell>
          <cell r="J111" t="str">
            <v>T2</v>
          </cell>
          <cell r="K111">
            <v>71.123599999999996</v>
          </cell>
          <cell r="L111">
            <v>0</v>
          </cell>
          <cell r="M111">
            <v>0</v>
          </cell>
          <cell r="N111">
            <v>0</v>
          </cell>
          <cell r="O111">
            <v>10</v>
          </cell>
          <cell r="P111">
            <v>0</v>
          </cell>
          <cell r="Q111">
            <v>10</v>
          </cell>
          <cell r="R111">
            <v>100</v>
          </cell>
          <cell r="S111">
            <v>0</v>
          </cell>
          <cell r="T111">
            <v>0</v>
          </cell>
          <cell r="U111">
            <v>10</v>
          </cell>
          <cell r="V111">
            <v>5</v>
          </cell>
          <cell r="W111" t="str">
            <v>S</v>
          </cell>
          <cell r="X111" t="str">
            <v>S</v>
          </cell>
          <cell r="Y111">
            <v>0</v>
          </cell>
          <cell r="Z111">
            <v>2.6459554916666669E-10</v>
          </cell>
          <cell r="AA111">
            <v>1.2081988546423137E-10</v>
          </cell>
          <cell r="AB111">
            <v>1.0573720127858805E-8</v>
          </cell>
          <cell r="AC111">
            <v>1.0573720127858805E-8</v>
          </cell>
          <cell r="AD111">
            <v>1.0573720127858805E-8</v>
          </cell>
          <cell r="AE111">
            <v>4.8281827067848429E-9</v>
          </cell>
          <cell r="AF111">
            <v>0</v>
          </cell>
          <cell r="AG111">
            <v>0</v>
          </cell>
          <cell r="AH111">
            <v>0</v>
          </cell>
          <cell r="AI111">
            <v>0</v>
          </cell>
          <cell r="AJ111">
            <v>6.6148887291666672E-11</v>
          </cell>
          <cell r="AK111">
            <v>6.6148887291666672E-11</v>
          </cell>
          <cell r="AL111">
            <v>3.2093284821875957E-9</v>
          </cell>
          <cell r="AM111">
            <v>2.9186815344095713E-9</v>
          </cell>
          <cell r="AN111">
            <v>3.1010367176809389E-9</v>
          </cell>
          <cell r="AO111">
            <v>2.8201970149381441E-9</v>
          </cell>
          <cell r="AP111">
            <v>6.2835560255072395E-10</v>
          </cell>
          <cell r="AQ111">
            <v>5.7144972986918952E-10</v>
          </cell>
          <cell r="AR111">
            <v>4.3584513008233665E-9</v>
          </cell>
          <cell r="AS111">
            <v>3.9637361525752831E-9</v>
          </cell>
          <cell r="AT111">
            <v>1.472909128159611E-8</v>
          </cell>
          <cell r="AU111">
            <v>1.3395178144221728E-8</v>
          </cell>
          <cell r="AV111">
            <v>5</v>
          </cell>
          <cell r="AW111">
            <v>10</v>
          </cell>
          <cell r="AX111">
            <v>10</v>
          </cell>
          <cell r="AY111">
            <v>0</v>
          </cell>
          <cell r="AZ111">
            <v>2.3255813953488373</v>
          </cell>
          <cell r="BA111">
            <v>0</v>
          </cell>
          <cell r="BB111">
            <v>0</v>
          </cell>
        </row>
        <row r="112">
          <cell r="C112" t="str">
            <v>VBF-T2</v>
          </cell>
          <cell r="D112" t="e">
            <v>#N/A</v>
          </cell>
          <cell r="E112" t="str">
            <v>VBF</v>
          </cell>
          <cell r="F112" t="str">
            <v>Blowdown Flaring</v>
          </cell>
          <cell r="G112" t="str">
            <v>2-56</v>
          </cell>
          <cell r="H112" t="str">
            <v>Volume</v>
          </cell>
          <cell r="I112" t="str">
            <v>Well Production - Single Well</v>
          </cell>
          <cell r="J112" t="str">
            <v>T2</v>
          </cell>
          <cell r="K112">
            <v>71.123599999999996</v>
          </cell>
          <cell r="L112">
            <v>0</v>
          </cell>
          <cell r="M112">
            <v>0</v>
          </cell>
          <cell r="N112">
            <v>0</v>
          </cell>
          <cell r="O112">
            <v>10</v>
          </cell>
          <cell r="P112">
            <v>0</v>
          </cell>
          <cell r="Q112">
            <v>10</v>
          </cell>
          <cell r="R112">
            <v>100</v>
          </cell>
          <cell r="S112">
            <v>0</v>
          </cell>
          <cell r="T112">
            <v>0</v>
          </cell>
          <cell r="U112">
            <v>10</v>
          </cell>
          <cell r="V112">
            <v>5</v>
          </cell>
          <cell r="W112" t="str">
            <v>S</v>
          </cell>
          <cell r="X112" t="str">
            <v>S</v>
          </cell>
          <cell r="Y112">
            <v>0</v>
          </cell>
          <cell r="Z112">
            <v>2.6992028313092168E-2</v>
          </cell>
          <cell r="AA112">
            <v>9.2438453127027963E-6</v>
          </cell>
          <cell r="AB112">
            <v>1.1161358103303415E-5</v>
          </cell>
          <cell r="AC112">
            <v>3.7204527011011379E-6</v>
          </cell>
          <cell r="AD112">
            <v>4.6505658763764224E-7</v>
          </cell>
          <cell r="AE112">
            <v>3.8223829120902099E-9</v>
          </cell>
          <cell r="AF112">
            <v>1.4339347732487138E-6</v>
          </cell>
          <cell r="AG112">
            <v>1.7446206407859349E-4</v>
          </cell>
          <cell r="AH112">
            <v>1.4339347732487138E-6</v>
          </cell>
          <cell r="AI112">
            <v>1.7446206407859349E-4</v>
          </cell>
          <cell r="AJ112">
            <v>6.748007078273042E-3</v>
          </cell>
          <cell r="AK112">
            <v>8.4350088478413025E-4</v>
          </cell>
          <cell r="AL112">
            <v>5.9295335928010039E-5</v>
          </cell>
          <cell r="AM112">
            <v>2.0306621893154122E-8</v>
          </cell>
          <cell r="AN112">
            <v>5.7294544612849221E-5</v>
          </cell>
          <cell r="AO112">
            <v>1.9621419387962059E-8</v>
          </cell>
          <cell r="AP112">
            <v>1.1609455604898233E-5</v>
          </cell>
          <cell r="AQ112">
            <v>3.9758409605815865E-9</v>
          </cell>
          <cell r="AR112">
            <v>8.707091703673674E-5</v>
          </cell>
          <cell r="AS112">
            <v>2.9818807204361897E-8</v>
          </cell>
          <cell r="AT112">
            <v>2.7213369410576709E-4</v>
          </cell>
          <cell r="AU112">
            <v>9.3196470584166814E-8</v>
          </cell>
          <cell r="AV112">
            <v>5</v>
          </cell>
          <cell r="AW112">
            <v>10</v>
          </cell>
          <cell r="AX112">
            <v>10</v>
          </cell>
          <cell r="AY112">
            <v>0</v>
          </cell>
          <cell r="AZ112">
            <v>2.3255813953488373</v>
          </cell>
          <cell r="BA112">
            <v>0</v>
          </cell>
          <cell r="BB112">
            <v>0</v>
          </cell>
        </row>
      </sheetData>
      <sheetData sheetId="11" refreshError="1">
        <row r="5">
          <cell r="C5">
            <v>0</v>
          </cell>
          <cell r="D5" t="str">
            <v>Scenarios</v>
          </cell>
          <cell r="E5">
            <v>0</v>
          </cell>
          <cell r="F5" t="str">
            <v>InventoryTable</v>
          </cell>
          <cell r="G5" t="str">
            <v>EmissionsSourceCat</v>
          </cell>
          <cell r="H5" t="str">
            <v>SRCTYPE</v>
          </cell>
          <cell r="I5">
            <v>0</v>
          </cell>
          <cell r="J5">
            <v>0</v>
          </cell>
          <cell r="K5">
            <v>0</v>
          </cell>
          <cell r="L5" t="str">
            <v>Center UTM E (m)</v>
          </cell>
          <cell r="M5" t="str">
            <v>Center UTM N (m)</v>
          </cell>
          <cell r="N5" t="str">
            <v>Elevation (m)</v>
          </cell>
          <cell r="O5">
            <v>0</v>
          </cell>
          <cell r="P5" t="str">
            <v>Length of Side X (m)</v>
          </cell>
          <cell r="Q5">
            <v>0</v>
          </cell>
          <cell r="R5" t="str">
            <v>Length of Side Y (m)</v>
          </cell>
          <cell r="S5" t="str">
            <v>Area (sq m)</v>
          </cell>
          <cell r="T5">
            <v>0</v>
          </cell>
          <cell r="U5" t="str">
            <v>Angle (deg)</v>
          </cell>
          <cell r="V5" t="str">
            <v>Height (m)</v>
          </cell>
          <cell r="W5" t="str">
            <v>Release Height (m)</v>
          </cell>
          <cell r="X5" t="str">
            <v>Temperature (K)</v>
          </cell>
          <cell r="Y5" t="str">
            <v>Exit Velocity (m/s)</v>
          </cell>
          <cell r="Z5" t="str">
            <v>Stack Diameter (m)</v>
          </cell>
          <cell r="AA5">
            <v>0</v>
          </cell>
          <cell r="AB5">
            <v>0</v>
          </cell>
          <cell r="AC5" t="str">
            <v>NO2_1-hr</v>
          </cell>
          <cell r="AD5" t="str">
            <v>NO2_Ann</v>
          </cell>
          <cell r="AE5" t="str">
            <v>SO2_1-hr</v>
          </cell>
          <cell r="AF5" t="str">
            <v>SO2_3-hr</v>
          </cell>
          <cell r="AG5" t="str">
            <v>SO2_24-hr</v>
          </cell>
          <cell r="AH5" t="str">
            <v>SO2_Ann</v>
          </cell>
          <cell r="AI5" t="str">
            <v>PM10_Ann</v>
          </cell>
          <cell r="AJ5" t="str">
            <v>PM10_24-hr</v>
          </cell>
          <cell r="AK5" t="str">
            <v>PM25_Ann</v>
          </cell>
          <cell r="AL5" t="str">
            <v>PM25_24-hr</v>
          </cell>
          <cell r="AM5" t="str">
            <v>CO_1-hr</v>
          </cell>
          <cell r="AN5" t="str">
            <v>CO_8-hr</v>
          </cell>
          <cell r="AO5" t="str">
            <v>Bz_1-hr</v>
          </cell>
          <cell r="AP5" t="str">
            <v>Bz_Ann</v>
          </cell>
          <cell r="AQ5" t="str">
            <v>Tn_1-hr</v>
          </cell>
          <cell r="AR5" t="str">
            <v>Tn_Ann</v>
          </cell>
          <cell r="AS5" t="str">
            <v>EBz_1-hr</v>
          </cell>
          <cell r="AT5" t="str">
            <v>EBz_Ann</v>
          </cell>
          <cell r="AU5" t="str">
            <v>Xy_1-hr</v>
          </cell>
          <cell r="AV5" t="str">
            <v>Xy_Ann</v>
          </cell>
          <cell r="AW5" t="str">
            <v>nHx_1-hr</v>
          </cell>
          <cell r="AX5" t="str">
            <v>nHx_Ann</v>
          </cell>
          <cell r="AY5" t="str">
            <v>HS</v>
          </cell>
          <cell r="AZ5" t="str">
            <v>VS</v>
          </cell>
          <cell r="BA5" t="str">
            <v>TS</v>
          </cell>
          <cell r="BB5" t="str">
            <v>DS</v>
          </cell>
          <cell r="BC5" t="str">
            <v>XINIT</v>
          </cell>
          <cell r="BD5" t="str">
            <v>YINIT</v>
          </cell>
          <cell r="BE5" t="str">
            <v>DEG</v>
          </cell>
          <cell r="BF5" t="str">
            <v>EMISFACTOR_Keyword</v>
          </cell>
          <cell r="BG5" t="str">
            <v>EMISFACTORS</v>
          </cell>
        </row>
        <row r="6">
          <cell r="C6" t="str">
            <v>Lookup Info</v>
          </cell>
          <cell r="D6">
            <v>0</v>
          </cell>
          <cell r="E6">
            <v>0</v>
          </cell>
          <cell r="F6">
            <v>0</v>
          </cell>
          <cell r="G6">
            <v>0</v>
          </cell>
          <cell r="H6">
            <v>0</v>
          </cell>
          <cell r="I6">
            <v>0</v>
          </cell>
          <cell r="J6">
            <v>0</v>
          </cell>
          <cell r="K6">
            <v>0</v>
          </cell>
          <cell r="L6" t="str">
            <v>Location</v>
          </cell>
          <cell r="M6">
            <v>0</v>
          </cell>
          <cell r="N6">
            <v>0</v>
          </cell>
          <cell r="O6" t="str">
            <v>Physical Parameters</v>
          </cell>
          <cell r="P6">
            <v>0</v>
          </cell>
          <cell r="Q6">
            <v>0</v>
          </cell>
          <cell r="R6">
            <v>0</v>
          </cell>
          <cell r="S6">
            <v>0</v>
          </cell>
          <cell r="T6">
            <v>0</v>
          </cell>
          <cell r="U6">
            <v>0</v>
          </cell>
          <cell r="V6">
            <v>0</v>
          </cell>
          <cell r="W6">
            <v>0</v>
          </cell>
          <cell r="X6">
            <v>0</v>
          </cell>
          <cell r="Y6">
            <v>0</v>
          </cell>
          <cell r="Z6">
            <v>0</v>
          </cell>
          <cell r="AA6" t="str">
            <v>Characteristics</v>
          </cell>
          <cell r="AB6" t="str">
            <v>Characteristics</v>
          </cell>
          <cell r="AC6" t="str">
            <v>Emission Rates (grams/second/square meter)</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t="str">
            <v>Modeled Parameters</v>
          </cell>
          <cell r="AZ6">
            <v>0</v>
          </cell>
          <cell r="BA6">
            <v>0</v>
          </cell>
          <cell r="BB6">
            <v>0</v>
          </cell>
          <cell r="BC6">
            <v>0</v>
          </cell>
          <cell r="BD6">
            <v>0</v>
          </cell>
          <cell r="BE6">
            <v>0</v>
          </cell>
          <cell r="BF6">
            <v>0</v>
          </cell>
          <cell r="BG6">
            <v>0</v>
          </cell>
        </row>
        <row r="7">
          <cell r="C7" t="str">
            <v>AERMOD ID</v>
          </cell>
          <cell r="D7" t="str">
            <v>Scenarios</v>
          </cell>
          <cell r="E7" t="str">
            <v>Emission ID</v>
          </cell>
          <cell r="F7">
            <v>0</v>
          </cell>
          <cell r="G7" t="str">
            <v>Source Description</v>
          </cell>
          <cell r="H7" t="str">
            <v>Source Type</v>
          </cell>
          <cell r="I7" t="str">
            <v>Specs Lookup</v>
          </cell>
          <cell r="J7" t="str">
            <v>Pad ID</v>
          </cell>
          <cell r="K7" t="str">
            <v>BPIP ID</v>
          </cell>
          <cell r="L7" t="str">
            <v>SW UTM E</v>
          </cell>
          <cell r="M7" t="str">
            <v>SW UTM N</v>
          </cell>
          <cell r="N7" t="str">
            <v>Base Elev.</v>
          </cell>
          <cell r="O7" t="str">
            <v>Length</v>
          </cell>
          <cell r="P7">
            <v>0</v>
          </cell>
          <cell r="Q7" t="str">
            <v>Width</v>
          </cell>
          <cell r="R7">
            <v>0</v>
          </cell>
          <cell r="S7" t="str">
            <v>Area</v>
          </cell>
          <cell r="T7">
            <v>0</v>
          </cell>
          <cell r="U7" t="str">
            <v>Angle</v>
          </cell>
          <cell r="V7" t="str">
            <v>Height</v>
          </cell>
          <cell r="W7" t="str">
            <v>Release Hgt</v>
          </cell>
          <cell r="X7" t="str">
            <v>Temperature</v>
          </cell>
          <cell r="Y7" t="str">
            <v>Exit Velocity</v>
          </cell>
          <cell r="Z7" t="str">
            <v>Stack Diameter</v>
          </cell>
          <cell r="AA7" t="str">
            <v>Z</v>
          </cell>
          <cell r="AB7" t="str">
            <v>Z</v>
          </cell>
          <cell r="AC7" t="str">
            <v>NOx</v>
          </cell>
          <cell r="AD7" t="str">
            <v>SO2</v>
          </cell>
          <cell r="AE7">
            <v>0</v>
          </cell>
          <cell r="AF7">
            <v>0</v>
          </cell>
          <cell r="AG7">
            <v>0</v>
          </cell>
          <cell r="AH7">
            <v>0</v>
          </cell>
          <cell r="AI7" t="str">
            <v>PM10</v>
          </cell>
          <cell r="AJ7">
            <v>0</v>
          </cell>
          <cell r="AK7" t="str">
            <v>PM2.5</v>
          </cell>
          <cell r="AL7">
            <v>0</v>
          </cell>
          <cell r="AM7" t="str">
            <v>CO</v>
          </cell>
          <cell r="AN7">
            <v>0</v>
          </cell>
          <cell r="AO7" t="str">
            <v>Benzene</v>
          </cell>
          <cell r="AP7">
            <v>0</v>
          </cell>
          <cell r="AQ7" t="str">
            <v>Toluene</v>
          </cell>
          <cell r="AR7">
            <v>0</v>
          </cell>
          <cell r="AS7" t="str">
            <v>Ethylbenzene</v>
          </cell>
          <cell r="AT7">
            <v>0</v>
          </cell>
          <cell r="AU7" t="str">
            <v>Xylene</v>
          </cell>
          <cell r="AV7">
            <v>0</v>
          </cell>
          <cell r="AW7" t="str">
            <v>n-hexane</v>
          </cell>
          <cell r="AX7">
            <v>0</v>
          </cell>
          <cell r="AY7" t="str">
            <v>Release Hgt</v>
          </cell>
          <cell r="AZ7" t="str">
            <v>Temperature</v>
          </cell>
          <cell r="BA7" t="str">
            <v>Exit Velocity</v>
          </cell>
          <cell r="BB7" t="str">
            <v>Stack Diameter</v>
          </cell>
          <cell r="BC7" t="str">
            <v>Capped</v>
          </cell>
          <cell r="BD7" t="str">
            <v>Exhaust Direction</v>
          </cell>
          <cell r="BE7" t="str">
            <v>NO2/Nox Direction</v>
          </cell>
          <cell r="BF7" t="str">
            <v>EMISFACTOR_Keyword</v>
          </cell>
          <cell r="BG7" t="str">
            <v>EMISFACTOR_Keyword</v>
          </cell>
        </row>
        <row r="8">
          <cell r="C8">
            <v>0</v>
          </cell>
          <cell r="D8">
            <v>0</v>
          </cell>
          <cell r="E8">
            <v>0</v>
          </cell>
          <cell r="F8">
            <v>0</v>
          </cell>
          <cell r="G8">
            <v>0</v>
          </cell>
          <cell r="H8">
            <v>0</v>
          </cell>
          <cell r="I8">
            <v>0</v>
          </cell>
          <cell r="J8">
            <v>0</v>
          </cell>
          <cell r="K8">
            <v>0</v>
          </cell>
          <cell r="L8" t="str">
            <v>(m)</v>
          </cell>
          <cell r="M8" t="str">
            <v>(m)</v>
          </cell>
          <cell r="N8" t="str">
            <v>(m)</v>
          </cell>
          <cell r="O8" t="str">
            <v>(ft)</v>
          </cell>
          <cell r="P8" t="str">
            <v>(m)</v>
          </cell>
          <cell r="Q8" t="str">
            <v>(ft)</v>
          </cell>
          <cell r="R8" t="str">
            <v>(m)</v>
          </cell>
          <cell r="S8" t="str">
            <v>sq m.</v>
          </cell>
          <cell r="T8" t="str">
            <v>acres</v>
          </cell>
          <cell r="U8" t="str">
            <v>(deg)</v>
          </cell>
          <cell r="V8" t="str">
            <v>(m)</v>
          </cell>
          <cell r="W8" t="str">
            <v>(m)</v>
          </cell>
          <cell r="X8" t="str">
            <v>(K)</v>
          </cell>
          <cell r="Y8" t="str">
            <v>(m/s)</v>
          </cell>
          <cell r="Z8" t="str">
            <v>(m)</v>
          </cell>
          <cell r="AA8" t="str">
            <v>(S,A,E)</v>
          </cell>
          <cell r="AB8" t="str">
            <v>(S,A,E)</v>
          </cell>
          <cell r="AC8" t="str">
            <v>1-hr</v>
          </cell>
          <cell r="AD8" t="str">
            <v>Ann</v>
          </cell>
          <cell r="AE8" t="str">
            <v>1-hr</v>
          </cell>
          <cell r="AF8" t="str">
            <v>3-hr</v>
          </cell>
          <cell r="AG8" t="str">
            <v>24-hr</v>
          </cell>
          <cell r="AH8" t="str">
            <v>Ann</v>
          </cell>
          <cell r="AI8" t="str">
            <v>Ann</v>
          </cell>
          <cell r="AJ8" t="str">
            <v>24-hr</v>
          </cell>
          <cell r="AK8" t="str">
            <v>Ann</v>
          </cell>
          <cell r="AL8" t="str">
            <v>24-hr</v>
          </cell>
          <cell r="AM8" t="str">
            <v>1-hr</v>
          </cell>
          <cell r="AN8" t="str">
            <v>8-hr</v>
          </cell>
          <cell r="AO8" t="str">
            <v>1-hr</v>
          </cell>
          <cell r="AP8" t="str">
            <v>Ann</v>
          </cell>
          <cell r="AQ8" t="str">
            <v>1-hr</v>
          </cell>
          <cell r="AR8" t="str">
            <v>Ann</v>
          </cell>
          <cell r="AS8" t="str">
            <v>1-hr</v>
          </cell>
          <cell r="AT8" t="str">
            <v>Ann</v>
          </cell>
          <cell r="AU8" t="str">
            <v>1-hr</v>
          </cell>
          <cell r="AV8" t="str">
            <v>Ann</v>
          </cell>
          <cell r="AW8" t="str">
            <v>1-hr</v>
          </cell>
          <cell r="AX8" t="str">
            <v>Ann</v>
          </cell>
          <cell r="AY8" t="str">
            <v>(m)</v>
          </cell>
          <cell r="AZ8" t="str">
            <v>(K)</v>
          </cell>
          <cell r="BA8" t="str">
            <v>(m/s)</v>
          </cell>
          <cell r="BB8" t="str">
            <v>(m)</v>
          </cell>
          <cell r="BC8" t="str">
            <v>(m)</v>
          </cell>
          <cell r="BD8" t="str">
            <v>(m)</v>
          </cell>
          <cell r="BE8" t="str">
            <v>(deg)</v>
          </cell>
          <cell r="BF8">
            <v>0</v>
          </cell>
          <cell r="BG8">
            <v>0</v>
          </cell>
        </row>
        <row r="9">
          <cell r="C9">
            <v>0</v>
          </cell>
          <cell r="D9" t="str">
            <v>SCENARIO 2</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row>
        <row r="10">
          <cell r="C10" t="str">
            <v>Horizontal Pad 1</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row>
        <row r="11">
          <cell r="C11" t="str">
            <v>HDR1---T1</v>
          </cell>
          <cell r="D11" t="e">
            <v>#N/A</v>
          </cell>
          <cell r="E11" t="str">
            <v>HDR1</v>
          </cell>
          <cell r="F11" t="str">
            <v>2-16</v>
          </cell>
          <cell r="G11" t="str">
            <v>Drill Rig 1</v>
          </cell>
          <cell r="H11" t="str">
            <v>Point</v>
          </cell>
          <cell r="I11" t="str">
            <v>Drill Rig 2 (1476 hp)</v>
          </cell>
          <cell r="J11" t="str">
            <v>T1</v>
          </cell>
          <cell r="K11">
            <v>0</v>
          </cell>
          <cell r="L11">
            <v>-71.123599999999996</v>
          </cell>
          <cell r="M11">
            <v>0</v>
          </cell>
          <cell r="N11">
            <v>0</v>
          </cell>
          <cell r="O11">
            <v>0</v>
          </cell>
          <cell r="P11">
            <v>18.288</v>
          </cell>
          <cell r="Q11">
            <v>0</v>
          </cell>
          <cell r="R11">
            <v>9.1440000000000001</v>
          </cell>
          <cell r="S11" t="str">
            <v>na</v>
          </cell>
          <cell r="T11">
            <v>0</v>
          </cell>
          <cell r="U11">
            <v>0</v>
          </cell>
          <cell r="V11" t="str">
            <v>na</v>
          </cell>
          <cell r="W11">
            <v>3.048</v>
          </cell>
          <cell r="X11">
            <v>686</v>
          </cell>
          <cell r="Y11">
            <v>71.099999999999994</v>
          </cell>
          <cell r="Z11">
            <v>0.254</v>
          </cell>
          <cell r="AA11" t="str">
            <v>S</v>
          </cell>
          <cell r="AB11" t="str">
            <v>S</v>
          </cell>
          <cell r="AC11">
            <v>2.6282188605320175E-3</v>
          </cell>
          <cell r="AD11">
            <v>3.3266770234679236E-4</v>
          </cell>
          <cell r="AE11">
            <v>2.7335395463403618E-6</v>
          </cell>
          <cell r="AF11">
            <v>2.7335395463403618E-6</v>
          </cell>
          <cell r="AG11">
            <v>2.1048254506820787E-6</v>
          </cell>
          <cell r="AH11">
            <v>3.4599870422171152E-7</v>
          </cell>
          <cell r="AI11">
            <v>1.098750033157597E-5</v>
          </cell>
          <cell r="AJ11">
            <v>6.6840627017087154E-5</v>
          </cell>
          <cell r="AK11">
            <v>1.098750033157597E-5</v>
          </cell>
          <cell r="AL11">
            <v>6.6840627017087154E-5</v>
          </cell>
          <cell r="AM11">
            <v>1.5046374912937367E-3</v>
          </cell>
          <cell r="AN11">
            <v>1.5046374912937367E-3</v>
          </cell>
          <cell r="AO11">
            <v>3.0469603646771067E-6</v>
          </cell>
          <cell r="AP11">
            <v>3.8567005163858175E-7</v>
          </cell>
          <cell r="AQ11">
            <v>2.2412082914104255E-6</v>
          </cell>
          <cell r="AR11">
            <v>2.8368170702236072E-7</v>
          </cell>
          <cell r="AS11">
            <v>4.6472465038789321E-7</v>
          </cell>
          <cell r="AT11">
            <v>5.8822681775125115E-8</v>
          </cell>
          <cell r="AU11">
            <v>1.5875723975594138E-6</v>
          </cell>
          <cell r="AV11">
            <v>2.0094751991026005E-7</v>
          </cell>
          <cell r="AW11">
            <v>2.385696225840649E-7</v>
          </cell>
          <cell r="AX11">
            <v>3.0197031680503559E-8</v>
          </cell>
          <cell r="AY11">
            <v>3.048</v>
          </cell>
          <cell r="AZ11">
            <v>686</v>
          </cell>
          <cell r="BA11">
            <v>71.099999999999994</v>
          </cell>
          <cell r="BB11">
            <v>0.254</v>
          </cell>
          <cell r="BC11">
            <v>18.288</v>
          </cell>
          <cell r="BD11">
            <v>18.288</v>
          </cell>
          <cell r="BE11">
            <v>0</v>
          </cell>
          <cell r="BF11">
            <v>0</v>
          </cell>
          <cell r="BG11">
            <v>0</v>
          </cell>
        </row>
        <row r="12">
          <cell r="C12" t="str">
            <v>HDR2-T1</v>
          </cell>
          <cell r="D12" t="e">
            <v>#N/A</v>
          </cell>
          <cell r="E12" t="str">
            <v>HDR2</v>
          </cell>
          <cell r="F12" t="str">
            <v>2-17</v>
          </cell>
          <cell r="G12" t="str">
            <v>Drill Rig 2</v>
          </cell>
          <cell r="H12" t="str">
            <v>Point</v>
          </cell>
          <cell r="I12" t="str">
            <v>Drill Rig 1 (500 hp)</v>
          </cell>
          <cell r="J12" t="str">
            <v>T1</v>
          </cell>
          <cell r="K12">
            <v>0</v>
          </cell>
          <cell r="L12">
            <v>-71.123599999999996</v>
          </cell>
          <cell r="M12">
            <v>0</v>
          </cell>
          <cell r="N12">
            <v>0</v>
          </cell>
          <cell r="O12">
            <v>0</v>
          </cell>
          <cell r="P12" t="str">
            <v>na</v>
          </cell>
          <cell r="Q12">
            <v>0</v>
          </cell>
          <cell r="R12" t="str">
            <v>na</v>
          </cell>
          <cell r="S12" t="str">
            <v>na</v>
          </cell>
          <cell r="T12">
            <v>0</v>
          </cell>
          <cell r="U12">
            <v>0</v>
          </cell>
          <cell r="V12" t="str">
            <v>na</v>
          </cell>
          <cell r="W12">
            <v>3.048</v>
          </cell>
          <cell r="X12">
            <v>927</v>
          </cell>
          <cell r="Y12">
            <v>54.5</v>
          </cell>
          <cell r="Z12">
            <v>0.20319999999999999</v>
          </cell>
          <cell r="AA12" t="str">
            <v>S</v>
          </cell>
          <cell r="AB12" t="str">
            <v>S</v>
          </cell>
          <cell r="AC12">
            <v>3.5808471121340844E-3</v>
          </cell>
          <cell r="AD12">
            <v>4.9101752866386556E-4</v>
          </cell>
          <cell r="AE12">
            <v>3.724342495752345E-6</v>
          </cell>
          <cell r="AF12">
            <v>3.724342495752345E-6</v>
          </cell>
          <cell r="AG12">
            <v>2.8677437217293057E-6</v>
          </cell>
          <cell r="AH12">
            <v>5.1069408743124626E-7</v>
          </cell>
          <cell r="AI12">
            <v>1.6217550489406128E-5</v>
          </cell>
          <cell r="AJ12">
            <v>9.1067783517434419E-5</v>
          </cell>
          <cell r="AK12">
            <v>1.6217550489406128E-5</v>
          </cell>
          <cell r="AL12">
            <v>9.1067783517434419E-5</v>
          </cell>
          <cell r="AM12">
            <v>2.0500107112149737E-3</v>
          </cell>
          <cell r="AN12">
            <v>2.0500107112149737E-3</v>
          </cell>
          <cell r="AO12">
            <v>4.151366306089302E-6</v>
          </cell>
          <cell r="AP12">
            <v>5.6924899621854684E-7</v>
          </cell>
          <cell r="AQ12">
            <v>3.0535600967278041E-6</v>
          </cell>
          <cell r="AR12">
            <v>4.1871419956500439E-7</v>
          </cell>
          <cell r="AS12">
            <v>6.331694621284895E-7</v>
          </cell>
          <cell r="AT12">
            <v>8.6822278300084673E-8</v>
          </cell>
          <cell r="AU12">
            <v>2.1630063311978721E-6</v>
          </cell>
          <cell r="AV12">
            <v>2.9659853938754377E-7</v>
          </cell>
          <cell r="AW12">
            <v>3.2504193501607365E-7</v>
          </cell>
          <cell r="AX12">
            <v>4.4570818760423244E-8</v>
          </cell>
          <cell r="AY12">
            <v>3.048</v>
          </cell>
          <cell r="AZ12">
            <v>927</v>
          </cell>
          <cell r="BA12">
            <v>54.5</v>
          </cell>
          <cell r="BB12">
            <v>0.20319999999999999</v>
          </cell>
          <cell r="BC12" t="str">
            <v>na</v>
          </cell>
          <cell r="BD12" t="str">
            <v>na</v>
          </cell>
          <cell r="BE12">
            <v>0</v>
          </cell>
          <cell r="BF12">
            <v>0</v>
          </cell>
          <cell r="BG12">
            <v>0</v>
          </cell>
        </row>
        <row r="13">
          <cell r="C13" t="str">
            <v>HDRB-T1</v>
          </cell>
          <cell r="D13" t="e">
            <v>#N/A</v>
          </cell>
          <cell r="E13" t="str">
            <v>HDRB</v>
          </cell>
          <cell r="F13" t="str">
            <v>2-21</v>
          </cell>
          <cell r="G13" t="str">
            <v>Drill Rig Boiler</v>
          </cell>
          <cell r="H13" t="str">
            <v>Point</v>
          </cell>
          <cell r="I13" t="str">
            <v>Drill Rig Boiler (6.3 MMBtu/hr)</v>
          </cell>
          <cell r="J13" t="str">
            <v>T1</v>
          </cell>
          <cell r="K13">
            <v>0</v>
          </cell>
          <cell r="L13">
            <v>-71.123599999999996</v>
          </cell>
          <cell r="M13">
            <v>0</v>
          </cell>
          <cell r="N13">
            <v>0</v>
          </cell>
          <cell r="O13">
            <v>0</v>
          </cell>
          <cell r="P13">
            <v>18.288</v>
          </cell>
          <cell r="Q13">
            <v>0</v>
          </cell>
          <cell r="R13">
            <v>3.048</v>
          </cell>
          <cell r="S13" t="str">
            <v>na</v>
          </cell>
          <cell r="T13">
            <v>0</v>
          </cell>
          <cell r="U13">
            <v>0</v>
          </cell>
          <cell r="V13" t="str">
            <v>na</v>
          </cell>
          <cell r="W13">
            <v>3.048</v>
          </cell>
          <cell r="X13">
            <v>927</v>
          </cell>
          <cell r="Y13">
            <v>54.5</v>
          </cell>
          <cell r="Z13">
            <v>0.254</v>
          </cell>
          <cell r="AA13" t="str">
            <v>S</v>
          </cell>
          <cell r="AB13" t="str">
            <v>S</v>
          </cell>
          <cell r="AC13">
            <v>2.2775405347633478E-5</v>
          </cell>
          <cell r="AD13">
            <v>2.2775405347633478E-5</v>
          </cell>
          <cell r="AE13">
            <v>2.4255806695229653E-7</v>
          </cell>
          <cell r="AF13">
            <v>2.4255806695229653E-7</v>
          </cell>
          <cell r="AG13">
            <v>2.4255806695229653E-7</v>
          </cell>
          <cell r="AH13">
            <v>2.4255806695229653E-7</v>
          </cell>
          <cell r="AI13">
            <v>2.2775405347633483E-6</v>
          </cell>
          <cell r="AJ13">
            <v>2.2775405347633487E-6</v>
          </cell>
          <cell r="AK13">
            <v>2.2775405347633483E-6</v>
          </cell>
          <cell r="AL13">
            <v>2.2775405347633487E-6</v>
          </cell>
          <cell r="AM13">
            <v>5.6938513369083695E-6</v>
          </cell>
          <cell r="AN13">
            <v>5.6938513369083695E-6</v>
          </cell>
          <cell r="AO13">
            <v>2.4369683721967823E-10</v>
          </cell>
          <cell r="AP13">
            <v>2.4369683721967823E-10</v>
          </cell>
          <cell r="AQ13">
            <v>7.0603756577663787E-9</v>
          </cell>
          <cell r="AR13">
            <v>7.0603756577663787E-9</v>
          </cell>
          <cell r="AS13">
            <v>7.2425789005474457E-11</v>
          </cell>
          <cell r="AT13">
            <v>7.2425789005474457E-11</v>
          </cell>
          <cell r="AU13">
            <v>1.2412595914460248E-10</v>
          </cell>
          <cell r="AV13">
            <v>1.2412595914460248E-10</v>
          </cell>
          <cell r="AW13">
            <v>0</v>
          </cell>
          <cell r="AX13">
            <v>0</v>
          </cell>
          <cell r="AY13">
            <v>3.048</v>
          </cell>
          <cell r="AZ13">
            <v>927</v>
          </cell>
          <cell r="BA13">
            <v>54.5</v>
          </cell>
          <cell r="BB13">
            <v>0.254</v>
          </cell>
          <cell r="BC13">
            <v>18.288</v>
          </cell>
          <cell r="BD13">
            <v>18.288</v>
          </cell>
          <cell r="BE13">
            <v>0</v>
          </cell>
          <cell r="BF13" t="str">
            <v>MONTH</v>
          </cell>
          <cell r="BG13" t="str">
            <v>0 0 0 0 1 1 1 1 1 1 1 0</v>
          </cell>
        </row>
        <row r="14">
          <cell r="C14" t="str">
            <v>Horizontal Pad 2</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row>
        <row r="15">
          <cell r="C15" t="str">
            <v>HDR1-T2</v>
          </cell>
          <cell r="D15" t="e">
            <v>#N/A</v>
          </cell>
          <cell r="E15" t="str">
            <v>HDR1</v>
          </cell>
          <cell r="F15" t="str">
            <v>2-16</v>
          </cell>
          <cell r="G15" t="str">
            <v>Drill Rig 1</v>
          </cell>
          <cell r="H15" t="str">
            <v>Point</v>
          </cell>
          <cell r="I15" t="str">
            <v>Drill Rig 2 (1476 hp)</v>
          </cell>
          <cell r="J15" t="str">
            <v>T2</v>
          </cell>
          <cell r="K15">
            <v>0</v>
          </cell>
          <cell r="L15">
            <v>71.123599999999996</v>
          </cell>
          <cell r="M15">
            <v>0</v>
          </cell>
          <cell r="N15">
            <v>0</v>
          </cell>
          <cell r="O15">
            <v>0</v>
          </cell>
          <cell r="P15">
            <v>18.288</v>
          </cell>
          <cell r="Q15">
            <v>0</v>
          </cell>
          <cell r="R15">
            <v>9.1440000000000001</v>
          </cell>
          <cell r="S15" t="str">
            <v>na</v>
          </cell>
          <cell r="T15">
            <v>0</v>
          </cell>
          <cell r="U15">
            <v>0</v>
          </cell>
          <cell r="V15" t="str">
            <v>na</v>
          </cell>
          <cell r="W15">
            <v>3.048</v>
          </cell>
          <cell r="X15">
            <v>686</v>
          </cell>
          <cell r="Y15">
            <v>71.099999999999994</v>
          </cell>
          <cell r="Z15">
            <v>0.254</v>
          </cell>
          <cell r="AA15" t="str">
            <v>S</v>
          </cell>
          <cell r="AB15" t="str">
            <v>S</v>
          </cell>
          <cell r="AC15">
            <v>2.6282188605320175E-3</v>
          </cell>
          <cell r="AD15">
            <v>3.3266770234679236E-4</v>
          </cell>
          <cell r="AE15">
            <v>2.7335395463403618E-6</v>
          </cell>
          <cell r="AF15">
            <v>2.7335395463403618E-6</v>
          </cell>
          <cell r="AG15">
            <v>2.1048254506820787E-6</v>
          </cell>
          <cell r="AH15">
            <v>3.4599870422171152E-7</v>
          </cell>
          <cell r="AI15">
            <v>1.098750033157597E-5</v>
          </cell>
          <cell r="AJ15">
            <v>6.6840627017087154E-5</v>
          </cell>
          <cell r="AK15">
            <v>1.098750033157597E-5</v>
          </cell>
          <cell r="AL15">
            <v>6.6840627017087154E-5</v>
          </cell>
          <cell r="AM15">
            <v>1.5046374912937367E-3</v>
          </cell>
          <cell r="AN15">
            <v>1.5046374912937367E-3</v>
          </cell>
          <cell r="AO15">
            <v>3.0469603646771067E-6</v>
          </cell>
          <cell r="AP15">
            <v>3.8567005163858175E-7</v>
          </cell>
          <cell r="AQ15">
            <v>2.2412082914104255E-6</v>
          </cell>
          <cell r="AR15">
            <v>2.8368170702236072E-7</v>
          </cell>
          <cell r="AS15">
            <v>4.6472465038789321E-7</v>
          </cell>
          <cell r="AT15">
            <v>5.8822681775125115E-8</v>
          </cell>
          <cell r="AU15">
            <v>1.5875723975594138E-6</v>
          </cell>
          <cell r="AV15">
            <v>2.0094751991026005E-7</v>
          </cell>
          <cell r="AW15">
            <v>2.385696225840649E-7</v>
          </cell>
          <cell r="AX15">
            <v>3.0197031680503559E-8</v>
          </cell>
          <cell r="AY15">
            <v>3.048</v>
          </cell>
          <cell r="AZ15">
            <v>686</v>
          </cell>
          <cell r="BA15">
            <v>71.099999999999994</v>
          </cell>
          <cell r="BB15">
            <v>0.254</v>
          </cell>
          <cell r="BC15">
            <v>18.288</v>
          </cell>
          <cell r="BD15">
            <v>18.288</v>
          </cell>
          <cell r="BE15">
            <v>0</v>
          </cell>
          <cell r="BF15">
            <v>0</v>
          </cell>
          <cell r="BG15">
            <v>0</v>
          </cell>
        </row>
        <row r="16">
          <cell r="C16" t="str">
            <v>HDR2-T2</v>
          </cell>
          <cell r="D16" t="e">
            <v>#N/A</v>
          </cell>
          <cell r="E16" t="str">
            <v>HDR2</v>
          </cell>
          <cell r="F16" t="str">
            <v>2-17</v>
          </cell>
          <cell r="G16" t="str">
            <v>Drill Rig 2</v>
          </cell>
          <cell r="H16" t="str">
            <v>Point</v>
          </cell>
          <cell r="I16" t="str">
            <v>Drill Rig 1 (500 hp)</v>
          </cell>
          <cell r="J16" t="str">
            <v>T2</v>
          </cell>
          <cell r="K16">
            <v>0</v>
          </cell>
          <cell r="L16">
            <v>71.123599999999996</v>
          </cell>
          <cell r="M16">
            <v>0</v>
          </cell>
          <cell r="N16">
            <v>0</v>
          </cell>
          <cell r="O16">
            <v>0</v>
          </cell>
          <cell r="P16" t="str">
            <v>na</v>
          </cell>
          <cell r="Q16">
            <v>0</v>
          </cell>
          <cell r="R16" t="str">
            <v>na</v>
          </cell>
          <cell r="S16" t="str">
            <v>na</v>
          </cell>
          <cell r="T16">
            <v>0</v>
          </cell>
          <cell r="U16">
            <v>0</v>
          </cell>
          <cell r="V16" t="str">
            <v>na</v>
          </cell>
          <cell r="W16">
            <v>3.048</v>
          </cell>
          <cell r="X16">
            <v>927</v>
          </cell>
          <cell r="Y16">
            <v>54.5</v>
          </cell>
          <cell r="Z16">
            <v>0.20319999999999999</v>
          </cell>
          <cell r="AA16" t="str">
            <v>S</v>
          </cell>
          <cell r="AB16" t="str">
            <v>S</v>
          </cell>
          <cell r="AC16">
            <v>3.5808471121340844E-3</v>
          </cell>
          <cell r="AD16">
            <v>4.9101752866386556E-4</v>
          </cell>
          <cell r="AE16">
            <v>3.724342495752345E-6</v>
          </cell>
          <cell r="AF16">
            <v>3.724342495752345E-6</v>
          </cell>
          <cell r="AG16">
            <v>2.8677437217293057E-6</v>
          </cell>
          <cell r="AH16">
            <v>5.1069408743124626E-7</v>
          </cell>
          <cell r="AI16">
            <v>1.6217550489406128E-5</v>
          </cell>
          <cell r="AJ16">
            <v>9.1067783517434419E-5</v>
          </cell>
          <cell r="AK16">
            <v>1.6217550489406128E-5</v>
          </cell>
          <cell r="AL16">
            <v>9.1067783517434419E-5</v>
          </cell>
          <cell r="AM16">
            <v>2.0500107112149737E-3</v>
          </cell>
          <cell r="AN16">
            <v>2.0500107112149737E-3</v>
          </cell>
          <cell r="AO16">
            <v>4.151366306089302E-6</v>
          </cell>
          <cell r="AP16">
            <v>5.6924899621854684E-7</v>
          </cell>
          <cell r="AQ16">
            <v>3.0535600967278041E-6</v>
          </cell>
          <cell r="AR16">
            <v>4.1871419956500439E-7</v>
          </cell>
          <cell r="AS16">
            <v>6.331694621284895E-7</v>
          </cell>
          <cell r="AT16">
            <v>8.6822278300084673E-8</v>
          </cell>
          <cell r="AU16">
            <v>2.1630063311978721E-6</v>
          </cell>
          <cell r="AV16">
            <v>2.9659853938754377E-7</v>
          </cell>
          <cell r="AW16">
            <v>3.2504193501607365E-7</v>
          </cell>
          <cell r="AX16">
            <v>4.4570818760423244E-8</v>
          </cell>
          <cell r="AY16">
            <v>3.048</v>
          </cell>
          <cell r="AZ16">
            <v>927</v>
          </cell>
          <cell r="BA16">
            <v>54.5</v>
          </cell>
          <cell r="BB16">
            <v>0.20319999999999999</v>
          </cell>
          <cell r="BC16" t="str">
            <v>na</v>
          </cell>
          <cell r="BD16" t="str">
            <v>na</v>
          </cell>
          <cell r="BE16">
            <v>0</v>
          </cell>
          <cell r="BF16">
            <v>0</v>
          </cell>
          <cell r="BG16">
            <v>0</v>
          </cell>
        </row>
        <row r="17">
          <cell r="C17" t="str">
            <v>HDRB-T2</v>
          </cell>
          <cell r="D17" t="e">
            <v>#N/A</v>
          </cell>
          <cell r="E17" t="str">
            <v>HDRB</v>
          </cell>
          <cell r="F17" t="str">
            <v>2-21</v>
          </cell>
          <cell r="G17" t="str">
            <v>Drill Rig Boiler</v>
          </cell>
          <cell r="H17" t="str">
            <v>Point</v>
          </cell>
          <cell r="I17" t="str">
            <v>Drill Rig Boiler (6.3 MMBtu/hr)</v>
          </cell>
          <cell r="J17" t="str">
            <v>T2</v>
          </cell>
          <cell r="K17">
            <v>0</v>
          </cell>
          <cell r="L17">
            <v>71.123599999999996</v>
          </cell>
          <cell r="M17">
            <v>0</v>
          </cell>
          <cell r="N17">
            <v>0</v>
          </cell>
          <cell r="O17">
            <v>0</v>
          </cell>
          <cell r="P17">
            <v>18.288</v>
          </cell>
          <cell r="Q17">
            <v>0</v>
          </cell>
          <cell r="R17">
            <v>3.048</v>
          </cell>
          <cell r="S17" t="str">
            <v>na</v>
          </cell>
          <cell r="T17">
            <v>0</v>
          </cell>
          <cell r="U17">
            <v>0</v>
          </cell>
          <cell r="V17" t="str">
            <v>na</v>
          </cell>
          <cell r="W17">
            <v>3.048</v>
          </cell>
          <cell r="X17">
            <v>927</v>
          </cell>
          <cell r="Y17">
            <v>54.5</v>
          </cell>
          <cell r="Z17">
            <v>0.254</v>
          </cell>
          <cell r="AA17" t="str">
            <v>S</v>
          </cell>
          <cell r="AB17" t="str">
            <v>S</v>
          </cell>
          <cell r="AC17">
            <v>2.2775405347633478E-5</v>
          </cell>
          <cell r="AD17">
            <v>2.2775405347633478E-5</v>
          </cell>
          <cell r="AE17">
            <v>2.4255806695229653E-7</v>
          </cell>
          <cell r="AF17">
            <v>2.4255806695229653E-7</v>
          </cell>
          <cell r="AG17">
            <v>2.4255806695229653E-7</v>
          </cell>
          <cell r="AH17">
            <v>2.4255806695229653E-7</v>
          </cell>
          <cell r="AI17">
            <v>2.2775405347633483E-6</v>
          </cell>
          <cell r="AJ17">
            <v>2.2775405347633487E-6</v>
          </cell>
          <cell r="AK17">
            <v>2.2775405347633483E-6</v>
          </cell>
          <cell r="AL17">
            <v>2.2775405347633487E-6</v>
          </cell>
          <cell r="AM17">
            <v>5.6938513369083695E-6</v>
          </cell>
          <cell r="AN17">
            <v>5.6938513369083695E-6</v>
          </cell>
          <cell r="AO17">
            <v>2.4369683721967823E-10</v>
          </cell>
          <cell r="AP17">
            <v>2.4369683721967823E-10</v>
          </cell>
          <cell r="AQ17">
            <v>7.0603756577663787E-9</v>
          </cell>
          <cell r="AR17">
            <v>7.0603756577663787E-9</v>
          </cell>
          <cell r="AS17">
            <v>7.2425789005474457E-11</v>
          </cell>
          <cell r="AT17">
            <v>7.2425789005474457E-11</v>
          </cell>
          <cell r="AU17">
            <v>1.2412595914460248E-10</v>
          </cell>
          <cell r="AV17">
            <v>1.2412595914460248E-10</v>
          </cell>
          <cell r="AW17">
            <v>0</v>
          </cell>
          <cell r="AX17">
            <v>0</v>
          </cell>
          <cell r="AY17">
            <v>3.048</v>
          </cell>
          <cell r="AZ17">
            <v>927</v>
          </cell>
          <cell r="BA17">
            <v>54.5</v>
          </cell>
          <cell r="BB17">
            <v>0.254</v>
          </cell>
          <cell r="BC17">
            <v>18.288</v>
          </cell>
          <cell r="BD17">
            <v>18.288</v>
          </cell>
          <cell r="BE17">
            <v>0</v>
          </cell>
          <cell r="BF17" t="str">
            <v>MONTH</v>
          </cell>
          <cell r="BG17" t="str">
            <v>0 0 0 0 1 1 1 1 1 1 1 0</v>
          </cell>
        </row>
        <row r="18">
          <cell r="C18">
            <v>0</v>
          </cell>
          <cell r="D18" t="str">
            <v>SCENARIO 2</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row>
        <row r="19">
          <cell r="C19" t="str">
            <v>Horizontal Pad 1</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row>
        <row r="20">
          <cell r="C20" t="str">
            <v>HDRDT-T1</v>
          </cell>
          <cell r="D20" t="e">
            <v>#N/A</v>
          </cell>
          <cell r="E20" t="str">
            <v>HDRDT</v>
          </cell>
          <cell r="F20" t="e">
            <v>#N/A</v>
          </cell>
          <cell r="G20" t="e">
            <v>#N/A</v>
          </cell>
          <cell r="H20" t="e">
            <v>#N/A</v>
          </cell>
          <cell r="I20" t="str">
            <v>TWIN: Pad Construction Surface Disturbance</v>
          </cell>
          <cell r="J20" t="str">
            <v>T1</v>
          </cell>
          <cell r="K20">
            <v>0</v>
          </cell>
          <cell r="L20">
            <v>-71.123599999999996</v>
          </cell>
          <cell r="M20">
            <v>0</v>
          </cell>
          <cell r="N20">
            <v>0</v>
          </cell>
          <cell r="O20">
            <v>0</v>
          </cell>
          <cell r="P20">
            <v>45</v>
          </cell>
          <cell r="Q20">
            <v>0</v>
          </cell>
          <cell r="R20">
            <v>45</v>
          </cell>
          <cell r="S20">
            <v>2025</v>
          </cell>
          <cell r="T20">
            <v>0</v>
          </cell>
          <cell r="U20">
            <v>0</v>
          </cell>
          <cell r="V20">
            <v>6.0960000000000001</v>
          </cell>
          <cell r="W20">
            <v>3.048</v>
          </cell>
          <cell r="X20">
            <v>0</v>
          </cell>
          <cell r="Y20">
            <v>0</v>
          </cell>
          <cell r="Z20">
            <v>0</v>
          </cell>
          <cell r="AA20" t="str">
            <v>S</v>
          </cell>
          <cell r="AB20" t="str">
            <v>S</v>
          </cell>
          <cell r="AC20" t="e">
            <v>#N/A</v>
          </cell>
          <cell r="AD20" t="e">
            <v>#N/A</v>
          </cell>
          <cell r="AE20" t="e">
            <v>#N/A</v>
          </cell>
          <cell r="AF20" t="e">
            <v>#N/A</v>
          </cell>
          <cell r="AG20" t="e">
            <v>#N/A</v>
          </cell>
          <cell r="AH20" t="e">
            <v>#N/A</v>
          </cell>
          <cell r="AI20" t="e">
            <v>#N/A</v>
          </cell>
          <cell r="AJ20" t="e">
            <v>#N/A</v>
          </cell>
          <cell r="AK20" t="e">
            <v>#N/A</v>
          </cell>
          <cell r="AL20" t="e">
            <v>#N/A</v>
          </cell>
          <cell r="AM20" t="e">
            <v>#N/A</v>
          </cell>
          <cell r="AN20" t="e">
            <v>#N/A</v>
          </cell>
          <cell r="AO20" t="e">
            <v>#N/A</v>
          </cell>
          <cell r="AP20" t="e">
            <v>#N/A</v>
          </cell>
          <cell r="AQ20" t="e">
            <v>#N/A</v>
          </cell>
          <cell r="AR20" t="e">
            <v>#N/A</v>
          </cell>
          <cell r="AS20" t="e">
            <v>#N/A</v>
          </cell>
          <cell r="AT20" t="e">
            <v>#N/A</v>
          </cell>
          <cell r="AU20" t="e">
            <v>#N/A</v>
          </cell>
          <cell r="AV20" t="e">
            <v>#N/A</v>
          </cell>
          <cell r="AW20" t="e">
            <v>#N/A</v>
          </cell>
          <cell r="AX20" t="e">
            <v>#N/A</v>
          </cell>
          <cell r="AY20">
            <v>3.048</v>
          </cell>
          <cell r="AZ20">
            <v>0</v>
          </cell>
          <cell r="BA20">
            <v>0</v>
          </cell>
          <cell r="BB20">
            <v>0</v>
          </cell>
          <cell r="BC20">
            <v>45</v>
          </cell>
          <cell r="BD20">
            <v>45</v>
          </cell>
          <cell r="BE20">
            <v>0</v>
          </cell>
          <cell r="BF20" t="e">
            <v>#N/A</v>
          </cell>
          <cell r="BG20" t="e">
            <v>#N/A</v>
          </cell>
        </row>
        <row r="21">
          <cell r="C21" t="str">
            <v>HRGDT-T1</v>
          </cell>
          <cell r="D21" t="e">
            <v>#N/A</v>
          </cell>
          <cell r="E21" t="str">
            <v>HRGDT</v>
          </cell>
          <cell r="F21" t="e">
            <v>#N/A</v>
          </cell>
          <cell r="G21" t="e">
            <v>#N/A</v>
          </cell>
          <cell r="H21" t="e">
            <v>#N/A</v>
          </cell>
          <cell r="I21" t="str">
            <v>TWIN: Pad Construction Surface Disturbance</v>
          </cell>
          <cell r="J21" t="str">
            <v>T1</v>
          </cell>
          <cell r="K21">
            <v>0</v>
          </cell>
          <cell r="L21">
            <v>-71.123599999999996</v>
          </cell>
          <cell r="M21">
            <v>0</v>
          </cell>
          <cell r="N21">
            <v>0</v>
          </cell>
          <cell r="O21">
            <v>0</v>
          </cell>
          <cell r="P21">
            <v>45</v>
          </cell>
          <cell r="Q21">
            <v>0</v>
          </cell>
          <cell r="R21">
            <v>45</v>
          </cell>
          <cell r="S21">
            <v>2025</v>
          </cell>
          <cell r="T21">
            <v>0</v>
          </cell>
          <cell r="U21">
            <v>0</v>
          </cell>
          <cell r="V21">
            <v>6.0960000000000001</v>
          </cell>
          <cell r="W21">
            <v>3.048</v>
          </cell>
          <cell r="X21">
            <v>0</v>
          </cell>
          <cell r="Y21">
            <v>0</v>
          </cell>
          <cell r="Z21">
            <v>0</v>
          </cell>
          <cell r="AA21" t="str">
            <v>S</v>
          </cell>
          <cell r="AB21" t="str">
            <v>S</v>
          </cell>
          <cell r="AC21" t="e">
            <v>#N/A</v>
          </cell>
          <cell r="AD21" t="e">
            <v>#N/A</v>
          </cell>
          <cell r="AE21" t="e">
            <v>#N/A</v>
          </cell>
          <cell r="AF21" t="e">
            <v>#N/A</v>
          </cell>
          <cell r="AG21" t="e">
            <v>#N/A</v>
          </cell>
          <cell r="AH21" t="e">
            <v>#N/A</v>
          </cell>
          <cell r="AI21" t="e">
            <v>#N/A</v>
          </cell>
          <cell r="AJ21" t="e">
            <v>#N/A</v>
          </cell>
          <cell r="AK21" t="e">
            <v>#N/A</v>
          </cell>
          <cell r="AL21" t="e">
            <v>#N/A</v>
          </cell>
          <cell r="AM21" t="e">
            <v>#N/A</v>
          </cell>
          <cell r="AN21" t="e">
            <v>#N/A</v>
          </cell>
          <cell r="AO21" t="e">
            <v>#N/A</v>
          </cell>
          <cell r="AP21" t="e">
            <v>#N/A</v>
          </cell>
          <cell r="AQ21" t="e">
            <v>#N/A</v>
          </cell>
          <cell r="AR21" t="e">
            <v>#N/A</v>
          </cell>
          <cell r="AS21" t="e">
            <v>#N/A</v>
          </cell>
          <cell r="AT21" t="e">
            <v>#N/A</v>
          </cell>
          <cell r="AU21" t="e">
            <v>#N/A</v>
          </cell>
          <cell r="AV21" t="e">
            <v>#N/A</v>
          </cell>
          <cell r="AW21" t="e">
            <v>#N/A</v>
          </cell>
          <cell r="AX21" t="e">
            <v>#N/A</v>
          </cell>
          <cell r="AY21">
            <v>3.048</v>
          </cell>
          <cell r="AZ21">
            <v>0</v>
          </cell>
          <cell r="BA21">
            <v>0</v>
          </cell>
          <cell r="BB21">
            <v>0</v>
          </cell>
          <cell r="BC21">
            <v>45</v>
          </cell>
          <cell r="BD21">
            <v>45</v>
          </cell>
          <cell r="BE21">
            <v>0</v>
          </cell>
          <cell r="BF21" t="e">
            <v>#N/A</v>
          </cell>
          <cell r="BG21" t="e">
            <v>#N/A</v>
          </cell>
        </row>
        <row r="22">
          <cell r="C22" t="str">
            <v>HDME-T1</v>
          </cell>
          <cell r="D22" t="e">
            <v>#N/A</v>
          </cell>
          <cell r="E22" t="str">
            <v>HDME</v>
          </cell>
          <cell r="F22" t="e">
            <v>#N/A</v>
          </cell>
          <cell r="G22" t="e">
            <v>#N/A</v>
          </cell>
          <cell r="H22" t="e">
            <v>#N/A</v>
          </cell>
          <cell r="I22" t="str">
            <v>ROAD: Construction Equipment Tailpipe Emissions - ROAD Construction</v>
          </cell>
          <cell r="J22" t="str">
            <v>T1</v>
          </cell>
          <cell r="K22">
            <v>0</v>
          </cell>
          <cell r="L22">
            <v>-71.123599999999996</v>
          </cell>
          <cell r="M22">
            <v>0</v>
          </cell>
          <cell r="N22">
            <v>0</v>
          </cell>
          <cell r="O22">
            <v>0</v>
          </cell>
          <cell r="P22">
            <v>12.192</v>
          </cell>
          <cell r="Q22">
            <v>0</v>
          </cell>
          <cell r="R22">
            <v>12.192</v>
          </cell>
          <cell r="S22">
            <v>148.64486400000001</v>
          </cell>
          <cell r="T22">
            <v>0</v>
          </cell>
          <cell r="U22">
            <v>0</v>
          </cell>
          <cell r="V22">
            <v>10</v>
          </cell>
          <cell r="W22">
            <v>5</v>
          </cell>
          <cell r="X22">
            <v>0</v>
          </cell>
          <cell r="Y22">
            <v>0</v>
          </cell>
          <cell r="Z22">
            <v>0</v>
          </cell>
          <cell r="AA22" t="str">
            <v>S</v>
          </cell>
          <cell r="AB22" t="str">
            <v>S</v>
          </cell>
          <cell r="AC22" t="e">
            <v>#N/A</v>
          </cell>
          <cell r="AD22" t="e">
            <v>#N/A</v>
          </cell>
          <cell r="AE22" t="e">
            <v>#N/A</v>
          </cell>
          <cell r="AF22" t="e">
            <v>#N/A</v>
          </cell>
          <cell r="AG22" t="e">
            <v>#N/A</v>
          </cell>
          <cell r="AH22" t="e">
            <v>#N/A</v>
          </cell>
          <cell r="AI22" t="e">
            <v>#N/A</v>
          </cell>
          <cell r="AJ22" t="e">
            <v>#N/A</v>
          </cell>
          <cell r="AK22" t="e">
            <v>#N/A</v>
          </cell>
          <cell r="AL22" t="e">
            <v>#N/A</v>
          </cell>
          <cell r="AM22" t="e">
            <v>#N/A</v>
          </cell>
          <cell r="AN22" t="e">
            <v>#N/A</v>
          </cell>
          <cell r="AO22" t="e">
            <v>#N/A</v>
          </cell>
          <cell r="AP22" t="e">
            <v>#N/A</v>
          </cell>
          <cell r="AQ22" t="e">
            <v>#N/A</v>
          </cell>
          <cell r="AR22" t="e">
            <v>#N/A</v>
          </cell>
          <cell r="AS22" t="e">
            <v>#N/A</v>
          </cell>
          <cell r="AT22" t="e">
            <v>#N/A</v>
          </cell>
          <cell r="AU22" t="e">
            <v>#N/A</v>
          </cell>
          <cell r="AV22" t="e">
            <v>#N/A</v>
          </cell>
          <cell r="AW22" t="e">
            <v>#N/A</v>
          </cell>
          <cell r="AX22" t="e">
            <v>#N/A</v>
          </cell>
          <cell r="AY22">
            <v>5</v>
          </cell>
          <cell r="AZ22">
            <v>0</v>
          </cell>
          <cell r="BA22">
            <v>0</v>
          </cell>
          <cell r="BB22">
            <v>0</v>
          </cell>
          <cell r="BC22">
            <v>12.192</v>
          </cell>
          <cell r="BD22">
            <v>12.192</v>
          </cell>
          <cell r="BE22">
            <v>0</v>
          </cell>
          <cell r="BF22" t="e">
            <v>#N/A</v>
          </cell>
          <cell r="BG22" t="e">
            <v>#N/A</v>
          </cell>
        </row>
        <row r="23">
          <cell r="C23" t="str">
            <v>HRME-T1</v>
          </cell>
          <cell r="D23" t="e">
            <v>#N/A</v>
          </cell>
          <cell r="E23" t="str">
            <v>HRME</v>
          </cell>
          <cell r="F23" t="str">
            <v>2-26</v>
          </cell>
          <cell r="G23" t="str">
            <v>Rig_Up_down Mobile Exhaust</v>
          </cell>
          <cell r="H23" t="str">
            <v>Volume</v>
          </cell>
          <cell r="I23" t="str">
            <v>ROAD: Construction Equipment Tailpipe Emissions - ROAD Construction</v>
          </cell>
          <cell r="J23" t="str">
            <v>T1</v>
          </cell>
          <cell r="K23">
            <v>0</v>
          </cell>
          <cell r="L23">
            <v>-71.123599999999996</v>
          </cell>
          <cell r="M23">
            <v>0</v>
          </cell>
          <cell r="N23">
            <v>0</v>
          </cell>
          <cell r="O23">
            <v>0</v>
          </cell>
          <cell r="P23">
            <v>12.192</v>
          </cell>
          <cell r="Q23">
            <v>0</v>
          </cell>
          <cell r="R23">
            <v>12.192</v>
          </cell>
          <cell r="S23">
            <v>148.64486400000001</v>
          </cell>
          <cell r="T23">
            <v>0</v>
          </cell>
          <cell r="U23">
            <v>0</v>
          </cell>
          <cell r="V23">
            <v>10</v>
          </cell>
          <cell r="W23">
            <v>5</v>
          </cell>
          <cell r="X23">
            <v>0</v>
          </cell>
          <cell r="Y23">
            <v>0</v>
          </cell>
          <cell r="Z23">
            <v>0</v>
          </cell>
          <cell r="AA23" t="str">
            <v>S</v>
          </cell>
          <cell r="AB23" t="str">
            <v>S</v>
          </cell>
          <cell r="AC23">
            <v>7.7784900304829121E-3</v>
          </cell>
          <cell r="AD23">
            <v>2.6638664487955177E-5</v>
          </cell>
          <cell r="AE23">
            <v>4.0990703460797486E-5</v>
          </cell>
          <cell r="AF23">
            <v>4.0990703460797486E-5</v>
          </cell>
          <cell r="AG23">
            <v>1.4911653905111257E-5</v>
          </cell>
          <cell r="AH23">
            <v>1.4037912144108728E-7</v>
          </cell>
          <cell r="AI23">
            <v>1.8341899402159909E-6</v>
          </cell>
          <cell r="AJ23">
            <v>1.9231669149843923E-4</v>
          </cell>
          <cell r="AK23">
            <v>9.3401995181116272E-7</v>
          </cell>
          <cell r="AL23">
            <v>9.988266713723012E-5</v>
          </cell>
          <cell r="AM23">
            <v>6.5953286150031206E-3</v>
          </cell>
          <cell r="AN23">
            <v>6.3962064336260255E-3</v>
          </cell>
          <cell r="AO23">
            <v>6.2402320587168237E-6</v>
          </cell>
          <cell r="AP23">
            <v>2.1370657735331589E-8</v>
          </cell>
          <cell r="AQ23">
            <v>9.7186363525665636E-6</v>
          </cell>
          <cell r="AR23">
            <v>3.3283001207419745E-8</v>
          </cell>
          <cell r="AS23">
            <v>2.5495942207074583E-6</v>
          </cell>
          <cell r="AT23">
            <v>8.731487057217324E-9</v>
          </cell>
          <cell r="AU23">
            <v>9.7107850817932191E-6</v>
          </cell>
          <cell r="AV23">
            <v>3.3256113293812399E-8</v>
          </cell>
          <cell r="AW23">
            <v>2.8452115699138078E-6</v>
          </cell>
          <cell r="AX23">
            <v>9.7438752394308488E-9</v>
          </cell>
          <cell r="AY23">
            <v>5</v>
          </cell>
          <cell r="AZ23">
            <v>0</v>
          </cell>
          <cell r="BA23">
            <v>0</v>
          </cell>
          <cell r="BB23">
            <v>0</v>
          </cell>
          <cell r="BC23">
            <v>12.192</v>
          </cell>
          <cell r="BD23">
            <v>12.192</v>
          </cell>
          <cell r="BE23">
            <v>0</v>
          </cell>
          <cell r="BF23">
            <v>0</v>
          </cell>
          <cell r="BG23">
            <v>0</v>
          </cell>
        </row>
        <row r="24">
          <cell r="C24" t="str">
            <v>HDC-T1</v>
          </cell>
          <cell r="D24" t="e">
            <v>#N/A</v>
          </cell>
          <cell r="E24" t="str">
            <v>HDC</v>
          </cell>
          <cell r="F24" t="str">
            <v>2-27</v>
          </cell>
          <cell r="G24" t="str">
            <v>Drilling Construction</v>
          </cell>
          <cell r="H24" t="str">
            <v>Volume</v>
          </cell>
          <cell r="I24" t="str">
            <v>TWIN: Pad Construction Surface Disturbance</v>
          </cell>
          <cell r="J24" t="str">
            <v>T1</v>
          </cell>
          <cell r="K24">
            <v>0</v>
          </cell>
          <cell r="L24">
            <v>-71.123599999999996</v>
          </cell>
          <cell r="M24">
            <v>0</v>
          </cell>
          <cell r="N24">
            <v>0</v>
          </cell>
          <cell r="O24">
            <v>0</v>
          </cell>
          <cell r="P24">
            <v>45</v>
          </cell>
          <cell r="Q24">
            <v>0</v>
          </cell>
          <cell r="R24">
            <v>45</v>
          </cell>
          <cell r="S24">
            <v>2025</v>
          </cell>
          <cell r="T24">
            <v>0</v>
          </cell>
          <cell r="U24">
            <v>0</v>
          </cell>
          <cell r="V24">
            <v>6.0960000000000001</v>
          </cell>
          <cell r="W24">
            <v>3.048</v>
          </cell>
          <cell r="X24">
            <v>0</v>
          </cell>
          <cell r="Y24">
            <v>0</v>
          </cell>
          <cell r="Z24">
            <v>0</v>
          </cell>
          <cell r="AA24" t="str">
            <v>S</v>
          </cell>
          <cell r="AB24" t="str">
            <v>S</v>
          </cell>
          <cell r="AC24">
            <v>2.5018268481498459E-2</v>
          </cell>
          <cell r="AD24">
            <v>1.075134796246112E-3</v>
          </cell>
          <cell r="AE24">
            <v>9.2631520567388066E-5</v>
          </cell>
          <cell r="AF24">
            <v>9.2631520567388066E-5</v>
          </cell>
          <cell r="AG24">
            <v>7.7192933806156724E-5</v>
          </cell>
          <cell r="AH24">
            <v>2.9917586243163767E-6</v>
          </cell>
          <cell r="AI24">
            <v>7.8799180444408726E-5</v>
          </cell>
          <cell r="AJ24">
            <v>1.4181984030264107E-3</v>
          </cell>
          <cell r="AK24">
            <v>7.6435204931581154E-5</v>
          </cell>
          <cell r="AL24">
            <v>1.3756525419132653E-3</v>
          </cell>
          <cell r="AM24">
            <v>1.5855322051743254E-2</v>
          </cell>
          <cell r="AN24">
            <v>1.5855322051743254E-2</v>
          </cell>
          <cell r="AO24">
            <v>1.2356369087696773E-4</v>
          </cell>
          <cell r="AP24">
            <v>4.3918945927198909E-6</v>
          </cell>
          <cell r="AQ24">
            <v>9.0911506775693334E-5</v>
          </cell>
          <cell r="AR24">
            <v>3.2310448753701046E-6</v>
          </cell>
          <cell r="AS24">
            <v>1.8807422219241955E-5</v>
          </cell>
          <cell r="AT24">
            <v>6.6830260742762273E-7</v>
          </cell>
          <cell r="AU24">
            <v>6.4302379728464813E-5</v>
          </cell>
          <cell r="AV24">
            <v>2.2853289452686249E-6</v>
          </cell>
          <cell r="AW24">
            <v>9.6631526385553059E-6</v>
          </cell>
          <cell r="AX24">
            <v>3.4346056038229826E-7</v>
          </cell>
          <cell r="AY24">
            <v>3.048</v>
          </cell>
          <cell r="AZ24">
            <v>0</v>
          </cell>
          <cell r="BA24">
            <v>0</v>
          </cell>
          <cell r="BB24">
            <v>0</v>
          </cell>
          <cell r="BC24">
            <v>45</v>
          </cell>
          <cell r="BD24">
            <v>45</v>
          </cell>
          <cell r="BE24">
            <v>0</v>
          </cell>
          <cell r="BF24" t="str">
            <v>HROFDAY</v>
          </cell>
          <cell r="BG24" t="str">
            <v>0  0  0  0  0  0  1  1  1  1  1  1  1  1  1  1  1  1  0  0  0  0  0  0  0</v>
          </cell>
        </row>
        <row r="25">
          <cell r="C25" t="str">
            <v>HRCE-T1</v>
          </cell>
          <cell r="D25" t="e">
            <v>#N/A</v>
          </cell>
          <cell r="E25" t="str">
            <v>HRCE</v>
          </cell>
          <cell r="F25" t="str">
            <v>2-29</v>
          </cell>
          <cell r="G25" t="str">
            <v>Rig Up_down Construction equipment</v>
          </cell>
          <cell r="H25" t="str">
            <v>Volume</v>
          </cell>
          <cell r="I25" t="str">
            <v>ROAD: Construction Equipment Tailpipe Emissions - ROAD Construction</v>
          </cell>
          <cell r="J25" t="str">
            <v>T1</v>
          </cell>
          <cell r="K25">
            <v>0</v>
          </cell>
          <cell r="L25">
            <v>-71.123599999999996</v>
          </cell>
          <cell r="M25">
            <v>0</v>
          </cell>
          <cell r="N25">
            <v>0</v>
          </cell>
          <cell r="O25">
            <v>0</v>
          </cell>
          <cell r="P25">
            <v>12.192</v>
          </cell>
          <cell r="Q25">
            <v>0</v>
          </cell>
          <cell r="R25">
            <v>12.192</v>
          </cell>
          <cell r="S25">
            <v>148.64486400000001</v>
          </cell>
          <cell r="T25">
            <v>0</v>
          </cell>
          <cell r="U25">
            <v>0</v>
          </cell>
          <cell r="V25">
            <v>10</v>
          </cell>
          <cell r="W25">
            <v>5</v>
          </cell>
          <cell r="X25">
            <v>0</v>
          </cell>
          <cell r="Y25">
            <v>0</v>
          </cell>
          <cell r="Z25">
            <v>0</v>
          </cell>
          <cell r="AA25" t="str">
            <v>S</v>
          </cell>
          <cell r="AB25" t="str">
            <v>S</v>
          </cell>
          <cell r="AC25">
            <v>8.6536407634378448E-2</v>
          </cell>
          <cell r="AD25">
            <v>5.7391474996928505E-4</v>
          </cell>
          <cell r="AE25">
            <v>9.9271049558068321E-5</v>
          </cell>
          <cell r="AF25">
            <v>9.9271049558068321E-5</v>
          </cell>
          <cell r="AG25">
            <v>8.2725874631723578E-5</v>
          </cell>
          <cell r="AH25">
            <v>5.6215273017980058E-7</v>
          </cell>
          <cell r="AI25">
            <v>3.2547011630872825E-5</v>
          </cell>
          <cell r="AJ25">
            <v>4.1020122973947828E-3</v>
          </cell>
          <cell r="AK25">
            <v>3.2529490367567291E-5</v>
          </cell>
          <cell r="AL25">
            <v>4.0956170362882625E-3</v>
          </cell>
          <cell r="AM25">
            <v>5.9485115733363202E-2</v>
          </cell>
          <cell r="AN25">
            <v>5.9485115733363202E-2</v>
          </cell>
          <cell r="AO25">
            <v>1.2408313891174965E-4</v>
          </cell>
          <cell r="AP25">
            <v>7.1959881256461129E-7</v>
          </cell>
          <cell r="AQ25">
            <v>7.6028918645355272E-5</v>
          </cell>
          <cell r="AR25">
            <v>5.2922417227628686E-7</v>
          </cell>
          <cell r="AS25">
            <v>1.8921765057150421E-5</v>
          </cell>
          <cell r="AT25">
            <v>1.097457820713389E-7</v>
          </cell>
          <cell r="AU25">
            <v>6.4630531281278556E-5</v>
          </cell>
          <cell r="AV25">
            <v>3.7488784679080204E-7</v>
          </cell>
          <cell r="AW25">
            <v>9.7134465099389437E-6</v>
          </cell>
          <cell r="AX25">
            <v>5.6338363845583222E-8</v>
          </cell>
          <cell r="AY25">
            <v>5</v>
          </cell>
          <cell r="AZ25">
            <v>0</v>
          </cell>
          <cell r="BA25">
            <v>0</v>
          </cell>
          <cell r="BB25">
            <v>0</v>
          </cell>
          <cell r="BC25">
            <v>12.192</v>
          </cell>
          <cell r="BD25">
            <v>12.192</v>
          </cell>
          <cell r="BE25">
            <v>0</v>
          </cell>
          <cell r="BF25" t="str">
            <v>HROFDAY</v>
          </cell>
          <cell r="BG25" t="str">
            <v>0  0  0  0  0  0  1  1  1  1  1  1  1  1  1  1  1  1  0  0  0  0  0  0  0</v>
          </cell>
        </row>
        <row r="26">
          <cell r="C26" t="str">
            <v>HPH-T1</v>
          </cell>
          <cell r="D26" t="e">
            <v>#N/A</v>
          </cell>
          <cell r="E26" t="str">
            <v>HPH</v>
          </cell>
          <cell r="F26" t="str">
            <v>2-40</v>
          </cell>
          <cell r="G26" t="str">
            <v>Production Heater</v>
          </cell>
          <cell r="H26" t="str">
            <v>Volume</v>
          </cell>
          <cell r="I26" t="str">
            <v>Heater</v>
          </cell>
          <cell r="J26" t="str">
            <v>T1</v>
          </cell>
          <cell r="K26">
            <v>0</v>
          </cell>
          <cell r="L26">
            <v>-71.123599999999996</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t="str">
            <v>S</v>
          </cell>
          <cell r="AB26" t="str">
            <v>S</v>
          </cell>
          <cell r="AC26">
            <v>4.9410933551198256E-3</v>
          </cell>
          <cell r="AD26">
            <v>4.9410933551198256E-3</v>
          </cell>
          <cell r="AE26">
            <v>2.9771353341975505E-4</v>
          </cell>
          <cell r="AF26">
            <v>2.9771353341975505E-4</v>
          </cell>
          <cell r="AG26">
            <v>2.9771353341975505E-4</v>
          </cell>
          <cell r="AH26">
            <v>2.9771353341975505E-4</v>
          </cell>
          <cell r="AI26">
            <v>3.7552309498910681E-4</v>
          </cell>
          <cell r="AJ26">
            <v>3.7552309498910681E-4</v>
          </cell>
          <cell r="AK26">
            <v>3.7552309498910681E-4</v>
          </cell>
          <cell r="AL26">
            <v>3.7552309498910681E-4</v>
          </cell>
          <cell r="AM26">
            <v>4.1505184183006543E-3</v>
          </cell>
          <cell r="AN26">
            <v>0</v>
          </cell>
          <cell r="AO26">
            <v>7.7393475751263511E-8</v>
          </cell>
          <cell r="AP26">
            <v>7.7393475751263511E-8</v>
          </cell>
          <cell r="AQ26">
            <v>7.4620796256974713E-8</v>
          </cell>
          <cell r="AR26">
            <v>7.4620796256974713E-8</v>
          </cell>
          <cell r="AS26">
            <v>1.4561120887824058E-8</v>
          </cell>
          <cell r="AT26">
            <v>1.4561120887824058E-8</v>
          </cell>
          <cell r="AU26">
            <v>1.164306058966292E-7</v>
          </cell>
          <cell r="AV26">
            <v>1.164306058966292E-7</v>
          </cell>
          <cell r="AW26">
            <v>3.5521344347211526E-7</v>
          </cell>
          <cell r="AX26">
            <v>3.5521344347211526E-7</v>
          </cell>
          <cell r="AY26">
            <v>0</v>
          </cell>
          <cell r="AZ26">
            <v>0</v>
          </cell>
          <cell r="BA26">
            <v>0</v>
          </cell>
          <cell r="BB26">
            <v>0</v>
          </cell>
          <cell r="BC26">
            <v>0</v>
          </cell>
          <cell r="BD26">
            <v>0</v>
          </cell>
          <cell r="BE26">
            <v>0</v>
          </cell>
          <cell r="BF26" t="str">
            <v>MONTH</v>
          </cell>
          <cell r="BG26" t="str">
            <v>0 0 0 0 1 1 1 1 1 1 1 0</v>
          </cell>
        </row>
        <row r="27">
          <cell r="C27" t="str">
            <v>HOWCF-T1</v>
          </cell>
          <cell r="D27" t="e">
            <v>#N/A</v>
          </cell>
          <cell r="E27" t="str">
            <v>HOWCF</v>
          </cell>
          <cell r="F27" t="str">
            <v>2-46</v>
          </cell>
          <cell r="G27" t="str">
            <v>2+ yr Well Cond. Flash - Cntrld</v>
          </cell>
          <cell r="H27" t="str">
            <v>Volume</v>
          </cell>
          <cell r="I27" t="str">
            <v>Well Production - Single Well</v>
          </cell>
          <cell r="J27" t="str">
            <v>T1</v>
          </cell>
          <cell r="K27">
            <v>0</v>
          </cell>
          <cell r="L27">
            <v>-71.123599999999996</v>
          </cell>
          <cell r="M27">
            <v>0</v>
          </cell>
          <cell r="N27">
            <v>0</v>
          </cell>
          <cell r="O27">
            <v>0</v>
          </cell>
          <cell r="P27">
            <v>10</v>
          </cell>
          <cell r="Q27">
            <v>0</v>
          </cell>
          <cell r="R27">
            <v>10</v>
          </cell>
          <cell r="S27">
            <v>100</v>
          </cell>
          <cell r="T27">
            <v>0</v>
          </cell>
          <cell r="U27">
            <v>0</v>
          </cell>
          <cell r="V27">
            <v>10</v>
          </cell>
          <cell r="W27">
            <v>5</v>
          </cell>
          <cell r="X27">
            <v>0</v>
          </cell>
          <cell r="Y27">
            <v>0</v>
          </cell>
          <cell r="Z27">
            <v>0</v>
          </cell>
          <cell r="AA27" t="str">
            <v>S</v>
          </cell>
          <cell r="AB27" t="str">
            <v>S</v>
          </cell>
          <cell r="AC27" t="str">
            <v/>
          </cell>
          <cell r="AD27" t="str">
            <v/>
          </cell>
          <cell r="AE27" t="str">
            <v/>
          </cell>
          <cell r="AF27" t="str">
            <v/>
          </cell>
          <cell r="AG27" t="str">
            <v/>
          </cell>
          <cell r="AH27" t="str">
            <v/>
          </cell>
          <cell r="AI27" t="str">
            <v/>
          </cell>
          <cell r="AJ27" t="str">
            <v/>
          </cell>
          <cell r="AK27" t="str">
            <v/>
          </cell>
          <cell r="AL27" t="str">
            <v/>
          </cell>
          <cell r="AM27" t="str">
            <v/>
          </cell>
          <cell r="AN27" t="str">
            <v/>
          </cell>
          <cell r="AO27" t="str">
            <v/>
          </cell>
          <cell r="AP27" t="str">
            <v/>
          </cell>
          <cell r="AQ27" t="str">
            <v/>
          </cell>
          <cell r="AR27" t="str">
            <v/>
          </cell>
          <cell r="AS27" t="str">
            <v/>
          </cell>
          <cell r="AT27" t="str">
            <v/>
          </cell>
          <cell r="AU27" t="str">
            <v/>
          </cell>
          <cell r="AV27" t="str">
            <v/>
          </cell>
          <cell r="AW27" t="str">
            <v/>
          </cell>
          <cell r="AX27" t="str">
            <v/>
          </cell>
          <cell r="AY27">
            <v>5</v>
          </cell>
          <cell r="AZ27">
            <v>0</v>
          </cell>
          <cell r="BA27">
            <v>0</v>
          </cell>
          <cell r="BB27">
            <v>0</v>
          </cell>
          <cell r="BC27">
            <v>10</v>
          </cell>
          <cell r="BD27">
            <v>10</v>
          </cell>
          <cell r="BE27">
            <v>0</v>
          </cell>
          <cell r="BF27">
            <v>0</v>
          </cell>
          <cell r="BG27">
            <v>0</v>
          </cell>
        </row>
        <row r="28">
          <cell r="C28" t="str">
            <v>HPMLC-T1</v>
          </cell>
          <cell r="D28" t="e">
            <v>#N/A</v>
          </cell>
          <cell r="E28" t="str">
            <v>HPMLC</v>
          </cell>
          <cell r="F28" t="str">
            <v>2-54</v>
          </cell>
          <cell r="G28" t="str">
            <v>"Pneumatic Pumps" &amp; "Liquid Level Controllers"</v>
          </cell>
          <cell r="H28" t="str">
            <v>Volume</v>
          </cell>
          <cell r="I28" t="str">
            <v>Well Production - Single Well</v>
          </cell>
          <cell r="J28" t="str">
            <v>T1</v>
          </cell>
          <cell r="K28">
            <v>0</v>
          </cell>
          <cell r="L28">
            <v>-71.123599999999996</v>
          </cell>
          <cell r="M28">
            <v>0</v>
          </cell>
          <cell r="N28">
            <v>0</v>
          </cell>
          <cell r="O28">
            <v>0</v>
          </cell>
          <cell r="P28">
            <v>10</v>
          </cell>
          <cell r="Q28">
            <v>0</v>
          </cell>
          <cell r="R28">
            <v>10</v>
          </cell>
          <cell r="S28">
            <v>100</v>
          </cell>
          <cell r="T28">
            <v>0</v>
          </cell>
          <cell r="U28">
            <v>0</v>
          </cell>
          <cell r="V28">
            <v>10</v>
          </cell>
          <cell r="W28">
            <v>5</v>
          </cell>
          <cell r="X28">
            <v>0</v>
          </cell>
          <cell r="Y28">
            <v>0</v>
          </cell>
          <cell r="Z28">
            <v>0</v>
          </cell>
          <cell r="AA28" t="str">
            <v>S</v>
          </cell>
          <cell r="AB28" t="str">
            <v>S</v>
          </cell>
          <cell r="AC28">
            <v>2.6459554916666669E-10</v>
          </cell>
          <cell r="AD28">
            <v>1.2081988546423137E-10</v>
          </cell>
          <cell r="AE28">
            <v>1.0573720127858805E-8</v>
          </cell>
          <cell r="AF28">
            <v>1.0573720127858805E-8</v>
          </cell>
          <cell r="AG28">
            <v>1.0573720127858805E-8</v>
          </cell>
          <cell r="AH28">
            <v>4.8281827067848429E-9</v>
          </cell>
          <cell r="AI28">
            <v>0</v>
          </cell>
          <cell r="AJ28">
            <v>0</v>
          </cell>
          <cell r="AK28">
            <v>0</v>
          </cell>
          <cell r="AL28">
            <v>0</v>
          </cell>
          <cell r="AM28">
            <v>6.6148887291666672E-11</v>
          </cell>
          <cell r="AN28">
            <v>6.6148887291666672E-11</v>
          </cell>
          <cell r="AO28">
            <v>3.2093284821875957E-9</v>
          </cell>
          <cell r="AP28">
            <v>2.9186815344095713E-9</v>
          </cell>
          <cell r="AQ28">
            <v>3.1010367176809389E-9</v>
          </cell>
          <cell r="AR28">
            <v>2.8201970149381441E-9</v>
          </cell>
          <cell r="AS28">
            <v>6.2835560255072395E-10</v>
          </cell>
          <cell r="AT28">
            <v>5.7144972986918952E-10</v>
          </cell>
          <cell r="AU28">
            <v>4.3584513008233665E-9</v>
          </cell>
          <cell r="AV28">
            <v>3.9637361525752831E-9</v>
          </cell>
          <cell r="AW28">
            <v>1.472909128159611E-8</v>
          </cell>
          <cell r="AX28">
            <v>1.3395178144221728E-8</v>
          </cell>
          <cell r="AY28">
            <v>5</v>
          </cell>
          <cell r="AZ28">
            <v>0</v>
          </cell>
          <cell r="BA28">
            <v>0</v>
          </cell>
          <cell r="BB28">
            <v>0</v>
          </cell>
          <cell r="BC28">
            <v>10</v>
          </cell>
          <cell r="BD28">
            <v>10</v>
          </cell>
          <cell r="BE28">
            <v>0</v>
          </cell>
          <cell r="BF28">
            <v>0</v>
          </cell>
          <cell r="BG28">
            <v>0</v>
          </cell>
        </row>
        <row r="29">
          <cell r="C29" t="str">
            <v>HBF-T1</v>
          </cell>
          <cell r="D29" t="e">
            <v>#N/A</v>
          </cell>
          <cell r="E29" t="str">
            <v>HBF</v>
          </cell>
          <cell r="F29" t="str">
            <v>2-56</v>
          </cell>
          <cell r="G29" t="str">
            <v>Blowdown Flaring</v>
          </cell>
          <cell r="H29" t="str">
            <v>Volume</v>
          </cell>
          <cell r="I29" t="str">
            <v>Well Production - Single Well</v>
          </cell>
          <cell r="J29" t="str">
            <v>T1</v>
          </cell>
          <cell r="K29">
            <v>0</v>
          </cell>
          <cell r="L29">
            <v>-71.123599999999996</v>
          </cell>
          <cell r="M29">
            <v>0</v>
          </cell>
          <cell r="N29">
            <v>0</v>
          </cell>
          <cell r="O29">
            <v>0</v>
          </cell>
          <cell r="P29">
            <v>10</v>
          </cell>
          <cell r="Q29">
            <v>0</v>
          </cell>
          <cell r="R29">
            <v>10</v>
          </cell>
          <cell r="S29">
            <v>100</v>
          </cell>
          <cell r="T29">
            <v>0</v>
          </cell>
          <cell r="U29">
            <v>0</v>
          </cell>
          <cell r="V29">
            <v>10</v>
          </cell>
          <cell r="W29">
            <v>5</v>
          </cell>
          <cell r="X29">
            <v>0</v>
          </cell>
          <cell r="Y29">
            <v>0</v>
          </cell>
          <cell r="Z29">
            <v>0</v>
          </cell>
          <cell r="AA29" t="str">
            <v>S</v>
          </cell>
          <cell r="AB29" t="str">
            <v>S</v>
          </cell>
          <cell r="AC29">
            <v>1.2965777870188084E-2</v>
          </cell>
          <cell r="AD29">
            <v>4.4403348870507141E-6</v>
          </cell>
          <cell r="AE29">
            <v>5.3614233142628704E-6</v>
          </cell>
          <cell r="AF29">
            <v>1.7871411047542901E-6</v>
          </cell>
          <cell r="AG29">
            <v>2.2339263809428626E-7</v>
          </cell>
          <cell r="AH29">
            <v>1.8361038747475584E-9</v>
          </cell>
          <cell r="AI29">
            <v>6.8879891257610591E-7</v>
          </cell>
          <cell r="AJ29">
            <v>8.3803867696759547E-5</v>
          </cell>
          <cell r="AK29">
            <v>6.8879891257610591E-7</v>
          </cell>
          <cell r="AL29">
            <v>8.3803867696759547E-5</v>
          </cell>
          <cell r="AM29">
            <v>3.2414444675470211E-3</v>
          </cell>
          <cell r="AN29">
            <v>4.0518055844337763E-4</v>
          </cell>
          <cell r="AO29">
            <v>2.848285966000779E-5</v>
          </cell>
          <cell r="AP29">
            <v>9.7544039931533522E-9</v>
          </cell>
          <cell r="AQ29">
            <v>2.752176790891497E-5</v>
          </cell>
          <cell r="AR29">
            <v>9.4252629825051262E-9</v>
          </cell>
          <cell r="AS29">
            <v>5.5766695566894412E-6</v>
          </cell>
          <cell r="AT29">
            <v>1.9098183413320002E-9</v>
          </cell>
          <cell r="AU29">
            <v>4.1825021675170793E-5</v>
          </cell>
          <cell r="AV29">
            <v>1.432363755999E-8</v>
          </cell>
          <cell r="AW29">
            <v>1.307210035437636E-4</v>
          </cell>
          <cell r="AX29">
            <v>4.4767466967042332E-8</v>
          </cell>
          <cell r="AY29">
            <v>5</v>
          </cell>
          <cell r="AZ29">
            <v>0</v>
          </cell>
          <cell r="BA29">
            <v>0</v>
          </cell>
          <cell r="BB29">
            <v>0</v>
          </cell>
          <cell r="BC29">
            <v>10</v>
          </cell>
          <cell r="BD29">
            <v>10</v>
          </cell>
          <cell r="BE29">
            <v>0</v>
          </cell>
          <cell r="BF29">
            <v>0</v>
          </cell>
          <cell r="BG29">
            <v>0</v>
          </cell>
        </row>
        <row r="30">
          <cell r="C30" t="str">
            <v>Horizontal Pad 2</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row>
        <row r="31">
          <cell r="C31" t="str">
            <v>HDRDT-T2</v>
          </cell>
          <cell r="D31" t="e">
            <v>#N/A</v>
          </cell>
          <cell r="E31" t="str">
            <v>HDRDT</v>
          </cell>
          <cell r="F31" t="e">
            <v>#N/A</v>
          </cell>
          <cell r="G31" t="e">
            <v>#N/A</v>
          </cell>
          <cell r="H31" t="e">
            <v>#N/A</v>
          </cell>
          <cell r="I31" t="str">
            <v>TWIN: Pad Construction Surface Disturbance</v>
          </cell>
          <cell r="J31" t="str">
            <v>T2</v>
          </cell>
          <cell r="K31">
            <v>0</v>
          </cell>
          <cell r="L31">
            <v>71.123599999999996</v>
          </cell>
          <cell r="M31">
            <v>0</v>
          </cell>
          <cell r="N31">
            <v>0</v>
          </cell>
          <cell r="O31">
            <v>0</v>
          </cell>
          <cell r="P31">
            <v>45</v>
          </cell>
          <cell r="Q31">
            <v>0</v>
          </cell>
          <cell r="R31">
            <v>45</v>
          </cell>
          <cell r="S31">
            <v>2025</v>
          </cell>
          <cell r="T31">
            <v>0</v>
          </cell>
          <cell r="U31">
            <v>0</v>
          </cell>
          <cell r="V31">
            <v>6.0960000000000001</v>
          </cell>
          <cell r="W31">
            <v>3.048</v>
          </cell>
          <cell r="X31">
            <v>0</v>
          </cell>
          <cell r="Y31">
            <v>0</v>
          </cell>
          <cell r="Z31">
            <v>0</v>
          </cell>
          <cell r="AA31" t="str">
            <v>S</v>
          </cell>
          <cell r="AB31" t="str">
            <v>S</v>
          </cell>
          <cell r="AC31" t="e">
            <v>#N/A</v>
          </cell>
          <cell r="AD31" t="e">
            <v>#N/A</v>
          </cell>
          <cell r="AE31" t="e">
            <v>#N/A</v>
          </cell>
          <cell r="AF31" t="e">
            <v>#N/A</v>
          </cell>
          <cell r="AG31" t="e">
            <v>#N/A</v>
          </cell>
          <cell r="AH31" t="e">
            <v>#N/A</v>
          </cell>
          <cell r="AI31" t="e">
            <v>#N/A</v>
          </cell>
          <cell r="AJ31" t="e">
            <v>#N/A</v>
          </cell>
          <cell r="AK31" t="e">
            <v>#N/A</v>
          </cell>
          <cell r="AL31" t="e">
            <v>#N/A</v>
          </cell>
          <cell r="AM31" t="e">
            <v>#N/A</v>
          </cell>
          <cell r="AN31" t="e">
            <v>#N/A</v>
          </cell>
          <cell r="AO31" t="e">
            <v>#N/A</v>
          </cell>
          <cell r="AP31" t="e">
            <v>#N/A</v>
          </cell>
          <cell r="AQ31" t="e">
            <v>#N/A</v>
          </cell>
          <cell r="AR31" t="e">
            <v>#N/A</v>
          </cell>
          <cell r="AS31" t="e">
            <v>#N/A</v>
          </cell>
          <cell r="AT31" t="e">
            <v>#N/A</v>
          </cell>
          <cell r="AU31" t="e">
            <v>#N/A</v>
          </cell>
          <cell r="AV31" t="e">
            <v>#N/A</v>
          </cell>
          <cell r="AW31" t="e">
            <v>#N/A</v>
          </cell>
          <cell r="AX31" t="e">
            <v>#N/A</v>
          </cell>
          <cell r="AY31">
            <v>3.048</v>
          </cell>
          <cell r="AZ31">
            <v>0</v>
          </cell>
          <cell r="BA31">
            <v>0</v>
          </cell>
          <cell r="BB31">
            <v>0</v>
          </cell>
          <cell r="BC31">
            <v>45</v>
          </cell>
          <cell r="BD31">
            <v>45</v>
          </cell>
          <cell r="BE31">
            <v>0</v>
          </cell>
          <cell r="BF31" t="e">
            <v>#N/A</v>
          </cell>
          <cell r="BG31" t="e">
            <v>#N/A</v>
          </cell>
        </row>
        <row r="32">
          <cell r="C32" t="str">
            <v>HRGDT-T2</v>
          </cell>
          <cell r="D32" t="e">
            <v>#N/A</v>
          </cell>
          <cell r="E32" t="str">
            <v>HRGDT</v>
          </cell>
          <cell r="F32" t="e">
            <v>#N/A</v>
          </cell>
          <cell r="G32" t="e">
            <v>#N/A</v>
          </cell>
          <cell r="H32" t="e">
            <v>#N/A</v>
          </cell>
          <cell r="I32" t="str">
            <v>TWIN: Pad Construction Surface Disturbance</v>
          </cell>
          <cell r="J32" t="str">
            <v>T2</v>
          </cell>
          <cell r="K32">
            <v>0</v>
          </cell>
          <cell r="L32">
            <v>71.123599999999996</v>
          </cell>
          <cell r="M32">
            <v>0</v>
          </cell>
          <cell r="N32">
            <v>0</v>
          </cell>
          <cell r="O32">
            <v>0</v>
          </cell>
          <cell r="P32">
            <v>45</v>
          </cell>
          <cell r="Q32">
            <v>0</v>
          </cell>
          <cell r="R32">
            <v>45</v>
          </cell>
          <cell r="S32">
            <v>2025</v>
          </cell>
          <cell r="T32">
            <v>0</v>
          </cell>
          <cell r="U32">
            <v>0</v>
          </cell>
          <cell r="V32">
            <v>6.0960000000000001</v>
          </cell>
          <cell r="W32">
            <v>3.048</v>
          </cell>
          <cell r="X32">
            <v>0</v>
          </cell>
          <cell r="Y32">
            <v>0</v>
          </cell>
          <cell r="Z32">
            <v>0</v>
          </cell>
          <cell r="AA32" t="str">
            <v>S</v>
          </cell>
          <cell r="AB32" t="str">
            <v>S</v>
          </cell>
          <cell r="AC32" t="e">
            <v>#N/A</v>
          </cell>
          <cell r="AD32" t="e">
            <v>#N/A</v>
          </cell>
          <cell r="AE32" t="e">
            <v>#N/A</v>
          </cell>
          <cell r="AF32" t="e">
            <v>#N/A</v>
          </cell>
          <cell r="AG32" t="e">
            <v>#N/A</v>
          </cell>
          <cell r="AH32" t="e">
            <v>#N/A</v>
          </cell>
          <cell r="AI32" t="e">
            <v>#N/A</v>
          </cell>
          <cell r="AJ32" t="e">
            <v>#N/A</v>
          </cell>
          <cell r="AK32" t="e">
            <v>#N/A</v>
          </cell>
          <cell r="AL32" t="e">
            <v>#N/A</v>
          </cell>
          <cell r="AM32" t="e">
            <v>#N/A</v>
          </cell>
          <cell r="AN32" t="e">
            <v>#N/A</v>
          </cell>
          <cell r="AO32" t="e">
            <v>#N/A</v>
          </cell>
          <cell r="AP32" t="e">
            <v>#N/A</v>
          </cell>
          <cell r="AQ32" t="e">
            <v>#N/A</v>
          </cell>
          <cell r="AR32" t="e">
            <v>#N/A</v>
          </cell>
          <cell r="AS32" t="e">
            <v>#N/A</v>
          </cell>
          <cell r="AT32" t="e">
            <v>#N/A</v>
          </cell>
          <cell r="AU32" t="e">
            <v>#N/A</v>
          </cell>
          <cell r="AV32" t="e">
            <v>#N/A</v>
          </cell>
          <cell r="AW32" t="e">
            <v>#N/A</v>
          </cell>
          <cell r="AX32" t="e">
            <v>#N/A</v>
          </cell>
          <cell r="AY32">
            <v>3.048</v>
          </cell>
          <cell r="AZ32">
            <v>0</v>
          </cell>
          <cell r="BA32">
            <v>0</v>
          </cell>
          <cell r="BB32">
            <v>0</v>
          </cell>
          <cell r="BC32">
            <v>45</v>
          </cell>
          <cell r="BD32">
            <v>45</v>
          </cell>
          <cell r="BE32">
            <v>0</v>
          </cell>
          <cell r="BF32" t="e">
            <v>#N/A</v>
          </cell>
          <cell r="BG32" t="e">
            <v>#N/A</v>
          </cell>
        </row>
        <row r="33">
          <cell r="C33" t="str">
            <v>HDME-T2</v>
          </cell>
          <cell r="D33" t="e">
            <v>#N/A</v>
          </cell>
          <cell r="E33" t="str">
            <v>HDME</v>
          </cell>
          <cell r="F33" t="e">
            <v>#N/A</v>
          </cell>
          <cell r="G33" t="e">
            <v>#N/A</v>
          </cell>
          <cell r="H33" t="e">
            <v>#N/A</v>
          </cell>
          <cell r="I33" t="str">
            <v>ROAD: Construction Equipment Tailpipe Emissions - ROAD Construction</v>
          </cell>
          <cell r="J33" t="str">
            <v>T2</v>
          </cell>
          <cell r="K33">
            <v>0</v>
          </cell>
          <cell r="L33">
            <v>71.123599999999996</v>
          </cell>
          <cell r="M33">
            <v>0</v>
          </cell>
          <cell r="N33">
            <v>0</v>
          </cell>
          <cell r="O33">
            <v>0</v>
          </cell>
          <cell r="P33">
            <v>12.192</v>
          </cell>
          <cell r="Q33">
            <v>0</v>
          </cell>
          <cell r="R33">
            <v>12.192</v>
          </cell>
          <cell r="S33">
            <v>148.64486400000001</v>
          </cell>
          <cell r="T33">
            <v>0</v>
          </cell>
          <cell r="U33">
            <v>0</v>
          </cell>
          <cell r="V33">
            <v>10</v>
          </cell>
          <cell r="W33">
            <v>5</v>
          </cell>
          <cell r="X33">
            <v>0</v>
          </cell>
          <cell r="Y33">
            <v>0</v>
          </cell>
          <cell r="Z33">
            <v>0</v>
          </cell>
          <cell r="AA33" t="str">
            <v>S</v>
          </cell>
          <cell r="AB33" t="str">
            <v>S</v>
          </cell>
          <cell r="AC33" t="e">
            <v>#N/A</v>
          </cell>
          <cell r="AD33" t="e">
            <v>#N/A</v>
          </cell>
          <cell r="AE33" t="e">
            <v>#N/A</v>
          </cell>
          <cell r="AF33" t="e">
            <v>#N/A</v>
          </cell>
          <cell r="AG33" t="e">
            <v>#N/A</v>
          </cell>
          <cell r="AH33" t="e">
            <v>#N/A</v>
          </cell>
          <cell r="AI33" t="e">
            <v>#N/A</v>
          </cell>
          <cell r="AJ33" t="e">
            <v>#N/A</v>
          </cell>
          <cell r="AK33" t="e">
            <v>#N/A</v>
          </cell>
          <cell r="AL33" t="e">
            <v>#N/A</v>
          </cell>
          <cell r="AM33" t="e">
            <v>#N/A</v>
          </cell>
          <cell r="AN33" t="e">
            <v>#N/A</v>
          </cell>
          <cell r="AO33" t="e">
            <v>#N/A</v>
          </cell>
          <cell r="AP33" t="e">
            <v>#N/A</v>
          </cell>
          <cell r="AQ33" t="e">
            <v>#N/A</v>
          </cell>
          <cell r="AR33" t="e">
            <v>#N/A</v>
          </cell>
          <cell r="AS33" t="e">
            <v>#N/A</v>
          </cell>
          <cell r="AT33" t="e">
            <v>#N/A</v>
          </cell>
          <cell r="AU33" t="e">
            <v>#N/A</v>
          </cell>
          <cell r="AV33" t="e">
            <v>#N/A</v>
          </cell>
          <cell r="AW33" t="e">
            <v>#N/A</v>
          </cell>
          <cell r="AX33" t="e">
            <v>#N/A</v>
          </cell>
          <cell r="AY33">
            <v>5</v>
          </cell>
          <cell r="AZ33">
            <v>0</v>
          </cell>
          <cell r="BA33">
            <v>0</v>
          </cell>
          <cell r="BB33">
            <v>0</v>
          </cell>
          <cell r="BC33">
            <v>12.192</v>
          </cell>
          <cell r="BD33">
            <v>12.192</v>
          </cell>
          <cell r="BE33">
            <v>0</v>
          </cell>
          <cell r="BF33" t="e">
            <v>#N/A</v>
          </cell>
          <cell r="BG33" t="e">
            <v>#N/A</v>
          </cell>
        </row>
        <row r="34">
          <cell r="C34" t="str">
            <v>HRME-T2</v>
          </cell>
          <cell r="D34" t="e">
            <v>#N/A</v>
          </cell>
          <cell r="E34" t="str">
            <v>HRME</v>
          </cell>
          <cell r="F34" t="str">
            <v>2-26</v>
          </cell>
          <cell r="G34" t="str">
            <v>Rig_Up_down Mobile Exhaust</v>
          </cell>
          <cell r="H34" t="str">
            <v>Volume</v>
          </cell>
          <cell r="I34" t="str">
            <v>ROAD: Construction Equipment Tailpipe Emissions - ROAD Construction</v>
          </cell>
          <cell r="J34" t="str">
            <v>T2</v>
          </cell>
          <cell r="K34">
            <v>0</v>
          </cell>
          <cell r="L34">
            <v>71.123599999999996</v>
          </cell>
          <cell r="M34">
            <v>0</v>
          </cell>
          <cell r="N34">
            <v>0</v>
          </cell>
          <cell r="O34">
            <v>0</v>
          </cell>
          <cell r="P34">
            <v>12.192</v>
          </cell>
          <cell r="Q34">
            <v>0</v>
          </cell>
          <cell r="R34">
            <v>12.192</v>
          </cell>
          <cell r="S34">
            <v>148.64486400000001</v>
          </cell>
          <cell r="T34">
            <v>0</v>
          </cell>
          <cell r="U34">
            <v>0</v>
          </cell>
          <cell r="V34">
            <v>10</v>
          </cell>
          <cell r="W34">
            <v>5</v>
          </cell>
          <cell r="X34">
            <v>0</v>
          </cell>
          <cell r="Y34">
            <v>0</v>
          </cell>
          <cell r="Z34">
            <v>0</v>
          </cell>
          <cell r="AA34" t="str">
            <v>S</v>
          </cell>
          <cell r="AB34" t="str">
            <v>S</v>
          </cell>
          <cell r="AC34">
            <v>7.7784900304829121E-3</v>
          </cell>
          <cell r="AD34">
            <v>2.6638664487955177E-5</v>
          </cell>
          <cell r="AE34">
            <v>4.0990703460797486E-5</v>
          </cell>
          <cell r="AF34">
            <v>4.0990703460797486E-5</v>
          </cell>
          <cell r="AG34">
            <v>1.4911653905111257E-5</v>
          </cell>
          <cell r="AH34">
            <v>1.4037912144108728E-7</v>
          </cell>
          <cell r="AI34">
            <v>1.8341899402159909E-6</v>
          </cell>
          <cell r="AJ34">
            <v>1.9231669149843923E-4</v>
          </cell>
          <cell r="AK34">
            <v>9.3401995181116272E-7</v>
          </cell>
          <cell r="AL34">
            <v>9.988266713723012E-5</v>
          </cell>
          <cell r="AM34">
            <v>6.5953286150031206E-3</v>
          </cell>
          <cell r="AN34">
            <v>6.3962064336260255E-3</v>
          </cell>
          <cell r="AO34">
            <v>6.2402320587168237E-6</v>
          </cell>
          <cell r="AP34">
            <v>2.1370657735331589E-8</v>
          </cell>
          <cell r="AQ34">
            <v>9.7186363525665636E-6</v>
          </cell>
          <cell r="AR34">
            <v>3.3283001207419745E-8</v>
          </cell>
          <cell r="AS34">
            <v>2.5495942207074583E-6</v>
          </cell>
          <cell r="AT34">
            <v>8.731487057217324E-9</v>
          </cell>
          <cell r="AU34">
            <v>9.7107850817932191E-6</v>
          </cell>
          <cell r="AV34">
            <v>3.3256113293812399E-8</v>
          </cell>
          <cell r="AW34">
            <v>2.8452115699138078E-6</v>
          </cell>
          <cell r="AX34">
            <v>9.7438752394308488E-9</v>
          </cell>
          <cell r="AY34">
            <v>5</v>
          </cell>
          <cell r="AZ34">
            <v>0</v>
          </cell>
          <cell r="BA34">
            <v>0</v>
          </cell>
          <cell r="BB34">
            <v>0</v>
          </cell>
          <cell r="BC34">
            <v>12.192</v>
          </cell>
          <cell r="BD34">
            <v>12.192</v>
          </cell>
          <cell r="BE34">
            <v>0</v>
          </cell>
          <cell r="BF34">
            <v>0</v>
          </cell>
          <cell r="BG34">
            <v>0</v>
          </cell>
        </row>
        <row r="35">
          <cell r="C35" t="str">
            <v>HDC-T2</v>
          </cell>
          <cell r="D35" t="e">
            <v>#N/A</v>
          </cell>
          <cell r="E35" t="str">
            <v>HDC</v>
          </cell>
          <cell r="F35" t="str">
            <v>2-27</v>
          </cell>
          <cell r="G35" t="str">
            <v>Drilling Construction</v>
          </cell>
          <cell r="H35" t="str">
            <v>Volume</v>
          </cell>
          <cell r="I35" t="str">
            <v>TWIN: Pad Construction Surface Disturbance</v>
          </cell>
          <cell r="J35" t="str">
            <v>T2</v>
          </cell>
          <cell r="K35">
            <v>0</v>
          </cell>
          <cell r="L35">
            <v>71.123599999999996</v>
          </cell>
          <cell r="M35">
            <v>0</v>
          </cell>
          <cell r="N35">
            <v>0</v>
          </cell>
          <cell r="O35">
            <v>0</v>
          </cell>
          <cell r="P35">
            <v>45</v>
          </cell>
          <cell r="Q35">
            <v>0</v>
          </cell>
          <cell r="R35">
            <v>45</v>
          </cell>
          <cell r="S35">
            <v>2025</v>
          </cell>
          <cell r="T35">
            <v>0</v>
          </cell>
          <cell r="U35">
            <v>0</v>
          </cell>
          <cell r="V35">
            <v>6.0960000000000001</v>
          </cell>
          <cell r="W35">
            <v>3.048</v>
          </cell>
          <cell r="X35">
            <v>0</v>
          </cell>
          <cell r="Y35">
            <v>0</v>
          </cell>
          <cell r="Z35">
            <v>0</v>
          </cell>
          <cell r="AA35" t="str">
            <v>S</v>
          </cell>
          <cell r="AB35" t="str">
            <v>S</v>
          </cell>
          <cell r="AC35">
            <v>2.5018268481498459E-2</v>
          </cell>
          <cell r="AD35">
            <v>1.075134796246112E-3</v>
          </cell>
          <cell r="AE35">
            <v>9.2631520567388066E-5</v>
          </cell>
          <cell r="AF35">
            <v>9.2631520567388066E-5</v>
          </cell>
          <cell r="AG35">
            <v>7.7192933806156724E-5</v>
          </cell>
          <cell r="AH35">
            <v>2.9917586243163767E-6</v>
          </cell>
          <cell r="AI35">
            <v>7.8799180444408726E-5</v>
          </cell>
          <cell r="AJ35">
            <v>1.4181984030264107E-3</v>
          </cell>
          <cell r="AK35">
            <v>7.6435204931581154E-5</v>
          </cell>
          <cell r="AL35">
            <v>1.3756525419132653E-3</v>
          </cell>
          <cell r="AM35">
            <v>1.5855322051743254E-2</v>
          </cell>
          <cell r="AN35">
            <v>1.5855322051743254E-2</v>
          </cell>
          <cell r="AO35">
            <v>1.2356369087696773E-4</v>
          </cell>
          <cell r="AP35">
            <v>4.3918945927198909E-6</v>
          </cell>
          <cell r="AQ35">
            <v>9.0911506775693334E-5</v>
          </cell>
          <cell r="AR35">
            <v>3.2310448753701046E-6</v>
          </cell>
          <cell r="AS35">
            <v>1.8807422219241955E-5</v>
          </cell>
          <cell r="AT35">
            <v>6.6830260742762273E-7</v>
          </cell>
          <cell r="AU35">
            <v>6.4302379728464813E-5</v>
          </cell>
          <cell r="AV35">
            <v>2.2853289452686249E-6</v>
          </cell>
          <cell r="AW35">
            <v>9.6631526385553059E-6</v>
          </cell>
          <cell r="AX35">
            <v>3.4346056038229826E-7</v>
          </cell>
          <cell r="AY35">
            <v>3.048</v>
          </cell>
          <cell r="AZ35">
            <v>0</v>
          </cell>
          <cell r="BA35">
            <v>0</v>
          </cell>
          <cell r="BB35">
            <v>0</v>
          </cell>
          <cell r="BC35">
            <v>45</v>
          </cell>
          <cell r="BD35">
            <v>45</v>
          </cell>
          <cell r="BE35">
            <v>0</v>
          </cell>
          <cell r="BF35" t="str">
            <v>HROFDAY</v>
          </cell>
          <cell r="BG35" t="str">
            <v>0  0  0  0  0  0  1  1  1  1  1  1  1  1  1  1  1  1  0  0  0  0  0  0  0</v>
          </cell>
        </row>
        <row r="36">
          <cell r="C36" t="str">
            <v>HRCE-T2</v>
          </cell>
          <cell r="D36" t="e">
            <v>#N/A</v>
          </cell>
          <cell r="E36" t="str">
            <v>HRCE</v>
          </cell>
          <cell r="F36" t="str">
            <v>2-29</v>
          </cell>
          <cell r="G36" t="str">
            <v>Rig Up_down Construction equipment</v>
          </cell>
          <cell r="H36" t="str">
            <v>Volume</v>
          </cell>
          <cell r="I36" t="str">
            <v>ROAD: Construction Equipment Tailpipe Emissions - ROAD Construction</v>
          </cell>
          <cell r="J36" t="str">
            <v>T2</v>
          </cell>
          <cell r="K36">
            <v>0</v>
          </cell>
          <cell r="L36">
            <v>71.123599999999996</v>
          </cell>
          <cell r="M36">
            <v>0</v>
          </cell>
          <cell r="N36">
            <v>0</v>
          </cell>
          <cell r="O36">
            <v>0</v>
          </cell>
          <cell r="P36">
            <v>12.192</v>
          </cell>
          <cell r="Q36">
            <v>0</v>
          </cell>
          <cell r="R36">
            <v>12.192</v>
          </cell>
          <cell r="S36">
            <v>148.64486400000001</v>
          </cell>
          <cell r="T36">
            <v>0</v>
          </cell>
          <cell r="U36">
            <v>0</v>
          </cell>
          <cell r="V36">
            <v>10</v>
          </cell>
          <cell r="W36">
            <v>5</v>
          </cell>
          <cell r="X36">
            <v>0</v>
          </cell>
          <cell r="Y36">
            <v>0</v>
          </cell>
          <cell r="Z36">
            <v>0</v>
          </cell>
          <cell r="AA36" t="str">
            <v>S</v>
          </cell>
          <cell r="AB36" t="str">
            <v>S</v>
          </cell>
          <cell r="AC36">
            <v>8.6536407634378448E-2</v>
          </cell>
          <cell r="AD36">
            <v>5.7391474996928505E-4</v>
          </cell>
          <cell r="AE36">
            <v>9.9271049558068321E-5</v>
          </cell>
          <cell r="AF36">
            <v>9.9271049558068321E-5</v>
          </cell>
          <cell r="AG36">
            <v>8.2725874631723578E-5</v>
          </cell>
          <cell r="AH36">
            <v>5.6215273017980058E-7</v>
          </cell>
          <cell r="AI36">
            <v>3.2547011630872825E-5</v>
          </cell>
          <cell r="AJ36">
            <v>4.1020122973947828E-3</v>
          </cell>
          <cell r="AK36">
            <v>3.2529490367567291E-5</v>
          </cell>
          <cell r="AL36">
            <v>4.0956170362882625E-3</v>
          </cell>
          <cell r="AM36">
            <v>5.9485115733363202E-2</v>
          </cell>
          <cell r="AN36">
            <v>5.9485115733363202E-2</v>
          </cell>
          <cell r="AO36">
            <v>1.2408313891174965E-4</v>
          </cell>
          <cell r="AP36">
            <v>7.1959881256461129E-7</v>
          </cell>
          <cell r="AQ36">
            <v>7.6028918645355272E-5</v>
          </cell>
          <cell r="AR36">
            <v>5.2922417227628686E-7</v>
          </cell>
          <cell r="AS36">
            <v>1.8921765057150421E-5</v>
          </cell>
          <cell r="AT36">
            <v>1.097457820713389E-7</v>
          </cell>
          <cell r="AU36">
            <v>6.4630531281278556E-5</v>
          </cell>
          <cell r="AV36">
            <v>3.7488784679080204E-7</v>
          </cell>
          <cell r="AW36">
            <v>9.7134465099389437E-6</v>
          </cell>
          <cell r="AX36">
            <v>5.6338363845583222E-8</v>
          </cell>
          <cell r="AY36">
            <v>5</v>
          </cell>
          <cell r="AZ36">
            <v>0</v>
          </cell>
          <cell r="BA36">
            <v>0</v>
          </cell>
          <cell r="BB36">
            <v>0</v>
          </cell>
          <cell r="BC36">
            <v>12.192</v>
          </cell>
          <cell r="BD36">
            <v>12.192</v>
          </cell>
          <cell r="BE36">
            <v>0</v>
          </cell>
          <cell r="BF36" t="str">
            <v>HROFDAY</v>
          </cell>
          <cell r="BG36" t="str">
            <v>0  0  0  0  0  0  1  1  1  1  1  1  1  1  1  1  1  1  0  0  0  0  0  0  0</v>
          </cell>
        </row>
        <row r="37">
          <cell r="C37" t="str">
            <v>HPH-T2</v>
          </cell>
          <cell r="D37" t="e">
            <v>#N/A</v>
          </cell>
          <cell r="E37" t="str">
            <v>HPH</v>
          </cell>
          <cell r="F37" t="str">
            <v>2-40</v>
          </cell>
          <cell r="G37" t="str">
            <v>Production Heater</v>
          </cell>
          <cell r="H37" t="str">
            <v>Volume</v>
          </cell>
          <cell r="I37" t="str">
            <v>Heater</v>
          </cell>
          <cell r="J37" t="str">
            <v>T2</v>
          </cell>
          <cell r="K37">
            <v>0</v>
          </cell>
          <cell r="L37">
            <v>71.123599999999996</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t="str">
            <v>S</v>
          </cell>
          <cell r="AB37" t="str">
            <v>S</v>
          </cell>
          <cell r="AC37">
            <v>4.9410933551198256E-3</v>
          </cell>
          <cell r="AD37">
            <v>4.9410933551198256E-3</v>
          </cell>
          <cell r="AE37">
            <v>2.9771353341975505E-4</v>
          </cell>
          <cell r="AF37">
            <v>2.9771353341975505E-4</v>
          </cell>
          <cell r="AG37">
            <v>2.9771353341975505E-4</v>
          </cell>
          <cell r="AH37">
            <v>2.9771353341975505E-4</v>
          </cell>
          <cell r="AI37">
            <v>3.7552309498910681E-4</v>
          </cell>
          <cell r="AJ37">
            <v>3.7552309498910681E-4</v>
          </cell>
          <cell r="AK37">
            <v>3.7552309498910681E-4</v>
          </cell>
          <cell r="AL37">
            <v>3.7552309498910681E-4</v>
          </cell>
          <cell r="AM37">
            <v>4.1505184183006543E-3</v>
          </cell>
          <cell r="AN37">
            <v>0</v>
          </cell>
          <cell r="AO37">
            <v>7.7393475751263511E-8</v>
          </cell>
          <cell r="AP37">
            <v>7.7393475751263511E-8</v>
          </cell>
          <cell r="AQ37">
            <v>7.4620796256974713E-8</v>
          </cell>
          <cell r="AR37">
            <v>7.4620796256974713E-8</v>
          </cell>
          <cell r="AS37">
            <v>1.4561120887824058E-8</v>
          </cell>
          <cell r="AT37">
            <v>1.4561120887824058E-8</v>
          </cell>
          <cell r="AU37">
            <v>1.164306058966292E-7</v>
          </cell>
          <cell r="AV37">
            <v>1.164306058966292E-7</v>
          </cell>
          <cell r="AW37">
            <v>3.5521344347211526E-7</v>
          </cell>
          <cell r="AX37">
            <v>3.5521344347211526E-7</v>
          </cell>
          <cell r="AY37">
            <v>0</v>
          </cell>
          <cell r="AZ37">
            <v>0</v>
          </cell>
          <cell r="BA37">
            <v>0</v>
          </cell>
          <cell r="BB37">
            <v>0</v>
          </cell>
          <cell r="BC37">
            <v>0</v>
          </cell>
          <cell r="BD37">
            <v>0</v>
          </cell>
          <cell r="BE37">
            <v>0</v>
          </cell>
          <cell r="BF37" t="str">
            <v>MONTH</v>
          </cell>
          <cell r="BG37" t="str">
            <v>0 0 0 0 1 1 1 1 1 1 1 0</v>
          </cell>
        </row>
        <row r="38">
          <cell r="C38" t="str">
            <v>HOWCF-T2</v>
          </cell>
          <cell r="D38" t="e">
            <v>#N/A</v>
          </cell>
          <cell r="E38" t="str">
            <v>HOWCF</v>
          </cell>
          <cell r="F38" t="str">
            <v>2-46</v>
          </cell>
          <cell r="G38" t="str">
            <v>2+ yr Well Cond. Flash - Cntrld</v>
          </cell>
          <cell r="H38" t="str">
            <v>Volume</v>
          </cell>
          <cell r="I38" t="str">
            <v>Well Production - Single Well</v>
          </cell>
          <cell r="J38" t="str">
            <v>T2</v>
          </cell>
          <cell r="K38">
            <v>0</v>
          </cell>
          <cell r="L38">
            <v>71.123599999999996</v>
          </cell>
          <cell r="M38">
            <v>0</v>
          </cell>
          <cell r="N38">
            <v>0</v>
          </cell>
          <cell r="O38">
            <v>0</v>
          </cell>
          <cell r="P38">
            <v>10</v>
          </cell>
          <cell r="Q38">
            <v>0</v>
          </cell>
          <cell r="R38">
            <v>10</v>
          </cell>
          <cell r="S38">
            <v>100</v>
          </cell>
          <cell r="T38">
            <v>0</v>
          </cell>
          <cell r="U38">
            <v>0</v>
          </cell>
          <cell r="V38">
            <v>10</v>
          </cell>
          <cell r="W38">
            <v>5</v>
          </cell>
          <cell r="X38">
            <v>0</v>
          </cell>
          <cell r="Y38">
            <v>0</v>
          </cell>
          <cell r="Z38">
            <v>0</v>
          </cell>
          <cell r="AA38" t="str">
            <v>S</v>
          </cell>
          <cell r="AB38" t="str">
            <v>S</v>
          </cell>
          <cell r="AC38" t="str">
            <v/>
          </cell>
          <cell r="AD38" t="str">
            <v/>
          </cell>
          <cell r="AE38" t="str">
            <v/>
          </cell>
          <cell r="AF38" t="str">
            <v/>
          </cell>
          <cell r="AG38" t="str">
            <v/>
          </cell>
          <cell r="AH38" t="str">
            <v/>
          </cell>
          <cell r="AI38" t="str">
            <v/>
          </cell>
          <cell r="AJ38" t="str">
            <v/>
          </cell>
          <cell r="AK38" t="str">
            <v/>
          </cell>
          <cell r="AL38" t="str">
            <v/>
          </cell>
          <cell r="AM38" t="str">
            <v/>
          </cell>
          <cell r="AN38" t="str">
            <v/>
          </cell>
          <cell r="AO38" t="str">
            <v/>
          </cell>
          <cell r="AP38" t="str">
            <v/>
          </cell>
          <cell r="AQ38" t="str">
            <v/>
          </cell>
          <cell r="AR38" t="str">
            <v/>
          </cell>
          <cell r="AS38" t="str">
            <v/>
          </cell>
          <cell r="AT38" t="str">
            <v/>
          </cell>
          <cell r="AU38" t="str">
            <v/>
          </cell>
          <cell r="AV38" t="str">
            <v/>
          </cell>
          <cell r="AW38" t="str">
            <v/>
          </cell>
          <cell r="AX38" t="str">
            <v/>
          </cell>
          <cell r="AY38">
            <v>5</v>
          </cell>
          <cell r="AZ38">
            <v>0</v>
          </cell>
          <cell r="BA38">
            <v>0</v>
          </cell>
          <cell r="BB38">
            <v>0</v>
          </cell>
          <cell r="BC38">
            <v>10</v>
          </cell>
          <cell r="BD38">
            <v>10</v>
          </cell>
          <cell r="BE38">
            <v>0</v>
          </cell>
          <cell r="BF38">
            <v>0</v>
          </cell>
          <cell r="BG38">
            <v>0</v>
          </cell>
        </row>
        <row r="39">
          <cell r="C39" t="str">
            <v>HPMLC-T2</v>
          </cell>
          <cell r="D39" t="e">
            <v>#N/A</v>
          </cell>
          <cell r="E39" t="str">
            <v>HPMLC</v>
          </cell>
          <cell r="F39" t="str">
            <v>2-54</v>
          </cell>
          <cell r="G39" t="str">
            <v>"Pneumatic Pumps" &amp; "Liquid Level Controllers"</v>
          </cell>
          <cell r="H39" t="str">
            <v>Volume</v>
          </cell>
          <cell r="I39" t="str">
            <v>Well Production - Single Well</v>
          </cell>
          <cell r="J39" t="str">
            <v>T2</v>
          </cell>
          <cell r="K39">
            <v>0</v>
          </cell>
          <cell r="L39">
            <v>71.123599999999996</v>
          </cell>
          <cell r="M39">
            <v>0</v>
          </cell>
          <cell r="N39">
            <v>0</v>
          </cell>
          <cell r="O39">
            <v>0</v>
          </cell>
          <cell r="P39">
            <v>10</v>
          </cell>
          <cell r="Q39">
            <v>0</v>
          </cell>
          <cell r="R39">
            <v>10</v>
          </cell>
          <cell r="S39">
            <v>100</v>
          </cell>
          <cell r="T39">
            <v>0</v>
          </cell>
          <cell r="U39">
            <v>0</v>
          </cell>
          <cell r="V39">
            <v>10</v>
          </cell>
          <cell r="W39">
            <v>5</v>
          </cell>
          <cell r="X39">
            <v>0</v>
          </cell>
          <cell r="Y39">
            <v>0</v>
          </cell>
          <cell r="Z39">
            <v>0</v>
          </cell>
          <cell r="AA39" t="str">
            <v>S</v>
          </cell>
          <cell r="AB39" t="str">
            <v>S</v>
          </cell>
          <cell r="AC39">
            <v>2.6459554916666669E-10</v>
          </cell>
          <cell r="AD39">
            <v>1.2081988546423137E-10</v>
          </cell>
          <cell r="AE39">
            <v>1.0573720127858805E-8</v>
          </cell>
          <cell r="AF39">
            <v>1.0573720127858805E-8</v>
          </cell>
          <cell r="AG39">
            <v>1.0573720127858805E-8</v>
          </cell>
          <cell r="AH39">
            <v>4.8281827067848429E-9</v>
          </cell>
          <cell r="AI39">
            <v>0</v>
          </cell>
          <cell r="AJ39">
            <v>0</v>
          </cell>
          <cell r="AK39">
            <v>0</v>
          </cell>
          <cell r="AL39">
            <v>0</v>
          </cell>
          <cell r="AM39">
            <v>6.6148887291666672E-11</v>
          </cell>
          <cell r="AN39">
            <v>6.6148887291666672E-11</v>
          </cell>
          <cell r="AO39">
            <v>3.2093284821875957E-9</v>
          </cell>
          <cell r="AP39">
            <v>2.9186815344095713E-9</v>
          </cell>
          <cell r="AQ39">
            <v>3.1010367176809389E-9</v>
          </cell>
          <cell r="AR39">
            <v>2.8201970149381441E-9</v>
          </cell>
          <cell r="AS39">
            <v>6.2835560255072395E-10</v>
          </cell>
          <cell r="AT39">
            <v>5.7144972986918952E-10</v>
          </cell>
          <cell r="AU39">
            <v>4.3584513008233665E-9</v>
          </cell>
          <cell r="AV39">
            <v>3.9637361525752831E-9</v>
          </cell>
          <cell r="AW39">
            <v>1.472909128159611E-8</v>
          </cell>
          <cell r="AX39">
            <v>1.3395178144221728E-8</v>
          </cell>
          <cell r="AY39">
            <v>5</v>
          </cell>
          <cell r="AZ39">
            <v>0</v>
          </cell>
          <cell r="BA39">
            <v>0</v>
          </cell>
          <cell r="BB39">
            <v>0</v>
          </cell>
          <cell r="BC39">
            <v>10</v>
          </cell>
          <cell r="BD39">
            <v>10</v>
          </cell>
          <cell r="BE39">
            <v>0</v>
          </cell>
          <cell r="BF39">
            <v>0</v>
          </cell>
          <cell r="BG39">
            <v>0</v>
          </cell>
        </row>
        <row r="40">
          <cell r="C40" t="str">
            <v>HBF-T2</v>
          </cell>
          <cell r="D40" t="e">
            <v>#N/A</v>
          </cell>
          <cell r="E40" t="str">
            <v>HBF</v>
          </cell>
          <cell r="F40" t="str">
            <v>2-56</v>
          </cell>
          <cell r="G40" t="str">
            <v>Blowdown Flaring</v>
          </cell>
          <cell r="H40" t="str">
            <v>Volume</v>
          </cell>
          <cell r="I40" t="str">
            <v>Well Production - Single Well</v>
          </cell>
          <cell r="J40" t="str">
            <v>T2</v>
          </cell>
          <cell r="K40">
            <v>0</v>
          </cell>
          <cell r="L40">
            <v>71.123599999999996</v>
          </cell>
          <cell r="M40">
            <v>0</v>
          </cell>
          <cell r="N40">
            <v>0</v>
          </cell>
          <cell r="O40">
            <v>0</v>
          </cell>
          <cell r="P40">
            <v>10</v>
          </cell>
          <cell r="Q40">
            <v>0</v>
          </cell>
          <cell r="R40">
            <v>10</v>
          </cell>
          <cell r="S40">
            <v>100</v>
          </cell>
          <cell r="T40">
            <v>0</v>
          </cell>
          <cell r="U40">
            <v>0</v>
          </cell>
          <cell r="V40">
            <v>10</v>
          </cell>
          <cell r="W40">
            <v>5</v>
          </cell>
          <cell r="X40">
            <v>0</v>
          </cell>
          <cell r="Y40">
            <v>0</v>
          </cell>
          <cell r="Z40">
            <v>0</v>
          </cell>
          <cell r="AA40" t="str">
            <v>S</v>
          </cell>
          <cell r="AB40" t="str">
            <v>S</v>
          </cell>
          <cell r="AC40">
            <v>1.2965777870188084E-2</v>
          </cell>
          <cell r="AD40">
            <v>4.4403348870507141E-6</v>
          </cell>
          <cell r="AE40">
            <v>5.3614233142628704E-6</v>
          </cell>
          <cell r="AF40">
            <v>1.7871411047542901E-6</v>
          </cell>
          <cell r="AG40">
            <v>2.2339263809428626E-7</v>
          </cell>
          <cell r="AH40">
            <v>1.8361038747475584E-9</v>
          </cell>
          <cell r="AI40">
            <v>6.8879891257610591E-7</v>
          </cell>
          <cell r="AJ40">
            <v>8.3803867696759547E-5</v>
          </cell>
          <cell r="AK40">
            <v>6.8879891257610591E-7</v>
          </cell>
          <cell r="AL40">
            <v>8.3803867696759547E-5</v>
          </cell>
          <cell r="AM40">
            <v>3.2414444675470211E-3</v>
          </cell>
          <cell r="AN40">
            <v>4.0518055844337763E-4</v>
          </cell>
          <cell r="AO40">
            <v>2.848285966000779E-5</v>
          </cell>
          <cell r="AP40">
            <v>9.7544039931533522E-9</v>
          </cell>
          <cell r="AQ40">
            <v>2.752176790891497E-5</v>
          </cell>
          <cell r="AR40">
            <v>9.4252629825051262E-9</v>
          </cell>
          <cell r="AS40">
            <v>5.5766695566894412E-6</v>
          </cell>
          <cell r="AT40">
            <v>1.9098183413320002E-9</v>
          </cell>
          <cell r="AU40">
            <v>4.1825021675170793E-5</v>
          </cell>
          <cell r="AV40">
            <v>1.432363755999E-8</v>
          </cell>
          <cell r="AW40">
            <v>1.307210035437636E-4</v>
          </cell>
          <cell r="AX40">
            <v>4.4767466967042332E-8</v>
          </cell>
          <cell r="AY40">
            <v>5</v>
          </cell>
          <cell r="AZ40">
            <v>0</v>
          </cell>
          <cell r="BA40">
            <v>0</v>
          </cell>
          <cell r="BB40">
            <v>0</v>
          </cell>
          <cell r="BC40">
            <v>10</v>
          </cell>
          <cell r="BD40">
            <v>10</v>
          </cell>
          <cell r="BE40">
            <v>0</v>
          </cell>
          <cell r="BF40">
            <v>0</v>
          </cell>
          <cell r="BG40">
            <v>0</v>
          </cell>
        </row>
        <row r="41">
          <cell r="C41" t="str">
            <v>Vertical Gas Pad 1</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row>
        <row r="42">
          <cell r="C42" t="str">
            <v>VDRDT-T1</v>
          </cell>
          <cell r="D42" t="e">
            <v>#N/A</v>
          </cell>
          <cell r="E42" t="str">
            <v>VDRDT</v>
          </cell>
          <cell r="F42" t="e">
            <v>#N/A</v>
          </cell>
          <cell r="G42" t="e">
            <v>#N/A</v>
          </cell>
          <cell r="H42" t="e">
            <v>#N/A</v>
          </cell>
          <cell r="I42" t="str">
            <v>TWIN: Pad Construction Surface Disturbance</v>
          </cell>
          <cell r="J42" t="str">
            <v>T1</v>
          </cell>
          <cell r="K42">
            <v>0</v>
          </cell>
          <cell r="L42">
            <v>-71.123599999999996</v>
          </cell>
          <cell r="M42">
            <v>0</v>
          </cell>
          <cell r="N42">
            <v>0</v>
          </cell>
          <cell r="O42">
            <v>0</v>
          </cell>
          <cell r="P42">
            <v>45</v>
          </cell>
          <cell r="Q42">
            <v>0</v>
          </cell>
          <cell r="R42">
            <v>45</v>
          </cell>
          <cell r="S42">
            <v>2025</v>
          </cell>
          <cell r="T42">
            <v>0</v>
          </cell>
          <cell r="U42">
            <v>0</v>
          </cell>
          <cell r="V42">
            <v>6.0960000000000001</v>
          </cell>
          <cell r="W42">
            <v>3.048</v>
          </cell>
          <cell r="X42">
            <v>0</v>
          </cell>
          <cell r="Y42">
            <v>0</v>
          </cell>
          <cell r="Z42">
            <v>0</v>
          </cell>
          <cell r="AA42" t="str">
            <v>S</v>
          </cell>
          <cell r="AB42" t="str">
            <v>S</v>
          </cell>
          <cell r="AC42" t="e">
            <v>#N/A</v>
          </cell>
          <cell r="AD42" t="e">
            <v>#N/A</v>
          </cell>
          <cell r="AE42" t="e">
            <v>#N/A</v>
          </cell>
          <cell r="AF42" t="e">
            <v>#N/A</v>
          </cell>
          <cell r="AG42" t="e">
            <v>#N/A</v>
          </cell>
          <cell r="AH42" t="e">
            <v>#N/A</v>
          </cell>
          <cell r="AI42" t="e">
            <v>#N/A</v>
          </cell>
          <cell r="AJ42" t="e">
            <v>#N/A</v>
          </cell>
          <cell r="AK42" t="e">
            <v>#N/A</v>
          </cell>
          <cell r="AL42" t="e">
            <v>#N/A</v>
          </cell>
          <cell r="AM42" t="e">
            <v>#N/A</v>
          </cell>
          <cell r="AN42" t="e">
            <v>#N/A</v>
          </cell>
          <cell r="AO42" t="e">
            <v>#N/A</v>
          </cell>
          <cell r="AP42" t="e">
            <v>#N/A</v>
          </cell>
          <cell r="AQ42" t="e">
            <v>#N/A</v>
          </cell>
          <cell r="AR42" t="e">
            <v>#N/A</v>
          </cell>
          <cell r="AS42" t="e">
            <v>#N/A</v>
          </cell>
          <cell r="AT42" t="e">
            <v>#N/A</v>
          </cell>
          <cell r="AU42" t="e">
            <v>#N/A</v>
          </cell>
          <cell r="AV42" t="e">
            <v>#N/A</v>
          </cell>
          <cell r="AW42" t="e">
            <v>#N/A</v>
          </cell>
          <cell r="AX42" t="e">
            <v>#N/A</v>
          </cell>
          <cell r="AY42">
            <v>3.048</v>
          </cell>
          <cell r="AZ42">
            <v>0</v>
          </cell>
          <cell r="BA42">
            <v>0</v>
          </cell>
          <cell r="BB42">
            <v>0</v>
          </cell>
          <cell r="BC42">
            <v>45</v>
          </cell>
          <cell r="BD42">
            <v>45</v>
          </cell>
          <cell r="BE42">
            <v>0</v>
          </cell>
          <cell r="BF42" t="e">
            <v>#N/A</v>
          </cell>
          <cell r="BG42" t="e">
            <v>#N/A</v>
          </cell>
        </row>
        <row r="43">
          <cell r="C43" t="str">
            <v>VRGDT-T1</v>
          </cell>
          <cell r="D43" t="e">
            <v>#N/A</v>
          </cell>
          <cell r="E43" t="str">
            <v>VRGDT</v>
          </cell>
          <cell r="F43" t="e">
            <v>#N/A</v>
          </cell>
          <cell r="G43" t="e">
            <v>#N/A</v>
          </cell>
          <cell r="H43" t="e">
            <v>#N/A</v>
          </cell>
          <cell r="I43" t="str">
            <v>TWIN: Pad Construction Surface Disturbance</v>
          </cell>
          <cell r="J43" t="str">
            <v>T1</v>
          </cell>
          <cell r="K43">
            <v>0</v>
          </cell>
          <cell r="L43">
            <v>-71.123599999999996</v>
          </cell>
          <cell r="M43">
            <v>0</v>
          </cell>
          <cell r="N43">
            <v>0</v>
          </cell>
          <cell r="O43">
            <v>0</v>
          </cell>
          <cell r="P43">
            <v>45</v>
          </cell>
          <cell r="Q43">
            <v>0</v>
          </cell>
          <cell r="R43">
            <v>45</v>
          </cell>
          <cell r="S43">
            <v>2025</v>
          </cell>
          <cell r="T43">
            <v>0</v>
          </cell>
          <cell r="U43">
            <v>0</v>
          </cell>
          <cell r="V43">
            <v>6.0960000000000001</v>
          </cell>
          <cell r="W43">
            <v>3.048</v>
          </cell>
          <cell r="X43">
            <v>0</v>
          </cell>
          <cell r="Y43">
            <v>0</v>
          </cell>
          <cell r="Z43">
            <v>0</v>
          </cell>
          <cell r="AA43" t="str">
            <v>S</v>
          </cell>
          <cell r="AB43" t="str">
            <v>S</v>
          </cell>
          <cell r="AC43" t="e">
            <v>#N/A</v>
          </cell>
          <cell r="AD43" t="e">
            <v>#N/A</v>
          </cell>
          <cell r="AE43" t="e">
            <v>#N/A</v>
          </cell>
          <cell r="AF43" t="e">
            <v>#N/A</v>
          </cell>
          <cell r="AG43" t="e">
            <v>#N/A</v>
          </cell>
          <cell r="AH43" t="e">
            <v>#N/A</v>
          </cell>
          <cell r="AI43" t="e">
            <v>#N/A</v>
          </cell>
          <cell r="AJ43" t="e">
            <v>#N/A</v>
          </cell>
          <cell r="AK43" t="e">
            <v>#N/A</v>
          </cell>
          <cell r="AL43" t="e">
            <v>#N/A</v>
          </cell>
          <cell r="AM43" t="e">
            <v>#N/A</v>
          </cell>
          <cell r="AN43" t="e">
            <v>#N/A</v>
          </cell>
          <cell r="AO43" t="e">
            <v>#N/A</v>
          </cell>
          <cell r="AP43" t="e">
            <v>#N/A</v>
          </cell>
          <cell r="AQ43" t="e">
            <v>#N/A</v>
          </cell>
          <cell r="AR43" t="e">
            <v>#N/A</v>
          </cell>
          <cell r="AS43" t="e">
            <v>#N/A</v>
          </cell>
          <cell r="AT43" t="e">
            <v>#N/A</v>
          </cell>
          <cell r="AU43" t="e">
            <v>#N/A</v>
          </cell>
          <cell r="AV43" t="e">
            <v>#N/A</v>
          </cell>
          <cell r="AW43" t="e">
            <v>#N/A</v>
          </cell>
          <cell r="AX43" t="e">
            <v>#N/A</v>
          </cell>
          <cell r="AY43">
            <v>3.048</v>
          </cell>
          <cell r="AZ43">
            <v>0</v>
          </cell>
          <cell r="BA43">
            <v>0</v>
          </cell>
          <cell r="BB43">
            <v>0</v>
          </cell>
          <cell r="BC43">
            <v>45</v>
          </cell>
          <cell r="BD43">
            <v>45</v>
          </cell>
          <cell r="BE43">
            <v>0</v>
          </cell>
          <cell r="BF43" t="e">
            <v>#N/A</v>
          </cell>
          <cell r="BG43" t="e">
            <v>#N/A</v>
          </cell>
        </row>
        <row r="44">
          <cell r="C44" t="str">
            <v>VDME-T1</v>
          </cell>
          <cell r="D44" t="e">
            <v>#N/A</v>
          </cell>
          <cell r="E44" t="str">
            <v>VDME</v>
          </cell>
          <cell r="F44" t="e">
            <v>#N/A</v>
          </cell>
          <cell r="G44" t="e">
            <v>#N/A</v>
          </cell>
          <cell r="H44" t="e">
            <v>#N/A</v>
          </cell>
          <cell r="I44" t="str">
            <v>ROAD: Construction Equipment Tailpipe Emissions - ROAD Construction</v>
          </cell>
          <cell r="J44" t="str">
            <v>T1</v>
          </cell>
          <cell r="K44">
            <v>0</v>
          </cell>
          <cell r="L44">
            <v>-71.123599999999996</v>
          </cell>
          <cell r="M44">
            <v>0</v>
          </cell>
          <cell r="N44">
            <v>0</v>
          </cell>
          <cell r="O44">
            <v>0</v>
          </cell>
          <cell r="P44">
            <v>12.192</v>
          </cell>
          <cell r="Q44">
            <v>0</v>
          </cell>
          <cell r="R44">
            <v>12.192</v>
          </cell>
          <cell r="S44">
            <v>148.64486400000001</v>
          </cell>
          <cell r="T44">
            <v>0</v>
          </cell>
          <cell r="U44">
            <v>0</v>
          </cell>
          <cell r="V44">
            <v>10</v>
          </cell>
          <cell r="W44">
            <v>5</v>
          </cell>
          <cell r="X44">
            <v>0</v>
          </cell>
          <cell r="Y44">
            <v>0</v>
          </cell>
          <cell r="Z44">
            <v>0</v>
          </cell>
          <cell r="AA44" t="str">
            <v>S</v>
          </cell>
          <cell r="AB44" t="str">
            <v>S</v>
          </cell>
          <cell r="AC44" t="e">
            <v>#N/A</v>
          </cell>
          <cell r="AD44" t="e">
            <v>#N/A</v>
          </cell>
          <cell r="AE44" t="e">
            <v>#N/A</v>
          </cell>
          <cell r="AF44" t="e">
            <v>#N/A</v>
          </cell>
          <cell r="AG44" t="e">
            <v>#N/A</v>
          </cell>
          <cell r="AH44" t="e">
            <v>#N/A</v>
          </cell>
          <cell r="AI44" t="e">
            <v>#N/A</v>
          </cell>
          <cell r="AJ44" t="e">
            <v>#N/A</v>
          </cell>
          <cell r="AK44" t="e">
            <v>#N/A</v>
          </cell>
          <cell r="AL44" t="e">
            <v>#N/A</v>
          </cell>
          <cell r="AM44" t="e">
            <v>#N/A</v>
          </cell>
          <cell r="AN44" t="e">
            <v>#N/A</v>
          </cell>
          <cell r="AO44" t="e">
            <v>#N/A</v>
          </cell>
          <cell r="AP44" t="e">
            <v>#N/A</v>
          </cell>
          <cell r="AQ44" t="e">
            <v>#N/A</v>
          </cell>
          <cell r="AR44" t="e">
            <v>#N/A</v>
          </cell>
          <cell r="AS44" t="e">
            <v>#N/A</v>
          </cell>
          <cell r="AT44" t="e">
            <v>#N/A</v>
          </cell>
          <cell r="AU44" t="e">
            <v>#N/A</v>
          </cell>
          <cell r="AV44" t="e">
            <v>#N/A</v>
          </cell>
          <cell r="AW44" t="e">
            <v>#N/A</v>
          </cell>
          <cell r="AX44" t="e">
            <v>#N/A</v>
          </cell>
          <cell r="AY44">
            <v>5</v>
          </cell>
          <cell r="AZ44">
            <v>0</v>
          </cell>
          <cell r="BA44">
            <v>0</v>
          </cell>
          <cell r="BB44">
            <v>0</v>
          </cell>
          <cell r="BC44">
            <v>12.192</v>
          </cell>
          <cell r="BD44">
            <v>12.192</v>
          </cell>
          <cell r="BE44">
            <v>0</v>
          </cell>
          <cell r="BF44" t="e">
            <v>#N/A</v>
          </cell>
          <cell r="BG44" t="e">
            <v>#N/A</v>
          </cell>
        </row>
        <row r="45">
          <cell r="C45" t="str">
            <v>VRME-T1</v>
          </cell>
          <cell r="D45" t="e">
            <v>#N/A</v>
          </cell>
          <cell r="E45" t="str">
            <v>VRME</v>
          </cell>
          <cell r="F45" t="str">
            <v>2-26</v>
          </cell>
          <cell r="G45" t="str">
            <v>Rig_Up_down Mobile Exhaust</v>
          </cell>
          <cell r="H45" t="str">
            <v>Volume</v>
          </cell>
          <cell r="I45" t="str">
            <v>ROAD: Construction Equipment Tailpipe Emissions - ROAD Construction</v>
          </cell>
          <cell r="J45" t="str">
            <v>T1</v>
          </cell>
          <cell r="K45">
            <v>0</v>
          </cell>
          <cell r="L45">
            <v>-71.123599999999996</v>
          </cell>
          <cell r="M45">
            <v>0</v>
          </cell>
          <cell r="N45">
            <v>0</v>
          </cell>
          <cell r="O45">
            <v>0</v>
          </cell>
          <cell r="P45">
            <v>12.192</v>
          </cell>
          <cell r="Q45">
            <v>0</v>
          </cell>
          <cell r="R45">
            <v>12.192</v>
          </cell>
          <cell r="S45">
            <v>148.64486400000001</v>
          </cell>
          <cell r="T45">
            <v>0</v>
          </cell>
          <cell r="U45">
            <v>0</v>
          </cell>
          <cell r="V45">
            <v>10</v>
          </cell>
          <cell r="W45">
            <v>5</v>
          </cell>
          <cell r="X45">
            <v>0</v>
          </cell>
          <cell r="Y45">
            <v>0</v>
          </cell>
          <cell r="Z45">
            <v>0</v>
          </cell>
          <cell r="AA45" t="str">
            <v>S</v>
          </cell>
          <cell r="AB45" t="str">
            <v>S</v>
          </cell>
          <cell r="AC45">
            <v>1.10172951216488E-2</v>
          </cell>
          <cell r="AD45">
            <v>3.7730462745372605E-5</v>
          </cell>
          <cell r="AE45">
            <v>5.9837517637246113E-5</v>
          </cell>
          <cell r="AF45">
            <v>5.969356919787932E-5</v>
          </cell>
          <cell r="AG45">
            <v>2.4226413009165918E-5</v>
          </cell>
          <cell r="AH45">
            <v>2.0492300560700724E-7</v>
          </cell>
          <cell r="AI45">
            <v>2.7501267681643039E-6</v>
          </cell>
          <cell r="AJ45">
            <v>3.2750065483459821E-4</v>
          </cell>
          <cell r="AK45">
            <v>1.3428910824429755E-6</v>
          </cell>
          <cell r="AL45">
            <v>1.5866121602849253E-4</v>
          </cell>
          <cell r="AM45">
            <v>8.8320446830654764E-3</v>
          </cell>
          <cell r="AN45">
            <v>8.8040363872394743E-3</v>
          </cell>
          <cell r="AO45">
            <v>8.0200356863415257E-6</v>
          </cell>
          <cell r="AP45">
            <v>2.7465875638155905E-8</v>
          </cell>
          <cell r="AQ45">
            <v>1.3827641414383854E-5</v>
          </cell>
          <cell r="AR45">
            <v>4.7354936350629642E-8</v>
          </cell>
          <cell r="AS45">
            <v>3.5744030080431812E-6</v>
          </cell>
          <cell r="AT45">
            <v>1.2241106191928705E-8</v>
          </cell>
          <cell r="AU45">
            <v>1.3641740274356107E-5</v>
          </cell>
          <cell r="AV45">
            <v>4.6718288610808582E-8</v>
          </cell>
          <cell r="AW45">
            <v>4.1636675003733568E-6</v>
          </cell>
          <cell r="AX45">
            <v>1.4259135275251227E-8</v>
          </cell>
          <cell r="AY45">
            <v>5</v>
          </cell>
          <cell r="AZ45">
            <v>0</v>
          </cell>
          <cell r="BA45">
            <v>0</v>
          </cell>
          <cell r="BB45">
            <v>0</v>
          </cell>
          <cell r="BC45">
            <v>12.192</v>
          </cell>
          <cell r="BD45">
            <v>12.192</v>
          </cell>
          <cell r="BE45">
            <v>0</v>
          </cell>
          <cell r="BF45">
            <v>0</v>
          </cell>
          <cell r="BG45">
            <v>0</v>
          </cell>
        </row>
        <row r="46">
          <cell r="C46" t="str">
            <v>VDC-T1</v>
          </cell>
          <cell r="D46" t="e">
            <v>#N/A</v>
          </cell>
          <cell r="E46" t="str">
            <v>VDC</v>
          </cell>
          <cell r="F46" t="str">
            <v>2-27</v>
          </cell>
          <cell r="G46" t="str">
            <v>Drilling consturction</v>
          </cell>
          <cell r="H46" t="str">
            <v>Volume</v>
          </cell>
          <cell r="I46" t="str">
            <v>TWIN: Pad Construction Surface Disturbance</v>
          </cell>
          <cell r="J46" t="str">
            <v>T1</v>
          </cell>
          <cell r="K46">
            <v>0</v>
          </cell>
          <cell r="L46">
            <v>-71.123599999999996</v>
          </cell>
          <cell r="M46">
            <v>0</v>
          </cell>
          <cell r="N46">
            <v>0</v>
          </cell>
          <cell r="O46">
            <v>0</v>
          </cell>
          <cell r="P46">
            <v>45</v>
          </cell>
          <cell r="Q46">
            <v>0</v>
          </cell>
          <cell r="R46">
            <v>45</v>
          </cell>
          <cell r="S46">
            <v>2025</v>
          </cell>
          <cell r="T46">
            <v>0</v>
          </cell>
          <cell r="U46">
            <v>0</v>
          </cell>
          <cell r="V46">
            <v>6.0960000000000001</v>
          </cell>
          <cell r="W46">
            <v>3.048</v>
          </cell>
          <cell r="X46">
            <v>0</v>
          </cell>
          <cell r="Y46">
            <v>0</v>
          </cell>
          <cell r="Z46">
            <v>0</v>
          </cell>
          <cell r="AA46" t="str">
            <v>S</v>
          </cell>
          <cell r="AB46" t="str">
            <v>S</v>
          </cell>
          <cell r="AC46">
            <v>2.9748061982675395E-2</v>
          </cell>
          <cell r="AD46">
            <v>6.8658670190610311E-4</v>
          </cell>
          <cell r="AE46">
            <v>1.5295901446906642E-4</v>
          </cell>
          <cell r="AF46">
            <v>1.5295901446906644E-4</v>
          </cell>
          <cell r="AG46">
            <v>1.274658453908887E-4</v>
          </cell>
          <cell r="AH46">
            <v>2.0256551746614037E-6</v>
          </cell>
          <cell r="AI46">
            <v>4.2668660586016693E-5</v>
          </cell>
          <cell r="AJ46">
            <v>1.4009495608403835E-3</v>
          </cell>
          <cell r="AK46">
            <v>4.1388602326337038E-5</v>
          </cell>
          <cell r="AL46">
            <v>1.3589212873433144E-3</v>
          </cell>
          <cell r="AM46">
            <v>1.6578304995271468E-2</v>
          </cell>
          <cell r="AN46">
            <v>1.6578304995271468E-2</v>
          </cell>
          <cell r="AO46">
            <v>1.6027008352836595E-4</v>
          </cell>
          <cell r="AP46">
            <v>2.7938460855210972E-6</v>
          </cell>
          <cell r="AQ46">
            <v>1.1792598407273813E-4</v>
          </cell>
          <cell r="AR46">
            <v>2.0554986162683762E-6</v>
          </cell>
          <cell r="AS46">
            <v>2.4399622975822711E-5</v>
          </cell>
          <cell r="AT46">
            <v>4.2520537620323422E-7</v>
          </cell>
          <cell r="AU46">
            <v>8.3410290888655139E-5</v>
          </cell>
          <cell r="AV46">
            <v>1.4538663811154831E-6</v>
          </cell>
          <cell r="AW46">
            <v>1.2533800987802776E-5</v>
          </cell>
          <cell r="AX46">
            <v>2.1848889325394765E-7</v>
          </cell>
          <cell r="AY46">
            <v>3.048</v>
          </cell>
          <cell r="AZ46">
            <v>0</v>
          </cell>
          <cell r="BA46">
            <v>0</v>
          </cell>
          <cell r="BB46">
            <v>0</v>
          </cell>
          <cell r="BC46">
            <v>45</v>
          </cell>
          <cell r="BD46">
            <v>45</v>
          </cell>
          <cell r="BE46">
            <v>0</v>
          </cell>
          <cell r="BF46" t="str">
            <v>HROFDAY</v>
          </cell>
          <cell r="BG46" t="str">
            <v>0  0  0  0  0  0  1  1  1  1  1  1  1  1  1  1  1  1  0  0  0  0  0  0  0</v>
          </cell>
        </row>
        <row r="47">
          <cell r="C47" t="str">
            <v>VRCE-T1</v>
          </cell>
          <cell r="D47" t="e">
            <v>#N/A</v>
          </cell>
          <cell r="E47" t="str">
            <v>VRCE</v>
          </cell>
          <cell r="F47" t="str">
            <v>2-29</v>
          </cell>
          <cell r="G47" t="str">
            <v>Rig Up_down Construction equipment</v>
          </cell>
          <cell r="H47" t="str">
            <v>Volume</v>
          </cell>
          <cell r="I47" t="str">
            <v>ROAD: Construction Equipment Tailpipe Emissions - ROAD Construction</v>
          </cell>
          <cell r="J47" t="str">
            <v>T1</v>
          </cell>
          <cell r="K47">
            <v>0</v>
          </cell>
          <cell r="L47">
            <v>-71.123599999999996</v>
          </cell>
          <cell r="M47">
            <v>0</v>
          </cell>
          <cell r="N47">
            <v>0</v>
          </cell>
          <cell r="O47">
            <v>0</v>
          </cell>
          <cell r="P47">
            <v>12.192</v>
          </cell>
          <cell r="Q47">
            <v>0</v>
          </cell>
          <cell r="R47">
            <v>12.192</v>
          </cell>
          <cell r="S47">
            <v>148.64486400000001</v>
          </cell>
          <cell r="T47">
            <v>0</v>
          </cell>
          <cell r="U47">
            <v>0</v>
          </cell>
          <cell r="V47">
            <v>10</v>
          </cell>
          <cell r="W47">
            <v>5</v>
          </cell>
          <cell r="X47">
            <v>0</v>
          </cell>
          <cell r="Y47">
            <v>0</v>
          </cell>
          <cell r="Z47">
            <v>0</v>
          </cell>
          <cell r="AA47" t="str">
            <v>S</v>
          </cell>
          <cell r="AB47" t="str">
            <v>S</v>
          </cell>
          <cell r="AC47">
            <v>8.6536407634378448E-2</v>
          </cell>
          <cell r="AD47">
            <v>5.7391474996928505E-4</v>
          </cell>
          <cell r="AE47">
            <v>9.9271049558068321E-5</v>
          </cell>
          <cell r="AF47">
            <v>9.9271049558068321E-5</v>
          </cell>
          <cell r="AG47">
            <v>8.2725874631723578E-5</v>
          </cell>
          <cell r="AH47">
            <v>5.6215273017980058E-7</v>
          </cell>
          <cell r="AI47">
            <v>3.2547011630872825E-5</v>
          </cell>
          <cell r="AJ47">
            <v>4.1020122973947828E-3</v>
          </cell>
          <cell r="AK47">
            <v>3.2529490367567291E-5</v>
          </cell>
          <cell r="AL47">
            <v>4.0956170362882625E-3</v>
          </cell>
          <cell r="AM47">
            <v>5.9485115733363202E-2</v>
          </cell>
          <cell r="AN47">
            <v>5.9485115733363202E-2</v>
          </cell>
          <cell r="AO47">
            <v>1.2408313891174965E-4</v>
          </cell>
          <cell r="AP47">
            <v>7.1959881256461129E-7</v>
          </cell>
          <cell r="AQ47">
            <v>7.6028918645355272E-5</v>
          </cell>
          <cell r="AR47">
            <v>5.2922417227628686E-7</v>
          </cell>
          <cell r="AS47">
            <v>1.8921765057150421E-5</v>
          </cell>
          <cell r="AT47">
            <v>1.097457820713389E-7</v>
          </cell>
          <cell r="AU47">
            <v>6.4630531281278556E-5</v>
          </cell>
          <cell r="AV47">
            <v>3.7488784679080204E-7</v>
          </cell>
          <cell r="AW47">
            <v>9.7134465099389437E-6</v>
          </cell>
          <cell r="AX47">
            <v>5.6338363845583222E-8</v>
          </cell>
          <cell r="AY47">
            <v>5</v>
          </cell>
          <cell r="AZ47">
            <v>0</v>
          </cell>
          <cell r="BA47">
            <v>0</v>
          </cell>
          <cell r="BB47">
            <v>0</v>
          </cell>
          <cell r="BC47">
            <v>12.192</v>
          </cell>
          <cell r="BD47">
            <v>12.192</v>
          </cell>
          <cell r="BE47">
            <v>0</v>
          </cell>
          <cell r="BF47" t="str">
            <v>HROFDAY</v>
          </cell>
          <cell r="BG47" t="str">
            <v>0  0  0  0  0  0  1  1  1  1  1  1  1  1  1  1  1  1  0  0  0  0  0  0  0</v>
          </cell>
        </row>
        <row r="48">
          <cell r="C48" t="str">
            <v>VPH-T1</v>
          </cell>
          <cell r="D48" t="e">
            <v>#N/A</v>
          </cell>
          <cell r="E48" t="str">
            <v>VPH</v>
          </cell>
          <cell r="F48" t="str">
            <v>2-40</v>
          </cell>
          <cell r="G48" t="str">
            <v>Production Heater</v>
          </cell>
          <cell r="H48" t="str">
            <v>Volume</v>
          </cell>
          <cell r="I48" t="str">
            <v>Heater</v>
          </cell>
          <cell r="J48" t="str">
            <v>T1</v>
          </cell>
          <cell r="K48">
            <v>0</v>
          </cell>
          <cell r="L48">
            <v>-71.123599999999996</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t="str">
            <v>S</v>
          </cell>
          <cell r="AB48" t="str">
            <v>S</v>
          </cell>
          <cell r="AC48">
            <v>4.9410933551198256E-3</v>
          </cell>
          <cell r="AD48">
            <v>4.9410933551198256E-3</v>
          </cell>
          <cell r="AE48">
            <v>2.9771353341975505E-4</v>
          </cell>
          <cell r="AF48">
            <v>2.9771353341975505E-4</v>
          </cell>
          <cell r="AG48">
            <v>2.9771353341975505E-4</v>
          </cell>
          <cell r="AH48">
            <v>2.9771353341975505E-4</v>
          </cell>
          <cell r="AI48">
            <v>3.7552309498910681E-4</v>
          </cell>
          <cell r="AJ48">
            <v>3.7552309498910681E-4</v>
          </cell>
          <cell r="AK48">
            <v>3.7552309498910681E-4</v>
          </cell>
          <cell r="AL48">
            <v>3.7552309498910681E-4</v>
          </cell>
          <cell r="AM48">
            <v>4.1505184183006543E-3</v>
          </cell>
          <cell r="AN48">
            <v>0</v>
          </cell>
          <cell r="AO48">
            <v>7.7393475751263511E-8</v>
          </cell>
          <cell r="AP48">
            <v>7.7393475751263511E-8</v>
          </cell>
          <cell r="AQ48">
            <v>7.4620796256974713E-8</v>
          </cell>
          <cell r="AR48">
            <v>7.4620796256974713E-8</v>
          </cell>
          <cell r="AS48">
            <v>1.4561120887824058E-8</v>
          </cell>
          <cell r="AT48">
            <v>1.4561120887824058E-8</v>
          </cell>
          <cell r="AU48">
            <v>1.164306058966292E-7</v>
          </cell>
          <cell r="AV48">
            <v>1.164306058966292E-7</v>
          </cell>
          <cell r="AW48">
            <v>3.5521344347211526E-7</v>
          </cell>
          <cell r="AX48">
            <v>3.5521344347211526E-7</v>
          </cell>
          <cell r="AY48">
            <v>0</v>
          </cell>
          <cell r="AZ48">
            <v>0</v>
          </cell>
          <cell r="BA48">
            <v>0</v>
          </cell>
          <cell r="BB48">
            <v>0</v>
          </cell>
          <cell r="BC48">
            <v>0</v>
          </cell>
          <cell r="BD48">
            <v>0</v>
          </cell>
          <cell r="BE48">
            <v>0</v>
          </cell>
          <cell r="BF48" t="str">
            <v>MONTH</v>
          </cell>
          <cell r="BG48" t="str">
            <v>0 0 0 0 1 1 1 1 1 1 1 0</v>
          </cell>
        </row>
        <row r="49">
          <cell r="C49" t="str">
            <v>VOWCF-T1</v>
          </cell>
          <cell r="D49" t="e">
            <v>#N/A</v>
          </cell>
          <cell r="E49" t="str">
            <v>VOWCF</v>
          </cell>
          <cell r="F49" t="str">
            <v>2-46</v>
          </cell>
          <cell r="G49" t="str">
            <v>2+ yr Well Cond. Flash - Cntrld</v>
          </cell>
          <cell r="H49" t="str">
            <v>Volume</v>
          </cell>
          <cell r="I49" t="str">
            <v>Well Production - Single Well</v>
          </cell>
          <cell r="J49" t="str">
            <v>T1</v>
          </cell>
          <cell r="K49">
            <v>0</v>
          </cell>
          <cell r="L49">
            <v>-71.123599999999996</v>
          </cell>
          <cell r="M49">
            <v>0</v>
          </cell>
          <cell r="N49">
            <v>0</v>
          </cell>
          <cell r="O49">
            <v>0</v>
          </cell>
          <cell r="P49">
            <v>10</v>
          </cell>
          <cell r="Q49">
            <v>0</v>
          </cell>
          <cell r="R49">
            <v>10</v>
          </cell>
          <cell r="S49">
            <v>100</v>
          </cell>
          <cell r="T49">
            <v>0</v>
          </cell>
          <cell r="U49">
            <v>0</v>
          </cell>
          <cell r="V49">
            <v>10</v>
          </cell>
          <cell r="W49">
            <v>5</v>
          </cell>
          <cell r="X49">
            <v>0</v>
          </cell>
          <cell r="Y49">
            <v>0</v>
          </cell>
          <cell r="Z49">
            <v>0</v>
          </cell>
          <cell r="AA49" t="str">
            <v>S</v>
          </cell>
          <cell r="AB49" t="str">
            <v>S</v>
          </cell>
          <cell r="AC49" t="str">
            <v/>
          </cell>
          <cell r="AD49" t="str">
            <v/>
          </cell>
          <cell r="AE49" t="str">
            <v/>
          </cell>
          <cell r="AF49" t="str">
            <v/>
          </cell>
          <cell r="AG49" t="str">
            <v/>
          </cell>
          <cell r="AH49" t="str">
            <v/>
          </cell>
          <cell r="AI49" t="str">
            <v/>
          </cell>
          <cell r="AJ49" t="str">
            <v/>
          </cell>
          <cell r="AK49" t="str">
            <v/>
          </cell>
          <cell r="AL49" t="str">
            <v/>
          </cell>
          <cell r="AM49" t="str">
            <v/>
          </cell>
          <cell r="AN49" t="str">
            <v/>
          </cell>
          <cell r="AO49" t="str">
            <v/>
          </cell>
          <cell r="AP49" t="str">
            <v/>
          </cell>
          <cell r="AQ49" t="str">
            <v/>
          </cell>
          <cell r="AR49" t="str">
            <v/>
          </cell>
          <cell r="AS49" t="str">
            <v/>
          </cell>
          <cell r="AT49" t="str">
            <v/>
          </cell>
          <cell r="AU49" t="str">
            <v/>
          </cell>
          <cell r="AV49" t="str">
            <v/>
          </cell>
          <cell r="AW49" t="str">
            <v/>
          </cell>
          <cell r="AX49" t="str">
            <v/>
          </cell>
          <cell r="AY49">
            <v>5</v>
          </cell>
          <cell r="AZ49">
            <v>0</v>
          </cell>
          <cell r="BA49">
            <v>0</v>
          </cell>
          <cell r="BB49">
            <v>0</v>
          </cell>
          <cell r="BC49">
            <v>10</v>
          </cell>
          <cell r="BD49">
            <v>10</v>
          </cell>
          <cell r="BE49">
            <v>0</v>
          </cell>
          <cell r="BF49">
            <v>0</v>
          </cell>
          <cell r="BG49">
            <v>0</v>
          </cell>
        </row>
        <row r="50">
          <cell r="C50" t="str">
            <v>VPMLC-T1</v>
          </cell>
          <cell r="D50" t="e">
            <v>#N/A</v>
          </cell>
          <cell r="E50" t="str">
            <v>VPMLC</v>
          </cell>
          <cell r="F50" t="str">
            <v>2-54</v>
          </cell>
          <cell r="G50" t="str">
            <v>"Pneumatic Pumps" &amp; "Liquid Level Controllers"</v>
          </cell>
          <cell r="H50" t="str">
            <v>Volume</v>
          </cell>
          <cell r="I50" t="str">
            <v>Well Production - Single Well</v>
          </cell>
          <cell r="J50" t="str">
            <v>T1</v>
          </cell>
          <cell r="K50">
            <v>0</v>
          </cell>
          <cell r="L50">
            <v>-71.123599999999996</v>
          </cell>
          <cell r="M50">
            <v>0</v>
          </cell>
          <cell r="N50">
            <v>0</v>
          </cell>
          <cell r="O50">
            <v>0</v>
          </cell>
          <cell r="P50">
            <v>10</v>
          </cell>
          <cell r="Q50">
            <v>0</v>
          </cell>
          <cell r="R50">
            <v>10</v>
          </cell>
          <cell r="S50">
            <v>100</v>
          </cell>
          <cell r="T50">
            <v>0</v>
          </cell>
          <cell r="U50">
            <v>0</v>
          </cell>
          <cell r="V50">
            <v>10</v>
          </cell>
          <cell r="W50">
            <v>5</v>
          </cell>
          <cell r="X50">
            <v>0</v>
          </cell>
          <cell r="Y50">
            <v>0</v>
          </cell>
          <cell r="Z50">
            <v>0</v>
          </cell>
          <cell r="AA50" t="str">
            <v>S</v>
          </cell>
          <cell r="AB50" t="str">
            <v>S</v>
          </cell>
          <cell r="AC50">
            <v>2.6459554916666669E-10</v>
          </cell>
          <cell r="AD50">
            <v>1.2081988546423137E-10</v>
          </cell>
          <cell r="AE50">
            <v>1.0573720127858805E-8</v>
          </cell>
          <cell r="AF50">
            <v>1.0573720127858805E-8</v>
          </cell>
          <cell r="AG50">
            <v>1.0573720127858805E-8</v>
          </cell>
          <cell r="AH50">
            <v>4.8281827067848429E-9</v>
          </cell>
          <cell r="AI50">
            <v>0</v>
          </cell>
          <cell r="AJ50">
            <v>0</v>
          </cell>
          <cell r="AK50">
            <v>0</v>
          </cell>
          <cell r="AL50">
            <v>0</v>
          </cell>
          <cell r="AM50">
            <v>6.6148887291666672E-11</v>
          </cell>
          <cell r="AN50">
            <v>6.6148887291666672E-11</v>
          </cell>
          <cell r="AO50">
            <v>3.2093284821875957E-9</v>
          </cell>
          <cell r="AP50">
            <v>2.9186815344095713E-9</v>
          </cell>
          <cell r="AQ50">
            <v>3.1010367176809389E-9</v>
          </cell>
          <cell r="AR50">
            <v>2.8201970149381441E-9</v>
          </cell>
          <cell r="AS50">
            <v>6.2835560255072395E-10</v>
          </cell>
          <cell r="AT50">
            <v>5.7144972986918952E-10</v>
          </cell>
          <cell r="AU50">
            <v>4.3584513008233665E-9</v>
          </cell>
          <cell r="AV50">
            <v>3.9637361525752831E-9</v>
          </cell>
          <cell r="AW50">
            <v>1.472909128159611E-8</v>
          </cell>
          <cell r="AX50">
            <v>1.3395178144221728E-8</v>
          </cell>
          <cell r="AY50">
            <v>5</v>
          </cell>
          <cell r="AZ50">
            <v>0</v>
          </cell>
          <cell r="BA50">
            <v>0</v>
          </cell>
          <cell r="BB50">
            <v>0</v>
          </cell>
          <cell r="BC50">
            <v>10</v>
          </cell>
          <cell r="BD50">
            <v>10</v>
          </cell>
          <cell r="BE50">
            <v>0</v>
          </cell>
          <cell r="BF50">
            <v>0</v>
          </cell>
          <cell r="BG50">
            <v>0</v>
          </cell>
        </row>
        <row r="51">
          <cell r="C51" t="str">
            <v>VBF-T1</v>
          </cell>
          <cell r="D51" t="e">
            <v>#N/A</v>
          </cell>
          <cell r="E51" t="str">
            <v>VBF</v>
          </cell>
          <cell r="F51" t="str">
            <v>2-56</v>
          </cell>
          <cell r="G51" t="str">
            <v>Blowdown Flaring</v>
          </cell>
          <cell r="H51" t="str">
            <v>Volume</v>
          </cell>
          <cell r="I51" t="str">
            <v xml:space="preserve">                           </v>
          </cell>
          <cell r="J51" t="str">
            <v>T1</v>
          </cell>
          <cell r="K51">
            <v>0</v>
          </cell>
          <cell r="L51">
            <v>-71.123599999999996</v>
          </cell>
          <cell r="M51">
            <v>0</v>
          </cell>
          <cell r="N51">
            <v>0</v>
          </cell>
          <cell r="O51">
            <v>0</v>
          </cell>
          <cell r="P51" t="e">
            <v>#N/A</v>
          </cell>
          <cell r="Q51">
            <v>0</v>
          </cell>
          <cell r="R51" t="e">
            <v>#N/A</v>
          </cell>
          <cell r="S51" t="e">
            <v>#N/A</v>
          </cell>
          <cell r="T51">
            <v>0</v>
          </cell>
          <cell r="U51" t="e">
            <v>#N/A</v>
          </cell>
          <cell r="V51" t="e">
            <v>#N/A</v>
          </cell>
          <cell r="W51" t="e">
            <v>#N/A</v>
          </cell>
          <cell r="X51" t="e">
            <v>#N/A</v>
          </cell>
          <cell r="Y51" t="e">
            <v>#N/A</v>
          </cell>
          <cell r="Z51" t="e">
            <v>#N/A</v>
          </cell>
          <cell r="AA51" t="str">
            <v>S</v>
          </cell>
          <cell r="AB51" t="str">
            <v>S</v>
          </cell>
          <cell r="AC51">
            <v>2.6992028313092168E-2</v>
          </cell>
          <cell r="AD51">
            <v>9.2438453127027963E-6</v>
          </cell>
          <cell r="AE51">
            <v>1.1161358103303415E-5</v>
          </cell>
          <cell r="AF51">
            <v>3.7204527011011379E-6</v>
          </cell>
          <cell r="AG51">
            <v>4.6505658763764224E-7</v>
          </cell>
          <cell r="AH51">
            <v>3.8223829120902099E-9</v>
          </cell>
          <cell r="AI51">
            <v>1.4339347732487138E-6</v>
          </cell>
          <cell r="AJ51">
            <v>1.7446206407859349E-4</v>
          </cell>
          <cell r="AK51">
            <v>1.4339347732487138E-6</v>
          </cell>
          <cell r="AL51">
            <v>1.7446206407859349E-4</v>
          </cell>
          <cell r="AM51">
            <v>6.748007078273042E-3</v>
          </cell>
          <cell r="AN51">
            <v>8.4350088478413025E-4</v>
          </cell>
          <cell r="AO51">
            <v>5.9295335928010039E-5</v>
          </cell>
          <cell r="AP51">
            <v>2.0306621893154122E-8</v>
          </cell>
          <cell r="AQ51">
            <v>5.7294544612849221E-5</v>
          </cell>
          <cell r="AR51">
            <v>1.9621419387962059E-8</v>
          </cell>
          <cell r="AS51">
            <v>1.1609455604898233E-5</v>
          </cell>
          <cell r="AT51">
            <v>3.9758409605815865E-9</v>
          </cell>
          <cell r="AU51">
            <v>8.707091703673674E-5</v>
          </cell>
          <cell r="AV51">
            <v>2.9818807204361897E-8</v>
          </cell>
          <cell r="AW51">
            <v>2.7213369410576709E-4</v>
          </cell>
          <cell r="AX51">
            <v>9.3196470584166814E-8</v>
          </cell>
          <cell r="AY51" t="e">
            <v>#N/A</v>
          </cell>
          <cell r="AZ51" t="e">
            <v>#N/A</v>
          </cell>
          <cell r="BA51" t="e">
            <v>#N/A</v>
          </cell>
          <cell r="BB51" t="e">
            <v>#N/A</v>
          </cell>
          <cell r="BC51" t="e">
            <v>#N/A</v>
          </cell>
          <cell r="BD51" t="e">
            <v>#N/A</v>
          </cell>
          <cell r="BE51" t="e">
            <v>#N/A</v>
          </cell>
          <cell r="BF51">
            <v>0</v>
          </cell>
          <cell r="BG51">
            <v>0</v>
          </cell>
        </row>
        <row r="52">
          <cell r="C52" t="str">
            <v>Vertical Gas Pad 2</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row>
        <row r="53">
          <cell r="C53" t="str">
            <v>VDRDT-T2</v>
          </cell>
          <cell r="D53" t="e">
            <v>#N/A</v>
          </cell>
          <cell r="E53" t="str">
            <v>VDRDT</v>
          </cell>
          <cell r="F53" t="e">
            <v>#N/A</v>
          </cell>
          <cell r="G53" t="e">
            <v>#N/A</v>
          </cell>
          <cell r="H53" t="e">
            <v>#N/A</v>
          </cell>
          <cell r="I53" t="str">
            <v>TWIN: Pad Construction Surface Disturbance</v>
          </cell>
          <cell r="J53" t="str">
            <v>T2</v>
          </cell>
          <cell r="K53">
            <v>0</v>
          </cell>
          <cell r="L53">
            <v>71.123599999999996</v>
          </cell>
          <cell r="M53">
            <v>0</v>
          </cell>
          <cell r="N53">
            <v>0</v>
          </cell>
          <cell r="O53">
            <v>0</v>
          </cell>
          <cell r="P53">
            <v>45</v>
          </cell>
          <cell r="Q53">
            <v>0</v>
          </cell>
          <cell r="R53">
            <v>45</v>
          </cell>
          <cell r="S53">
            <v>2025</v>
          </cell>
          <cell r="T53">
            <v>0</v>
          </cell>
          <cell r="U53">
            <v>0</v>
          </cell>
          <cell r="V53">
            <v>6.0960000000000001</v>
          </cell>
          <cell r="W53">
            <v>3.048</v>
          </cell>
          <cell r="X53">
            <v>0</v>
          </cell>
          <cell r="Y53">
            <v>0</v>
          </cell>
          <cell r="Z53">
            <v>0</v>
          </cell>
          <cell r="AA53" t="str">
            <v>S</v>
          </cell>
          <cell r="AB53" t="str">
            <v>S</v>
          </cell>
          <cell r="AC53" t="e">
            <v>#N/A</v>
          </cell>
          <cell r="AD53" t="e">
            <v>#N/A</v>
          </cell>
          <cell r="AE53" t="e">
            <v>#N/A</v>
          </cell>
          <cell r="AF53" t="e">
            <v>#N/A</v>
          </cell>
          <cell r="AG53" t="e">
            <v>#N/A</v>
          </cell>
          <cell r="AH53" t="e">
            <v>#N/A</v>
          </cell>
          <cell r="AI53" t="e">
            <v>#N/A</v>
          </cell>
          <cell r="AJ53" t="e">
            <v>#N/A</v>
          </cell>
          <cell r="AK53" t="e">
            <v>#N/A</v>
          </cell>
          <cell r="AL53" t="e">
            <v>#N/A</v>
          </cell>
          <cell r="AM53" t="e">
            <v>#N/A</v>
          </cell>
          <cell r="AN53" t="e">
            <v>#N/A</v>
          </cell>
          <cell r="AO53" t="e">
            <v>#N/A</v>
          </cell>
          <cell r="AP53" t="e">
            <v>#N/A</v>
          </cell>
          <cell r="AQ53" t="e">
            <v>#N/A</v>
          </cell>
          <cell r="AR53" t="e">
            <v>#N/A</v>
          </cell>
          <cell r="AS53" t="e">
            <v>#N/A</v>
          </cell>
          <cell r="AT53" t="e">
            <v>#N/A</v>
          </cell>
          <cell r="AU53" t="e">
            <v>#N/A</v>
          </cell>
          <cell r="AV53" t="e">
            <v>#N/A</v>
          </cell>
          <cell r="AW53" t="e">
            <v>#N/A</v>
          </cell>
          <cell r="AX53" t="e">
            <v>#N/A</v>
          </cell>
          <cell r="AY53">
            <v>3.048</v>
          </cell>
          <cell r="AZ53">
            <v>0</v>
          </cell>
          <cell r="BA53">
            <v>0</v>
          </cell>
          <cell r="BB53">
            <v>0</v>
          </cell>
          <cell r="BC53">
            <v>45</v>
          </cell>
          <cell r="BD53">
            <v>45</v>
          </cell>
          <cell r="BE53">
            <v>0</v>
          </cell>
          <cell r="BF53" t="e">
            <v>#N/A</v>
          </cell>
          <cell r="BG53" t="e">
            <v>#N/A</v>
          </cell>
        </row>
        <row r="54">
          <cell r="C54" t="str">
            <v>VRGDT-T2</v>
          </cell>
          <cell r="D54" t="e">
            <v>#N/A</v>
          </cell>
          <cell r="E54" t="str">
            <v>VRGDT</v>
          </cell>
          <cell r="F54" t="e">
            <v>#N/A</v>
          </cell>
          <cell r="G54" t="e">
            <v>#N/A</v>
          </cell>
          <cell r="H54" t="e">
            <v>#N/A</v>
          </cell>
          <cell r="I54" t="str">
            <v>TWIN: Pad Construction Surface Disturbance</v>
          </cell>
          <cell r="J54" t="str">
            <v>T2</v>
          </cell>
          <cell r="K54">
            <v>0</v>
          </cell>
          <cell r="L54">
            <v>71.123599999999996</v>
          </cell>
          <cell r="M54">
            <v>0</v>
          </cell>
          <cell r="N54">
            <v>0</v>
          </cell>
          <cell r="O54">
            <v>0</v>
          </cell>
          <cell r="P54">
            <v>45</v>
          </cell>
          <cell r="Q54">
            <v>0</v>
          </cell>
          <cell r="R54">
            <v>45</v>
          </cell>
          <cell r="S54">
            <v>2025</v>
          </cell>
          <cell r="T54">
            <v>0</v>
          </cell>
          <cell r="U54">
            <v>0</v>
          </cell>
          <cell r="V54">
            <v>6.0960000000000001</v>
          </cell>
          <cell r="W54">
            <v>3.048</v>
          </cell>
          <cell r="X54">
            <v>0</v>
          </cell>
          <cell r="Y54">
            <v>0</v>
          </cell>
          <cell r="Z54">
            <v>0</v>
          </cell>
          <cell r="AA54" t="str">
            <v>S</v>
          </cell>
          <cell r="AB54" t="str">
            <v>S</v>
          </cell>
          <cell r="AC54" t="e">
            <v>#N/A</v>
          </cell>
          <cell r="AD54" t="e">
            <v>#N/A</v>
          </cell>
          <cell r="AE54" t="e">
            <v>#N/A</v>
          </cell>
          <cell r="AF54" t="e">
            <v>#N/A</v>
          </cell>
          <cell r="AG54" t="e">
            <v>#N/A</v>
          </cell>
          <cell r="AH54" t="e">
            <v>#N/A</v>
          </cell>
          <cell r="AI54" t="e">
            <v>#N/A</v>
          </cell>
          <cell r="AJ54" t="e">
            <v>#N/A</v>
          </cell>
          <cell r="AK54" t="e">
            <v>#N/A</v>
          </cell>
          <cell r="AL54" t="e">
            <v>#N/A</v>
          </cell>
          <cell r="AM54" t="e">
            <v>#N/A</v>
          </cell>
          <cell r="AN54" t="e">
            <v>#N/A</v>
          </cell>
          <cell r="AO54" t="e">
            <v>#N/A</v>
          </cell>
          <cell r="AP54" t="e">
            <v>#N/A</v>
          </cell>
          <cell r="AQ54" t="e">
            <v>#N/A</v>
          </cell>
          <cell r="AR54" t="e">
            <v>#N/A</v>
          </cell>
          <cell r="AS54" t="e">
            <v>#N/A</v>
          </cell>
          <cell r="AT54" t="e">
            <v>#N/A</v>
          </cell>
          <cell r="AU54" t="e">
            <v>#N/A</v>
          </cell>
          <cell r="AV54" t="e">
            <v>#N/A</v>
          </cell>
          <cell r="AW54" t="e">
            <v>#N/A</v>
          </cell>
          <cell r="AX54" t="e">
            <v>#N/A</v>
          </cell>
          <cell r="AY54">
            <v>3.048</v>
          </cell>
          <cell r="AZ54">
            <v>0</v>
          </cell>
          <cell r="BA54">
            <v>0</v>
          </cell>
          <cell r="BB54">
            <v>0</v>
          </cell>
          <cell r="BC54">
            <v>45</v>
          </cell>
          <cell r="BD54">
            <v>45</v>
          </cell>
          <cell r="BE54">
            <v>0</v>
          </cell>
          <cell r="BF54" t="e">
            <v>#N/A</v>
          </cell>
          <cell r="BG54" t="e">
            <v>#N/A</v>
          </cell>
        </row>
        <row r="55">
          <cell r="C55" t="str">
            <v>VDME-T2</v>
          </cell>
          <cell r="D55" t="e">
            <v>#N/A</v>
          </cell>
          <cell r="E55" t="str">
            <v>VDME</v>
          </cell>
          <cell r="F55" t="e">
            <v>#N/A</v>
          </cell>
          <cell r="G55" t="e">
            <v>#N/A</v>
          </cell>
          <cell r="H55" t="e">
            <v>#N/A</v>
          </cell>
          <cell r="I55" t="str">
            <v>ROAD: Construction Equipment Tailpipe Emissions - ROAD Construction</v>
          </cell>
          <cell r="J55" t="str">
            <v>T2</v>
          </cell>
          <cell r="K55">
            <v>0</v>
          </cell>
          <cell r="L55">
            <v>71.123599999999996</v>
          </cell>
          <cell r="M55">
            <v>0</v>
          </cell>
          <cell r="N55">
            <v>0</v>
          </cell>
          <cell r="O55">
            <v>0</v>
          </cell>
          <cell r="P55">
            <v>12.192</v>
          </cell>
          <cell r="Q55">
            <v>0</v>
          </cell>
          <cell r="R55">
            <v>12.192</v>
          </cell>
          <cell r="S55">
            <v>148.64486400000001</v>
          </cell>
          <cell r="T55">
            <v>0</v>
          </cell>
          <cell r="U55">
            <v>0</v>
          </cell>
          <cell r="V55">
            <v>10</v>
          </cell>
          <cell r="W55">
            <v>5</v>
          </cell>
          <cell r="X55">
            <v>0</v>
          </cell>
          <cell r="Y55">
            <v>0</v>
          </cell>
          <cell r="Z55">
            <v>0</v>
          </cell>
          <cell r="AA55" t="str">
            <v>S</v>
          </cell>
          <cell r="AB55" t="str">
            <v>S</v>
          </cell>
          <cell r="AC55" t="e">
            <v>#N/A</v>
          </cell>
          <cell r="AD55" t="e">
            <v>#N/A</v>
          </cell>
          <cell r="AE55" t="e">
            <v>#N/A</v>
          </cell>
          <cell r="AF55" t="e">
            <v>#N/A</v>
          </cell>
          <cell r="AG55" t="e">
            <v>#N/A</v>
          </cell>
          <cell r="AH55" t="e">
            <v>#N/A</v>
          </cell>
          <cell r="AI55" t="e">
            <v>#N/A</v>
          </cell>
          <cell r="AJ55" t="e">
            <v>#N/A</v>
          </cell>
          <cell r="AK55" t="e">
            <v>#N/A</v>
          </cell>
          <cell r="AL55" t="e">
            <v>#N/A</v>
          </cell>
          <cell r="AM55" t="e">
            <v>#N/A</v>
          </cell>
          <cell r="AN55" t="e">
            <v>#N/A</v>
          </cell>
          <cell r="AO55" t="e">
            <v>#N/A</v>
          </cell>
          <cell r="AP55" t="e">
            <v>#N/A</v>
          </cell>
          <cell r="AQ55" t="e">
            <v>#N/A</v>
          </cell>
          <cell r="AR55" t="e">
            <v>#N/A</v>
          </cell>
          <cell r="AS55" t="e">
            <v>#N/A</v>
          </cell>
          <cell r="AT55" t="e">
            <v>#N/A</v>
          </cell>
          <cell r="AU55" t="e">
            <v>#N/A</v>
          </cell>
          <cell r="AV55" t="e">
            <v>#N/A</v>
          </cell>
          <cell r="AW55" t="e">
            <v>#N/A</v>
          </cell>
          <cell r="AX55" t="e">
            <v>#N/A</v>
          </cell>
          <cell r="AY55">
            <v>5</v>
          </cell>
          <cell r="AZ55">
            <v>0</v>
          </cell>
          <cell r="BA55">
            <v>0</v>
          </cell>
          <cell r="BB55">
            <v>0</v>
          </cell>
          <cell r="BC55">
            <v>12.192</v>
          </cell>
          <cell r="BD55">
            <v>12.192</v>
          </cell>
          <cell r="BE55">
            <v>0</v>
          </cell>
          <cell r="BF55" t="e">
            <v>#N/A</v>
          </cell>
          <cell r="BG55" t="e">
            <v>#N/A</v>
          </cell>
        </row>
        <row r="56">
          <cell r="C56" t="str">
            <v>VRME-T2</v>
          </cell>
          <cell r="D56" t="e">
            <v>#N/A</v>
          </cell>
          <cell r="E56" t="str">
            <v>VRME</v>
          </cell>
          <cell r="F56" t="str">
            <v>2-26</v>
          </cell>
          <cell r="G56" t="str">
            <v>Rig_Up_down Mobile Exhaust</v>
          </cell>
          <cell r="H56" t="str">
            <v>Volume</v>
          </cell>
          <cell r="I56" t="str">
            <v>ROAD: Construction Equipment Tailpipe Emissions - ROAD Construction</v>
          </cell>
          <cell r="J56" t="str">
            <v>T2</v>
          </cell>
          <cell r="K56">
            <v>0</v>
          </cell>
          <cell r="L56">
            <v>71.123599999999996</v>
          </cell>
          <cell r="M56">
            <v>0</v>
          </cell>
          <cell r="N56">
            <v>0</v>
          </cell>
          <cell r="O56">
            <v>0</v>
          </cell>
          <cell r="P56">
            <v>12.192</v>
          </cell>
          <cell r="Q56">
            <v>0</v>
          </cell>
          <cell r="R56">
            <v>12.192</v>
          </cell>
          <cell r="S56">
            <v>148.64486400000001</v>
          </cell>
          <cell r="T56">
            <v>0</v>
          </cell>
          <cell r="U56">
            <v>0</v>
          </cell>
          <cell r="V56">
            <v>10</v>
          </cell>
          <cell r="W56">
            <v>5</v>
          </cell>
          <cell r="X56">
            <v>0</v>
          </cell>
          <cell r="Y56">
            <v>0</v>
          </cell>
          <cell r="Z56">
            <v>0</v>
          </cell>
          <cell r="AA56" t="str">
            <v>S</v>
          </cell>
          <cell r="AB56" t="str">
            <v>S</v>
          </cell>
          <cell r="AC56">
            <v>1.10172951216488E-2</v>
          </cell>
          <cell r="AD56">
            <v>3.7730462745372605E-5</v>
          </cell>
          <cell r="AE56">
            <v>5.9837517637246113E-5</v>
          </cell>
          <cell r="AF56">
            <v>5.969356919787932E-5</v>
          </cell>
          <cell r="AG56">
            <v>2.4226413009165918E-5</v>
          </cell>
          <cell r="AH56">
            <v>2.0492300560700724E-7</v>
          </cell>
          <cell r="AI56">
            <v>2.7501267681643039E-6</v>
          </cell>
          <cell r="AJ56">
            <v>3.2750065483459821E-4</v>
          </cell>
          <cell r="AK56">
            <v>1.3428910824429755E-6</v>
          </cell>
          <cell r="AL56">
            <v>1.5866121602849253E-4</v>
          </cell>
          <cell r="AM56">
            <v>8.8320446830654764E-3</v>
          </cell>
          <cell r="AN56">
            <v>8.8040363872394743E-3</v>
          </cell>
          <cell r="AO56">
            <v>8.0200356863415257E-6</v>
          </cell>
          <cell r="AP56">
            <v>2.7465875638155905E-8</v>
          </cell>
          <cell r="AQ56">
            <v>1.3827641414383854E-5</v>
          </cell>
          <cell r="AR56">
            <v>4.7354936350629642E-8</v>
          </cell>
          <cell r="AS56">
            <v>3.5744030080431812E-6</v>
          </cell>
          <cell r="AT56">
            <v>1.2241106191928705E-8</v>
          </cell>
          <cell r="AU56">
            <v>1.3641740274356107E-5</v>
          </cell>
          <cell r="AV56">
            <v>4.6718288610808582E-8</v>
          </cell>
          <cell r="AW56">
            <v>4.1636675003733568E-6</v>
          </cell>
          <cell r="AX56">
            <v>1.4259135275251227E-8</v>
          </cell>
          <cell r="AY56">
            <v>5</v>
          </cell>
          <cell r="AZ56">
            <v>0</v>
          </cell>
          <cell r="BA56">
            <v>0</v>
          </cell>
          <cell r="BB56">
            <v>0</v>
          </cell>
          <cell r="BC56">
            <v>12.192</v>
          </cell>
          <cell r="BD56">
            <v>12.192</v>
          </cell>
          <cell r="BE56">
            <v>0</v>
          </cell>
          <cell r="BF56">
            <v>0</v>
          </cell>
          <cell r="BG56">
            <v>0</v>
          </cell>
        </row>
        <row r="57">
          <cell r="C57" t="str">
            <v>VDC-T2</v>
          </cell>
          <cell r="D57" t="e">
            <v>#N/A</v>
          </cell>
          <cell r="E57" t="str">
            <v>VDC</v>
          </cell>
          <cell r="F57" t="str">
            <v>2-27</v>
          </cell>
          <cell r="G57" t="str">
            <v>Drilling consturction</v>
          </cell>
          <cell r="H57" t="str">
            <v>Volume</v>
          </cell>
          <cell r="I57" t="str">
            <v>TWIN: Pad Construction Surface Disturbance</v>
          </cell>
          <cell r="J57" t="str">
            <v>T2</v>
          </cell>
          <cell r="K57">
            <v>0</v>
          </cell>
          <cell r="L57">
            <v>71.123599999999996</v>
          </cell>
          <cell r="M57">
            <v>0</v>
          </cell>
          <cell r="N57">
            <v>0</v>
          </cell>
          <cell r="O57">
            <v>0</v>
          </cell>
          <cell r="P57">
            <v>45</v>
          </cell>
          <cell r="Q57">
            <v>0</v>
          </cell>
          <cell r="R57">
            <v>45</v>
          </cell>
          <cell r="S57">
            <v>2025</v>
          </cell>
          <cell r="T57">
            <v>0</v>
          </cell>
          <cell r="U57">
            <v>0</v>
          </cell>
          <cell r="V57">
            <v>6.0960000000000001</v>
          </cell>
          <cell r="W57">
            <v>3.048</v>
          </cell>
          <cell r="X57">
            <v>0</v>
          </cell>
          <cell r="Y57">
            <v>0</v>
          </cell>
          <cell r="Z57">
            <v>0</v>
          </cell>
          <cell r="AA57" t="str">
            <v>S</v>
          </cell>
          <cell r="AB57" t="str">
            <v>S</v>
          </cell>
          <cell r="AC57">
            <v>2.9748061982675395E-2</v>
          </cell>
          <cell r="AD57">
            <v>6.8658670190610311E-4</v>
          </cell>
          <cell r="AE57">
            <v>1.5295901446906642E-4</v>
          </cell>
          <cell r="AF57">
            <v>1.5295901446906644E-4</v>
          </cell>
          <cell r="AG57">
            <v>1.274658453908887E-4</v>
          </cell>
          <cell r="AH57">
            <v>2.0256551746614037E-6</v>
          </cell>
          <cell r="AI57">
            <v>4.2668660586016693E-5</v>
          </cell>
          <cell r="AJ57">
            <v>1.4009495608403835E-3</v>
          </cell>
          <cell r="AK57">
            <v>4.1388602326337038E-5</v>
          </cell>
          <cell r="AL57">
            <v>1.3589212873433144E-3</v>
          </cell>
          <cell r="AM57">
            <v>1.6578304995271468E-2</v>
          </cell>
          <cell r="AN57">
            <v>1.6578304995271468E-2</v>
          </cell>
          <cell r="AO57">
            <v>1.6027008352836595E-4</v>
          </cell>
          <cell r="AP57">
            <v>2.7938460855210972E-6</v>
          </cell>
          <cell r="AQ57">
            <v>1.1792598407273813E-4</v>
          </cell>
          <cell r="AR57">
            <v>2.0554986162683762E-6</v>
          </cell>
          <cell r="AS57">
            <v>2.4399622975822711E-5</v>
          </cell>
          <cell r="AT57">
            <v>4.2520537620323422E-7</v>
          </cell>
          <cell r="AU57">
            <v>8.3410290888655139E-5</v>
          </cell>
          <cell r="AV57">
            <v>1.4538663811154831E-6</v>
          </cell>
          <cell r="AW57">
            <v>1.2533800987802776E-5</v>
          </cell>
          <cell r="AX57">
            <v>2.1848889325394765E-7</v>
          </cell>
          <cell r="AY57">
            <v>3.048</v>
          </cell>
          <cell r="AZ57">
            <v>0</v>
          </cell>
          <cell r="BA57">
            <v>0</v>
          </cell>
          <cell r="BB57">
            <v>0</v>
          </cell>
          <cell r="BC57">
            <v>45</v>
          </cell>
          <cell r="BD57">
            <v>45</v>
          </cell>
          <cell r="BE57">
            <v>0</v>
          </cell>
          <cell r="BF57" t="str">
            <v>HROFDAY</v>
          </cell>
          <cell r="BG57" t="str">
            <v>0  0  0  0  0  0  1  1  1  1  1  1  1  1  1  1  1  1  0  0  0  0  0  0  0</v>
          </cell>
        </row>
        <row r="58">
          <cell r="C58" t="str">
            <v>VRCE-T2</v>
          </cell>
          <cell r="D58" t="e">
            <v>#N/A</v>
          </cell>
          <cell r="E58" t="str">
            <v>VRCE</v>
          </cell>
          <cell r="F58" t="str">
            <v>2-29</v>
          </cell>
          <cell r="G58" t="str">
            <v>Rig Up_down Construction equipment</v>
          </cell>
          <cell r="H58" t="str">
            <v>Volume</v>
          </cell>
          <cell r="I58" t="str">
            <v>ROAD: Construction Equipment Tailpipe Emissions - ROAD Construction</v>
          </cell>
          <cell r="J58" t="str">
            <v>T2</v>
          </cell>
          <cell r="K58">
            <v>0</v>
          </cell>
          <cell r="L58">
            <v>71.123599999999996</v>
          </cell>
          <cell r="M58">
            <v>0</v>
          </cell>
          <cell r="N58">
            <v>0</v>
          </cell>
          <cell r="O58">
            <v>0</v>
          </cell>
          <cell r="P58">
            <v>12.192</v>
          </cell>
          <cell r="Q58">
            <v>0</v>
          </cell>
          <cell r="R58">
            <v>12.192</v>
          </cell>
          <cell r="S58">
            <v>148.64486400000001</v>
          </cell>
          <cell r="T58">
            <v>0</v>
          </cell>
          <cell r="U58">
            <v>0</v>
          </cell>
          <cell r="V58">
            <v>10</v>
          </cell>
          <cell r="W58">
            <v>5</v>
          </cell>
          <cell r="X58">
            <v>0</v>
          </cell>
          <cell r="Y58">
            <v>0</v>
          </cell>
          <cell r="Z58">
            <v>0</v>
          </cell>
          <cell r="AA58" t="str">
            <v>S</v>
          </cell>
          <cell r="AB58" t="str">
            <v>S</v>
          </cell>
          <cell r="AC58">
            <v>8.6536407634378448E-2</v>
          </cell>
          <cell r="AD58">
            <v>5.7391474996928505E-4</v>
          </cell>
          <cell r="AE58">
            <v>9.9271049558068321E-5</v>
          </cell>
          <cell r="AF58">
            <v>9.9271049558068321E-5</v>
          </cell>
          <cell r="AG58">
            <v>8.2725874631723578E-5</v>
          </cell>
          <cell r="AH58">
            <v>5.6215273017980058E-7</v>
          </cell>
          <cell r="AI58">
            <v>3.2547011630872825E-5</v>
          </cell>
          <cell r="AJ58">
            <v>4.1020122973947828E-3</v>
          </cell>
          <cell r="AK58">
            <v>3.2529490367567291E-5</v>
          </cell>
          <cell r="AL58">
            <v>4.0956170362882625E-3</v>
          </cell>
          <cell r="AM58">
            <v>5.9485115733363202E-2</v>
          </cell>
          <cell r="AN58">
            <v>5.9485115733363202E-2</v>
          </cell>
          <cell r="AO58">
            <v>1.2408313891174965E-4</v>
          </cell>
          <cell r="AP58">
            <v>7.1959881256461129E-7</v>
          </cell>
          <cell r="AQ58">
            <v>7.6028918645355272E-5</v>
          </cell>
          <cell r="AR58">
            <v>5.2922417227628686E-7</v>
          </cell>
          <cell r="AS58">
            <v>1.8921765057150421E-5</v>
          </cell>
          <cell r="AT58">
            <v>1.097457820713389E-7</v>
          </cell>
          <cell r="AU58">
            <v>6.4630531281278556E-5</v>
          </cell>
          <cell r="AV58">
            <v>3.7488784679080204E-7</v>
          </cell>
          <cell r="AW58">
            <v>9.7134465099389437E-6</v>
          </cell>
          <cell r="AX58">
            <v>5.6338363845583222E-8</v>
          </cell>
          <cell r="AY58">
            <v>5</v>
          </cell>
          <cell r="AZ58">
            <v>0</v>
          </cell>
          <cell r="BA58">
            <v>0</v>
          </cell>
          <cell r="BB58">
            <v>0</v>
          </cell>
          <cell r="BC58">
            <v>12.192</v>
          </cell>
          <cell r="BD58">
            <v>12.192</v>
          </cell>
          <cell r="BE58">
            <v>0</v>
          </cell>
          <cell r="BF58" t="str">
            <v>HROFDAY</v>
          </cell>
          <cell r="BG58" t="str">
            <v>0  0  0  0  0  0  1  1  1  1  1  1  1  1  1  1  1  1  0  0  0  0  0  0  0</v>
          </cell>
        </row>
        <row r="59">
          <cell r="C59" t="str">
            <v>VPH-T2</v>
          </cell>
          <cell r="D59" t="e">
            <v>#N/A</v>
          </cell>
          <cell r="E59" t="str">
            <v>VPH</v>
          </cell>
          <cell r="F59" t="str">
            <v>2-40</v>
          </cell>
          <cell r="G59" t="str">
            <v>Production Heater</v>
          </cell>
          <cell r="H59" t="str">
            <v>Volume</v>
          </cell>
          <cell r="I59" t="str">
            <v>Heater</v>
          </cell>
          <cell r="J59" t="str">
            <v>T2</v>
          </cell>
          <cell r="K59">
            <v>0</v>
          </cell>
          <cell r="L59">
            <v>71.123599999999996</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t="str">
            <v>S</v>
          </cell>
          <cell r="AB59" t="str">
            <v>S</v>
          </cell>
          <cell r="AC59">
            <v>4.9410933551198256E-3</v>
          </cell>
          <cell r="AD59">
            <v>4.9410933551198256E-3</v>
          </cell>
          <cell r="AE59">
            <v>2.9771353341975505E-4</v>
          </cell>
          <cell r="AF59">
            <v>2.9771353341975505E-4</v>
          </cell>
          <cell r="AG59">
            <v>2.9771353341975505E-4</v>
          </cell>
          <cell r="AH59">
            <v>2.9771353341975505E-4</v>
          </cell>
          <cell r="AI59">
            <v>3.7552309498910681E-4</v>
          </cell>
          <cell r="AJ59">
            <v>3.7552309498910681E-4</v>
          </cell>
          <cell r="AK59">
            <v>3.7552309498910681E-4</v>
          </cell>
          <cell r="AL59">
            <v>3.7552309498910681E-4</v>
          </cell>
          <cell r="AM59">
            <v>4.1505184183006543E-3</v>
          </cell>
          <cell r="AN59">
            <v>0</v>
          </cell>
          <cell r="AO59">
            <v>7.7393475751263511E-8</v>
          </cell>
          <cell r="AP59">
            <v>7.7393475751263511E-8</v>
          </cell>
          <cell r="AQ59">
            <v>7.4620796256974713E-8</v>
          </cell>
          <cell r="AR59">
            <v>7.4620796256974713E-8</v>
          </cell>
          <cell r="AS59">
            <v>1.4561120887824058E-8</v>
          </cell>
          <cell r="AT59">
            <v>1.4561120887824058E-8</v>
          </cell>
          <cell r="AU59">
            <v>1.164306058966292E-7</v>
          </cell>
          <cell r="AV59">
            <v>1.164306058966292E-7</v>
          </cell>
          <cell r="AW59">
            <v>3.5521344347211526E-7</v>
          </cell>
          <cell r="AX59">
            <v>3.5521344347211526E-7</v>
          </cell>
          <cell r="AY59">
            <v>0</v>
          </cell>
          <cell r="AZ59">
            <v>0</v>
          </cell>
          <cell r="BA59">
            <v>0</v>
          </cell>
          <cell r="BB59">
            <v>0</v>
          </cell>
          <cell r="BC59">
            <v>0</v>
          </cell>
          <cell r="BD59">
            <v>0</v>
          </cell>
          <cell r="BE59">
            <v>0</v>
          </cell>
          <cell r="BF59" t="str">
            <v>MONTH</v>
          </cell>
          <cell r="BG59" t="str">
            <v>0 0 0 0 1 1 1 1 1 1 1 0</v>
          </cell>
        </row>
        <row r="60">
          <cell r="C60" t="str">
            <v>VOWCF-T2</v>
          </cell>
          <cell r="D60" t="e">
            <v>#N/A</v>
          </cell>
          <cell r="E60" t="str">
            <v>VOWCF</v>
          </cell>
          <cell r="F60" t="str">
            <v>2-46</v>
          </cell>
          <cell r="G60" t="str">
            <v>2+ yr Well Cond. Flash - Cntrld</v>
          </cell>
          <cell r="H60" t="str">
            <v>Volume</v>
          </cell>
          <cell r="I60" t="str">
            <v>Well Production - Single Well</v>
          </cell>
          <cell r="J60" t="str">
            <v>T2</v>
          </cell>
          <cell r="K60">
            <v>0</v>
          </cell>
          <cell r="L60">
            <v>71.123599999999996</v>
          </cell>
          <cell r="M60">
            <v>0</v>
          </cell>
          <cell r="N60">
            <v>0</v>
          </cell>
          <cell r="O60">
            <v>0</v>
          </cell>
          <cell r="P60">
            <v>10</v>
          </cell>
          <cell r="Q60">
            <v>0</v>
          </cell>
          <cell r="R60">
            <v>10</v>
          </cell>
          <cell r="S60">
            <v>100</v>
          </cell>
          <cell r="T60">
            <v>0</v>
          </cell>
          <cell r="U60">
            <v>0</v>
          </cell>
          <cell r="V60">
            <v>10</v>
          </cell>
          <cell r="W60">
            <v>5</v>
          </cell>
          <cell r="X60">
            <v>0</v>
          </cell>
          <cell r="Y60">
            <v>0</v>
          </cell>
          <cell r="Z60">
            <v>0</v>
          </cell>
          <cell r="AA60" t="str">
            <v>S</v>
          </cell>
          <cell r="AB60" t="str">
            <v>S</v>
          </cell>
          <cell r="AC60" t="str">
            <v/>
          </cell>
          <cell r="AD60" t="str">
            <v/>
          </cell>
          <cell r="AE60" t="str">
            <v/>
          </cell>
          <cell r="AF60" t="str">
            <v/>
          </cell>
          <cell r="AG60" t="str">
            <v/>
          </cell>
          <cell r="AH60" t="str">
            <v/>
          </cell>
          <cell r="AI60" t="str">
            <v/>
          </cell>
          <cell r="AJ60" t="str">
            <v/>
          </cell>
          <cell r="AK60" t="str">
            <v/>
          </cell>
          <cell r="AL60" t="str">
            <v/>
          </cell>
          <cell r="AM60" t="str">
            <v/>
          </cell>
          <cell r="AN60" t="str">
            <v/>
          </cell>
          <cell r="AO60" t="str">
            <v/>
          </cell>
          <cell r="AP60" t="str">
            <v/>
          </cell>
          <cell r="AQ60" t="str">
            <v/>
          </cell>
          <cell r="AR60" t="str">
            <v/>
          </cell>
          <cell r="AS60" t="str">
            <v/>
          </cell>
          <cell r="AT60" t="str">
            <v/>
          </cell>
          <cell r="AU60" t="str">
            <v/>
          </cell>
          <cell r="AV60" t="str">
            <v/>
          </cell>
          <cell r="AW60" t="str">
            <v/>
          </cell>
          <cell r="AX60" t="str">
            <v/>
          </cell>
          <cell r="AY60">
            <v>5</v>
          </cell>
          <cell r="AZ60">
            <v>0</v>
          </cell>
          <cell r="BA60">
            <v>0</v>
          </cell>
          <cell r="BB60">
            <v>0</v>
          </cell>
          <cell r="BC60">
            <v>10</v>
          </cell>
          <cell r="BD60">
            <v>10</v>
          </cell>
          <cell r="BE60">
            <v>0</v>
          </cell>
          <cell r="BF60">
            <v>0</v>
          </cell>
          <cell r="BG60">
            <v>0</v>
          </cell>
        </row>
        <row r="61">
          <cell r="C61" t="str">
            <v>VGDE-T2</v>
          </cell>
          <cell r="D61" t="e">
            <v>#N/A</v>
          </cell>
          <cell r="E61" t="str">
            <v>VGDE</v>
          </cell>
          <cell r="F61" t="e">
            <v>#N/A</v>
          </cell>
          <cell r="G61" t="e">
            <v>#N/A</v>
          </cell>
          <cell r="H61" t="e">
            <v>#N/A</v>
          </cell>
          <cell r="I61" t="str">
            <v>Well Production - Single Well</v>
          </cell>
          <cell r="J61" t="str">
            <v>T2</v>
          </cell>
          <cell r="K61">
            <v>0</v>
          </cell>
          <cell r="L61">
            <v>71.123599999999996</v>
          </cell>
          <cell r="M61">
            <v>0</v>
          </cell>
          <cell r="N61">
            <v>0</v>
          </cell>
          <cell r="O61">
            <v>0</v>
          </cell>
          <cell r="P61">
            <v>10</v>
          </cell>
          <cell r="Q61">
            <v>0</v>
          </cell>
          <cell r="R61">
            <v>10</v>
          </cell>
          <cell r="S61">
            <v>100</v>
          </cell>
          <cell r="T61">
            <v>0</v>
          </cell>
          <cell r="U61">
            <v>0</v>
          </cell>
          <cell r="V61">
            <v>10</v>
          </cell>
          <cell r="W61">
            <v>5</v>
          </cell>
          <cell r="X61">
            <v>0</v>
          </cell>
          <cell r="Y61">
            <v>0</v>
          </cell>
          <cell r="Z61">
            <v>0</v>
          </cell>
          <cell r="AA61" t="str">
            <v>S</v>
          </cell>
          <cell r="AB61" t="str">
            <v>S</v>
          </cell>
          <cell r="AC61" t="e">
            <v>#N/A</v>
          </cell>
          <cell r="AD61" t="e">
            <v>#N/A</v>
          </cell>
          <cell r="AE61" t="e">
            <v>#N/A</v>
          </cell>
          <cell r="AF61" t="e">
            <v>#N/A</v>
          </cell>
          <cell r="AG61" t="e">
            <v>#N/A</v>
          </cell>
          <cell r="AH61" t="e">
            <v>#N/A</v>
          </cell>
          <cell r="AI61" t="e">
            <v>#N/A</v>
          </cell>
          <cell r="AJ61" t="e">
            <v>#N/A</v>
          </cell>
          <cell r="AK61" t="e">
            <v>#N/A</v>
          </cell>
          <cell r="AL61" t="e">
            <v>#N/A</v>
          </cell>
          <cell r="AM61" t="e">
            <v>#N/A</v>
          </cell>
          <cell r="AN61" t="e">
            <v>#N/A</v>
          </cell>
          <cell r="AO61" t="e">
            <v>#N/A</v>
          </cell>
          <cell r="AP61" t="e">
            <v>#N/A</v>
          </cell>
          <cell r="AQ61" t="e">
            <v>#N/A</v>
          </cell>
          <cell r="AR61" t="e">
            <v>#N/A</v>
          </cell>
          <cell r="AS61" t="e">
            <v>#N/A</v>
          </cell>
          <cell r="AT61" t="e">
            <v>#N/A</v>
          </cell>
          <cell r="AU61" t="e">
            <v>#N/A</v>
          </cell>
          <cell r="AV61" t="e">
            <v>#N/A</v>
          </cell>
          <cell r="AW61" t="e">
            <v>#N/A</v>
          </cell>
          <cell r="AX61" t="e">
            <v>#N/A</v>
          </cell>
          <cell r="AY61">
            <v>5</v>
          </cell>
          <cell r="AZ61">
            <v>0</v>
          </cell>
          <cell r="BA61">
            <v>0</v>
          </cell>
          <cell r="BB61">
            <v>0</v>
          </cell>
          <cell r="BC61">
            <v>10</v>
          </cell>
          <cell r="BD61">
            <v>10</v>
          </cell>
          <cell r="BE61">
            <v>0</v>
          </cell>
          <cell r="BF61" t="e">
            <v>#N/A</v>
          </cell>
          <cell r="BG61" t="e">
            <v>#N/A</v>
          </cell>
        </row>
        <row r="62">
          <cell r="C62" t="str">
            <v>VPMLC-T2</v>
          </cell>
          <cell r="D62" t="e">
            <v>#N/A</v>
          </cell>
          <cell r="E62" t="str">
            <v>VPMLC</v>
          </cell>
          <cell r="F62" t="str">
            <v>2-54</v>
          </cell>
          <cell r="G62" t="str">
            <v>"Pneumatic Pumps" &amp; "Liquid Level Controllers"</v>
          </cell>
          <cell r="H62" t="str">
            <v>Volume</v>
          </cell>
          <cell r="I62" t="str">
            <v>Well Production - Single Well</v>
          </cell>
          <cell r="J62" t="str">
            <v>T2</v>
          </cell>
          <cell r="K62">
            <v>0</v>
          </cell>
          <cell r="L62">
            <v>71.123599999999996</v>
          </cell>
          <cell r="M62">
            <v>0</v>
          </cell>
          <cell r="N62">
            <v>0</v>
          </cell>
          <cell r="O62">
            <v>0</v>
          </cell>
          <cell r="P62">
            <v>10</v>
          </cell>
          <cell r="Q62">
            <v>0</v>
          </cell>
          <cell r="R62">
            <v>10</v>
          </cell>
          <cell r="S62">
            <v>100</v>
          </cell>
          <cell r="T62">
            <v>0</v>
          </cell>
          <cell r="U62">
            <v>0</v>
          </cell>
          <cell r="V62">
            <v>10</v>
          </cell>
          <cell r="W62">
            <v>5</v>
          </cell>
          <cell r="X62">
            <v>0</v>
          </cell>
          <cell r="Y62">
            <v>0</v>
          </cell>
          <cell r="Z62">
            <v>0</v>
          </cell>
          <cell r="AA62" t="str">
            <v>S</v>
          </cell>
          <cell r="AB62" t="str">
            <v>S</v>
          </cell>
          <cell r="AC62">
            <v>2.6459554916666669E-10</v>
          </cell>
          <cell r="AD62">
            <v>1.2081988546423137E-10</v>
          </cell>
          <cell r="AE62">
            <v>1.0573720127858805E-8</v>
          </cell>
          <cell r="AF62">
            <v>1.0573720127858805E-8</v>
          </cell>
          <cell r="AG62">
            <v>1.0573720127858805E-8</v>
          </cell>
          <cell r="AH62">
            <v>4.8281827067848429E-9</v>
          </cell>
          <cell r="AI62">
            <v>0</v>
          </cell>
          <cell r="AJ62">
            <v>0</v>
          </cell>
          <cell r="AK62">
            <v>0</v>
          </cell>
          <cell r="AL62">
            <v>0</v>
          </cell>
          <cell r="AM62">
            <v>6.6148887291666672E-11</v>
          </cell>
          <cell r="AN62">
            <v>6.6148887291666672E-11</v>
          </cell>
          <cell r="AO62">
            <v>3.2093284821875957E-9</v>
          </cell>
          <cell r="AP62">
            <v>2.9186815344095713E-9</v>
          </cell>
          <cell r="AQ62">
            <v>3.1010367176809389E-9</v>
          </cell>
          <cell r="AR62">
            <v>2.8201970149381441E-9</v>
          </cell>
          <cell r="AS62">
            <v>6.2835560255072395E-10</v>
          </cell>
          <cell r="AT62">
            <v>5.7144972986918952E-10</v>
          </cell>
          <cell r="AU62">
            <v>4.3584513008233665E-9</v>
          </cell>
          <cell r="AV62">
            <v>3.9637361525752831E-9</v>
          </cell>
          <cell r="AW62">
            <v>1.472909128159611E-8</v>
          </cell>
          <cell r="AX62">
            <v>1.3395178144221728E-8</v>
          </cell>
          <cell r="AY62">
            <v>5</v>
          </cell>
          <cell r="AZ62">
            <v>0</v>
          </cell>
          <cell r="BA62">
            <v>0</v>
          </cell>
          <cell r="BB62">
            <v>0</v>
          </cell>
          <cell r="BC62">
            <v>10</v>
          </cell>
          <cell r="BD62">
            <v>10</v>
          </cell>
          <cell r="BE62">
            <v>0</v>
          </cell>
          <cell r="BF62">
            <v>0</v>
          </cell>
          <cell r="BG62">
            <v>0</v>
          </cell>
        </row>
        <row r="63">
          <cell r="C63" t="str">
            <v>VBF-T2</v>
          </cell>
          <cell r="D63" t="e">
            <v>#N/A</v>
          </cell>
          <cell r="E63" t="str">
            <v>VBF</v>
          </cell>
          <cell r="F63" t="str">
            <v>2-56</v>
          </cell>
          <cell r="G63" t="str">
            <v>Blowdown Flaring</v>
          </cell>
          <cell r="H63" t="str">
            <v>Volume</v>
          </cell>
          <cell r="I63" t="str">
            <v>Well Production - Single Well</v>
          </cell>
          <cell r="J63" t="str">
            <v>T2</v>
          </cell>
          <cell r="K63">
            <v>0</v>
          </cell>
          <cell r="L63">
            <v>71.123599999999996</v>
          </cell>
          <cell r="M63">
            <v>0</v>
          </cell>
          <cell r="N63">
            <v>0</v>
          </cell>
          <cell r="O63">
            <v>0</v>
          </cell>
          <cell r="P63">
            <v>10</v>
          </cell>
          <cell r="Q63">
            <v>0</v>
          </cell>
          <cell r="R63">
            <v>10</v>
          </cell>
          <cell r="S63">
            <v>100</v>
          </cell>
          <cell r="T63">
            <v>0</v>
          </cell>
          <cell r="U63">
            <v>0</v>
          </cell>
          <cell r="V63">
            <v>10</v>
          </cell>
          <cell r="W63">
            <v>5</v>
          </cell>
          <cell r="X63">
            <v>0</v>
          </cell>
          <cell r="Y63">
            <v>0</v>
          </cell>
          <cell r="Z63">
            <v>0</v>
          </cell>
          <cell r="AA63" t="str">
            <v>S</v>
          </cell>
          <cell r="AB63" t="str">
            <v>S</v>
          </cell>
          <cell r="AC63">
            <v>2.6992028313092168E-2</v>
          </cell>
          <cell r="AD63">
            <v>9.2438453127027963E-6</v>
          </cell>
          <cell r="AE63">
            <v>1.1161358103303415E-5</v>
          </cell>
          <cell r="AF63">
            <v>3.7204527011011379E-6</v>
          </cell>
          <cell r="AG63">
            <v>4.6505658763764224E-7</v>
          </cell>
          <cell r="AH63">
            <v>3.8223829120902099E-9</v>
          </cell>
          <cell r="AI63">
            <v>1.4339347732487138E-6</v>
          </cell>
          <cell r="AJ63">
            <v>1.7446206407859349E-4</v>
          </cell>
          <cell r="AK63">
            <v>1.4339347732487138E-6</v>
          </cell>
          <cell r="AL63">
            <v>1.7446206407859349E-4</v>
          </cell>
          <cell r="AM63">
            <v>6.748007078273042E-3</v>
          </cell>
          <cell r="AN63">
            <v>8.4350088478413025E-4</v>
          </cell>
          <cell r="AO63">
            <v>5.9295335928010039E-5</v>
          </cell>
          <cell r="AP63">
            <v>2.0306621893154122E-8</v>
          </cell>
          <cell r="AQ63">
            <v>5.7294544612849221E-5</v>
          </cell>
          <cell r="AR63">
            <v>1.9621419387962059E-8</v>
          </cell>
          <cell r="AS63">
            <v>1.1609455604898233E-5</v>
          </cell>
          <cell r="AT63">
            <v>3.9758409605815865E-9</v>
          </cell>
          <cell r="AU63">
            <v>8.707091703673674E-5</v>
          </cell>
          <cell r="AV63">
            <v>2.9818807204361897E-8</v>
          </cell>
          <cell r="AW63">
            <v>2.7213369410576709E-4</v>
          </cell>
          <cell r="AX63">
            <v>9.3196470584166814E-8</v>
          </cell>
          <cell r="AY63">
            <v>5</v>
          </cell>
          <cell r="AZ63">
            <v>0</v>
          </cell>
          <cell r="BA63">
            <v>0</v>
          </cell>
          <cell r="BB63">
            <v>0</v>
          </cell>
          <cell r="BC63">
            <v>10</v>
          </cell>
          <cell r="BD63">
            <v>10</v>
          </cell>
          <cell r="BE63">
            <v>0</v>
          </cell>
          <cell r="BF63">
            <v>0</v>
          </cell>
          <cell r="BG63">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haust Flow Comparison"/>
      <sheetName val="Exhaust Flow Chart"/>
      <sheetName val="CTG Hourly Emissions"/>
      <sheetName val="CTG Concentrations"/>
    </sheetNames>
    <sheetDataSet>
      <sheetData sheetId="0"/>
      <sheetData sheetId="1" refreshError="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ctList"/>
      <sheetName val="Report"/>
      <sheetName val="Log"/>
      <sheetName val="Template"/>
      <sheetName val="TemplateSelectLists"/>
      <sheetName val="Emission Counting"/>
    </sheetNames>
    <sheetDataSet>
      <sheetData sheetId="0">
        <row r="1">
          <cell r="B1" t="str">
            <v>_ALL</v>
          </cell>
          <cell r="C1" t="str">
            <v>0 - 690</v>
          </cell>
          <cell r="D1" t="str">
            <v>00 - 000</v>
          </cell>
          <cell r="E1" t="str">
            <v>11 - 690</v>
          </cell>
          <cell r="F1" t="str">
            <v>11 - 694</v>
          </cell>
          <cell r="G1" t="str">
            <v>12 - 690</v>
          </cell>
          <cell r="H1" t="str">
            <v>12 - 694</v>
          </cell>
          <cell r="I1" t="str">
            <v>13 - 694</v>
          </cell>
          <cell r="J1" t="str">
            <v>21 - 691</v>
          </cell>
          <cell r="K1" t="str">
            <v>21 - 696</v>
          </cell>
          <cell r="L1" t="str">
            <v>22 - 691</v>
          </cell>
          <cell r="M1" t="str">
            <v>22 - 696</v>
          </cell>
          <cell r="N1" t="str">
            <v>23 - 691</v>
          </cell>
          <cell r="O1" t="str">
            <v>23 - 696</v>
          </cell>
          <cell r="P1" t="str">
            <v>24 - 691</v>
          </cell>
          <cell r="Q1" t="str">
            <v>24 - 696</v>
          </cell>
          <cell r="R1" t="str">
            <v>25 - 691</v>
          </cell>
          <cell r="S1" t="str">
            <v>25 - 696</v>
          </cell>
          <cell r="T1" t="str">
            <v>26 - 623</v>
          </cell>
          <cell r="U1" t="str">
            <v>27 - 410</v>
          </cell>
          <cell r="V1" t="str">
            <v>27 - 412</v>
          </cell>
          <cell r="W1" t="str">
            <v>27 - 416</v>
          </cell>
          <cell r="X1" t="str">
            <v>27 - 418</v>
          </cell>
          <cell r="Y1" t="str">
            <v>27 - 612</v>
          </cell>
          <cell r="Z1" t="str">
            <v>27 - 623</v>
          </cell>
          <cell r="AA1" t="str">
            <v>27 - 626</v>
          </cell>
          <cell r="AB1" t="str">
            <v>27 - 656</v>
          </cell>
          <cell r="AC1" t="str">
            <v>27 - 661</v>
          </cell>
          <cell r="AD1" t="str">
            <v>27 - 663</v>
          </cell>
          <cell r="AE1" t="str">
            <v>27 - 666</v>
          </cell>
          <cell r="AF1" t="str">
            <v>27 - 667</v>
          </cell>
          <cell r="AG1" t="str">
            <v>27 - 669</v>
          </cell>
          <cell r="AH1" t="str">
            <v>27 - 678</v>
          </cell>
          <cell r="AI1" t="str">
            <v>27 - 695</v>
          </cell>
          <cell r="AJ1" t="str">
            <v>28 - 626</v>
          </cell>
          <cell r="AK1" t="str">
            <v>28 - 661</v>
          </cell>
          <cell r="AL1" t="str">
            <v>28 - 663</v>
          </cell>
          <cell r="AM1" t="str">
            <v>28 - 666</v>
          </cell>
          <cell r="AN1" t="str">
            <v>28 - 667</v>
          </cell>
          <cell r="AO1" t="str">
            <v>28 - 669</v>
          </cell>
          <cell r="AP1" t="str">
            <v>28 - 695</v>
          </cell>
          <cell r="AQ1" t="str">
            <v>29 - 626</v>
          </cell>
          <cell r="AR1" t="str">
            <v>29 - 661</v>
          </cell>
          <cell r="AS1" t="str">
            <v>29 - 663</v>
          </cell>
          <cell r="AT1" t="str">
            <v>29 - 666</v>
          </cell>
          <cell r="AU1" t="str">
            <v>29 - 667</v>
          </cell>
          <cell r="AV1" t="str">
            <v>29 - 669</v>
          </cell>
          <cell r="AW1" t="str">
            <v>29 - 695</v>
          </cell>
          <cell r="AX1" t="str">
            <v>32 - 657</v>
          </cell>
          <cell r="AY1" t="str">
            <v>32 - 693</v>
          </cell>
          <cell r="AZ1" t="str">
            <v>32 - 696</v>
          </cell>
          <cell r="BA1" t="str">
            <v>34 - 791</v>
          </cell>
          <cell r="BB1" t="str">
            <v>42 - 616</v>
          </cell>
          <cell r="BC1" t="str">
            <v>42 - 656</v>
          </cell>
          <cell r="BD1" t="str">
            <v>42 - 690</v>
          </cell>
          <cell r="BE1" t="str">
            <v>48 - 411</v>
          </cell>
          <cell r="BF1" t="str">
            <v>48 - 412</v>
          </cell>
          <cell r="BG1" t="str">
            <v>48 - 837</v>
          </cell>
          <cell r="BH1" t="str">
            <v>48 - 911</v>
          </cell>
          <cell r="BI1" t="str">
            <v>48 - 943</v>
          </cell>
          <cell r="BJ1" t="str">
            <v>48 - 945</v>
          </cell>
          <cell r="BK1" t="str">
            <v>48 - 948</v>
          </cell>
          <cell r="BL1" t="str">
            <v>48 - 951</v>
          </cell>
          <cell r="BM1" t="str">
            <v>48 - 952</v>
          </cell>
          <cell r="BN1" t="str">
            <v>48 - 955</v>
          </cell>
          <cell r="BO1" t="str">
            <v>48 - 956</v>
          </cell>
          <cell r="BP1" t="str">
            <v>48 - 961</v>
          </cell>
          <cell r="BQ1" t="str">
            <v>48 - 965</v>
          </cell>
          <cell r="BR1" t="str">
            <v>48 - 966</v>
          </cell>
          <cell r="BS1" t="str">
            <v>48 - 976</v>
          </cell>
          <cell r="BT1" t="str">
            <v>48 - 977</v>
          </cell>
          <cell r="BU1" t="str">
            <v>48 - 983</v>
          </cell>
          <cell r="BV1" t="str">
            <v>48 - 984</v>
          </cell>
          <cell r="BW1" t="str">
            <v>48 - 987</v>
          </cell>
          <cell r="BX1" t="str">
            <v>49 - 612</v>
          </cell>
          <cell r="BY1" t="str">
            <v>49 - 634</v>
          </cell>
          <cell r="BZ1" t="str">
            <v>49 - 651</v>
          </cell>
          <cell r="CA1" t="str">
            <v>49 - 667</v>
          </cell>
          <cell r="CB1" t="str">
            <v>49 - 678</v>
          </cell>
          <cell r="CC1" t="str">
            <v>49 - 679</v>
          </cell>
          <cell r="CD1" t="str">
            <v>49 - 692</v>
          </cell>
          <cell r="CE1" t="str">
            <v>49 - 964</v>
          </cell>
          <cell r="CF1" t="str">
            <v>49 - 965</v>
          </cell>
        </row>
        <row r="6">
          <cell r="B6" t="str">
            <v>1/2"</v>
          </cell>
          <cell r="C6" t="str">
            <v>3/4"</v>
          </cell>
          <cell r="D6" t="str">
            <v>1"</v>
          </cell>
          <cell r="E6" t="str">
            <v>1-1/2"</v>
          </cell>
          <cell r="F6" t="str">
            <v>2"</v>
          </cell>
          <cell r="G6" t="str">
            <v>3"</v>
          </cell>
          <cell r="H6" t="str">
            <v>4"</v>
          </cell>
          <cell r="I6" t="str">
            <v>6"</v>
          </cell>
          <cell r="J6" t="str">
            <v>8"</v>
          </cell>
          <cell r="K6" t="str">
            <v>10"</v>
          </cell>
          <cell r="L6" t="str">
            <v>12"</v>
          </cell>
          <cell r="M6" t="str">
            <v>14"</v>
          </cell>
          <cell r="N6" t="str">
            <v>16"</v>
          </cell>
          <cell r="O6" t="str">
            <v>18"</v>
          </cell>
          <cell r="P6" t="str">
            <v>20"</v>
          </cell>
          <cell r="Q6" t="str">
            <v>22"</v>
          </cell>
          <cell r="R6" t="str">
            <v>24"</v>
          </cell>
          <cell r="S6" t="str">
            <v>26"</v>
          </cell>
          <cell r="T6" t="str">
            <v>28"</v>
          </cell>
          <cell r="U6" t="str">
            <v>30"</v>
          </cell>
          <cell r="V6" t="str">
            <v>32"</v>
          </cell>
          <cell r="W6" t="str">
            <v>34"</v>
          </cell>
          <cell r="X6" t="str">
            <v>36"</v>
          </cell>
          <cell r="Y6" t="str">
            <v>38"</v>
          </cell>
          <cell r="Z6" t="str">
            <v>40"</v>
          </cell>
          <cell r="AA6" t="str">
            <v>42"</v>
          </cell>
          <cell r="AB6" t="str">
            <v>44"</v>
          </cell>
          <cell r="AC6" t="str">
            <v>48"</v>
          </cell>
          <cell r="AD6" t="str">
            <v>50"</v>
          </cell>
          <cell r="AE6" t="str">
            <v>52"</v>
          </cell>
          <cell r="AF6" t="str">
            <v>54"</v>
          </cell>
          <cell r="AG6" t="str">
            <v>56"</v>
          </cell>
          <cell r="AH6" t="str">
            <v>58"</v>
          </cell>
          <cell r="AI6" t="str">
            <v>60"</v>
          </cell>
          <cell r="AJ6" t="str">
            <v>64"</v>
          </cell>
          <cell r="AK6" t="str">
            <v>66"</v>
          </cell>
          <cell r="AL6" t="str">
            <v>68"</v>
          </cell>
          <cell r="AM6" t="str">
            <v>72"</v>
          </cell>
          <cell r="AN6" t="str">
            <v>76"</v>
          </cell>
          <cell r="AO6" t="str">
            <v>78"</v>
          </cell>
          <cell r="AP6" t="str">
            <v>80"</v>
          </cell>
        </row>
        <row r="8">
          <cell r="B8" t="str">
            <v/>
          </cell>
          <cell r="C8" t="str">
            <v>A</v>
          </cell>
          <cell r="D8" t="str">
            <v>C</v>
          </cell>
          <cell r="E8" t="str">
            <v>CP</v>
          </cell>
          <cell r="F8" t="str">
            <v>E</v>
          </cell>
          <cell r="G8" t="str">
            <v>H</v>
          </cell>
          <cell r="H8" t="str">
            <v>J</v>
          </cell>
          <cell r="I8" t="str">
            <v>N</v>
          </cell>
          <cell r="J8" t="str">
            <v>P</v>
          </cell>
          <cell r="K8" t="str">
            <v>RS</v>
          </cell>
        </row>
        <row r="10">
          <cell r="B10" t="str">
            <v>New</v>
          </cell>
          <cell r="C10" t="str">
            <v>Existing</v>
          </cell>
          <cell r="D10" t="str">
            <v>Revamp</v>
          </cell>
          <cell r="E10" t="str">
            <v>Existing, to be relocated and reused</v>
          </cell>
          <cell r="F10" t="str">
            <v>Temporary</v>
          </cell>
          <cell r="G10" t="str">
            <v>Dismantle</v>
          </cell>
          <cell r="H10" t="str">
            <v>Future</v>
          </cell>
          <cell r="I10" t="str">
            <v>Recalibrate</v>
          </cell>
          <cell r="J10" t="str">
            <v>Existing, to be reused in place</v>
          </cell>
          <cell r="K10" t="str">
            <v>Existing, to be modified</v>
          </cell>
          <cell r="L10" t="str">
            <v>Existing, to be modified and relocated</v>
          </cell>
          <cell r="M10" t="str">
            <v>Proposed</v>
          </cell>
          <cell r="N10" t="str">
            <v>Existing, not to be revamped</v>
          </cell>
        </row>
        <row r="11">
          <cell r="B11" t="str">
            <v/>
          </cell>
          <cell r="C11" t="str">
            <v>By A</v>
          </cell>
          <cell r="D11" t="str">
            <v>By B</v>
          </cell>
          <cell r="E11" t="str">
            <v>By C</v>
          </cell>
          <cell r="F11" t="str">
            <v>By Contractor</v>
          </cell>
          <cell r="G11" t="str">
            <v>By D</v>
          </cell>
          <cell r="H11" t="str">
            <v>By E</v>
          </cell>
          <cell r="I11" t="str">
            <v>By Equip Vendor</v>
          </cell>
          <cell r="J11" t="str">
            <v>By Instruments</v>
          </cell>
          <cell r="K11" t="str">
            <v>By Others</v>
          </cell>
          <cell r="L11" t="str">
            <v>By Owner</v>
          </cell>
          <cell r="M11" t="str">
            <v>By Piping</v>
          </cell>
          <cell r="N11" t="str">
            <v>By Vendor</v>
          </cell>
          <cell r="O11" t="str">
            <v>CBI</v>
          </cell>
          <cell r="P11" t="str">
            <v>Included</v>
          </cell>
          <cell r="Q11" t="str">
            <v>None</v>
          </cell>
        </row>
      </sheetData>
      <sheetData sheetId="1" refreshError="1"/>
      <sheetData sheetId="2" refreshError="1"/>
      <sheetData sheetId="3">
        <row r="2">
          <cell r="D2" t="str">
            <v>Column</v>
          </cell>
          <cell r="E2" t="str">
            <v>Attribute</v>
          </cell>
          <cell r="F2" t="str">
            <v>Display</v>
          </cell>
          <cell r="G2" t="str">
            <v>Table</v>
          </cell>
          <cell r="H2" t="str">
            <v>ReadOnly</v>
          </cell>
          <cell r="I2" t="str">
            <v>ShortValue</v>
          </cell>
          <cell r="J2" t="str">
            <v>Sort</v>
          </cell>
          <cell r="K2" t="str">
            <v>Hide</v>
          </cell>
        </row>
        <row r="3">
          <cell r="A3" t="str">
            <v>ReportName</v>
          </cell>
        </row>
        <row r="4">
          <cell r="A4" t="str">
            <v>ObjectType</v>
          </cell>
        </row>
        <row r="5">
          <cell r="A5" t="str">
            <v>FilterType</v>
          </cell>
        </row>
        <row r="6">
          <cell r="A6" t="str">
            <v>LastRowHeader</v>
          </cell>
        </row>
        <row r="7">
          <cell r="A7" t="str">
            <v>CleanOutput</v>
          </cell>
        </row>
        <row r="8">
          <cell r="A8" t="str">
            <v>RestrictToProject</v>
          </cell>
        </row>
        <row r="16">
          <cell r="A16" t="str">
            <v>SmartPlant Filter</v>
          </cell>
        </row>
        <row r="20">
          <cell r="A20" t="str">
            <v>Attribute</v>
          </cell>
        </row>
        <row r="21">
          <cell r="A21" t="str">
            <v>Operator</v>
          </cell>
        </row>
        <row r="22">
          <cell r="A22" t="str">
            <v>Value</v>
          </cell>
        </row>
        <row r="26">
          <cell r="A26" t="str">
            <v>Attribute</v>
          </cell>
        </row>
        <row r="27">
          <cell r="A27" t="str">
            <v>Operator</v>
          </cell>
        </row>
        <row r="28">
          <cell r="A28" t="str">
            <v>Value</v>
          </cell>
        </row>
        <row r="32">
          <cell r="A32" t="str">
            <v>Attribute</v>
          </cell>
        </row>
        <row r="33">
          <cell r="A33" t="str">
            <v>Operator</v>
          </cell>
        </row>
        <row r="34">
          <cell r="A34" t="str">
            <v>Value</v>
          </cell>
        </row>
      </sheetData>
      <sheetData sheetId="4">
        <row r="2">
          <cell r="A2" t="str">
            <v>Yes</v>
          </cell>
          <cell r="B2">
            <v>1</v>
          </cell>
          <cell r="C2" t="str">
            <v>Custom 1</v>
          </cell>
          <cell r="D2" t="str">
            <v>AreaBreak</v>
          </cell>
          <cell r="E2" t="str">
            <v>AreaBreak</v>
          </cell>
          <cell r="F2" t="str">
            <v>SPItems</v>
          </cell>
        </row>
        <row r="3">
          <cell r="A3" t="str">
            <v>No</v>
          </cell>
          <cell r="B3">
            <v>2</v>
          </cell>
          <cell r="C3" t="str">
            <v>Custom 2 - AND</v>
          </cell>
          <cell r="D3" t="str">
            <v>Drawing</v>
          </cell>
          <cell r="E3" t="str">
            <v>AttachedPipeRun1</v>
          </cell>
          <cell r="F3" t="str">
            <v>Valves</v>
          </cell>
        </row>
        <row r="4">
          <cell r="B4">
            <v>3</v>
          </cell>
          <cell r="C4" t="str">
            <v>Custom 2 - OR</v>
          </cell>
          <cell r="D4" t="str">
            <v>Equipment</v>
          </cell>
          <cell r="E4" t="str">
            <v>AttachedPipeRun1PlantGroupObject</v>
          </cell>
        </row>
        <row r="5">
          <cell r="C5" t="str">
            <v>Custom 3 - AND</v>
          </cell>
          <cell r="D5" t="str">
            <v>Exchanger</v>
          </cell>
          <cell r="E5" t="str">
            <v>AttachedPipeRun2</v>
          </cell>
        </row>
        <row r="6">
          <cell r="C6" t="str">
            <v>Custom 3 - OR</v>
          </cell>
          <cell r="D6" t="str">
            <v>Instrument</v>
          </cell>
          <cell r="E6" t="str">
            <v>AttachedPipeRun2PlantGroupObject</v>
          </cell>
        </row>
        <row r="7">
          <cell r="C7" t="str">
            <v>SmartPlant Filter</v>
          </cell>
          <cell r="D7" t="str">
            <v>InstrumentLoop</v>
          </cell>
          <cell r="E7" t="str">
            <v>BLANK</v>
          </cell>
        </row>
        <row r="8">
          <cell r="D8" t="str">
            <v>ItemNote</v>
          </cell>
          <cell r="E8" t="str">
            <v>Drawing</v>
          </cell>
        </row>
        <row r="9">
          <cell r="D9" t="str">
            <v>Mechanical</v>
          </cell>
          <cell r="E9" t="str">
            <v>Equipment</v>
          </cell>
        </row>
        <row r="10">
          <cell r="D10" t="str">
            <v>Nozzle</v>
          </cell>
          <cell r="E10" t="str">
            <v>Exchanger</v>
          </cell>
        </row>
        <row r="11">
          <cell r="D11" t="str">
            <v>OPC</v>
          </cell>
          <cell r="E11" t="str">
            <v>History</v>
          </cell>
        </row>
        <row r="12">
          <cell r="D12" t="str">
            <v>PipeRun</v>
          </cell>
          <cell r="E12" t="str">
            <v>InlineComponent</v>
          </cell>
        </row>
        <row r="13">
          <cell r="D13" t="str">
            <v>PipingComponent</v>
          </cell>
          <cell r="E13" t="str">
            <v>Instrument</v>
          </cell>
        </row>
        <row r="14">
          <cell r="D14" t="str">
            <v>SignalRun</v>
          </cell>
          <cell r="E14" t="str">
            <v>InstrumentLoop</v>
          </cell>
        </row>
        <row r="15">
          <cell r="D15" t="str">
            <v>Vessel</v>
          </cell>
          <cell r="E15" t="str">
            <v>ItemNote</v>
          </cell>
        </row>
        <row r="16">
          <cell r="E16" t="str">
            <v>Mechanical</v>
          </cell>
        </row>
        <row r="17">
          <cell r="E17" t="str">
            <v>Nozzle</v>
          </cell>
        </row>
        <row r="18">
          <cell r="E18" t="str">
            <v>OPC</v>
          </cell>
        </row>
        <row r="19">
          <cell r="E19" t="str">
            <v>PartofPlantObject</v>
          </cell>
        </row>
        <row r="20">
          <cell r="E20" t="str">
            <v>PipeRun</v>
          </cell>
        </row>
        <row r="21">
          <cell r="E21" t="str">
            <v>PipeRunBranch</v>
          </cell>
        </row>
        <row r="22">
          <cell r="E22" t="str">
            <v>PipeRunPlantGroupObject</v>
          </cell>
        </row>
        <row r="23">
          <cell r="E23" t="str">
            <v>PipingComponent</v>
          </cell>
        </row>
        <row r="24">
          <cell r="E24" t="str">
            <v>PipingPoint1</v>
          </cell>
        </row>
        <row r="25">
          <cell r="E25" t="str">
            <v>PipingPoint2</v>
          </cell>
        </row>
        <row r="26">
          <cell r="E26" t="str">
            <v>PipingPoint3</v>
          </cell>
        </row>
        <row r="27">
          <cell r="E27" t="str">
            <v>PipingPoint4</v>
          </cell>
        </row>
        <row r="28">
          <cell r="E28" t="str">
            <v>PipingPoint5</v>
          </cell>
        </row>
        <row r="29">
          <cell r="E29" t="str">
            <v>PipingPoint6</v>
          </cell>
        </row>
        <row r="30">
          <cell r="E30" t="str">
            <v>PipingPoint7</v>
          </cell>
        </row>
        <row r="31">
          <cell r="E31" t="str">
            <v>PipingPoint8</v>
          </cell>
        </row>
        <row r="32">
          <cell r="E32" t="str">
            <v>PlantGroupObject</v>
          </cell>
        </row>
        <row r="33">
          <cell r="E33" t="str">
            <v>Representation</v>
          </cell>
        </row>
        <row r="34">
          <cell r="E34" t="str">
            <v>SignalPoint1</v>
          </cell>
        </row>
        <row r="35">
          <cell r="E35" t="str">
            <v>SignalPoint2</v>
          </cell>
        </row>
        <row r="36">
          <cell r="E36" t="str">
            <v>SignalPoint3</v>
          </cell>
        </row>
        <row r="37">
          <cell r="E37" t="str">
            <v>SignalPoint4</v>
          </cell>
        </row>
        <row r="38">
          <cell r="E38" t="str">
            <v>SignalPoint5</v>
          </cell>
        </row>
        <row r="39">
          <cell r="E39" t="str">
            <v>SignalPoint6</v>
          </cell>
        </row>
        <row r="40">
          <cell r="E40" t="str">
            <v>SignalPoint7</v>
          </cell>
        </row>
        <row r="41">
          <cell r="E41" t="str">
            <v>SignalPoint8</v>
          </cell>
        </row>
        <row r="42">
          <cell r="E42" t="str">
            <v>SignalRun</v>
          </cell>
        </row>
        <row r="43">
          <cell r="E43" t="str">
            <v>Symbol</v>
          </cell>
        </row>
        <row r="44">
          <cell r="E44" t="str">
            <v>Vessel</v>
          </cell>
        </row>
        <row r="45">
          <cell r="E45" t="str">
            <v>WorkshareSite</v>
          </cell>
        </row>
        <row r="46">
          <cell r="E46" t="str">
            <v>XYCoordinate</v>
          </cell>
        </row>
        <row r="47">
          <cell r="E47" t="str">
            <v>XYCoordinateMetric</v>
          </cell>
        </row>
      </sheetData>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BE1201"/>
  <sheetViews>
    <sheetView tabSelected="1" zoomScale="90" zoomScaleNormal="90" workbookViewId="0">
      <selection activeCell="M50" sqref="M50"/>
    </sheetView>
  </sheetViews>
  <sheetFormatPr defaultColWidth="9.140625" defaultRowHeight="11.25"/>
  <cols>
    <col min="1" max="1" width="5" style="25" customWidth="1"/>
    <col min="2" max="2" width="9.140625" style="26" customWidth="1"/>
    <col min="3" max="3" width="38.5703125" style="26" customWidth="1"/>
    <col min="4" max="4" width="10.85546875" style="27" customWidth="1"/>
    <col min="5" max="5" width="11.140625" style="27" customWidth="1"/>
    <col min="6" max="8" width="6.140625" style="27" customWidth="1"/>
    <col min="9" max="10" width="10.7109375" style="26" customWidth="1"/>
    <col min="11" max="11" width="10" style="26" customWidth="1"/>
    <col min="12" max="12" width="11.42578125" style="26" customWidth="1"/>
    <col min="13" max="13" width="9.85546875" style="26" customWidth="1"/>
    <col min="14" max="14" width="10.28515625" style="26" customWidth="1"/>
    <col min="15" max="15" width="9.85546875" style="26" customWidth="1"/>
    <col min="16" max="16" width="10" style="26" customWidth="1"/>
    <col min="17" max="17" width="5.5703125" style="26" customWidth="1"/>
    <col min="18" max="18" width="6.7109375" style="26" customWidth="1"/>
    <col min="19" max="19" width="9.85546875" style="26" customWidth="1"/>
    <col min="20" max="23" width="9.28515625" style="26" customWidth="1"/>
    <col min="24" max="27" width="6.7109375" style="26" customWidth="1"/>
    <col min="28" max="28" width="13.5703125" style="28" customWidth="1"/>
    <col min="29" max="29" width="11.28515625" style="28" customWidth="1"/>
    <col min="30" max="30" width="13.7109375" style="28" customWidth="1"/>
    <col min="31" max="31" width="13.42578125" style="28" customWidth="1"/>
    <col min="32" max="32" width="10.7109375" style="195" customWidth="1"/>
    <col min="33" max="33" width="8.42578125" style="29" customWidth="1"/>
    <col min="34" max="34" width="10.7109375" style="25" bestFit="1" customWidth="1"/>
    <col min="35" max="35" width="8.42578125" style="25" customWidth="1"/>
    <col min="36" max="39" width="6.7109375" style="25" customWidth="1"/>
    <col min="40" max="40" width="10.7109375" style="25" bestFit="1" customWidth="1"/>
    <col min="41" max="41" width="8.42578125" style="25" customWidth="1"/>
    <col min="42" max="43" width="6.7109375" style="25" customWidth="1"/>
    <col min="44" max="44" width="5.5703125" style="25" customWidth="1"/>
    <col min="45" max="46" width="6.7109375" style="25" customWidth="1"/>
    <col min="47" max="47" width="10.7109375" style="25" bestFit="1" customWidth="1"/>
    <col min="48" max="48" width="8.42578125" style="25" customWidth="1"/>
    <col min="49" max="49" width="10.7109375" style="25" bestFit="1" customWidth="1"/>
    <col min="50" max="50" width="8.42578125" style="25" customWidth="1"/>
    <col min="51" max="51" width="3.28515625" style="25" customWidth="1"/>
    <col min="52" max="52" width="10.7109375" style="25" bestFit="1" customWidth="1"/>
    <col min="53" max="53" width="6.7109375" style="25" customWidth="1"/>
    <col min="54" max="54" width="8.140625" style="25" customWidth="1"/>
    <col min="55" max="55" width="9.140625" style="25"/>
    <col min="56" max="56" width="12.140625" style="25" bestFit="1" customWidth="1"/>
    <col min="57" max="57" width="11.28515625" style="25" bestFit="1" customWidth="1"/>
    <col min="58" max="16384" width="9.140625" style="25"/>
  </cols>
  <sheetData>
    <row r="2" spans="1:33">
      <c r="A2" s="195">
        <v>1</v>
      </c>
      <c r="B2" s="196">
        <f>A2+1</f>
        <v>2</v>
      </c>
      <c r="C2" s="196">
        <f t="shared" ref="C2:AA2" si="0">B2+1</f>
        <v>3</v>
      </c>
      <c r="D2" s="196">
        <f t="shared" si="0"/>
        <v>4</v>
      </c>
      <c r="E2" s="196">
        <f t="shared" si="0"/>
        <v>5</v>
      </c>
      <c r="F2" s="196">
        <f t="shared" si="0"/>
        <v>6</v>
      </c>
      <c r="G2" s="196">
        <f t="shared" si="0"/>
        <v>7</v>
      </c>
      <c r="H2" s="196">
        <f t="shared" si="0"/>
        <v>8</v>
      </c>
      <c r="I2" s="196">
        <f t="shared" si="0"/>
        <v>9</v>
      </c>
      <c r="J2" s="196">
        <f t="shared" si="0"/>
        <v>10</v>
      </c>
      <c r="K2" s="196">
        <f t="shared" si="0"/>
        <v>11</v>
      </c>
      <c r="L2" s="196">
        <f t="shared" si="0"/>
        <v>12</v>
      </c>
      <c r="M2" s="196">
        <f t="shared" si="0"/>
        <v>13</v>
      </c>
      <c r="N2" s="196">
        <f t="shared" si="0"/>
        <v>14</v>
      </c>
      <c r="O2" s="196">
        <f t="shared" si="0"/>
        <v>15</v>
      </c>
      <c r="P2" s="196">
        <f t="shared" si="0"/>
        <v>16</v>
      </c>
      <c r="Q2" s="196">
        <v>17</v>
      </c>
      <c r="R2" s="196">
        <v>18</v>
      </c>
      <c r="S2" s="196">
        <v>19</v>
      </c>
      <c r="T2" s="196">
        <f t="shared" si="0"/>
        <v>20</v>
      </c>
      <c r="U2" s="196">
        <v>21</v>
      </c>
      <c r="V2" s="196">
        <v>22</v>
      </c>
      <c r="W2" s="196">
        <v>23</v>
      </c>
      <c r="X2" s="196">
        <v>24</v>
      </c>
      <c r="Y2" s="196">
        <v>25</v>
      </c>
      <c r="Z2" s="196">
        <f t="shared" si="0"/>
        <v>26</v>
      </c>
      <c r="AA2" s="196">
        <f t="shared" si="0"/>
        <v>27</v>
      </c>
      <c r="AB2" s="446" t="s">
        <v>397</v>
      </c>
      <c r="AC2" s="446"/>
      <c r="AD2" s="446"/>
      <c r="AE2" s="446"/>
    </row>
    <row r="3" spans="1:33" ht="15" customHeight="1">
      <c r="B3" s="449" t="s">
        <v>227</v>
      </c>
      <c r="C3" s="451" t="s">
        <v>233</v>
      </c>
      <c r="D3" s="453" t="s">
        <v>24</v>
      </c>
      <c r="E3" s="453"/>
      <c r="F3" s="453"/>
      <c r="G3" s="154"/>
      <c r="H3" s="154"/>
      <c r="I3" s="454" t="s">
        <v>8</v>
      </c>
      <c r="J3" s="455"/>
      <c r="K3" s="455"/>
      <c r="L3" s="455"/>
      <c r="M3" s="455"/>
      <c r="N3" s="456"/>
      <c r="O3" s="151"/>
      <c r="P3" s="151"/>
      <c r="Q3" s="187"/>
      <c r="R3" s="187"/>
      <c r="S3" s="151"/>
      <c r="T3" s="151"/>
      <c r="U3" s="221"/>
      <c r="V3" s="151"/>
      <c r="W3" s="221"/>
      <c r="X3" s="447" t="s">
        <v>11</v>
      </c>
      <c r="Y3" s="447"/>
      <c r="Z3" s="447"/>
      <c r="AA3" s="447"/>
      <c r="AB3" s="278">
        <v>1988</v>
      </c>
      <c r="AC3" s="278">
        <v>1979</v>
      </c>
      <c r="AD3" s="278">
        <v>1982</v>
      </c>
      <c r="AE3" s="278" t="s">
        <v>401</v>
      </c>
    </row>
    <row r="4" spans="1:33" ht="50.25" customHeight="1">
      <c r="B4" s="450"/>
      <c r="C4" s="452"/>
      <c r="D4" s="152" t="s">
        <v>13</v>
      </c>
      <c r="E4" s="152" t="s">
        <v>25</v>
      </c>
      <c r="F4" s="80" t="s">
        <v>244</v>
      </c>
      <c r="G4" s="80" t="s">
        <v>298</v>
      </c>
      <c r="H4" s="80" t="s">
        <v>299</v>
      </c>
      <c r="I4" s="153" t="s">
        <v>225</v>
      </c>
      <c r="J4" s="153" t="s">
        <v>302</v>
      </c>
      <c r="K4" s="153" t="s">
        <v>391</v>
      </c>
      <c r="L4" s="232" t="s">
        <v>392</v>
      </c>
      <c r="M4" s="153" t="s">
        <v>226</v>
      </c>
      <c r="N4" s="153" t="s">
        <v>12</v>
      </c>
      <c r="O4" s="153" t="s">
        <v>300</v>
      </c>
      <c r="P4" s="153" t="s">
        <v>301</v>
      </c>
      <c r="Q4" s="206" t="s">
        <v>322</v>
      </c>
      <c r="R4" s="206" t="s">
        <v>319</v>
      </c>
      <c r="S4" s="206" t="s">
        <v>343</v>
      </c>
      <c r="T4" s="206" t="s">
        <v>344</v>
      </c>
      <c r="U4" s="206" t="s">
        <v>345</v>
      </c>
      <c r="V4" s="206" t="s">
        <v>346</v>
      </c>
      <c r="W4" s="206" t="s">
        <v>347</v>
      </c>
      <c r="X4" s="153" t="s">
        <v>231</v>
      </c>
      <c r="Y4" s="153" t="s">
        <v>228</v>
      </c>
      <c r="Z4" s="153" t="s">
        <v>229</v>
      </c>
      <c r="AA4" s="153" t="s">
        <v>230</v>
      </c>
      <c r="AB4" s="10" t="s">
        <v>65</v>
      </c>
      <c r="AC4" s="10" t="s">
        <v>66</v>
      </c>
      <c r="AD4" s="10" t="s">
        <v>67</v>
      </c>
      <c r="AE4" s="10" t="s">
        <v>68</v>
      </c>
      <c r="AF4" s="10" t="s">
        <v>411</v>
      </c>
      <c r="AG4" s="277" t="s">
        <v>45</v>
      </c>
    </row>
    <row r="5" spans="1:33">
      <c r="A5" s="25">
        <v>1</v>
      </c>
      <c r="B5" s="32" t="s">
        <v>134</v>
      </c>
      <c r="C5" s="33" t="s">
        <v>92</v>
      </c>
      <c r="D5" s="34">
        <v>589027.6</v>
      </c>
      <c r="E5" s="34">
        <v>6728817.5999999996</v>
      </c>
      <c r="F5" s="158">
        <v>40</v>
      </c>
      <c r="G5" s="158">
        <v>-20.289932373900001</v>
      </c>
      <c r="H5" s="158">
        <v>187.64031474199999</v>
      </c>
      <c r="I5" s="301">
        <f>J5</f>
        <v>2.6844887620497211</v>
      </c>
      <c r="J5" s="346">
        <f>'[27]2011Original Data Other Sources'!$N$1749*(2000*453.59/(8760*3600))</f>
        <v>2.6844887620497211</v>
      </c>
      <c r="K5" s="301">
        <f>L5</f>
        <v>7.277921740233384E-2</v>
      </c>
      <c r="L5" s="346">
        <f>'[27]2011Original Data Other Sources'!$N$3195*(2000*453.59/(8760*3600))</f>
        <v>7.277921740233384E-2</v>
      </c>
      <c r="M5" s="346">
        <f>O5</f>
        <v>2.6465169964485034E-2</v>
      </c>
      <c r="N5" s="346">
        <f>O5</f>
        <v>2.6465169964485034E-2</v>
      </c>
      <c r="O5" s="346">
        <f>'[27]2011Original Data Other Sources'!$N$5894*(2000*453.59/(8760*3600))</f>
        <v>2.6465169964485034E-2</v>
      </c>
      <c r="P5" s="346">
        <f>'[27]2011Original Data Other Sources'!$N$517*(2000*453.59/(8760*3600))</f>
        <v>0.80517402968036533</v>
      </c>
      <c r="Q5" s="207" t="s">
        <v>320</v>
      </c>
      <c r="R5" s="207" t="s">
        <v>321</v>
      </c>
      <c r="S5" s="207">
        <f>$K5*(VLOOKUP($Q5 &amp;"|"&amp; $R5,'AQRV Speciation'!$B$8:$G$22,2,FALSE))</f>
        <v>0</v>
      </c>
      <c r="T5" s="207">
        <f>$K5*(VLOOKUP($Q5 &amp;"|"&amp; $R5,'AQRV Speciation'!$B$8:$G$22,3,FALSE))</f>
        <v>1.819480435058346E-2</v>
      </c>
      <c r="U5" s="207">
        <f>$K5*(VLOOKUP($Q5 &amp;"|"&amp; $R5,'AQRV Speciation'!$B$8:$G$22,4,FALSE))</f>
        <v>1.819480435058346E-2</v>
      </c>
      <c r="V5" s="207">
        <f>$K5*(VLOOKUP($Q5 &amp;"|"&amp; $R5,'AQRV Speciation'!$B$8:$G$22,5,FALSE))</f>
        <v>5.4584413051750387E-2</v>
      </c>
      <c r="W5" s="207">
        <f>$K5*(VLOOKUP($Q5 &amp;"|"&amp; $R5,'AQRV Speciation'!$B$8:$G$22,6,FALSE))</f>
        <v>5.4584413051750387E-2</v>
      </c>
      <c r="X5" s="35">
        <f>VLOOKUP(B5,'[28]FOR Stack Parameters'!$A$2:$O$38,12,FALSE)</f>
        <v>15.849600000000001</v>
      </c>
      <c r="Y5" s="309">
        <f>VLOOKUP(B5,'[28]FOR Stack Parameters'!$A$2:$O$38,13,FALSE)</f>
        <v>602.03888888888889</v>
      </c>
      <c r="Z5" s="35">
        <f>VLOOKUP(B5,'[28]FOR Stack Parameters'!$A$2:$O$38,14,FALSE)</f>
        <v>6.7056000000000004</v>
      </c>
      <c r="AA5" s="35">
        <f>VLOOKUP(B5,'[28]FOR Stack Parameters'!$A$2:$O$38,15,FALSE)</f>
        <v>1.524</v>
      </c>
      <c r="AB5" s="36" t="str">
        <f>IF(AF5&gt;$AB$3,"Yes","No")</f>
        <v>No</v>
      </c>
      <c r="AC5" s="36" t="str">
        <f>IF(AF5&gt;$AC$3,"Yes","No")</f>
        <v>No</v>
      </c>
      <c r="AD5" s="36" t="str">
        <f>IF(AF5&gt;$AD$3,"Yes","No")</f>
        <v>No</v>
      </c>
      <c r="AE5" s="36" t="s">
        <v>63</v>
      </c>
      <c r="AF5" s="51">
        <v>1969</v>
      </c>
      <c r="AG5" s="37"/>
    </row>
    <row r="6" spans="1:33">
      <c r="A6" s="25">
        <f>A5+1</f>
        <v>2</v>
      </c>
      <c r="B6" s="32" t="s">
        <v>135</v>
      </c>
      <c r="C6" s="33" t="s">
        <v>93</v>
      </c>
      <c r="D6" s="34">
        <v>589028.01500000001</v>
      </c>
      <c r="E6" s="34">
        <v>6728824.9409999996</v>
      </c>
      <c r="F6" s="38">
        <v>40</v>
      </c>
      <c r="G6" s="38">
        <v>-20.289299015600001</v>
      </c>
      <c r="H6" s="38">
        <v>187.647669732</v>
      </c>
      <c r="I6" s="301">
        <f t="shared" ref="I6:I44" si="1">J6</f>
        <v>0.76461328006088281</v>
      </c>
      <c r="J6" s="346">
        <f>'[27]2011Original Data Other Sources'!$N$1732*(2000*453.59/(8760*3600))</f>
        <v>0.76461328006088281</v>
      </c>
      <c r="K6" s="301">
        <f t="shared" ref="K6:K44" si="2">L6</f>
        <v>9.4929414003044138E-2</v>
      </c>
      <c r="L6" s="346">
        <f>'[27]2011Original Data Other Sources'!$N$3178*(2000*453.59/(8760*3600))</f>
        <v>9.4929414003044138E-2</v>
      </c>
      <c r="M6" s="346">
        <f t="shared" ref="M6:M29" si="3">O6</f>
        <v>3.4232122019279554E-2</v>
      </c>
      <c r="N6" s="346">
        <f t="shared" ref="N6:N29" si="4">O6</f>
        <v>3.4232122019279554E-2</v>
      </c>
      <c r="O6" s="346">
        <f>'[27]2011Original Data Other Sources'!$N$5877*(2000*453.59/(8760*3600))</f>
        <v>3.4232122019279554E-2</v>
      </c>
      <c r="P6" s="346">
        <f>'[27]2011Original Data Other Sources'!$N$500*(2000*453.59/(8760*3600))</f>
        <v>1.0494015220700152</v>
      </c>
      <c r="Q6" s="207" t="s">
        <v>320</v>
      </c>
      <c r="R6" s="207" t="s">
        <v>321</v>
      </c>
      <c r="S6" s="207">
        <f>$K6*(VLOOKUP($Q6 &amp;"|"&amp; $R6,'AQRV Speciation'!$B$8:$G$22,2,FALSE))</f>
        <v>0</v>
      </c>
      <c r="T6" s="207">
        <f>$K6*(VLOOKUP($Q6 &amp;"|"&amp; $R6,'AQRV Speciation'!$B$8:$G$22,3,FALSE))</f>
        <v>2.3732353500761035E-2</v>
      </c>
      <c r="U6" s="207">
        <f>$K6*(VLOOKUP($Q6 &amp;"|"&amp; $R6,'AQRV Speciation'!$B$8:$G$22,4,FALSE))</f>
        <v>2.3732353500761035E-2</v>
      </c>
      <c r="V6" s="207">
        <f>$K6*(VLOOKUP($Q6 &amp;"|"&amp; $R6,'AQRV Speciation'!$B$8:$G$22,5,FALSE))</f>
        <v>7.119706050228311E-2</v>
      </c>
      <c r="W6" s="207">
        <f>$K6*(VLOOKUP($Q6 &amp;"|"&amp; $R6,'AQRV Speciation'!$B$8:$G$22,6,FALSE))</f>
        <v>7.119706050228311E-2</v>
      </c>
      <c r="X6" s="35">
        <f>VLOOKUP(B6,'[28]FOR Stack Parameters'!$A$2:$O$38,12,FALSE)</f>
        <v>26.517600000000002</v>
      </c>
      <c r="Y6" s="309">
        <f>VLOOKUP(B6,'[28]FOR Stack Parameters'!$A$2:$O$38,13,FALSE)</f>
        <v>530.92777777777769</v>
      </c>
      <c r="Z6" s="35">
        <f>VLOOKUP(B6,'[28]FOR Stack Parameters'!$A$2:$O$38,14,FALSE)</f>
        <v>6.0960000000000001</v>
      </c>
      <c r="AA6" s="35">
        <f>VLOOKUP(B6,'[28]FOR Stack Parameters'!$A$2:$O$38,15,FALSE)</f>
        <v>1.2192000000000001</v>
      </c>
      <c r="AB6" s="36" t="str">
        <f t="shared" ref="AB6:AB50" si="5">IF(AF6&gt;$AB$3,"Yes","No")</f>
        <v>Yes</v>
      </c>
      <c r="AC6" s="36" t="str">
        <f t="shared" ref="AC6:AC50" si="6">IF(AF6&gt;$AC$3,"Yes","No")</f>
        <v>Yes</v>
      </c>
      <c r="AD6" s="36" t="str">
        <f t="shared" ref="AD6:AD50" si="7">IF(AF6&gt;$AD$3,"Yes","No")</f>
        <v>Yes</v>
      </c>
      <c r="AE6" s="36" t="s">
        <v>63</v>
      </c>
      <c r="AF6" s="51" t="s">
        <v>398</v>
      </c>
      <c r="AG6" s="37"/>
    </row>
    <row r="7" spans="1:33" hidden="1">
      <c r="B7" s="32" t="s">
        <v>447</v>
      </c>
      <c r="C7" s="40" t="s">
        <v>452</v>
      </c>
      <c r="D7" s="308"/>
      <c r="E7" s="308"/>
      <c r="F7" s="258"/>
      <c r="G7" s="258"/>
      <c r="H7" s="258"/>
      <c r="I7" s="301">
        <f t="shared" si="1"/>
        <v>0.2471041412988331</v>
      </c>
      <c r="J7" s="346">
        <f>'[27]2011Original Data Other Sources'!$N$1757*(2000*453.59/(8760*3600))</f>
        <v>0.2471041412988331</v>
      </c>
      <c r="K7" s="301">
        <f t="shared" si="2"/>
        <v>1.8698217909690514E-2</v>
      </c>
      <c r="L7" s="346">
        <f>'[27]2011Original Data Other Sources'!$N$3203*(2000*453.59/(8760*3600))</f>
        <v>1.8698217909690514E-2</v>
      </c>
      <c r="M7" s="346">
        <f t="shared" si="3"/>
        <v>6.9039573820395741E-3</v>
      </c>
      <c r="N7" s="346">
        <f t="shared" si="4"/>
        <v>6.9039573820395741E-3</v>
      </c>
      <c r="O7" s="346">
        <f>'[27]2011Original Data Other Sources'!$N$5902*(2000*453.59/(8760*3600))</f>
        <v>6.9039573820395741E-3</v>
      </c>
      <c r="P7" s="346">
        <f>'[27]2011Original Data Other Sources'!$N$525*(2000*453.59/(8760*3600))</f>
        <v>0.20769405124302384</v>
      </c>
      <c r="Q7" s="301" t="s">
        <v>320</v>
      </c>
      <c r="R7" s="301" t="s">
        <v>321</v>
      </c>
      <c r="S7" s="301">
        <f>$K7*(VLOOKUP($Q7 &amp;"|"&amp; $R7,'AQRV Speciation'!$B$8:$G$22,2,FALSE))</f>
        <v>0</v>
      </c>
      <c r="T7" s="301"/>
      <c r="U7" s="301">
        <f>$K7*(VLOOKUP($Q7 &amp;"|"&amp; $R7,'AQRV Speciation'!$B$8:$G$22,4,FALSE))</f>
        <v>4.6745544774226284E-3</v>
      </c>
      <c r="V7" s="301"/>
      <c r="W7" s="301">
        <f>$K7*(VLOOKUP($Q7 &amp;"|"&amp; $R7,'AQRV Speciation'!$B$8:$G$22,6,FALSE))</f>
        <v>1.4023663432267887E-2</v>
      </c>
      <c r="X7" s="35"/>
      <c r="Y7" s="309"/>
      <c r="Z7" s="34"/>
      <c r="AA7" s="34"/>
      <c r="AB7" s="36"/>
      <c r="AC7" s="36"/>
      <c r="AD7" s="36"/>
      <c r="AE7" s="36"/>
      <c r="AF7" s="51"/>
      <c r="AG7" s="37"/>
    </row>
    <row r="8" spans="1:33" hidden="1">
      <c r="B8" s="32" t="s">
        <v>448</v>
      </c>
      <c r="C8" s="40" t="s">
        <v>451</v>
      </c>
      <c r="D8" s="308"/>
      <c r="E8" s="308"/>
      <c r="F8" s="258"/>
      <c r="G8" s="258"/>
      <c r="H8" s="258"/>
      <c r="I8" s="301">
        <f t="shared" si="1"/>
        <v>0.3923749112125825</v>
      </c>
      <c r="J8" s="346">
        <f>'[27]2011Original Data Other Sources'!$N$1753*(2000*453.59/(8760*3600))</f>
        <v>0.3923749112125825</v>
      </c>
      <c r="K8" s="301">
        <f t="shared" si="2"/>
        <v>2.9917148655504822E-2</v>
      </c>
      <c r="L8" s="346">
        <f>'[27]2011Original Data Other Sources'!$N$3199*(2000*453.59/(8760*3600))</f>
        <v>2.9917148655504822E-2</v>
      </c>
      <c r="M8" s="346">
        <f t="shared" si="3"/>
        <v>1.0643600963977677E-2</v>
      </c>
      <c r="N8" s="346">
        <f t="shared" si="4"/>
        <v>1.0643600963977677E-2</v>
      </c>
      <c r="O8" s="346">
        <f>'[27]2011Original Data Other Sources'!$N$5898*(2000*453.59/(8760*3600))</f>
        <v>1.0643600963977677E-2</v>
      </c>
      <c r="P8" s="346">
        <f>'[27]2011Original Data Other Sources'!$N$521*(2000*453.59/(8760*3600))</f>
        <v>0.32937630010147134</v>
      </c>
      <c r="Q8" s="301" t="s">
        <v>320</v>
      </c>
      <c r="R8" s="301" t="s">
        <v>321</v>
      </c>
      <c r="S8" s="301">
        <f>$K8*(VLOOKUP($Q8 &amp;"|"&amp; $R8,'AQRV Speciation'!$B$8:$G$22,2,FALSE))</f>
        <v>0</v>
      </c>
      <c r="T8" s="301"/>
      <c r="U8" s="301">
        <f>$K8*(VLOOKUP($Q8 &amp;"|"&amp; $R8,'AQRV Speciation'!$B$8:$G$22,4,FALSE))</f>
        <v>7.4792871638762054E-3</v>
      </c>
      <c r="V8" s="301"/>
      <c r="W8" s="301">
        <f>$K8*(VLOOKUP($Q8 &amp;"|"&amp; $R8,'AQRV Speciation'!$B$8:$G$22,6,FALSE))</f>
        <v>2.243786149162862E-2</v>
      </c>
      <c r="X8" s="35"/>
      <c r="Y8" s="309"/>
      <c r="Z8" s="34"/>
      <c r="AA8" s="34"/>
      <c r="AB8" s="36"/>
      <c r="AC8" s="36"/>
      <c r="AD8" s="36"/>
      <c r="AE8" s="36"/>
      <c r="AF8" s="51"/>
      <c r="AG8" s="37"/>
    </row>
    <row r="9" spans="1:33" hidden="1">
      <c r="B9" s="32" t="s">
        <v>449</v>
      </c>
      <c r="C9" s="40" t="s">
        <v>450</v>
      </c>
      <c r="D9" s="308"/>
      <c r="E9" s="308"/>
      <c r="F9" s="258"/>
      <c r="G9" s="258"/>
      <c r="H9" s="258"/>
      <c r="I9" s="301">
        <f t="shared" si="1"/>
        <v>0.20452973744292238</v>
      </c>
      <c r="J9" s="346">
        <f>'[27]2011Original Data Other Sources'!$N$1756*(2000*453.59/(8760*3600))</f>
        <v>0.20452973744292238</v>
      </c>
      <c r="K9" s="301">
        <f t="shared" si="2"/>
        <v>1.5533904109589042E-2</v>
      </c>
      <c r="L9" s="346">
        <f>'[27]2011Original Data Other Sources'!$N$3202*(2000*453.59/(8760*3600))</f>
        <v>1.5533904109589042E-2</v>
      </c>
      <c r="M9" s="346">
        <f t="shared" si="3"/>
        <v>5.7532978183663123E-3</v>
      </c>
      <c r="N9" s="346">
        <f t="shared" si="4"/>
        <v>5.7532978183663123E-3</v>
      </c>
      <c r="O9" s="346">
        <f>'[27]2011Original Data Other Sources'!$N$5901*(2000*453.59/(8760*3600))</f>
        <v>5.7532978183663123E-3</v>
      </c>
      <c r="P9" s="346">
        <f>'[27]2011Original Data Other Sources'!$N$524*(2000*453.59/(8760*3600))</f>
        <v>0.17173593987823441</v>
      </c>
      <c r="Q9" s="301" t="s">
        <v>320</v>
      </c>
      <c r="R9" s="301" t="s">
        <v>321</v>
      </c>
      <c r="S9" s="301">
        <f>$K9*(VLOOKUP($Q9 &amp;"|"&amp; $R9,'AQRV Speciation'!$B$8:$G$22,2,FALSE))</f>
        <v>0</v>
      </c>
      <c r="T9" s="301"/>
      <c r="U9" s="301">
        <f>$K9*(VLOOKUP($Q9 &amp;"|"&amp; $R9,'AQRV Speciation'!$B$8:$G$22,4,FALSE))</f>
        <v>3.8834760273972605E-3</v>
      </c>
      <c r="V9" s="301"/>
      <c r="W9" s="301">
        <f>$K9*(VLOOKUP($Q9 &amp;"|"&amp; $R9,'AQRV Speciation'!$B$8:$G$22,6,FALSE))</f>
        <v>1.1650428082191784E-2</v>
      </c>
      <c r="X9" s="35"/>
      <c r="Y9" s="309"/>
      <c r="Z9" s="34"/>
      <c r="AA9" s="34"/>
      <c r="AB9" s="36"/>
      <c r="AC9" s="36"/>
      <c r="AD9" s="36"/>
      <c r="AE9" s="36"/>
      <c r="AF9" s="51"/>
      <c r="AG9" s="37"/>
    </row>
    <row r="10" spans="1:33">
      <c r="A10" s="25">
        <f>A6+1</f>
        <v>3</v>
      </c>
      <c r="B10" s="32" t="s">
        <v>145</v>
      </c>
      <c r="C10" s="33" t="s">
        <v>125</v>
      </c>
      <c r="D10" s="34">
        <v>589117.1</v>
      </c>
      <c r="E10" s="34">
        <v>6728825.0999999996</v>
      </c>
      <c r="F10" s="38">
        <v>40</v>
      </c>
      <c r="G10" s="38">
        <v>-20.199890773</v>
      </c>
      <c r="H10" s="38">
        <v>187.645197271</v>
      </c>
      <c r="I10" s="301">
        <f>SUM(I7:I9)</f>
        <v>0.84400878995433792</v>
      </c>
      <c r="J10" s="301">
        <f t="shared" ref="J10:O10" si="8">SUM(J7:J9)</f>
        <v>0.84400878995433792</v>
      </c>
      <c r="K10" s="301">
        <f t="shared" si="8"/>
        <v>6.4149270674784376E-2</v>
      </c>
      <c r="L10" s="346">
        <f t="shared" si="8"/>
        <v>6.4149270674784376E-2</v>
      </c>
      <c r="M10" s="346">
        <f t="shared" si="3"/>
        <v>2.3300856164383564E-2</v>
      </c>
      <c r="N10" s="346">
        <f t="shared" si="4"/>
        <v>2.3300856164383564E-2</v>
      </c>
      <c r="O10" s="301">
        <f t="shared" si="8"/>
        <v>2.3300856164383564E-2</v>
      </c>
      <c r="P10" s="301">
        <f>SUM(P7:P9)</f>
        <v>0.70880629122272965</v>
      </c>
      <c r="Q10" s="207" t="s">
        <v>320</v>
      </c>
      <c r="R10" s="207" t="s">
        <v>321</v>
      </c>
      <c r="S10" s="207">
        <f>SUM(S7:S9)</f>
        <v>0</v>
      </c>
      <c r="T10" s="207">
        <f t="shared" ref="T10:W10" si="9">SUM(T7:T9)</f>
        <v>0</v>
      </c>
      <c r="U10" s="207">
        <f t="shared" si="9"/>
        <v>1.6037317668696094E-2</v>
      </c>
      <c r="V10" s="207">
        <f t="shared" si="9"/>
        <v>0</v>
      </c>
      <c r="W10" s="207">
        <f t="shared" si="9"/>
        <v>4.8111953006088296E-2</v>
      </c>
      <c r="X10" s="35">
        <f>VLOOKUP(B10,'[28]FOR Stack Parameters'!$A$2:$O$38,12,FALSE)</f>
        <v>32.308800000000005</v>
      </c>
      <c r="Y10" s="309">
        <f>VLOOKUP(B10,'[28]FOR Stack Parameters'!$A$2:$O$38,13,FALSE)</f>
        <v>729.81666666666661</v>
      </c>
      <c r="Z10" s="35">
        <f>VLOOKUP(B10,'[28]FOR Stack Parameters'!$A$2:$O$38,14,FALSE)</f>
        <v>4.2671999999999999</v>
      </c>
      <c r="AA10" s="35">
        <f>VLOOKUP(B10,'[28]FOR Stack Parameters'!$A$2:$O$38,15,FALSE)</f>
        <v>2.1335999999999999</v>
      </c>
      <c r="AB10" s="36" t="str">
        <f t="shared" si="5"/>
        <v>No</v>
      </c>
      <c r="AC10" s="36" t="str">
        <f t="shared" si="6"/>
        <v>No</v>
      </c>
      <c r="AD10" s="36" t="str">
        <f t="shared" si="7"/>
        <v>No</v>
      </c>
      <c r="AE10" s="36" t="s">
        <v>63</v>
      </c>
      <c r="AF10" s="51">
        <v>1975</v>
      </c>
      <c r="AG10" s="37"/>
    </row>
    <row r="11" spans="1:33">
      <c r="A11" s="25">
        <f t="shared" ref="A11:A36" si="10">A10+1</f>
        <v>4</v>
      </c>
      <c r="B11" s="32" t="s">
        <v>136</v>
      </c>
      <c r="C11" s="33" t="s">
        <v>94</v>
      </c>
      <c r="D11" s="34">
        <v>589116.69999999995</v>
      </c>
      <c r="E11" s="34">
        <v>6728835.7999999998</v>
      </c>
      <c r="F11" s="30">
        <v>40</v>
      </c>
      <c r="G11" s="30">
        <v>-20.199976046300002</v>
      </c>
      <c r="H11" s="30">
        <v>187.65594735100001</v>
      </c>
      <c r="I11" s="301">
        <f t="shared" si="1"/>
        <v>0.28363758244545917</v>
      </c>
      <c r="J11" s="346">
        <f>'[27]2011Original Data Other Sources'!$N$1772*(2000*453.59/(8760*3600))</f>
        <v>0.28363758244545917</v>
      </c>
      <c r="K11" s="301">
        <f t="shared" si="2"/>
        <v>2.6465169964485034E-2</v>
      </c>
      <c r="L11" s="346">
        <f>'[27]2011Original Data Other Sources'!$N$3218*(2000*453.59/(8760*3600))</f>
        <v>2.6465169964485034E-2</v>
      </c>
      <c r="M11" s="346">
        <f t="shared" si="3"/>
        <v>9.4929414003044141E-3</v>
      </c>
      <c r="N11" s="346">
        <f t="shared" si="4"/>
        <v>9.4929414003044141E-3</v>
      </c>
      <c r="O11" s="346">
        <f>'[27]2011Original Data Other Sources'!$N$5918*(2000*453.59/(8760*3600))</f>
        <v>9.4929414003044141E-3</v>
      </c>
      <c r="P11" s="346">
        <f>'[27]2011Original Data Other Sources'!$N$540*(2000*453.59/(8760*3600))</f>
        <v>0.29226752917300863</v>
      </c>
      <c r="Q11" s="207" t="s">
        <v>320</v>
      </c>
      <c r="R11" s="207" t="s">
        <v>321</v>
      </c>
      <c r="S11" s="207">
        <f>$K11*(VLOOKUP($Q11 &amp;"|"&amp; $R11,'AQRV Speciation'!$B$8:$G$22,2,FALSE))</f>
        <v>0</v>
      </c>
      <c r="T11" s="207">
        <f>$K11*(VLOOKUP($Q11 &amp;"|"&amp; $R11,'AQRV Speciation'!$B$8:$G$22,3,FALSE))</f>
        <v>6.6162924911212584E-3</v>
      </c>
      <c r="U11" s="207">
        <f>$K11*(VLOOKUP($Q11 &amp;"|"&amp; $R11,'AQRV Speciation'!$B$8:$G$22,4,FALSE))</f>
        <v>6.6162924911212584E-3</v>
      </c>
      <c r="V11" s="207">
        <f>$K11*(VLOOKUP($Q11 &amp;"|"&amp; $R11,'AQRV Speciation'!$B$8:$G$22,5,FALSE))</f>
        <v>1.984887747336378E-2</v>
      </c>
      <c r="W11" s="207">
        <f>$K11*(VLOOKUP($Q11 &amp;"|"&amp; $R11,'AQRV Speciation'!$B$8:$G$22,6,FALSE))</f>
        <v>1.984887747336378E-2</v>
      </c>
      <c r="X11" s="35">
        <f>VLOOKUP(B11,'[28]FOR Stack Parameters'!$A$2:$O$38,12,FALSE)</f>
        <v>46.329599999999999</v>
      </c>
      <c r="Y11" s="309">
        <f>VLOOKUP(B11,'[28]FOR Stack Parameters'!$A$2:$O$38,13,FALSE)</f>
        <v>533.15</v>
      </c>
      <c r="Z11" s="35">
        <f>VLOOKUP(B11,'[28]FOR Stack Parameters'!$A$2:$O$38,14,FALSE)</f>
        <v>6.0960000000000001</v>
      </c>
      <c r="AA11" s="35">
        <f>VLOOKUP(B11,'[28]FOR Stack Parameters'!$A$2:$O$38,15,FALSE)</f>
        <v>1.524</v>
      </c>
      <c r="AB11" s="36" t="str">
        <f t="shared" si="5"/>
        <v>No</v>
      </c>
      <c r="AC11" s="36" t="str">
        <f t="shared" si="6"/>
        <v>Yes</v>
      </c>
      <c r="AD11" s="36" t="str">
        <f t="shared" si="7"/>
        <v>No</v>
      </c>
      <c r="AE11" s="36" t="s">
        <v>63</v>
      </c>
      <c r="AF11" s="51">
        <v>1980</v>
      </c>
      <c r="AG11" s="37"/>
    </row>
    <row r="12" spans="1:33">
      <c r="A12" s="25">
        <f t="shared" si="10"/>
        <v>5</v>
      </c>
      <c r="B12" s="32" t="s">
        <v>137</v>
      </c>
      <c r="C12" s="33" t="s">
        <v>95</v>
      </c>
      <c r="D12" s="34">
        <v>589112.69999999995</v>
      </c>
      <c r="E12" s="34">
        <v>6728843.5</v>
      </c>
      <c r="F12" s="30">
        <v>40</v>
      </c>
      <c r="G12" s="30">
        <v>-20.203762836999999</v>
      </c>
      <c r="H12" s="30">
        <v>187.663793078</v>
      </c>
      <c r="I12" s="301">
        <f t="shared" si="1"/>
        <v>0.18151654616945712</v>
      </c>
      <c r="J12" s="346">
        <f>'[27]2011Original Data Other Sources'!$N$1755*(2000*453.59/(8760*3600))</f>
        <v>0.18151654616945712</v>
      </c>
      <c r="K12" s="301">
        <f t="shared" si="2"/>
        <v>1.6972228564180618E-2</v>
      </c>
      <c r="L12" s="346">
        <f>'[27]2011Original Data Other Sources'!$N$3201*(2000*453.59/(8760*3600))</f>
        <v>1.6972228564180618E-2</v>
      </c>
      <c r="M12" s="346">
        <f t="shared" si="3"/>
        <v>6.0409627092846271E-3</v>
      </c>
      <c r="N12" s="346">
        <f t="shared" si="4"/>
        <v>6.0409627092846271E-3</v>
      </c>
      <c r="O12" s="346">
        <f>'[27]2011Original Data Other Sources'!$N$5900*(2000*453.59/(8760*3600))</f>
        <v>6.0409627092846271E-3</v>
      </c>
      <c r="P12" s="346">
        <f>'[27]2011Original Data Other Sources'!$N$523*(2000*453.59/(8760*3600))</f>
        <v>0.18698217909690512</v>
      </c>
      <c r="Q12" s="207" t="s">
        <v>320</v>
      </c>
      <c r="R12" s="207" t="s">
        <v>321</v>
      </c>
      <c r="S12" s="207">
        <f>$K12*(VLOOKUP($Q12 &amp;"|"&amp; $R12,'AQRV Speciation'!$B$8:$G$22,2,FALSE))</f>
        <v>0</v>
      </c>
      <c r="T12" s="207">
        <f>$K12*(VLOOKUP($Q12 &amp;"|"&amp; $R12,'AQRV Speciation'!$B$8:$G$22,3,FALSE))</f>
        <v>4.2430571410451545E-3</v>
      </c>
      <c r="U12" s="207">
        <f>$K12*(VLOOKUP($Q12 &amp;"|"&amp; $R12,'AQRV Speciation'!$B$8:$G$22,4,FALSE))</f>
        <v>4.2430571410451545E-3</v>
      </c>
      <c r="V12" s="207">
        <f>$K12*(VLOOKUP($Q12 &amp;"|"&amp; $R12,'AQRV Speciation'!$B$8:$G$22,5,FALSE))</f>
        <v>1.2729171423135465E-2</v>
      </c>
      <c r="W12" s="207">
        <f>$K12*(VLOOKUP($Q12 &amp;"|"&amp; $R12,'AQRV Speciation'!$B$8:$G$22,6,FALSE))</f>
        <v>1.2729171423135465E-2</v>
      </c>
      <c r="X12" s="35">
        <f>VLOOKUP(B12,'[28]FOR Stack Parameters'!$A$2:$O$38,12,FALSE)</f>
        <v>46.329599999999999</v>
      </c>
      <c r="Y12" s="309">
        <f>VLOOKUP(B12,'[28]FOR Stack Parameters'!$A$2:$O$38,13,FALSE)</f>
        <v>533.15</v>
      </c>
      <c r="Z12" s="35">
        <f>VLOOKUP(B12,'[28]FOR Stack Parameters'!$A$2:$O$38,14,FALSE)</f>
        <v>6.0960000000000001</v>
      </c>
      <c r="AA12" s="35">
        <f>VLOOKUP(B12,'[28]FOR Stack Parameters'!$A$2:$O$38,15,FALSE)</f>
        <v>1.524</v>
      </c>
      <c r="AB12" s="36" t="str">
        <f t="shared" si="5"/>
        <v>No</v>
      </c>
      <c r="AC12" s="36" t="str">
        <f t="shared" si="6"/>
        <v>Yes</v>
      </c>
      <c r="AD12" s="36" t="str">
        <f t="shared" si="7"/>
        <v>No</v>
      </c>
      <c r="AE12" s="36" t="s">
        <v>63</v>
      </c>
      <c r="AF12" s="51">
        <v>1980</v>
      </c>
      <c r="AG12" s="37"/>
    </row>
    <row r="13" spans="1:33">
      <c r="A13" s="25">
        <f t="shared" si="10"/>
        <v>6</v>
      </c>
      <c r="B13" s="32" t="s">
        <v>138</v>
      </c>
      <c r="C13" s="33" t="s">
        <v>96</v>
      </c>
      <c r="D13" s="34">
        <v>589188.19999999995</v>
      </c>
      <c r="E13" s="34">
        <v>6728839.5999999996</v>
      </c>
      <c r="F13" s="30">
        <v>40</v>
      </c>
      <c r="G13" s="30">
        <v>-20.1281080766</v>
      </c>
      <c r="H13" s="30">
        <v>187.65764817199999</v>
      </c>
      <c r="I13" s="301">
        <f t="shared" si="1"/>
        <v>0.15879101978691018</v>
      </c>
      <c r="J13" s="346">
        <f>'[27]2011Original Data Other Sources'!$N$1733*(2000*453.59/(8760*3600))</f>
        <v>0.15879101978691018</v>
      </c>
      <c r="K13" s="301">
        <f t="shared" si="2"/>
        <v>1.4670909436834096E-2</v>
      </c>
      <c r="L13" s="346">
        <f>'[27]2011Original Data Other Sources'!$N$3179*(2000*453.59/(8760*3600))</f>
        <v>1.4670909436834096E-2</v>
      </c>
      <c r="M13" s="346">
        <f t="shared" si="3"/>
        <v>5.4656329274479967E-3</v>
      </c>
      <c r="N13" s="346">
        <f t="shared" si="4"/>
        <v>5.4656329274479967E-3</v>
      </c>
      <c r="O13" s="346">
        <f>'[27]2011Original Data Other Sources'!$N$5878*(2000*453.59/(8760*3600))</f>
        <v>5.4656329274479967E-3</v>
      </c>
      <c r="P13" s="346">
        <f>'[27]2011Original Data Other Sources'!$N$501*(2000*453.59/(8760*3600))</f>
        <v>0.16339365804160325</v>
      </c>
      <c r="Q13" s="207" t="s">
        <v>320</v>
      </c>
      <c r="R13" s="207" t="s">
        <v>321</v>
      </c>
      <c r="S13" s="207">
        <f>$K13*(VLOOKUP($Q13 &amp;"|"&amp; $R13,'AQRV Speciation'!$B$8:$G$22,2,FALSE))</f>
        <v>0</v>
      </c>
      <c r="T13" s="207">
        <f>$K13*(VLOOKUP($Q13 &amp;"|"&amp; $R13,'AQRV Speciation'!$B$8:$G$22,3,FALSE))</f>
        <v>3.667727359208524E-3</v>
      </c>
      <c r="U13" s="207">
        <f>$K13*(VLOOKUP($Q13 &amp;"|"&amp; $R13,'AQRV Speciation'!$B$8:$G$22,4,FALSE))</f>
        <v>3.667727359208524E-3</v>
      </c>
      <c r="V13" s="207">
        <f>$K13*(VLOOKUP($Q13 &amp;"|"&amp; $R13,'AQRV Speciation'!$B$8:$G$22,5,FALSE))</f>
        <v>1.1003182077625573E-2</v>
      </c>
      <c r="W13" s="207">
        <f>$K13*(VLOOKUP($Q13 &amp;"|"&amp; $R13,'AQRV Speciation'!$B$8:$G$22,6,FALSE))</f>
        <v>1.1003182077625573E-2</v>
      </c>
      <c r="X13" s="35">
        <f>VLOOKUP(B13,'[28]FOR Stack Parameters'!$A$2:$O$38,12,FALSE)</f>
        <v>25.908000000000001</v>
      </c>
      <c r="Y13" s="309">
        <f>VLOOKUP(B13,'[28]FOR Stack Parameters'!$A$2:$O$38,13,FALSE)</f>
        <v>532.03888888888889</v>
      </c>
      <c r="Z13" s="35">
        <f>VLOOKUP(B13,'[28]FOR Stack Parameters'!$A$2:$O$38,14,FALSE)</f>
        <v>5.1816000000000004</v>
      </c>
      <c r="AA13" s="35">
        <f>VLOOKUP(B13,'[28]FOR Stack Parameters'!$A$2:$O$38,15,FALSE)</f>
        <v>1.2192000000000001</v>
      </c>
      <c r="AB13" s="36" t="str">
        <f t="shared" si="5"/>
        <v>Yes</v>
      </c>
      <c r="AC13" s="36" t="str">
        <f t="shared" si="6"/>
        <v>Yes</v>
      </c>
      <c r="AD13" s="36" t="str">
        <f t="shared" si="7"/>
        <v>Yes</v>
      </c>
      <c r="AE13" s="36" t="s">
        <v>63</v>
      </c>
      <c r="AF13" s="51" t="s">
        <v>399</v>
      </c>
      <c r="AG13" s="37"/>
    </row>
    <row r="14" spans="1:33">
      <c r="A14" s="25">
        <f t="shared" si="10"/>
        <v>7</v>
      </c>
      <c r="B14" s="32" t="s">
        <v>139</v>
      </c>
      <c r="C14" s="33" t="s">
        <v>97</v>
      </c>
      <c r="D14" s="34">
        <v>589170.80000000005</v>
      </c>
      <c r="E14" s="34">
        <v>6728839.2000000002</v>
      </c>
      <c r="F14" s="30">
        <v>40</v>
      </c>
      <c r="G14" s="30">
        <v>-20.145582118099998</v>
      </c>
      <c r="H14" s="30">
        <v>187.65776092199999</v>
      </c>
      <c r="I14" s="301">
        <f t="shared" si="1"/>
        <v>9.4641749112125834E-2</v>
      </c>
      <c r="J14" s="346">
        <f>'[27]2011Original Data Other Sources'!$N$1734*(2000*453.59/(8760*3600))</f>
        <v>9.4641749112125834E-2</v>
      </c>
      <c r="K14" s="301">
        <f t="shared" si="2"/>
        <v>8.9176116184677828E-3</v>
      </c>
      <c r="L14" s="346">
        <f>'[27]2011Original Data Other Sources'!$N$3180*(2000*453.59/(8760*3600))</f>
        <v>8.9176116184677828E-3</v>
      </c>
      <c r="M14" s="346">
        <f t="shared" si="3"/>
        <v>3.1643138001014714E-3</v>
      </c>
      <c r="N14" s="346">
        <f t="shared" si="4"/>
        <v>3.1643138001014714E-3</v>
      </c>
      <c r="O14" s="346">
        <f>'[27]2011Original Data Other Sources'!$N$5879*(2000*453.59/(8760*3600))</f>
        <v>3.1643138001014714E-3</v>
      </c>
      <c r="P14" s="346">
        <f>'[27]2011Original Data Other Sources'!$N$502*(2000*453.59/(8760*3600))</f>
        <v>9.723073313039067E-2</v>
      </c>
      <c r="Q14" s="207" t="s">
        <v>320</v>
      </c>
      <c r="R14" s="207" t="s">
        <v>321</v>
      </c>
      <c r="S14" s="207">
        <f>$K14*(VLOOKUP($Q14 &amp;"|"&amp; $R14,'AQRV Speciation'!$B$8:$G$22,2,FALSE))</f>
        <v>0</v>
      </c>
      <c r="T14" s="207">
        <f>$K14*(VLOOKUP($Q14 &amp;"|"&amp; $R14,'AQRV Speciation'!$B$8:$G$22,3,FALSE))</f>
        <v>2.2294029046169457E-3</v>
      </c>
      <c r="U14" s="207">
        <f>$K14*(VLOOKUP($Q14 &amp;"|"&amp; $R14,'AQRV Speciation'!$B$8:$G$22,4,FALSE))</f>
        <v>2.2294029046169457E-3</v>
      </c>
      <c r="V14" s="207">
        <f>$K14*(VLOOKUP($Q14 &amp;"|"&amp; $R14,'AQRV Speciation'!$B$8:$G$22,5,FALSE))</f>
        <v>6.688208713850838E-3</v>
      </c>
      <c r="W14" s="207">
        <f>$K14*(VLOOKUP($Q14 &amp;"|"&amp; $R14,'AQRV Speciation'!$B$8:$G$22,6,FALSE))</f>
        <v>6.688208713850838E-3</v>
      </c>
      <c r="X14" s="35">
        <f>VLOOKUP(B14,'[28]FOR Stack Parameters'!$A$2:$O$38,12,FALSE)</f>
        <v>23.4696</v>
      </c>
      <c r="Y14" s="309">
        <f>VLOOKUP(B14,'[28]FOR Stack Parameters'!$A$2:$O$38,13,FALSE)</f>
        <v>508.70555555555552</v>
      </c>
      <c r="Z14" s="35">
        <f>VLOOKUP(B14,'[28]FOR Stack Parameters'!$A$2:$O$38,14,FALSE)</f>
        <v>3.048</v>
      </c>
      <c r="AA14" s="35">
        <f>VLOOKUP(B14,'[28]FOR Stack Parameters'!$A$2:$O$38,15,FALSE)</f>
        <v>1.2192000000000001</v>
      </c>
      <c r="AB14" s="36" t="str">
        <f t="shared" si="5"/>
        <v>Yes</v>
      </c>
      <c r="AC14" s="36" t="str">
        <f t="shared" si="6"/>
        <v>Yes</v>
      </c>
      <c r="AD14" s="36" t="str">
        <f t="shared" si="7"/>
        <v>Yes</v>
      </c>
      <c r="AE14" s="36" t="s">
        <v>63</v>
      </c>
      <c r="AF14" s="51" t="s">
        <v>399</v>
      </c>
      <c r="AG14" s="37"/>
    </row>
    <row r="15" spans="1:33">
      <c r="A15" s="25">
        <f t="shared" si="10"/>
        <v>8</v>
      </c>
      <c r="B15" s="32" t="s">
        <v>71</v>
      </c>
      <c r="C15" s="33" t="s">
        <v>98</v>
      </c>
      <c r="D15" s="34">
        <v>589165.5</v>
      </c>
      <c r="E15" s="34">
        <v>6728839</v>
      </c>
      <c r="F15" s="30">
        <v>40</v>
      </c>
      <c r="G15" s="30">
        <v>-20.1509069807</v>
      </c>
      <c r="H15" s="30">
        <v>187.65771682100001</v>
      </c>
      <c r="I15" s="301">
        <f t="shared" si="1"/>
        <v>0.25918606671740235</v>
      </c>
      <c r="J15" s="346">
        <f>'[27]2011Original Data Other Sources'!$N$1741*(2000*453.59/(8760*3600))</f>
        <v>0.25918606671740235</v>
      </c>
      <c r="K15" s="301">
        <f t="shared" si="2"/>
        <v>3.2218467782851347E-2</v>
      </c>
      <c r="L15" s="346">
        <f>'[27]2011Original Data Other Sources'!$N$3187*(2000*453.59/(8760*3600))</f>
        <v>3.2218467782851347E-2</v>
      </c>
      <c r="M15" s="346">
        <f t="shared" si="3"/>
        <v>1.1506595636732625E-2</v>
      </c>
      <c r="N15" s="346">
        <f t="shared" si="4"/>
        <v>1.1506595636732625E-2</v>
      </c>
      <c r="O15" s="346">
        <f>'[27]2011Original Data Other Sources'!$N$5886*(2000*453.59/(8760*3600))</f>
        <v>1.1506595636732625E-2</v>
      </c>
      <c r="P15" s="346">
        <f>'[27]2011Original Data Other Sources'!$N$509*(2000*453.59/(8760*3600))</f>
        <v>0.35584147006595634</v>
      </c>
      <c r="Q15" s="207" t="s">
        <v>320</v>
      </c>
      <c r="R15" s="207" t="s">
        <v>321</v>
      </c>
      <c r="S15" s="207">
        <f>$K15*(VLOOKUP($Q15 &amp;"|"&amp; $R15,'AQRV Speciation'!$B$8:$G$22,2,FALSE))</f>
        <v>0</v>
      </c>
      <c r="T15" s="207">
        <f>$K15*(VLOOKUP($Q15 &amp;"|"&amp; $R15,'AQRV Speciation'!$B$8:$G$22,3,FALSE))</f>
        <v>8.0546169457128367E-3</v>
      </c>
      <c r="U15" s="207">
        <f>$K15*(VLOOKUP($Q15 &amp;"|"&amp; $R15,'AQRV Speciation'!$B$8:$G$22,4,FALSE))</f>
        <v>8.0546169457128367E-3</v>
      </c>
      <c r="V15" s="207">
        <f>$K15*(VLOOKUP($Q15 &amp;"|"&amp; $R15,'AQRV Speciation'!$B$8:$G$22,5,FALSE))</f>
        <v>2.4163850837138515E-2</v>
      </c>
      <c r="W15" s="207">
        <f>$K15*(VLOOKUP($Q15 &amp;"|"&amp; $R15,'AQRV Speciation'!$B$8:$G$22,6,FALSE))</f>
        <v>2.4163850837138515E-2</v>
      </c>
      <c r="X15" s="35">
        <f>VLOOKUP(B15,'[28]FOR Stack Parameters'!$A$2:$O$38,12,FALSE)</f>
        <v>22.86</v>
      </c>
      <c r="Y15" s="309">
        <f>VLOOKUP(B15,'[28]FOR Stack Parameters'!$A$2:$O$38,13,FALSE)</f>
        <v>564.26111111111118</v>
      </c>
      <c r="Z15" s="35">
        <f>VLOOKUP(B15,'[28]FOR Stack Parameters'!$A$2:$O$38,14,FALSE)</f>
        <v>7.62</v>
      </c>
      <c r="AA15" s="35">
        <f>VLOOKUP(B15,'[28]FOR Stack Parameters'!$A$2:$O$38,15,FALSE)</f>
        <v>1.2192000000000001</v>
      </c>
      <c r="AB15" s="36" t="str">
        <f t="shared" si="5"/>
        <v>Yes</v>
      </c>
      <c r="AC15" s="36" t="str">
        <f t="shared" si="6"/>
        <v>Yes</v>
      </c>
      <c r="AD15" s="36" t="str">
        <f t="shared" si="7"/>
        <v>Yes</v>
      </c>
      <c r="AE15" s="36" t="s">
        <v>63</v>
      </c>
      <c r="AF15" s="51">
        <v>1997</v>
      </c>
      <c r="AG15" s="37"/>
    </row>
    <row r="16" spans="1:33">
      <c r="A16" s="25">
        <f t="shared" si="10"/>
        <v>9</v>
      </c>
      <c r="B16" s="32" t="s">
        <v>72</v>
      </c>
      <c r="C16" s="33" t="s">
        <v>99</v>
      </c>
      <c r="D16" s="34">
        <v>589160.19999999995</v>
      </c>
      <c r="E16" s="34">
        <v>6728838.9000000004</v>
      </c>
      <c r="F16" s="30">
        <v>40</v>
      </c>
      <c r="G16" s="30">
        <v>-20.156228888499999</v>
      </c>
      <c r="H16" s="30">
        <v>187.657773077</v>
      </c>
      <c r="I16" s="301">
        <f t="shared" si="1"/>
        <v>0.34836218290208015</v>
      </c>
      <c r="J16" s="346">
        <f>'[27]2011Original Data Other Sources'!$N$1748*(2000*453.59/(8760*3600))</f>
        <v>0.34836218290208015</v>
      </c>
      <c r="K16" s="301">
        <f t="shared" si="2"/>
        <v>3.2506132673769658E-2</v>
      </c>
      <c r="L16" s="346">
        <f>'[27]2011Original Data Other Sources'!$N$3194*(2000*453.59/(8760*3600))</f>
        <v>3.2506132673769658E-2</v>
      </c>
      <c r="M16" s="346">
        <f t="shared" si="3"/>
        <v>1.1794260527650938E-2</v>
      </c>
      <c r="N16" s="346">
        <f t="shared" si="4"/>
        <v>1.1794260527650938E-2</v>
      </c>
      <c r="O16" s="346">
        <f>'[27]2011Original Data Other Sources'!$N$5893*(2000*453.59/(8760*3600))</f>
        <v>1.1794260527650938E-2</v>
      </c>
      <c r="P16" s="346">
        <f>'[27]2011Original Data Other Sources'!$N$516*(2000*453.59/(8760*3600))</f>
        <v>0.35871811897513955</v>
      </c>
      <c r="Q16" s="207" t="s">
        <v>320</v>
      </c>
      <c r="R16" s="207" t="s">
        <v>321</v>
      </c>
      <c r="S16" s="207">
        <f>$K16*(VLOOKUP($Q16 &amp;"|"&amp; $R16,'AQRV Speciation'!$B$8:$G$22,2,FALSE))</f>
        <v>0</v>
      </c>
      <c r="T16" s="207">
        <f>$K16*(VLOOKUP($Q16 &amp;"|"&amp; $R16,'AQRV Speciation'!$B$8:$G$22,3,FALSE))</f>
        <v>8.1265331684424146E-3</v>
      </c>
      <c r="U16" s="207">
        <f>$K16*(VLOOKUP($Q16 &amp;"|"&amp; $R16,'AQRV Speciation'!$B$8:$G$22,4,FALSE))</f>
        <v>8.1265331684424146E-3</v>
      </c>
      <c r="V16" s="207">
        <f>$K16*(VLOOKUP($Q16 &amp;"|"&amp; $R16,'AQRV Speciation'!$B$8:$G$22,5,FALSE))</f>
        <v>2.4379599505327247E-2</v>
      </c>
      <c r="W16" s="207">
        <f>$K16*(VLOOKUP($Q16 &amp;"|"&amp; $R16,'AQRV Speciation'!$B$8:$G$22,6,FALSE))</f>
        <v>2.4379599505327247E-2</v>
      </c>
      <c r="X16" s="35">
        <f>VLOOKUP(B16,'[28]FOR Stack Parameters'!$A$2:$O$38,12,FALSE)</f>
        <v>23.4696</v>
      </c>
      <c r="Y16" s="309">
        <f>VLOOKUP(B16,'[28]FOR Stack Parameters'!$A$2:$O$38,13,FALSE)</f>
        <v>561.48333333333335</v>
      </c>
      <c r="Z16" s="35">
        <f>VLOOKUP(B16,'[28]FOR Stack Parameters'!$A$2:$O$38,14,FALSE)</f>
        <v>5.4864000000000006</v>
      </c>
      <c r="AA16" s="35">
        <f>VLOOKUP(B16,'[28]FOR Stack Parameters'!$A$2:$O$38,15,FALSE)</f>
        <v>1.524</v>
      </c>
      <c r="AB16" s="36" t="str">
        <f t="shared" si="5"/>
        <v>Yes</v>
      </c>
      <c r="AC16" s="36" t="str">
        <f t="shared" si="6"/>
        <v>Yes</v>
      </c>
      <c r="AD16" s="36" t="str">
        <f t="shared" si="7"/>
        <v>Yes</v>
      </c>
      <c r="AE16" s="36" t="s">
        <v>63</v>
      </c>
      <c r="AF16" s="51" t="s">
        <v>399</v>
      </c>
      <c r="AG16" s="37"/>
    </row>
    <row r="17" spans="1:33">
      <c r="A17" s="25">
        <f t="shared" si="10"/>
        <v>10</v>
      </c>
      <c r="B17" s="32" t="s">
        <v>73</v>
      </c>
      <c r="C17" s="33" t="s">
        <v>100</v>
      </c>
      <c r="D17" s="34">
        <v>588857.41799999995</v>
      </c>
      <c r="E17" s="34">
        <v>6728656.9699999997</v>
      </c>
      <c r="F17" s="30">
        <v>40</v>
      </c>
      <c r="G17" s="30">
        <v>-20.465466985799999</v>
      </c>
      <c r="H17" s="30">
        <v>187.48413784499999</v>
      </c>
      <c r="I17" s="301">
        <f t="shared" si="1"/>
        <v>0.216036333079655</v>
      </c>
      <c r="J17" s="346">
        <f>'[27]2011Original Data Other Sources'!$N$1750*(2000*453.59/(8760*3600))</f>
        <v>0.216036333079655</v>
      </c>
      <c r="K17" s="301">
        <f t="shared" si="2"/>
        <v>1.6396898782343988E-2</v>
      </c>
      <c r="L17" s="346">
        <f>'[27]2011Original Data Other Sources'!$N$3196*(2000*453.59/(8760*3600))</f>
        <v>1.6396898782343988E-2</v>
      </c>
      <c r="M17" s="346">
        <f t="shared" si="3"/>
        <v>6.0409627092846271E-3</v>
      </c>
      <c r="N17" s="346">
        <f t="shared" si="4"/>
        <v>6.0409627092846271E-3</v>
      </c>
      <c r="O17" s="346">
        <f>'[27]2011Original Data Other Sources'!$N$5895*(2000*453.59/(8760*3600))</f>
        <v>6.0409627092846271E-3</v>
      </c>
      <c r="P17" s="346">
        <f>'[27]2011Original Data Other Sources'!$N$518*(2000*453.59/(8760*3600))</f>
        <v>0.18151654616945712</v>
      </c>
      <c r="Q17" s="207" t="s">
        <v>320</v>
      </c>
      <c r="R17" s="207" t="s">
        <v>321</v>
      </c>
      <c r="S17" s="207">
        <f>$K17*(VLOOKUP($Q17 &amp;"|"&amp; $R17,'AQRV Speciation'!$B$8:$G$22,2,FALSE))</f>
        <v>0</v>
      </c>
      <c r="T17" s="207">
        <f>$K17*(VLOOKUP($Q17 &amp;"|"&amp; $R17,'AQRV Speciation'!$B$8:$G$22,3,FALSE))</f>
        <v>4.0992246955859971E-3</v>
      </c>
      <c r="U17" s="207">
        <f>$K17*(VLOOKUP($Q17 &amp;"|"&amp; $R17,'AQRV Speciation'!$B$8:$G$22,4,FALSE))</f>
        <v>4.0992246955859971E-3</v>
      </c>
      <c r="V17" s="207">
        <f>$K17*(VLOOKUP($Q17 &amp;"|"&amp; $R17,'AQRV Speciation'!$B$8:$G$22,5,FALSE))</f>
        <v>1.2297674086757993E-2</v>
      </c>
      <c r="W17" s="207">
        <f>$K17*(VLOOKUP($Q17 &amp;"|"&amp; $R17,'AQRV Speciation'!$B$8:$G$22,6,FALSE))</f>
        <v>1.2297674086757993E-2</v>
      </c>
      <c r="X17" s="35">
        <f>VLOOKUP(B17,'[28]FOR Stack Parameters'!$A$2:$O$38,12,FALSE)</f>
        <v>16.763999999999999</v>
      </c>
      <c r="Y17" s="309">
        <f>VLOOKUP(B17,'[28]FOR Stack Parameters'!$A$2:$O$38,13,FALSE)</f>
        <v>553.15</v>
      </c>
      <c r="Z17" s="35">
        <f>VLOOKUP(B17,'[28]FOR Stack Parameters'!$A$2:$O$38,14,FALSE)</f>
        <v>10.668000000000001</v>
      </c>
      <c r="AA17" s="35">
        <f>VLOOKUP(B17,'[28]FOR Stack Parameters'!$A$2:$O$38,15,FALSE)</f>
        <v>0.9144000000000001</v>
      </c>
      <c r="AB17" s="36" t="str">
        <f t="shared" si="5"/>
        <v>No</v>
      </c>
      <c r="AC17" s="36" t="str">
        <f t="shared" si="6"/>
        <v>No</v>
      </c>
      <c r="AD17" s="36" t="str">
        <f t="shared" si="7"/>
        <v>No</v>
      </c>
      <c r="AE17" s="36" t="s">
        <v>63</v>
      </c>
      <c r="AF17" s="51">
        <v>1969</v>
      </c>
      <c r="AG17" s="37"/>
    </row>
    <row r="18" spans="1:33">
      <c r="A18" s="25">
        <f>A17+1</f>
        <v>11</v>
      </c>
      <c r="B18" s="32" t="s">
        <v>74</v>
      </c>
      <c r="C18" s="33" t="s">
        <v>101</v>
      </c>
      <c r="D18" s="34">
        <v>589041.80000000005</v>
      </c>
      <c r="E18" s="34">
        <v>6728857.4000000004</v>
      </c>
      <c r="F18" s="30">
        <v>40</v>
      </c>
      <c r="G18" s="30">
        <v>-20.274505763099999</v>
      </c>
      <c r="H18" s="30">
        <v>187.679837574</v>
      </c>
      <c r="I18" s="301">
        <f t="shared" si="1"/>
        <v>1.7259893455098935E-3</v>
      </c>
      <c r="J18" s="346">
        <f>'[27]2011Original Data Other Sources'!$N$1746*(2000*453.59/(8760*3600))</f>
        <v>1.7259893455098935E-3</v>
      </c>
      <c r="K18" s="301">
        <f t="shared" si="2"/>
        <v>0</v>
      </c>
      <c r="L18" s="346">
        <f>'[27]2011Original Data Other Sources'!$N$3192*(2000*453.59/(8760*3600))</f>
        <v>0</v>
      </c>
      <c r="M18" s="346">
        <f t="shared" si="3"/>
        <v>0</v>
      </c>
      <c r="N18" s="346">
        <f t="shared" si="4"/>
        <v>0</v>
      </c>
      <c r="O18" s="346">
        <f>'[27]2011Original Data Other Sources'!$N$5891*(2000*453.59/(8760*3600))</f>
        <v>0</v>
      </c>
      <c r="P18" s="346">
        <f>'[27]2011Original Data Other Sources'!$N$514*(2000*453.59/(8760*3600))</f>
        <v>1.4383244545915781E-3</v>
      </c>
      <c r="Q18" s="207" t="s">
        <v>328</v>
      </c>
      <c r="R18" s="207" t="s">
        <v>321</v>
      </c>
      <c r="S18" s="207">
        <f>$K18*(VLOOKUP($Q18 &amp;"|"&amp; $R18,'AQRV Speciation'!$B$8:$G$22,2,FALSE))</f>
        <v>0</v>
      </c>
      <c r="T18" s="207">
        <f>$K18*(VLOOKUP($Q18 &amp;"|"&amp; $R18,'AQRV Speciation'!$B$8:$G$22,3,FALSE))</f>
        <v>0</v>
      </c>
      <c r="U18" s="207">
        <f>$K18*(VLOOKUP($Q18 &amp;"|"&amp; $R18,'AQRV Speciation'!$B$8:$G$22,4,FALSE))</f>
        <v>0</v>
      </c>
      <c r="V18" s="207">
        <f>$K18*(VLOOKUP($Q18 &amp;"|"&amp; $R18,'AQRV Speciation'!$B$8:$G$22,5,FALSE))</f>
        <v>0</v>
      </c>
      <c r="W18" s="207">
        <f>$K18*(VLOOKUP($Q18 &amp;"|"&amp; $R18,'AQRV Speciation'!$B$8:$G$22,6,FALSE))</f>
        <v>0</v>
      </c>
      <c r="X18" s="35">
        <f>VLOOKUP(B18,'[28]FOR Stack Parameters'!$A$2:$O$38,12,FALSE)</f>
        <v>12.192</v>
      </c>
      <c r="Y18" s="309">
        <f>VLOOKUP(B18,'[28]FOR Stack Parameters'!$A$2:$O$38,13,FALSE)</f>
        <v>555.92777777777769</v>
      </c>
      <c r="Z18" s="35">
        <f>VLOOKUP(B18,'[28]FOR Stack Parameters'!$A$2:$O$38,14,FALSE)</f>
        <v>9.1440000000000001</v>
      </c>
      <c r="AA18" s="35">
        <f>VLOOKUP(B18,'[28]FOR Stack Parameters'!$A$2:$O$38,15,FALSE)</f>
        <v>0.60960000000000003</v>
      </c>
      <c r="AB18" s="36" t="str">
        <f t="shared" si="5"/>
        <v>No</v>
      </c>
      <c r="AC18" s="36" t="str">
        <f t="shared" si="6"/>
        <v>No</v>
      </c>
      <c r="AD18" s="36" t="str">
        <f t="shared" si="7"/>
        <v>No</v>
      </c>
      <c r="AE18" s="36" t="s">
        <v>63</v>
      </c>
      <c r="AF18" s="51">
        <v>1969</v>
      </c>
      <c r="AG18" s="37"/>
    </row>
    <row r="19" spans="1:33">
      <c r="A19" s="25">
        <f t="shared" si="10"/>
        <v>12</v>
      </c>
      <c r="B19" s="32" t="s">
        <v>75</v>
      </c>
      <c r="C19" s="33" t="s">
        <v>102</v>
      </c>
      <c r="D19" s="34">
        <v>589035.80000000005</v>
      </c>
      <c r="E19" s="34">
        <v>6728856.0999999996</v>
      </c>
      <c r="F19" s="30">
        <v>40</v>
      </c>
      <c r="G19" s="30">
        <v>-20.2805656347</v>
      </c>
      <c r="H19" s="30">
        <v>187.678710185</v>
      </c>
      <c r="I19" s="301">
        <f t="shared" si="1"/>
        <v>6.2135616438356168E-2</v>
      </c>
      <c r="J19" s="346">
        <f>'[27]2011Original Data Other Sources'!$N$1745*(2000*453.59/(8760*3600))</f>
        <v>6.2135616438356168E-2</v>
      </c>
      <c r="K19" s="301">
        <f t="shared" si="2"/>
        <v>4.6026382546930497E-3</v>
      </c>
      <c r="L19" s="346">
        <f>'[27]2011Original Data Other Sources'!$N$3191*(2000*453.59/(8760*3600))</f>
        <v>4.6026382546930497E-3</v>
      </c>
      <c r="M19" s="346">
        <f t="shared" si="3"/>
        <v>1.7259893455098935E-3</v>
      </c>
      <c r="N19" s="346">
        <f t="shared" si="4"/>
        <v>1.7259893455098935E-3</v>
      </c>
      <c r="O19" s="346">
        <f>'[27]2011Original Data Other Sources'!$N$5890*(2000*453.59/(8760*3600))</f>
        <v>1.7259893455098935E-3</v>
      </c>
      <c r="P19" s="346">
        <f>'[27]2011Original Data Other Sources'!$N$513*(2000*453.59/(8760*3600))</f>
        <v>5.2355010147133438E-2</v>
      </c>
      <c r="Q19" s="207" t="s">
        <v>328</v>
      </c>
      <c r="R19" s="207" t="s">
        <v>321</v>
      </c>
      <c r="S19" s="207">
        <f>$K19*(VLOOKUP($Q19 &amp;"|"&amp; $R19,'AQRV Speciation'!$B$8:$G$22,2,FALSE))</f>
        <v>0</v>
      </c>
      <c r="T19" s="207">
        <f>$K19*(VLOOKUP($Q19 &amp;"|"&amp; $R19,'AQRV Speciation'!$B$8:$G$22,3,FALSE))</f>
        <v>2.2527080587111782E-3</v>
      </c>
      <c r="U19" s="207">
        <f>$K19*(VLOOKUP($Q19 &amp;"|"&amp; $R19,'AQRV Speciation'!$B$8:$G$22,4,FALSE))</f>
        <v>2.2527080587111782E-3</v>
      </c>
      <c r="V19" s="207">
        <f>$K19*(VLOOKUP($Q19 &amp;"|"&amp; $R19,'AQRV Speciation'!$B$8:$G$22,5,FALSE))</f>
        <v>2.3499301959818714E-3</v>
      </c>
      <c r="W19" s="207">
        <f>$K19*(VLOOKUP($Q19 &amp;"|"&amp; $R19,'AQRV Speciation'!$B$8:$G$22,6,FALSE))</f>
        <v>2.3499301959818714E-3</v>
      </c>
      <c r="X19" s="35">
        <f>VLOOKUP(B19,'[28]FOR Stack Parameters'!$A$2:$O$38,12,FALSE)</f>
        <v>12.192</v>
      </c>
      <c r="Y19" s="309">
        <f>VLOOKUP(B19,'[28]FOR Stack Parameters'!$A$2:$O$38,13,FALSE)</f>
        <v>555.92777777777769</v>
      </c>
      <c r="Z19" s="35">
        <f>VLOOKUP(B19,'[28]FOR Stack Parameters'!$A$2:$O$38,14,FALSE)</f>
        <v>9.1440000000000001</v>
      </c>
      <c r="AA19" s="35">
        <f>VLOOKUP(B19,'[28]FOR Stack Parameters'!$A$2:$O$38,15,FALSE)</f>
        <v>0.60960000000000003</v>
      </c>
      <c r="AB19" s="36" t="str">
        <f t="shared" si="5"/>
        <v>No</v>
      </c>
      <c r="AC19" s="36" t="str">
        <f t="shared" si="6"/>
        <v>No</v>
      </c>
      <c r="AD19" s="36" t="str">
        <f t="shared" si="7"/>
        <v>No</v>
      </c>
      <c r="AE19" s="36" t="s">
        <v>63</v>
      </c>
      <c r="AF19" s="51">
        <v>1969</v>
      </c>
      <c r="AG19" s="37"/>
    </row>
    <row r="20" spans="1:33">
      <c r="A20" s="25">
        <f t="shared" si="10"/>
        <v>13</v>
      </c>
      <c r="B20" s="32" t="s">
        <v>76</v>
      </c>
      <c r="C20" s="33" t="s">
        <v>103</v>
      </c>
      <c r="D20" s="34">
        <v>589149.6</v>
      </c>
      <c r="E20" s="34">
        <v>6728575.2999999998</v>
      </c>
      <c r="F20" s="30">
        <v>40</v>
      </c>
      <c r="G20" s="30">
        <v>-20.174655756700002</v>
      </c>
      <c r="H20" s="30">
        <v>187.39354538800001</v>
      </c>
      <c r="I20" s="301">
        <f t="shared" si="1"/>
        <v>3.4519786910197872E-2</v>
      </c>
      <c r="J20" s="346">
        <f>'[27]2011Original Data Other Sources'!$N$1744*(2000*453.59/(8760*3600))</f>
        <v>3.4519786910197872E-2</v>
      </c>
      <c r="K20" s="301">
        <f t="shared" si="2"/>
        <v>2.5889840182648401E-3</v>
      </c>
      <c r="L20" s="346">
        <f>'[27]2011Original Data Other Sources'!$N$3190*(2000*453.59/(8760*3600))</f>
        <v>2.5889840182648401E-3</v>
      </c>
      <c r="M20" s="346">
        <f t="shared" si="3"/>
        <v>8.6299467275494676E-4</v>
      </c>
      <c r="N20" s="346">
        <f t="shared" si="4"/>
        <v>8.6299467275494676E-4</v>
      </c>
      <c r="O20" s="346">
        <f>'[27]2011Original Data Other Sources'!$N$5889*(2000*453.59/(8760*3600))</f>
        <v>8.6299467275494676E-4</v>
      </c>
      <c r="P20" s="346">
        <f>'[27]2011Original Data Other Sources'!$N$512*(2000*453.59/(8760*3600))</f>
        <v>2.9054153982749874E-2</v>
      </c>
      <c r="Q20" s="207" t="s">
        <v>320</v>
      </c>
      <c r="R20" s="207" t="s">
        <v>321</v>
      </c>
      <c r="S20" s="207">
        <f>$K20*(VLOOKUP($Q20 &amp;"|"&amp; $R20,'AQRV Speciation'!$B$8:$G$22,2,FALSE))</f>
        <v>0</v>
      </c>
      <c r="T20" s="207">
        <f>$K20*(VLOOKUP($Q20 &amp;"|"&amp; $R20,'AQRV Speciation'!$B$8:$G$22,3,FALSE))</f>
        <v>6.4724600456621002E-4</v>
      </c>
      <c r="U20" s="207">
        <f>$K20*(VLOOKUP($Q20 &amp;"|"&amp; $R20,'AQRV Speciation'!$B$8:$G$22,4,FALSE))</f>
        <v>6.4724600456621002E-4</v>
      </c>
      <c r="V20" s="207">
        <f>$K20*(VLOOKUP($Q20 &amp;"|"&amp; $R20,'AQRV Speciation'!$B$8:$G$22,5,FALSE))</f>
        <v>1.9417380136986303E-3</v>
      </c>
      <c r="W20" s="207">
        <f>$K20*(VLOOKUP($Q20 &amp;"|"&amp; $R20,'AQRV Speciation'!$B$8:$G$22,6,FALSE))</f>
        <v>1.9417380136986303E-3</v>
      </c>
      <c r="X20" s="35">
        <f>VLOOKUP(B20,'[28]FOR Stack Parameters'!$A$2:$O$38,12,FALSE)</f>
        <v>4.8768000000000002</v>
      </c>
      <c r="Y20" s="309">
        <f>VLOOKUP(B20,'[28]FOR Stack Parameters'!$A$2:$O$38,13,FALSE)</f>
        <v>599.81666666666661</v>
      </c>
      <c r="Z20" s="35">
        <f>VLOOKUP(B20,'[28]FOR Stack Parameters'!$A$2:$O$38,14,FALSE)</f>
        <v>65.836799999999997</v>
      </c>
      <c r="AA20" s="300">
        <v>0.12</v>
      </c>
      <c r="AB20" s="36" t="str">
        <f t="shared" si="5"/>
        <v>No</v>
      </c>
      <c r="AC20" s="36" t="str">
        <f t="shared" si="6"/>
        <v>Yes</v>
      </c>
      <c r="AD20" s="36" t="str">
        <f t="shared" si="7"/>
        <v>Yes</v>
      </c>
      <c r="AE20" s="36" t="s">
        <v>63</v>
      </c>
      <c r="AF20" s="51">
        <v>1985</v>
      </c>
      <c r="AG20" s="44" t="s">
        <v>144</v>
      </c>
    </row>
    <row r="21" spans="1:33">
      <c r="A21" s="25">
        <f t="shared" si="10"/>
        <v>14</v>
      </c>
      <c r="B21" s="32" t="s">
        <v>77</v>
      </c>
      <c r="C21" s="33" t="s">
        <v>104</v>
      </c>
      <c r="D21" s="34">
        <v>589029.69999999995</v>
      </c>
      <c r="E21" s="34">
        <v>6728856</v>
      </c>
      <c r="F21" s="30">
        <v>40</v>
      </c>
      <c r="G21" s="30">
        <v>-20.2866904117</v>
      </c>
      <c r="H21" s="30">
        <v>187.67879004100001</v>
      </c>
      <c r="I21" s="301">
        <f>J21</f>
        <v>5.8395972856418059E-2</v>
      </c>
      <c r="J21" s="346">
        <f>'[27]2011Original Data Other Sources'!$N$1743*(2000*453.59/(8760*3600))</f>
        <v>5.8395972856418059E-2</v>
      </c>
      <c r="K21" s="301">
        <f t="shared" si="2"/>
        <v>4.314973363774734E-3</v>
      </c>
      <c r="L21" s="346">
        <f>'[27]2011Original Data Other Sources'!$N$3189*(2000*453.59/(8760*3600))</f>
        <v>4.314973363774734E-3</v>
      </c>
      <c r="M21" s="346">
        <f t="shared" si="3"/>
        <v>2.876648909183156E-4</v>
      </c>
      <c r="N21" s="346">
        <f t="shared" si="4"/>
        <v>2.876648909183156E-4</v>
      </c>
      <c r="O21" s="346">
        <f>'[27]2011Original Data Other Sources'!$N$5888*(2000*453.59/(8760*3600))</f>
        <v>2.876648909183156E-4</v>
      </c>
      <c r="P21" s="346">
        <f>'[27]2011Original Data Other Sources'!$N$511*(2000*453.59/(8760*3600))</f>
        <v>4.8903031456113646E-2</v>
      </c>
      <c r="Q21" s="207" t="s">
        <v>328</v>
      </c>
      <c r="R21" s="207" t="s">
        <v>321</v>
      </c>
      <c r="S21" s="207">
        <f>$K21*(VLOOKUP($Q21 &amp;"|"&amp; $R21,'AQRV Speciation'!$B$8:$G$22,2,FALSE))</f>
        <v>0</v>
      </c>
      <c r="T21" s="207">
        <f>$K21*(VLOOKUP($Q21 &amp;"|"&amp; $R21,'AQRV Speciation'!$B$8:$G$22,3,FALSE))</f>
        <v>2.1119138050417299E-3</v>
      </c>
      <c r="U21" s="207">
        <f>$K21*(VLOOKUP($Q21 &amp;"|"&amp; $R21,'AQRV Speciation'!$B$8:$G$22,4,FALSE))</f>
        <v>2.1119138050417299E-3</v>
      </c>
      <c r="V21" s="207">
        <f>$K21*(VLOOKUP($Q21 &amp;"|"&amp; $R21,'AQRV Speciation'!$B$8:$G$22,5,FALSE))</f>
        <v>2.2030595587330046E-3</v>
      </c>
      <c r="W21" s="207">
        <f>$K21*(VLOOKUP($Q21 &amp;"|"&amp; $R21,'AQRV Speciation'!$B$8:$G$22,6,FALSE))</f>
        <v>2.2030595587330046E-3</v>
      </c>
      <c r="X21" s="35">
        <f>VLOOKUP(B21,'[28]FOR Stack Parameters'!$A$2:$O$38,12,FALSE)</f>
        <v>12.192</v>
      </c>
      <c r="Y21" s="309">
        <f>VLOOKUP(B21,'[28]FOR Stack Parameters'!$A$2:$O$38,13,FALSE)</f>
        <v>450.37222222222221</v>
      </c>
      <c r="Z21" s="35">
        <f>VLOOKUP(B21,'[28]FOR Stack Parameters'!$A$2:$O$38,14,FALSE)</f>
        <v>8.5343999999999998</v>
      </c>
      <c r="AA21" s="35">
        <f>VLOOKUP(B21,'[28]FOR Stack Parameters'!$A$2:$O$38,15,FALSE)</f>
        <v>0.60960000000000003</v>
      </c>
      <c r="AB21" s="36" t="str">
        <f t="shared" si="5"/>
        <v>No</v>
      </c>
      <c r="AC21" s="36" t="str">
        <f t="shared" si="6"/>
        <v>Yes</v>
      </c>
      <c r="AD21" s="36" t="str">
        <f t="shared" si="7"/>
        <v>No</v>
      </c>
      <c r="AE21" s="36" t="s">
        <v>63</v>
      </c>
      <c r="AF21" s="51">
        <v>1980</v>
      </c>
      <c r="AG21" s="37"/>
    </row>
    <row r="22" spans="1:33">
      <c r="A22" s="25">
        <f t="shared" si="10"/>
        <v>15</v>
      </c>
      <c r="B22" s="32" t="s">
        <v>78</v>
      </c>
      <c r="C22" s="33" t="s">
        <v>105</v>
      </c>
      <c r="D22" s="34">
        <v>589148.1</v>
      </c>
      <c r="E22" s="34">
        <v>6728833.2999999998</v>
      </c>
      <c r="F22" s="30">
        <v>40</v>
      </c>
      <c r="G22" s="30">
        <v>-20.1685376328</v>
      </c>
      <c r="H22" s="30">
        <v>187.65251059799999</v>
      </c>
      <c r="I22" s="301">
        <f t="shared" si="1"/>
        <v>6.6738254693049212E-2</v>
      </c>
      <c r="J22" s="346">
        <f>'[27]2011Original Data Other Sources'!$N$1740*(2000*453.59/(8760*3600))</f>
        <v>6.6738254693049212E-2</v>
      </c>
      <c r="K22" s="301">
        <f t="shared" si="2"/>
        <v>5.1779680365296801E-3</v>
      </c>
      <c r="L22" s="346">
        <f>'[27]2011Original Data Other Sources'!$N$3186*(2000*453.59/(8760*3600))</f>
        <v>5.1779680365296801E-3</v>
      </c>
      <c r="M22" s="346">
        <f t="shared" si="3"/>
        <v>2.876648909183156E-4</v>
      </c>
      <c r="N22" s="346">
        <f t="shared" si="4"/>
        <v>2.876648909183156E-4</v>
      </c>
      <c r="O22" s="346">
        <f>'[27]2011Original Data Other Sources'!$N$5885*(2000*453.59/(8760*3600))</f>
        <v>2.876648909183156E-4</v>
      </c>
      <c r="P22" s="346">
        <f>'[27]2011Original Data Other Sources'!$N$508*(2000*453.59/(8760*3600))</f>
        <v>5.6094653729071541E-2</v>
      </c>
      <c r="Q22" s="207" t="s">
        <v>320</v>
      </c>
      <c r="R22" s="207" t="s">
        <v>321</v>
      </c>
      <c r="S22" s="207">
        <f>$K22*(VLOOKUP($Q22 &amp;"|"&amp; $R22,'AQRV Speciation'!$B$8:$G$22,2,FALSE))</f>
        <v>0</v>
      </c>
      <c r="T22" s="207">
        <f>$K22*(VLOOKUP($Q22 &amp;"|"&amp; $R22,'AQRV Speciation'!$B$8:$G$22,3,FALSE))</f>
        <v>1.29449200913242E-3</v>
      </c>
      <c r="U22" s="207">
        <f>$K22*(VLOOKUP($Q22 &amp;"|"&amp; $R22,'AQRV Speciation'!$B$8:$G$22,4,FALSE))</f>
        <v>1.29449200913242E-3</v>
      </c>
      <c r="V22" s="207">
        <f>$K22*(VLOOKUP($Q22 &amp;"|"&amp; $R22,'AQRV Speciation'!$B$8:$G$22,5,FALSE))</f>
        <v>3.8834760273972605E-3</v>
      </c>
      <c r="W22" s="207">
        <f>$K22*(VLOOKUP($Q22 &amp;"|"&amp; $R22,'AQRV Speciation'!$B$8:$G$22,6,FALSE))</f>
        <v>3.8834760273972605E-3</v>
      </c>
      <c r="X22" s="35">
        <f>VLOOKUP(B22,'[28]FOR Stack Parameters'!$A$2:$O$38,12,FALSE)</f>
        <v>4.5720000000000001</v>
      </c>
      <c r="Y22" s="309">
        <f>VLOOKUP(B22,'[28]FOR Stack Parameters'!$A$2:$O$38,13,FALSE)</f>
        <v>449.81666666666666</v>
      </c>
      <c r="Z22" s="35">
        <f>VLOOKUP(B22,'[28]FOR Stack Parameters'!$A$2:$O$38,14,FALSE)</f>
        <v>2.4384000000000001</v>
      </c>
      <c r="AA22" s="35">
        <f>VLOOKUP(B22,'[28]FOR Stack Parameters'!$A$2:$O$38,15,FALSE)</f>
        <v>0.9144000000000001</v>
      </c>
      <c r="AB22" s="36" t="str">
        <f t="shared" si="5"/>
        <v>No</v>
      </c>
      <c r="AC22" s="36" t="str">
        <f t="shared" si="6"/>
        <v>Yes</v>
      </c>
      <c r="AD22" s="36" t="str">
        <f t="shared" si="7"/>
        <v>No</v>
      </c>
      <c r="AE22" s="36" t="s">
        <v>63</v>
      </c>
      <c r="AF22" s="51">
        <v>1980</v>
      </c>
      <c r="AG22" s="37"/>
    </row>
    <row r="23" spans="1:33" ht="13.5" customHeight="1">
      <c r="A23" s="25">
        <f t="shared" si="10"/>
        <v>16</v>
      </c>
      <c r="B23" s="32" t="s">
        <v>79</v>
      </c>
      <c r="C23" s="33" t="s">
        <v>106</v>
      </c>
      <c r="D23" s="34">
        <v>589233</v>
      </c>
      <c r="E23" s="34">
        <v>6728817.7000000002</v>
      </c>
      <c r="F23" s="30">
        <v>40</v>
      </c>
      <c r="G23" s="30">
        <v>-20.083795095799999</v>
      </c>
      <c r="H23" s="30">
        <v>187.63434594200001</v>
      </c>
      <c r="I23" s="301">
        <f t="shared" si="1"/>
        <v>0.44214093734145105</v>
      </c>
      <c r="J23" s="346">
        <f>'[27]2011Original Data Other Sources'!$N$1736*(2000*453.59/(8760*3600))</f>
        <v>0.44214093734145105</v>
      </c>
      <c r="K23" s="301">
        <f t="shared" si="2"/>
        <v>4.113607940131913E-2</v>
      </c>
      <c r="L23" s="346">
        <f>'[27]2011Original Data Other Sources'!$N$3182*(2000*453.59/(8760*3600))</f>
        <v>4.113607940131913E-2</v>
      </c>
      <c r="M23" s="346">
        <f t="shared" si="3"/>
        <v>2.9629483764586507E-2</v>
      </c>
      <c r="N23" s="346">
        <f t="shared" si="4"/>
        <v>2.9629483764586507E-2</v>
      </c>
      <c r="O23" s="346">
        <f>'[27]2011Original Data Other Sources'!$N$5881*(2000*453.59/(8760*3600))</f>
        <v>2.9629483764586507E-2</v>
      </c>
      <c r="P23" s="346">
        <f>'[27]2011Original Data Other Sources'!$N$504*(2000*453.59/(8760*3600))</f>
        <v>0.4553735223236936</v>
      </c>
      <c r="Q23" s="207" t="s">
        <v>320</v>
      </c>
      <c r="R23" s="207" t="s">
        <v>321</v>
      </c>
      <c r="S23" s="207">
        <f>$K23*(VLOOKUP($Q23 &amp;"|"&amp; $R23,'AQRV Speciation'!$B$8:$G$22,2,FALSE))</f>
        <v>0</v>
      </c>
      <c r="T23" s="207">
        <f>$K23*(VLOOKUP($Q23 &amp;"|"&amp; $R23,'AQRV Speciation'!$B$8:$G$22,3,FALSE))</f>
        <v>1.0284019850329782E-2</v>
      </c>
      <c r="U23" s="207">
        <f>$K23*(VLOOKUP($Q23 &amp;"|"&amp; $R23,'AQRV Speciation'!$B$8:$G$22,4,FALSE))</f>
        <v>1.0284019850329782E-2</v>
      </c>
      <c r="V23" s="207">
        <f>$K23*(VLOOKUP($Q23 &amp;"|"&amp; $R23,'AQRV Speciation'!$B$8:$G$22,5,FALSE))</f>
        <v>3.0852059550989352E-2</v>
      </c>
      <c r="W23" s="207">
        <f>$K23*(VLOOKUP($Q23 &amp;"|"&amp; $R23,'AQRV Speciation'!$B$8:$G$22,6,FALSE))</f>
        <v>3.0852059550989352E-2</v>
      </c>
      <c r="X23" s="35">
        <f>VLOOKUP(B23,'[28]FOR Stack Parameters'!$A$2:$O$38,12,FALSE)</f>
        <v>21.336000000000002</v>
      </c>
      <c r="Y23" s="309">
        <f>VLOOKUP(B23,'[28]FOR Stack Parameters'!$A$2:$O$38,13,FALSE)</f>
        <v>446.48333333333335</v>
      </c>
      <c r="Z23" s="35">
        <f>VLOOKUP(B23,'[28]FOR Stack Parameters'!$A$2:$O$38,14,FALSE)</f>
        <v>21.031200000000002</v>
      </c>
      <c r="AA23" s="35">
        <f>VLOOKUP(B23,'[28]FOR Stack Parameters'!$A$2:$O$38,15,FALSE)</f>
        <v>1.2192000000000001</v>
      </c>
      <c r="AB23" s="36" t="str">
        <f t="shared" si="5"/>
        <v>No</v>
      </c>
      <c r="AC23" s="36" t="str">
        <f t="shared" si="6"/>
        <v>Yes</v>
      </c>
      <c r="AD23" s="36" t="str">
        <f t="shared" si="7"/>
        <v>No</v>
      </c>
      <c r="AE23" s="36" t="s">
        <v>63</v>
      </c>
      <c r="AF23" s="51">
        <v>1981</v>
      </c>
      <c r="AG23" s="37"/>
    </row>
    <row r="24" spans="1:33" hidden="1">
      <c r="B24" s="32" t="s">
        <v>453</v>
      </c>
      <c r="C24" s="40" t="s">
        <v>459</v>
      </c>
      <c r="D24" s="308"/>
      <c r="E24" s="308"/>
      <c r="F24" s="258"/>
      <c r="G24" s="258"/>
      <c r="H24" s="258"/>
      <c r="I24" s="301">
        <f t="shared" si="1"/>
        <v>6.3286276002029428E-3</v>
      </c>
      <c r="J24" s="346">
        <f>'[27]2011Original Data Other Sources'!$N$1742*(2000*453.59/(8760*3600))</f>
        <v>6.3286276002029428E-3</v>
      </c>
      <c r="K24" s="301">
        <f t="shared" si="2"/>
        <v>5.7532978183663121E-4</v>
      </c>
      <c r="L24" s="346">
        <f>'[27]2011Original Data Other Sources'!$N$3188*(2000*453.59/(8760*3600))</f>
        <v>5.7532978183663121E-4</v>
      </c>
      <c r="M24" s="346">
        <f t="shared" si="3"/>
        <v>0</v>
      </c>
      <c r="N24" s="346">
        <f t="shared" si="4"/>
        <v>0</v>
      </c>
      <c r="O24" s="346">
        <f>'[27]2011Original Data Other Sources'!$N$5887*(2000*453.59/(8760*3600))</f>
        <v>0</v>
      </c>
      <c r="P24" s="346">
        <f>'[27]2011Original Data Other Sources'!$N$510*(2000*453.59/(8760*3600))</f>
        <v>5.4656329274479967E-3</v>
      </c>
      <c r="Q24" s="301" t="s">
        <v>320</v>
      </c>
      <c r="R24" s="301" t="s">
        <v>321</v>
      </c>
      <c r="S24" s="301">
        <f>$K24*(VLOOKUP($Q24 &amp;"|"&amp; $R24,'AQRV Speciation'!$B$8:$G$22,2,FALSE))</f>
        <v>0</v>
      </c>
      <c r="T24" s="301"/>
      <c r="U24" s="301">
        <f>$K24*(VLOOKUP($Q24 &amp;"|"&amp; $R24,'AQRV Speciation'!$B$8:$G$22,4,FALSE))</f>
        <v>1.438324454591578E-4</v>
      </c>
      <c r="V24" s="301">
        <f>$K24*(VLOOKUP($Q24 &amp;"|"&amp; $R24,'AQRV Speciation'!$B$8:$G$22,5,FALSE))</f>
        <v>4.3149733637747349E-4</v>
      </c>
      <c r="W24" s="301">
        <f>$K24*(VLOOKUP($Q24 &amp;"|"&amp; $R24,'AQRV Speciation'!$B$8:$G$22,6,FALSE))</f>
        <v>4.3149733637747349E-4</v>
      </c>
      <c r="X24" s="35"/>
      <c r="Y24" s="309"/>
      <c r="Z24" s="34"/>
      <c r="AA24" s="302"/>
      <c r="AB24" s="36"/>
      <c r="AC24" s="36"/>
      <c r="AD24" s="36"/>
      <c r="AE24" s="36"/>
      <c r="AF24" s="51"/>
      <c r="AG24" s="37"/>
    </row>
    <row r="25" spans="1:33" hidden="1">
      <c r="B25" s="32" t="s">
        <v>454</v>
      </c>
      <c r="C25" s="40" t="s">
        <v>518</v>
      </c>
      <c r="D25" s="308"/>
      <c r="E25" s="308"/>
      <c r="F25" s="258"/>
      <c r="G25" s="258"/>
      <c r="H25" s="258"/>
      <c r="I25" s="301">
        <f t="shared" si="1"/>
        <v>4.0273084728564184E-3</v>
      </c>
      <c r="J25" s="346">
        <f>'[27]2011Original Data Other Sources'!$N$1739*(2000*453.59/(8760*3600))</f>
        <v>4.0273084728564184E-3</v>
      </c>
      <c r="K25" s="301">
        <f t="shared" si="2"/>
        <v>2.876648909183156E-4</v>
      </c>
      <c r="L25" s="346">
        <f>'[27]2011Original Data Other Sources'!$N$3185*(2000*453.59/(8760*3600))</f>
        <v>2.876648909183156E-4</v>
      </c>
      <c r="M25" s="346">
        <f t="shared" si="3"/>
        <v>0</v>
      </c>
      <c r="N25" s="346">
        <f t="shared" si="4"/>
        <v>0</v>
      </c>
      <c r="O25" s="346">
        <f>'[27]2011Original Data Other Sources'!$N$5884*(2000*453.59/(8760*3600))</f>
        <v>0</v>
      </c>
      <c r="P25" s="346">
        <f>'[27]2011Original Data Other Sources'!$N$507*(2000*453.59/(8760*3600))</f>
        <v>3.451978691019787E-3</v>
      </c>
      <c r="Q25" s="301" t="s">
        <v>320</v>
      </c>
      <c r="R25" s="301" t="s">
        <v>321</v>
      </c>
      <c r="S25" s="301">
        <f>$K25*(VLOOKUP($Q25 &amp;"|"&amp; $R25,'AQRV Speciation'!$B$8:$G$22,2,FALSE))</f>
        <v>0</v>
      </c>
      <c r="T25" s="301"/>
      <c r="U25" s="301">
        <f>$K25*(VLOOKUP($Q25 &amp;"|"&amp; $R25,'AQRV Speciation'!$B$8:$G$22,4,FALSE))</f>
        <v>7.1916222729578901E-5</v>
      </c>
      <c r="V25" s="301">
        <f>$K25*(VLOOKUP($Q25 &amp;"|"&amp; $R25,'AQRV Speciation'!$B$8:$G$22,5,FALSE))</f>
        <v>2.1574866818873674E-4</v>
      </c>
      <c r="W25" s="301">
        <f>$K25*(VLOOKUP($Q25 &amp;"|"&amp; $R25,'AQRV Speciation'!$B$8:$G$22,6,FALSE))</f>
        <v>2.1574866818873674E-4</v>
      </c>
      <c r="X25" s="35"/>
      <c r="Y25" s="309"/>
      <c r="Z25" s="34"/>
      <c r="AA25" s="302"/>
      <c r="AB25" s="36"/>
      <c r="AC25" s="36"/>
      <c r="AD25" s="36"/>
      <c r="AE25" s="36"/>
      <c r="AF25" s="51"/>
      <c r="AG25" s="37"/>
    </row>
    <row r="26" spans="1:33" hidden="1">
      <c r="B26" s="32" t="s">
        <v>455</v>
      </c>
      <c r="C26" s="40" t="s">
        <v>519</v>
      </c>
      <c r="D26" s="308"/>
      <c r="E26" s="308"/>
      <c r="F26" s="258"/>
      <c r="G26" s="258"/>
      <c r="H26" s="258"/>
      <c r="I26" s="301">
        <f t="shared" si="1"/>
        <v>6.0409627092846271E-3</v>
      </c>
      <c r="J26" s="346">
        <f>'[27]2011Original Data Other Sources'!$N$1737*(2000*453.59/(8760*3600))</f>
        <v>6.0409627092846271E-3</v>
      </c>
      <c r="K26" s="301">
        <f t="shared" si="2"/>
        <v>5.7532978183663121E-4</v>
      </c>
      <c r="L26" s="346">
        <f>'[27]2011Original Data Other Sources'!$N$3183*(2000*453.59/(8760*3600))</f>
        <v>5.7532978183663121E-4</v>
      </c>
      <c r="M26" s="346">
        <f t="shared" si="3"/>
        <v>0</v>
      </c>
      <c r="N26" s="346">
        <f t="shared" si="4"/>
        <v>0</v>
      </c>
      <c r="O26" s="346">
        <f>'[27]2011Original Data Other Sources'!$N$5882*(2000*453.59/(8760*3600))</f>
        <v>0</v>
      </c>
      <c r="P26" s="346">
        <f>'[27]2011Original Data Other Sources'!$N$505*(2000*453.59/(8760*3600))</f>
        <v>5.1779680365296801E-3</v>
      </c>
      <c r="Q26" s="301" t="s">
        <v>320</v>
      </c>
      <c r="R26" s="301" t="s">
        <v>321</v>
      </c>
      <c r="S26" s="301">
        <f>$K26*(VLOOKUP($Q26 &amp;"|"&amp; $R26,'AQRV Speciation'!$B$8:$G$22,2,FALSE))</f>
        <v>0</v>
      </c>
      <c r="T26" s="301"/>
      <c r="U26" s="301">
        <f>$K26*(VLOOKUP($Q26 &amp;"|"&amp; $R26,'AQRV Speciation'!$B$8:$G$22,4,FALSE))</f>
        <v>1.438324454591578E-4</v>
      </c>
      <c r="V26" s="301">
        <f>$K26*(VLOOKUP($Q26 &amp;"|"&amp; $R26,'AQRV Speciation'!$B$8:$G$22,5,FALSE))</f>
        <v>4.3149733637747349E-4</v>
      </c>
      <c r="W26" s="301">
        <f>$K26*(VLOOKUP($Q26 &amp;"|"&amp; $R26,'AQRV Speciation'!$B$8:$G$22,6,FALSE))</f>
        <v>4.3149733637747349E-4</v>
      </c>
      <c r="X26" s="35"/>
      <c r="Y26" s="309"/>
      <c r="Z26" s="34"/>
      <c r="AA26" s="302"/>
      <c r="AB26" s="36"/>
      <c r="AC26" s="36"/>
      <c r="AD26" s="36"/>
      <c r="AE26" s="36"/>
      <c r="AF26" s="51"/>
      <c r="AG26" s="37"/>
    </row>
    <row r="27" spans="1:33" hidden="1">
      <c r="B27" s="32" t="s">
        <v>456</v>
      </c>
      <c r="C27" s="40" t="s">
        <v>460</v>
      </c>
      <c r="D27" s="308"/>
      <c r="E27" s="308"/>
      <c r="F27" s="258"/>
      <c r="G27" s="258"/>
      <c r="H27" s="258"/>
      <c r="I27" s="301">
        <f t="shared" si="1"/>
        <v>1.2657255200405886E-2</v>
      </c>
      <c r="J27" s="346">
        <f>'[27]2011Original Data Other Sources'!$N$1759*(2000*453.59/(8760*3600))</f>
        <v>1.2657255200405886E-2</v>
      </c>
      <c r="K27" s="301">
        <f t="shared" si="2"/>
        <v>8.6299467275494676E-4</v>
      </c>
      <c r="L27" s="346">
        <f>'[27]2011Original Data Other Sources'!$N$3205*(2000*453.59/(8760*3600))</f>
        <v>8.6299467275494676E-4</v>
      </c>
      <c r="M27" s="346">
        <f t="shared" si="3"/>
        <v>0</v>
      </c>
      <c r="N27" s="346">
        <f t="shared" si="4"/>
        <v>0</v>
      </c>
      <c r="O27" s="346">
        <f>'[27]2011Original Data Other Sources'!$N$5904*(2000*453.59/(8760*3600))</f>
        <v>0</v>
      </c>
      <c r="P27" s="346">
        <f>'[27]2011Original Data Other Sources'!$N$527*(2000*453.59/(8760*3600))</f>
        <v>1.0643600963977677E-2</v>
      </c>
      <c r="Q27" s="301" t="s">
        <v>320</v>
      </c>
      <c r="R27" s="301" t="s">
        <v>321</v>
      </c>
      <c r="S27" s="301">
        <f>$K27*(VLOOKUP($Q27 &amp;"|"&amp; $R27,'AQRV Speciation'!$B$8:$G$22,2,FALSE))</f>
        <v>0</v>
      </c>
      <c r="T27" s="301"/>
      <c r="U27" s="301">
        <f>$K27*(VLOOKUP($Q27 &amp;"|"&amp; $R27,'AQRV Speciation'!$B$8:$G$22,4,FALSE))</f>
        <v>2.1574866818873669E-4</v>
      </c>
      <c r="V27" s="301">
        <f>$K27*(VLOOKUP($Q27 &amp;"|"&amp; $R27,'AQRV Speciation'!$B$8:$G$22,5,FALSE))</f>
        <v>6.4724600456621012E-4</v>
      </c>
      <c r="W27" s="301">
        <f>$K27*(VLOOKUP($Q27 &amp;"|"&amp; $R27,'AQRV Speciation'!$B$8:$G$22,6,FALSE))</f>
        <v>6.4724600456621012E-4</v>
      </c>
      <c r="X27" s="35"/>
      <c r="Y27" s="309"/>
      <c r="Z27" s="34"/>
      <c r="AA27" s="302"/>
      <c r="AB27" s="36"/>
      <c r="AC27" s="36"/>
      <c r="AD27" s="36"/>
      <c r="AE27" s="36"/>
      <c r="AF27" s="51"/>
      <c r="AG27" s="37"/>
    </row>
    <row r="28" spans="1:33" hidden="1">
      <c r="B28" s="32" t="s">
        <v>457</v>
      </c>
      <c r="C28" s="40" t="s">
        <v>461</v>
      </c>
      <c r="D28" s="308"/>
      <c r="E28" s="308"/>
      <c r="F28" s="258"/>
      <c r="G28" s="258"/>
      <c r="H28" s="258"/>
      <c r="I28" s="301">
        <f t="shared" si="1"/>
        <v>1.035593607305936E-2</v>
      </c>
      <c r="J28" s="346">
        <f>'[27]2011Original Data Other Sources'!$N$1760*(2000*453.59/(8760*3600))</f>
        <v>1.035593607305936E-2</v>
      </c>
      <c r="K28" s="301">
        <f t="shared" si="2"/>
        <v>8.6299467275494676E-4</v>
      </c>
      <c r="L28" s="346">
        <f>'[27]2011Original Data Other Sources'!$N$3206*(2000*453.59/(8760*3600))</f>
        <v>8.6299467275494676E-4</v>
      </c>
      <c r="M28" s="346">
        <f t="shared" si="3"/>
        <v>0</v>
      </c>
      <c r="N28" s="346">
        <f t="shared" si="4"/>
        <v>0</v>
      </c>
      <c r="O28" s="346">
        <f>'[27]2011Original Data Other Sources'!$N$5906*(2000*453.59/(8760*3600))</f>
        <v>0</v>
      </c>
      <c r="P28" s="346">
        <f>'[27]2011Original Data Other Sources'!$N$528*(2000*453.59/(8760*3600))</f>
        <v>8.629946727549468E-3</v>
      </c>
      <c r="Q28" s="301" t="s">
        <v>320</v>
      </c>
      <c r="R28" s="301" t="s">
        <v>321</v>
      </c>
      <c r="S28" s="301">
        <f>$K28*(VLOOKUP($Q28 &amp;"|"&amp; $R28,'AQRV Speciation'!$B$8:$G$22,2,FALSE))</f>
        <v>0</v>
      </c>
      <c r="T28" s="301"/>
      <c r="U28" s="301">
        <f>$K28*(VLOOKUP($Q28 &amp;"|"&amp; $R28,'AQRV Speciation'!$B$8:$G$22,4,FALSE))</f>
        <v>2.1574866818873669E-4</v>
      </c>
      <c r="V28" s="301">
        <f>$K28*(VLOOKUP($Q28 &amp;"|"&amp; $R28,'AQRV Speciation'!$B$8:$G$22,5,FALSE))</f>
        <v>6.4724600456621012E-4</v>
      </c>
      <c r="W28" s="301">
        <f>$K28*(VLOOKUP($Q28 &amp;"|"&amp; $R28,'AQRV Speciation'!$B$8:$G$22,6,FALSE))</f>
        <v>6.4724600456621012E-4</v>
      </c>
      <c r="X28" s="35"/>
      <c r="Y28" s="309"/>
      <c r="Z28" s="34"/>
      <c r="AA28" s="302"/>
      <c r="AB28" s="36"/>
      <c r="AC28" s="36"/>
      <c r="AD28" s="36"/>
      <c r="AE28" s="36"/>
      <c r="AF28" s="51"/>
      <c r="AG28" s="37"/>
    </row>
    <row r="29" spans="1:33" hidden="1">
      <c r="B29" s="32" t="s">
        <v>458</v>
      </c>
      <c r="C29" s="40" t="s">
        <v>462</v>
      </c>
      <c r="D29" s="308"/>
      <c r="E29" s="308"/>
      <c r="F29" s="258"/>
      <c r="G29" s="258"/>
      <c r="H29" s="258"/>
      <c r="I29" s="301">
        <f t="shared" si="1"/>
        <v>1.1506595636732624E-3</v>
      </c>
      <c r="J29" s="346">
        <f>'[27]2011Original Data Other Sources'!$N$1738*(2000*453.59/(8760*3600))</f>
        <v>1.1506595636732624E-3</v>
      </c>
      <c r="K29" s="301">
        <f t="shared" si="2"/>
        <v>0</v>
      </c>
      <c r="L29" s="346">
        <f>'[27]2011Original Data Other Sources'!$N$3184*(2000*453.59/(8760*3600))</f>
        <v>0</v>
      </c>
      <c r="M29" s="346">
        <f t="shared" si="3"/>
        <v>0</v>
      </c>
      <c r="N29" s="346">
        <f t="shared" si="4"/>
        <v>0</v>
      </c>
      <c r="O29" s="346">
        <f>'[27]2011Original Data Other Sources'!$N$5883*(2000*453.59/(8760*3600))</f>
        <v>0</v>
      </c>
      <c r="P29" s="346">
        <f>'[27]2011Original Data Other Sources'!$N$506*(2000*453.59/(8760*3600))</f>
        <v>1.1506595636732624E-3</v>
      </c>
      <c r="Q29" s="301" t="s">
        <v>320</v>
      </c>
      <c r="R29" s="301" t="s">
        <v>321</v>
      </c>
      <c r="S29" s="301">
        <f>$K29*(VLOOKUP($Q29 &amp;"|"&amp; $R29,'AQRV Speciation'!$B$8:$G$22,2,FALSE))</f>
        <v>0</v>
      </c>
      <c r="T29" s="301"/>
      <c r="U29" s="301">
        <f>$K29*(VLOOKUP($Q29 &amp;"|"&amp; $R29,'AQRV Speciation'!$B$8:$G$22,4,FALSE))</f>
        <v>0</v>
      </c>
      <c r="V29" s="301">
        <f>$K29*(VLOOKUP($Q29 &amp;"|"&amp; $R29,'AQRV Speciation'!$B$8:$G$22,5,FALSE))</f>
        <v>0</v>
      </c>
      <c r="W29" s="301">
        <f>$K29*(VLOOKUP($Q29 &amp;"|"&amp; $R29,'AQRV Speciation'!$B$8:$G$22,6,FALSE))</f>
        <v>0</v>
      </c>
      <c r="X29" s="35"/>
      <c r="Y29" s="309"/>
      <c r="Z29" s="34"/>
      <c r="AA29" s="302"/>
      <c r="AB29" s="36"/>
      <c r="AC29" s="36"/>
      <c r="AD29" s="36"/>
      <c r="AE29" s="36"/>
      <c r="AF29" s="51"/>
      <c r="AG29" s="37"/>
    </row>
    <row r="30" spans="1:33">
      <c r="A30" s="25">
        <f>A23+1</f>
        <v>17</v>
      </c>
      <c r="B30" s="32" t="s">
        <v>143</v>
      </c>
      <c r="C30" s="33" t="s">
        <v>232</v>
      </c>
      <c r="D30" s="34">
        <v>589216.51399999997</v>
      </c>
      <c r="E30" s="34">
        <v>6728869.9040000001</v>
      </c>
      <c r="F30" s="30">
        <v>40</v>
      </c>
      <c r="G30" s="30">
        <v>-20.098797271900001</v>
      </c>
      <c r="H30" s="30">
        <v>187.68722382799999</v>
      </c>
      <c r="I30" s="301">
        <f>SUM(I24:I29)</f>
        <v>4.0560749619482493E-2</v>
      </c>
      <c r="J30" s="301">
        <f t="shared" ref="J30:N30" si="11">SUM(J24:J29)</f>
        <v>4.0560749619482493E-2</v>
      </c>
      <c r="K30" s="301">
        <f t="shared" si="11"/>
        <v>3.1643138001014714E-3</v>
      </c>
      <c r="L30" s="346">
        <f t="shared" si="11"/>
        <v>3.1643138001014714E-3</v>
      </c>
      <c r="M30" s="346">
        <f>SUM(M24:M29)</f>
        <v>0</v>
      </c>
      <c r="N30" s="346">
        <f t="shared" si="11"/>
        <v>0</v>
      </c>
      <c r="O30" s="301">
        <f>SUM(O24:O29)</f>
        <v>0</v>
      </c>
      <c r="P30" s="301">
        <f>SUM(P24:P29)</f>
        <v>3.4519786910197872E-2</v>
      </c>
      <c r="Q30" s="207" t="s">
        <v>320</v>
      </c>
      <c r="R30" s="207" t="s">
        <v>321</v>
      </c>
      <c r="S30" s="207">
        <f>SUM(S24:S29)</f>
        <v>0</v>
      </c>
      <c r="T30" s="207">
        <f t="shared" ref="T30:W30" si="12">SUM(T24:T29)</f>
        <v>0</v>
      </c>
      <c r="U30" s="207">
        <f t="shared" si="12"/>
        <v>7.9107845002536785E-4</v>
      </c>
      <c r="V30" s="207">
        <f t="shared" si="12"/>
        <v>2.373235350076104E-3</v>
      </c>
      <c r="W30" s="207">
        <f t="shared" si="12"/>
        <v>2.373235350076104E-3</v>
      </c>
      <c r="X30" s="35">
        <f>VLOOKUP(B30,'[28]FOR Stack Parameters'!$A$2:$O$38,12,FALSE)</f>
        <v>30.48</v>
      </c>
      <c r="Y30" s="309">
        <f>VLOOKUP(B30,'[28]FOR Stack Parameters'!$A$2:$O$38,13,FALSE)</f>
        <v>449.81666666666666</v>
      </c>
      <c r="Z30" s="35">
        <f>VLOOKUP(B30,'[28]FOR Stack Parameters'!$A$2:$O$38,14,FALSE)</f>
        <v>0.9144000000000001</v>
      </c>
      <c r="AA30" s="35">
        <f>VLOOKUP(B30,'[28]FOR Stack Parameters'!$A$2:$O$38,15,FALSE)</f>
        <v>0.9144000000000001</v>
      </c>
      <c r="AB30" s="36" t="str">
        <f t="shared" si="5"/>
        <v>No</v>
      </c>
      <c r="AC30" s="36" t="str">
        <f t="shared" si="6"/>
        <v>Yes</v>
      </c>
      <c r="AD30" s="36" t="str">
        <f t="shared" si="7"/>
        <v>Yes</v>
      </c>
      <c r="AE30" s="36" t="s">
        <v>63</v>
      </c>
      <c r="AF30" s="51">
        <v>1985</v>
      </c>
      <c r="AG30" s="37"/>
    </row>
    <row r="31" spans="1:33">
      <c r="A31" s="25">
        <f t="shared" si="10"/>
        <v>18</v>
      </c>
      <c r="B31" s="32" t="s">
        <v>80</v>
      </c>
      <c r="C31" s="33" t="s">
        <v>107</v>
      </c>
      <c r="D31" s="34">
        <v>589123.69999999995</v>
      </c>
      <c r="E31" s="34">
        <v>6728843.5</v>
      </c>
      <c r="F31" s="30">
        <v>40</v>
      </c>
      <c r="G31" s="30">
        <v>-20.192723496100001</v>
      </c>
      <c r="H31" s="30">
        <v>187.66346805500001</v>
      </c>
      <c r="I31" s="301">
        <f t="shared" si="1"/>
        <v>7.0190233384069003E-2</v>
      </c>
      <c r="J31" s="346">
        <f>'[27]2011Original Data Other Sources'!$N$1761*(2000*453.59/(8760*3600))</f>
        <v>7.0190233384069003E-2</v>
      </c>
      <c r="K31" s="301">
        <f t="shared" si="2"/>
        <v>5.1779680365296801E-3</v>
      </c>
      <c r="L31" s="346">
        <f>'[27]2011Original Data Other Sources'!$N$3207*(2000*453.59/(8760*3600))</f>
        <v>5.1779680365296801E-3</v>
      </c>
      <c r="M31" s="346">
        <f t="shared" ref="M31:M37" si="13">O31</f>
        <v>2.876648909183156E-4</v>
      </c>
      <c r="N31" s="346">
        <f t="shared" ref="N31:N37" si="14">O31</f>
        <v>2.876648909183156E-4</v>
      </c>
      <c r="O31" s="346">
        <f>'[27]2011Original Data Other Sources'!$N$5907*(2000*453.59/(8760*3600))</f>
        <v>2.876648909183156E-4</v>
      </c>
      <c r="P31" s="346">
        <f>'[27]2011Original Data Other Sources'!$N$529*(2000*453.59/(8760*3600))</f>
        <v>5.7820643074581429E-2</v>
      </c>
      <c r="Q31" s="207" t="s">
        <v>320</v>
      </c>
      <c r="R31" s="207" t="s">
        <v>321</v>
      </c>
      <c r="S31" s="207">
        <f>$K31*(VLOOKUP($Q31 &amp;"|"&amp; $R31,'AQRV Speciation'!$B$8:$G$22,2,FALSE))</f>
        <v>0</v>
      </c>
      <c r="T31" s="207">
        <f>$K31*(VLOOKUP($Q31 &amp;"|"&amp; $R31,'AQRV Speciation'!$B$8:$G$22,3,FALSE))</f>
        <v>1.29449200913242E-3</v>
      </c>
      <c r="U31" s="207">
        <f>$K31*(VLOOKUP($Q31 &amp;"|"&amp; $R31,'AQRV Speciation'!$B$8:$G$22,4,FALSE))</f>
        <v>1.29449200913242E-3</v>
      </c>
      <c r="V31" s="207">
        <f>$K31*(VLOOKUP($Q31 &amp;"|"&amp; $R31,'AQRV Speciation'!$B$8:$G$22,5,FALSE))</f>
        <v>3.8834760273972605E-3</v>
      </c>
      <c r="W31" s="207">
        <f>$K31*(VLOOKUP($Q31 &amp;"|"&amp; $R31,'AQRV Speciation'!$B$8:$G$22,6,FALSE))</f>
        <v>3.8834760273972605E-3</v>
      </c>
      <c r="X31" s="35">
        <f>VLOOKUP(B31,'[28]FOR Stack Parameters'!$A$2:$O$38,12,FALSE)</f>
        <v>14.020800000000001</v>
      </c>
      <c r="Y31" s="309">
        <f>VLOOKUP(B31,'[28]FOR Stack Parameters'!$A$2:$O$38,13,FALSE)</f>
        <v>589.26111111111118</v>
      </c>
      <c r="Z31" s="35">
        <f>VLOOKUP(B31,'[28]FOR Stack Parameters'!$A$2:$O$38,14,FALSE)</f>
        <v>0.60960000000000003</v>
      </c>
      <c r="AA31" s="35">
        <f>VLOOKUP(B31,'[28]FOR Stack Parameters'!$A$2:$O$38,15,FALSE)</f>
        <v>0.9144000000000001</v>
      </c>
      <c r="AB31" s="36" t="str">
        <f t="shared" si="5"/>
        <v>No</v>
      </c>
      <c r="AC31" s="36" t="str">
        <f t="shared" si="6"/>
        <v>Yes</v>
      </c>
      <c r="AD31" s="36" t="str">
        <f t="shared" si="7"/>
        <v>Yes</v>
      </c>
      <c r="AE31" s="36" t="s">
        <v>63</v>
      </c>
      <c r="AF31" s="51">
        <v>1986</v>
      </c>
      <c r="AG31" s="37"/>
    </row>
    <row r="32" spans="1:33">
      <c r="A32" s="25">
        <f t="shared" si="10"/>
        <v>19</v>
      </c>
      <c r="B32" s="32" t="s">
        <v>81</v>
      </c>
      <c r="C32" s="33" t="s">
        <v>108</v>
      </c>
      <c r="D32" s="34">
        <v>589128.5</v>
      </c>
      <c r="E32" s="34">
        <v>6728843.7999999998</v>
      </c>
      <c r="F32" s="30">
        <v>40</v>
      </c>
      <c r="G32" s="30">
        <v>-20.187897464999999</v>
      </c>
      <c r="H32" s="30">
        <v>187.66362729799999</v>
      </c>
      <c r="I32" s="301">
        <f t="shared" si="1"/>
        <v>0.12714788178589548</v>
      </c>
      <c r="J32" s="346">
        <f>'[27]2011Original Data Other Sources'!$N$1773*(2000*453.59/(8760*3600))</f>
        <v>0.12714788178589548</v>
      </c>
      <c r="K32" s="301">
        <f t="shared" si="2"/>
        <v>9.4929414003044141E-3</v>
      </c>
      <c r="L32" s="346">
        <f>'[27]2011Original Data Other Sources'!$N$3219*(2000*453.59/(8760*3600))</f>
        <v>9.4929414003044141E-3</v>
      </c>
      <c r="M32" s="346">
        <f t="shared" si="13"/>
        <v>2.876648909183156E-4</v>
      </c>
      <c r="N32" s="346">
        <f t="shared" si="14"/>
        <v>2.876648909183156E-4</v>
      </c>
      <c r="O32" s="346">
        <f>'[27]2011Original Data Other Sources'!$N$5919*(2000*453.59/(8760*3600))</f>
        <v>2.876648909183156E-4</v>
      </c>
      <c r="P32" s="346">
        <f>'[27]2011Original Data Other Sources'!$N$541*(2000*453.59/(8760*3600))</f>
        <v>0.10471002029426688</v>
      </c>
      <c r="Q32" s="207" t="s">
        <v>320</v>
      </c>
      <c r="R32" s="207" t="s">
        <v>321</v>
      </c>
      <c r="S32" s="207">
        <f>$K32*(VLOOKUP($Q32 &amp;"|"&amp; $R32,'AQRV Speciation'!$B$8:$G$22,2,FALSE))</f>
        <v>0</v>
      </c>
      <c r="T32" s="207">
        <f>$K32*(VLOOKUP($Q32 &amp;"|"&amp; $R32,'AQRV Speciation'!$B$8:$G$22,3,FALSE))</f>
        <v>2.3732353500761035E-3</v>
      </c>
      <c r="U32" s="207">
        <f>$K32*(VLOOKUP($Q32 &amp;"|"&amp; $R32,'AQRV Speciation'!$B$8:$G$22,4,FALSE))</f>
        <v>2.3732353500761035E-3</v>
      </c>
      <c r="V32" s="207">
        <f>$K32*(VLOOKUP($Q32 &amp;"|"&amp; $R32,'AQRV Speciation'!$B$8:$G$22,5,FALSE))</f>
        <v>7.1197060502283119E-3</v>
      </c>
      <c r="W32" s="207">
        <f>$K32*(VLOOKUP($Q32 &amp;"|"&amp; $R32,'AQRV Speciation'!$B$8:$G$22,6,FALSE))</f>
        <v>7.1197060502283119E-3</v>
      </c>
      <c r="X32" s="35">
        <f>VLOOKUP(B32,'[28]FOR Stack Parameters'!$A$2:$O$38,12,FALSE)</f>
        <v>15.849600000000001</v>
      </c>
      <c r="Y32" s="309">
        <f>VLOOKUP(B32,'[28]FOR Stack Parameters'!$A$2:$O$38,13,FALSE)</f>
        <v>490.37222222222221</v>
      </c>
      <c r="Z32" s="35">
        <f>VLOOKUP(B32,'[28]FOR Stack Parameters'!$A$2:$O$38,14,FALSE)</f>
        <v>2.7432000000000003</v>
      </c>
      <c r="AA32" s="35">
        <f>VLOOKUP(B32,'[28]FOR Stack Parameters'!$A$2:$O$38,15,FALSE)</f>
        <v>0.9144000000000001</v>
      </c>
      <c r="AB32" s="36" t="str">
        <f t="shared" si="5"/>
        <v>No</v>
      </c>
      <c r="AC32" s="36" t="str">
        <f t="shared" si="6"/>
        <v>Yes</v>
      </c>
      <c r="AD32" s="36" t="str">
        <f t="shared" si="7"/>
        <v>Yes</v>
      </c>
      <c r="AE32" s="36" t="s">
        <v>63</v>
      </c>
      <c r="AF32" s="51">
        <v>1986</v>
      </c>
      <c r="AG32" s="37"/>
    </row>
    <row r="33" spans="1:33">
      <c r="A33" s="25">
        <f t="shared" si="10"/>
        <v>20</v>
      </c>
      <c r="B33" s="32" t="s">
        <v>82</v>
      </c>
      <c r="C33" s="33" t="s">
        <v>109</v>
      </c>
      <c r="D33" s="34">
        <v>588965.35600000003</v>
      </c>
      <c r="E33" s="34">
        <v>6728845.8320000004</v>
      </c>
      <c r="F33" s="30">
        <v>40</v>
      </c>
      <c r="G33" s="30">
        <v>-20.351564974399999</v>
      </c>
      <c r="H33" s="30">
        <v>187.67048648599999</v>
      </c>
      <c r="I33" s="301">
        <f t="shared" si="1"/>
        <v>0.41567576737696599</v>
      </c>
      <c r="J33" s="346">
        <f>'[27]2011Original Data Other Sources'!$N$1763*(2000*453.59/(8760*3600))</f>
        <v>0.41567576737696599</v>
      </c>
      <c r="K33" s="301">
        <f t="shared" si="2"/>
        <v>5.149201547437849E-2</v>
      </c>
      <c r="L33" s="346">
        <f>'[27]2011Original Data Other Sources'!$N$3209*(2000*453.59/(8760*3600))</f>
        <v>5.149201547437849E-2</v>
      </c>
      <c r="M33" s="346">
        <f t="shared" si="13"/>
        <v>1.8698217909690514E-2</v>
      </c>
      <c r="N33" s="346">
        <f t="shared" si="14"/>
        <v>1.8698217909690514E-2</v>
      </c>
      <c r="O33" s="346">
        <f>'[27]2011Original Data Other Sources'!$N$5909*(2000*453.59/(8760*3600))</f>
        <v>1.8698217909690514E-2</v>
      </c>
      <c r="P33" s="346">
        <f>'[27]2011Original Data Other Sources'!$N$531*(2000*453.59/(8760*3600))</f>
        <v>0.57043947869101974</v>
      </c>
      <c r="Q33" s="207" t="s">
        <v>320</v>
      </c>
      <c r="R33" s="207" t="s">
        <v>321</v>
      </c>
      <c r="S33" s="207">
        <f>$K33*(VLOOKUP($Q33 &amp;"|"&amp; $R33,'AQRV Speciation'!$B$8:$G$22,2,FALSE))</f>
        <v>0</v>
      </c>
      <c r="T33" s="207">
        <f>$K33*(VLOOKUP($Q33 &amp;"|"&amp; $R33,'AQRV Speciation'!$B$8:$G$22,3,FALSE))</f>
        <v>1.2873003868594622E-2</v>
      </c>
      <c r="U33" s="207">
        <f>$K33*(VLOOKUP($Q33 &amp;"|"&amp; $R33,'AQRV Speciation'!$B$8:$G$22,4,FALSE))</f>
        <v>1.2873003868594622E-2</v>
      </c>
      <c r="V33" s="207">
        <f>$K33*(VLOOKUP($Q33 &amp;"|"&amp; $R33,'AQRV Speciation'!$B$8:$G$22,5,FALSE))</f>
        <v>3.8619011605783876E-2</v>
      </c>
      <c r="W33" s="207">
        <f>$K33*(VLOOKUP($Q33 &amp;"|"&amp; $R33,'AQRV Speciation'!$B$8:$G$22,6,FALSE))</f>
        <v>3.8619011605783876E-2</v>
      </c>
      <c r="X33" s="35">
        <f>VLOOKUP(B33,'[28]FOR Stack Parameters'!$A$2:$O$38,12,FALSE)</f>
        <v>23.1648</v>
      </c>
      <c r="Y33" s="309">
        <f>VLOOKUP(B33,'[28]FOR Stack Parameters'!$A$2:$O$38,13,FALSE)</f>
        <v>477.03888888888889</v>
      </c>
      <c r="Z33" s="35">
        <f>VLOOKUP(B33,'[28]FOR Stack Parameters'!$A$2:$O$38,14,FALSE)</f>
        <v>10.668000000000001</v>
      </c>
      <c r="AA33" s="35">
        <f>VLOOKUP(B33,'[28]FOR Stack Parameters'!$A$2:$O$38,15,FALSE)</f>
        <v>1.2192000000000001</v>
      </c>
      <c r="AB33" s="36" t="str">
        <f t="shared" si="5"/>
        <v>Yes</v>
      </c>
      <c r="AC33" s="36" t="str">
        <f t="shared" si="6"/>
        <v>Yes</v>
      </c>
      <c r="AD33" s="36" t="str">
        <f t="shared" si="7"/>
        <v>Yes</v>
      </c>
      <c r="AE33" s="36" t="s">
        <v>63</v>
      </c>
      <c r="AF33" s="51" t="s">
        <v>400</v>
      </c>
      <c r="AG33" s="37"/>
    </row>
    <row r="34" spans="1:33">
      <c r="A34" s="25">
        <f t="shared" si="10"/>
        <v>21</v>
      </c>
      <c r="B34" s="32" t="s">
        <v>83</v>
      </c>
      <c r="C34" s="33" t="s">
        <v>152</v>
      </c>
      <c r="D34" s="34">
        <v>589304.5</v>
      </c>
      <c r="E34" s="34">
        <v>6728918.5</v>
      </c>
      <c r="F34" s="30">
        <v>40</v>
      </c>
      <c r="G34" s="30">
        <v>-20.009060184799999</v>
      </c>
      <c r="H34" s="30">
        <v>187.733393302</v>
      </c>
      <c r="I34" s="301">
        <f t="shared" si="1"/>
        <v>0.11794260527650938</v>
      </c>
      <c r="J34" s="346">
        <f>'[27]2011Original Data Other Sources'!$N$1764*(2000*453.59/(8760*3600))</f>
        <v>0.11794260527650938</v>
      </c>
      <c r="K34" s="301">
        <f t="shared" si="2"/>
        <v>6.9039573820395741E-3</v>
      </c>
      <c r="L34" s="346">
        <f>'[27]2011Original Data Other Sources'!$N$3210*(2000*453.59/(8760*3600))</f>
        <v>6.9039573820395741E-3</v>
      </c>
      <c r="M34" s="346">
        <f t="shared" si="13"/>
        <v>2.876648909183156E-4</v>
      </c>
      <c r="N34" s="346">
        <f t="shared" si="14"/>
        <v>2.876648909183156E-4</v>
      </c>
      <c r="O34" s="346">
        <f>'[27]2011Original Data Other Sources'!$N$5910*(2000*453.59/(8760*3600))</f>
        <v>2.876648909183156E-4</v>
      </c>
      <c r="P34" s="346">
        <f>'[27]2011Original Data Other Sources'!$N$532*(2000*453.59/(8760*3600))</f>
        <v>7.5080536529680358E-2</v>
      </c>
      <c r="Q34" s="207" t="s">
        <v>324</v>
      </c>
      <c r="R34" s="207" t="s">
        <v>321</v>
      </c>
      <c r="S34" s="207">
        <f>$K34*(VLOOKUP($Q34 &amp;"|"&amp; $R34,'AQRV Speciation'!$B$8:$G$22,2,FALSE))</f>
        <v>0</v>
      </c>
      <c r="T34" s="207">
        <f>$K34*(VLOOKUP($Q34 &amp;"|"&amp; $R34,'AQRV Speciation'!$B$8:$G$22,3,FALSE))</f>
        <v>1.9875028827083625E-3</v>
      </c>
      <c r="U34" s="207">
        <f>$K34*(VLOOKUP($Q34 &amp;"|"&amp; $R34,'AQRV Speciation'!$B$8:$G$22,4,FALSE))</f>
        <v>1.9875028827083625E-3</v>
      </c>
      <c r="V34" s="207">
        <f>$K34*(VLOOKUP($Q34 &amp;"|"&amp; $R34,'AQRV Speciation'!$B$8:$G$22,5,FALSE))</f>
        <v>4.9164544993312125E-3</v>
      </c>
      <c r="W34" s="207">
        <f>$K34*(VLOOKUP($Q34 &amp;"|"&amp; $R34,'AQRV Speciation'!$B$8:$G$22,6,FALSE))</f>
        <v>4.9164544993312125E-3</v>
      </c>
      <c r="X34" s="35">
        <f>VLOOKUP(B34,'[28]FOR Stack Parameters'!$A$2:$O$38,12,FALSE)</f>
        <v>8.5343999999999998</v>
      </c>
      <c r="Y34" s="309">
        <f>Y35</f>
        <v>433.15</v>
      </c>
      <c r="Z34" s="35">
        <f>VLOOKUP(B34,'[28]FOR Stack Parameters'!$A$2:$O$38,14,FALSE)</f>
        <v>22.555200000000003</v>
      </c>
      <c r="AA34" s="35">
        <f>VLOOKUP(B34,'[28]FOR Stack Parameters'!$A$2:$O$38,15,FALSE)</f>
        <v>1.2192000000000001</v>
      </c>
      <c r="AB34" s="36" t="str">
        <f t="shared" si="5"/>
        <v>Yes</v>
      </c>
      <c r="AC34" s="36" t="str">
        <f t="shared" si="6"/>
        <v>Yes</v>
      </c>
      <c r="AD34" s="36" t="str">
        <f t="shared" si="7"/>
        <v>Yes</v>
      </c>
      <c r="AE34" s="36" t="s">
        <v>64</v>
      </c>
      <c r="AF34" s="51" t="s">
        <v>402</v>
      </c>
      <c r="AG34" s="37" t="s">
        <v>465</v>
      </c>
    </row>
    <row r="35" spans="1:33">
      <c r="A35" s="25">
        <f t="shared" si="10"/>
        <v>22</v>
      </c>
      <c r="B35" s="32" t="s">
        <v>84</v>
      </c>
      <c r="C35" s="33" t="s">
        <v>153</v>
      </c>
      <c r="D35" s="34">
        <v>589304.5</v>
      </c>
      <c r="E35" s="34">
        <v>6728918.5</v>
      </c>
      <c r="F35" s="30">
        <v>40</v>
      </c>
      <c r="G35" s="30">
        <v>-20.009060184799999</v>
      </c>
      <c r="H35" s="30">
        <v>187.733393302</v>
      </c>
      <c r="I35" s="301">
        <f t="shared" si="1"/>
        <v>6.5875260020294271E-2</v>
      </c>
      <c r="J35" s="346">
        <f>'[27]2011Original Data Other Sources'!$N$1765*(2000*453.59/(8760*3600))</f>
        <v>6.5875260020294271E-2</v>
      </c>
      <c r="K35" s="301">
        <f t="shared" si="2"/>
        <v>3.7396435819381027E-3</v>
      </c>
      <c r="L35" s="346">
        <f>'[27]2011Original Data Other Sources'!$N$3211*(2000*453.59/(8760*3600))</f>
        <v>3.7396435819381027E-3</v>
      </c>
      <c r="M35" s="346">
        <f t="shared" si="13"/>
        <v>0</v>
      </c>
      <c r="N35" s="346">
        <f t="shared" si="14"/>
        <v>0</v>
      </c>
      <c r="O35" s="346">
        <f>'[27]2011Original Data Other Sources'!$N$5911*(2000*453.59/(8760*3600))</f>
        <v>0</v>
      </c>
      <c r="P35" s="346">
        <f>'[27]2011Original Data Other Sources'!$N$533*(2000*453.59/(8760*3600))</f>
        <v>4.1999074074074078E-2</v>
      </c>
      <c r="Q35" s="207" t="s">
        <v>324</v>
      </c>
      <c r="R35" s="207" t="s">
        <v>321</v>
      </c>
      <c r="S35" s="207">
        <f>$K35*(VLOOKUP($Q35 &amp;"|"&amp; $R35,'AQRV Speciation'!$B$8:$G$22,2,FALSE))</f>
        <v>0</v>
      </c>
      <c r="T35" s="207">
        <f>$K35*(VLOOKUP($Q35 &amp;"|"&amp; $R35,'AQRV Speciation'!$B$8:$G$22,3,FALSE))</f>
        <v>1.0765640614670297E-3</v>
      </c>
      <c r="U35" s="207">
        <f>$K35*(VLOOKUP($Q35 &amp;"|"&amp; $R35,'AQRV Speciation'!$B$8:$G$22,4,FALSE))</f>
        <v>1.0765640614670297E-3</v>
      </c>
      <c r="V35" s="207">
        <f>$K35*(VLOOKUP($Q35 &amp;"|"&amp; $R35,'AQRV Speciation'!$B$8:$G$22,5,FALSE))</f>
        <v>2.6630795204710734E-3</v>
      </c>
      <c r="W35" s="207">
        <f>$K35*(VLOOKUP($Q35 &amp;"|"&amp; $R35,'AQRV Speciation'!$B$8:$G$22,6,FALSE))</f>
        <v>2.6630795204710734E-3</v>
      </c>
      <c r="X35" s="35">
        <f>VLOOKUP(B35,'[28]FOR Stack Parameters'!$A$2:$O$38,12,FALSE)</f>
        <v>8.5343999999999998</v>
      </c>
      <c r="Y35" s="309">
        <f>VLOOKUP(B35,'[28]FOR Stack Parameters'!$A$2:$O$38,13,FALSE)</f>
        <v>433.15</v>
      </c>
      <c r="Z35" s="35">
        <f>VLOOKUP(B35,'[28]FOR Stack Parameters'!$A$2:$O$38,14,FALSE)</f>
        <v>22.555200000000003</v>
      </c>
      <c r="AA35" s="35">
        <f>VLOOKUP(B35,'[28]FOR Stack Parameters'!$A$2:$O$38,15,FALSE)</f>
        <v>1.2192000000000001</v>
      </c>
      <c r="AB35" s="36" t="str">
        <f t="shared" si="5"/>
        <v>Yes</v>
      </c>
      <c r="AC35" s="36" t="str">
        <f t="shared" si="6"/>
        <v>Yes</v>
      </c>
      <c r="AD35" s="36" t="str">
        <f t="shared" si="7"/>
        <v>Yes</v>
      </c>
      <c r="AE35" s="36" t="s">
        <v>64</v>
      </c>
      <c r="AF35" s="51" t="s">
        <v>402</v>
      </c>
      <c r="AG35" s="37"/>
    </row>
    <row r="36" spans="1:33">
      <c r="A36" s="25">
        <f t="shared" si="10"/>
        <v>23</v>
      </c>
      <c r="B36" s="32" t="s">
        <v>85</v>
      </c>
      <c r="C36" s="33" t="s">
        <v>110</v>
      </c>
      <c r="D36" s="34">
        <v>589054.41799999995</v>
      </c>
      <c r="E36" s="34">
        <v>6728869.4330000002</v>
      </c>
      <c r="F36" s="30">
        <v>40</v>
      </c>
      <c r="G36" s="30">
        <v>-20.261487114400001</v>
      </c>
      <c r="H36" s="30">
        <v>187.69154083800001</v>
      </c>
      <c r="I36" s="301">
        <f t="shared" si="1"/>
        <v>2.8766489091831562E-3</v>
      </c>
      <c r="J36" s="346">
        <f>'[27]2011Original Data Other Sources'!$N$1770*(2000*453.59/(8760*3600))</f>
        <v>2.8766489091831562E-3</v>
      </c>
      <c r="K36" s="301">
        <f t="shared" si="2"/>
        <v>2.876648909183156E-4</v>
      </c>
      <c r="L36" s="346">
        <f>'[27]2011Original Data Other Sources'!$N$3216*(2000*453.59/(8760*3600))</f>
        <v>2.876648909183156E-4</v>
      </c>
      <c r="M36" s="346">
        <f t="shared" si="13"/>
        <v>0</v>
      </c>
      <c r="N36" s="346">
        <f t="shared" si="14"/>
        <v>0</v>
      </c>
      <c r="O36" s="346">
        <f>'[27]2011Original Data Other Sources'!$N$5916*(2000*453.59/(8760*3600))</f>
        <v>0</v>
      </c>
      <c r="P36" s="346">
        <f>'[27]2011Original Data Other Sources'!$N$538*(2000*453.59/(8760*3600))</f>
        <v>5.7532978183663121E-4</v>
      </c>
      <c r="Q36" s="207" t="s">
        <v>328</v>
      </c>
      <c r="R36" s="207" t="s">
        <v>326</v>
      </c>
      <c r="S36" s="207">
        <f>$K36*(VLOOKUP($Q36 &amp;"|"&amp; $R36,'AQRV Speciation'!$B$8:$G$22,2,FALSE))</f>
        <v>0</v>
      </c>
      <c r="T36" s="207">
        <f>$K36*(VLOOKUP($Q36 &amp;"|"&amp; $R36,'AQRV Speciation'!$B$8:$G$22,3,FALSE))</f>
        <v>2.478264078235129E-4</v>
      </c>
      <c r="U36" s="207">
        <f>$K36*(VLOOKUP($Q36 &amp;"|"&amp; $R36,'AQRV Speciation'!$B$8:$G$22,4,FALSE))</f>
        <v>2.4900835234814057E-4</v>
      </c>
      <c r="V36" s="207">
        <f>$K36*(VLOOKUP($Q36 &amp;"|"&amp; $R36,'AQRV Speciation'!$B$8:$G$22,5,FALSE))</f>
        <v>3.9838483094802701E-5</v>
      </c>
      <c r="W36" s="207">
        <f>$K36*(VLOOKUP($Q36 &amp;"|"&amp; $R36,'AQRV Speciation'!$B$8:$G$22,6,FALSE))</f>
        <v>3.8656538570175054E-5</v>
      </c>
      <c r="X36" s="35">
        <f>VLOOKUP(B36,'[28]FOR Stack Parameters'!$A$2:$O$38,12,FALSE)</f>
        <v>7</v>
      </c>
      <c r="Y36" s="309">
        <f>VLOOKUP(B36,'[28]FOR Stack Parameters'!$A$2:$O$38,13,FALSE)</f>
        <v>599.81666666666661</v>
      </c>
      <c r="Z36" s="35">
        <f>VLOOKUP(B36,'[28]FOR Stack Parameters'!$A$2:$O$38,14,FALSE)</f>
        <v>48.768000000000001</v>
      </c>
      <c r="AA36" s="35">
        <f>VLOOKUP(B36,'[28]FOR Stack Parameters'!$A$2:$O$38,15,FALSE)</f>
        <v>0.30480000000000002</v>
      </c>
      <c r="AB36" s="36" t="str">
        <f t="shared" si="5"/>
        <v>Yes</v>
      </c>
      <c r="AC36" s="36" t="str">
        <f t="shared" si="6"/>
        <v>Yes</v>
      </c>
      <c r="AD36" s="36" t="str">
        <f t="shared" si="7"/>
        <v>Yes</v>
      </c>
      <c r="AE36" s="36" t="s">
        <v>63</v>
      </c>
      <c r="AF36" s="51">
        <v>1989</v>
      </c>
      <c r="AG36" s="37" t="s">
        <v>154</v>
      </c>
    </row>
    <row r="37" spans="1:33">
      <c r="A37" s="25">
        <f>A36+1</f>
        <v>24</v>
      </c>
      <c r="B37" s="32" t="s">
        <v>86</v>
      </c>
      <c r="C37" s="33" t="s">
        <v>111</v>
      </c>
      <c r="D37" s="34">
        <v>589181.30000000005</v>
      </c>
      <c r="E37" s="34">
        <v>6728736.2999999998</v>
      </c>
      <c r="F37" s="30">
        <v>40</v>
      </c>
      <c r="G37" s="30">
        <v>-20.138085306400001</v>
      </c>
      <c r="H37" s="30">
        <v>187.55418294500001</v>
      </c>
      <c r="I37" s="301">
        <f t="shared" si="1"/>
        <v>1.1506595636732624E-3</v>
      </c>
      <c r="J37" s="346">
        <f>'[27]2011Original Data Other Sources'!$N$1771*(2000*453.59/(8760*3600))</f>
        <v>1.1506595636732624E-3</v>
      </c>
      <c r="K37" s="301">
        <f t="shared" si="2"/>
        <v>0</v>
      </c>
      <c r="L37" s="346">
        <f>'[27]2011Original Data Other Sources'!$N$3217*(2000*453.59/(8760*3600))</f>
        <v>0</v>
      </c>
      <c r="M37" s="346">
        <f t="shared" si="13"/>
        <v>0</v>
      </c>
      <c r="N37" s="346">
        <f t="shared" si="14"/>
        <v>0</v>
      </c>
      <c r="O37" s="346">
        <f>'[27]2011Original Data Other Sources'!$N$5917*(2000*453.59/(8760*3600))</f>
        <v>0</v>
      </c>
      <c r="P37" s="346">
        <f>'[27]2011Original Data Other Sources'!$N$539*(2000*453.59/(8760*3600))</f>
        <v>2.876648909183156E-4</v>
      </c>
      <c r="Q37" s="207" t="s">
        <v>328</v>
      </c>
      <c r="R37" s="207" t="s">
        <v>326</v>
      </c>
      <c r="S37" s="207">
        <f>$K37*(VLOOKUP($Q37 &amp;"|"&amp; $R37,'AQRV Speciation'!$B$8:$G$22,2,FALSE))</f>
        <v>0</v>
      </c>
      <c r="T37" s="207">
        <f>$K37*(VLOOKUP($Q37 &amp;"|"&amp; $R37,'AQRV Speciation'!$B$8:$G$22,3,FALSE))</f>
        <v>0</v>
      </c>
      <c r="U37" s="207">
        <f>$K37*(VLOOKUP($Q37 &amp;"|"&amp; $R37,'AQRV Speciation'!$B$8:$G$22,4,FALSE))</f>
        <v>0</v>
      </c>
      <c r="V37" s="207">
        <f>$K37*(VLOOKUP($Q37 &amp;"|"&amp; $R37,'AQRV Speciation'!$B$8:$G$22,5,FALSE))</f>
        <v>0</v>
      </c>
      <c r="W37" s="207">
        <f>$K37*(VLOOKUP($Q37 &amp;"|"&amp; $R37,'AQRV Speciation'!$B$8:$G$22,6,FALSE))</f>
        <v>0</v>
      </c>
      <c r="X37" s="35">
        <f>VLOOKUP(B37,'[28]FOR Stack Parameters'!$A$2:$O$38,12,FALSE)</f>
        <v>3.048</v>
      </c>
      <c r="Y37" s="309">
        <f>VLOOKUP(B37,'[28]FOR Stack Parameters'!$A$2:$O$38,13,FALSE)</f>
        <v>599.81666666666661</v>
      </c>
      <c r="Z37" s="35">
        <f>VLOOKUP(B37,'[28]FOR Stack Parameters'!$A$2:$O$38,14,FALSE)</f>
        <v>10.668000000000001</v>
      </c>
      <c r="AA37" s="35">
        <f>VLOOKUP(B37,'[28]FOR Stack Parameters'!$A$2:$O$38,15,FALSE)</f>
        <v>0.30480000000000002</v>
      </c>
      <c r="AB37" s="36" t="str">
        <f t="shared" si="5"/>
        <v>No</v>
      </c>
      <c r="AC37" s="36" t="str">
        <f t="shared" si="6"/>
        <v>No</v>
      </c>
      <c r="AD37" s="36" t="str">
        <f t="shared" si="7"/>
        <v>No</v>
      </c>
      <c r="AE37" s="36" t="s">
        <v>63</v>
      </c>
      <c r="AF37" s="51">
        <v>1969</v>
      </c>
      <c r="AG37" s="37"/>
    </row>
    <row r="38" spans="1:33">
      <c r="A38" s="25">
        <f>A37+1</f>
        <v>25</v>
      </c>
      <c r="B38" s="32" t="s">
        <v>87</v>
      </c>
      <c r="C38" s="33" t="s">
        <v>112</v>
      </c>
      <c r="D38" s="34">
        <v>588891.80000000005</v>
      </c>
      <c r="E38" s="34">
        <v>6728653.5999999996</v>
      </c>
      <c r="F38" s="30">
        <v>37</v>
      </c>
      <c r="G38" s="30">
        <v>-20.431061834000001</v>
      </c>
      <c r="H38" s="30">
        <v>187.47974036799999</v>
      </c>
      <c r="I38" s="348">
        <f>J38</f>
        <v>0.41078763774733629</v>
      </c>
      <c r="J38" s="348">
        <f>VLOOKUP(B38,'[29]Modeled Sources - NOx'!$A$4:$P$50,16,FALSE)</f>
        <v>0.41078763774733629</v>
      </c>
      <c r="K38" s="348">
        <f>VLOOKUP(B38,'[29]Modeled Sources - PM'!$A$6:$P$52,15,FALSE)</f>
        <v>7.0397238085066665E-3</v>
      </c>
      <c r="L38" s="348">
        <f>VLOOKUP(B38,'[29]Modeled Sources - PM'!$A$6:$P$52,16,FALSE)</f>
        <v>1.0045267991590561E-3</v>
      </c>
      <c r="M38" s="348">
        <f>VLOOKUP(B38,'[29]Modeled Sources - SO2'!$A$6:$R$52,15,FALSE)</f>
        <v>1.1712659508441484E-2</v>
      </c>
      <c r="N38" s="348">
        <f>VLOOKUP(B38,'[29]Modeled Sources - SO2'!$A$6:$R$52,16,FALSE)</f>
        <v>1.1712659508441484E-2</v>
      </c>
      <c r="O38" s="348">
        <f>VLOOKUP(B38,'[29]Modeled Sources - SO2'!$A$6:$R$52,18,FALSE)</f>
        <v>1.6713269846520382E-3</v>
      </c>
      <c r="P38" s="348">
        <f>VLOOKUP(B38,'[29]Modeled Sources - CO'!$A$6:$P$52,15,FALSE)</f>
        <v>0.22367145235555552</v>
      </c>
      <c r="Q38" s="207" t="s">
        <v>328</v>
      </c>
      <c r="R38" s="207" t="s">
        <v>326</v>
      </c>
      <c r="S38" s="207">
        <f>$K38*(VLOOKUP($Q38 &amp;"|"&amp; $R38,'AQRV Speciation'!$B$8:$G$22,2,FALSE))</f>
        <v>0</v>
      </c>
      <c r="T38" s="207">
        <f>$K38*(VLOOKUP($Q38 &amp;"|"&amp; $R38,'AQRV Speciation'!$B$8:$G$22,3,FALSE))</f>
        <v>6.0647980292710306E-3</v>
      </c>
      <c r="U38" s="207">
        <f>$K38*(VLOOKUP($Q38 &amp;"|"&amp; $R38,'AQRV Speciation'!$B$8:$G$22,4,FALSE))</f>
        <v>6.0937225288295056E-3</v>
      </c>
      <c r="V38" s="207">
        <f>$K38*(VLOOKUP($Q38 &amp;"|"&amp; $R38,'AQRV Speciation'!$B$8:$G$22,5,FALSE))</f>
        <v>9.7492577923563551E-4</v>
      </c>
      <c r="W38" s="207">
        <f>$K38*(VLOOKUP($Q38 &amp;"|"&amp; $R38,'AQRV Speciation'!$B$8:$G$22,6,FALSE))</f>
        <v>9.4600127967716123E-4</v>
      </c>
      <c r="X38" s="35">
        <f>VLOOKUP(B38,'[28]FOR Stack Parameters'!$A$2:$O$38,12,FALSE)</f>
        <v>4.5720000000000001</v>
      </c>
      <c r="Y38" s="309">
        <f>VLOOKUP(B38,'[28]FOR Stack Parameters'!$A$2:$O$38,13,FALSE)</f>
        <v>599.81666666666661</v>
      </c>
      <c r="Z38" s="35">
        <f>VLOOKUP(B38,'[28]FOR Stack Parameters'!$A$2:$O$38,14,FALSE)</f>
        <v>32.004000000000005</v>
      </c>
      <c r="AA38" s="35">
        <f>VLOOKUP(B38,'[28]FOR Stack Parameters'!$A$2:$O$38,15,FALSE)</f>
        <v>0.30480000000000002</v>
      </c>
      <c r="AB38" s="36" t="str">
        <f t="shared" si="5"/>
        <v>No</v>
      </c>
      <c r="AC38" s="36" t="str">
        <f t="shared" si="6"/>
        <v>No</v>
      </c>
      <c r="AD38" s="36" t="str">
        <f t="shared" si="7"/>
        <v>No</v>
      </c>
      <c r="AE38" s="36" t="s">
        <v>63</v>
      </c>
      <c r="AF38" s="51">
        <v>1969</v>
      </c>
      <c r="AG38" s="37"/>
    </row>
    <row r="39" spans="1:33">
      <c r="A39" s="25">
        <f t="shared" ref="A39:A50" si="15">A38+1</f>
        <v>26</v>
      </c>
      <c r="B39" s="32" t="s">
        <v>88</v>
      </c>
      <c r="C39" s="33" t="s">
        <v>113</v>
      </c>
      <c r="D39" s="34">
        <v>588891.9</v>
      </c>
      <c r="E39" s="34">
        <v>6728643.7000000002</v>
      </c>
      <c r="F39" s="30">
        <v>37</v>
      </c>
      <c r="G39" s="30">
        <v>-20.431253876100001</v>
      </c>
      <c r="H39" s="30">
        <v>187.469802093</v>
      </c>
      <c r="I39" s="301">
        <f t="shared" si="1"/>
        <v>2.0999537037037039E-2</v>
      </c>
      <c r="J39" s="346">
        <f>'[27]2011Original Data Other Sources'!$N$1762*(2000*453.59/(8760*3600))</f>
        <v>2.0999537037037039E-2</v>
      </c>
      <c r="K39" s="301">
        <f t="shared" si="2"/>
        <v>0</v>
      </c>
      <c r="L39" s="346">
        <f>'[27]2011Original Data Other Sources'!$N$3208*(2000*453.59/(8760*3600))</f>
        <v>0</v>
      </c>
      <c r="M39" s="346">
        <f t="shared" ref="M39:M40" si="16">O39</f>
        <v>0</v>
      </c>
      <c r="N39" s="346">
        <f t="shared" ref="N39:N40" si="17">O39</f>
        <v>0</v>
      </c>
      <c r="O39" s="346">
        <f>'[27]2011Original Data Other Sources'!$N$5908*(2000*453.59/(8760*3600))</f>
        <v>0</v>
      </c>
      <c r="P39" s="346">
        <f>'[27]2011Original Data Other Sources'!$N$530*(2000*453.59/(8760*3600))</f>
        <v>1.7259893455098935E-3</v>
      </c>
      <c r="Q39" s="207" t="s">
        <v>328</v>
      </c>
      <c r="R39" s="207" t="s">
        <v>326</v>
      </c>
      <c r="S39" s="207">
        <f>$K39*(VLOOKUP($Q39 &amp;"|"&amp; $R39,'AQRV Speciation'!$B$8:$G$22,2,FALSE))</f>
        <v>0</v>
      </c>
      <c r="T39" s="207">
        <f>$K39*(VLOOKUP($Q39 &amp;"|"&amp; $R39,'AQRV Speciation'!$B$8:$G$22,3,FALSE))</f>
        <v>0</v>
      </c>
      <c r="U39" s="207">
        <f>$K39*(VLOOKUP($Q39 &amp;"|"&amp; $R39,'AQRV Speciation'!$B$8:$G$22,4,FALSE))</f>
        <v>0</v>
      </c>
      <c r="V39" s="207">
        <f>$K39*(VLOOKUP($Q39 &amp;"|"&amp; $R39,'AQRV Speciation'!$B$8:$G$22,5,FALSE))</f>
        <v>0</v>
      </c>
      <c r="W39" s="207">
        <f>$K39*(VLOOKUP($Q39 &amp;"|"&amp; $R39,'AQRV Speciation'!$B$8:$G$22,6,FALSE))</f>
        <v>0</v>
      </c>
      <c r="X39" s="35">
        <f>VLOOKUP(B39,'[28]FOR Stack Parameters'!$A$2:$O$38,12,FALSE)</f>
        <v>6.0960000000000001</v>
      </c>
      <c r="Y39" s="309">
        <f>VLOOKUP(B39,'[28]FOR Stack Parameters'!$A$2:$O$38,13,FALSE)</f>
        <v>599.81666666666661</v>
      </c>
      <c r="Z39" s="35">
        <f>VLOOKUP(B39,'[28]FOR Stack Parameters'!$A$2:$O$38,14,FALSE)</f>
        <v>32.004000000000005</v>
      </c>
      <c r="AA39" s="35">
        <f>VLOOKUP(B39,'[28]FOR Stack Parameters'!$A$2:$O$38,15,FALSE)</f>
        <v>0.30480000000000002</v>
      </c>
      <c r="AB39" s="36" t="str">
        <f t="shared" si="5"/>
        <v>No</v>
      </c>
      <c r="AC39" s="36" t="str">
        <f t="shared" si="6"/>
        <v>No</v>
      </c>
      <c r="AD39" s="36" t="str">
        <f t="shared" si="7"/>
        <v>No</v>
      </c>
      <c r="AE39" s="36" t="s">
        <v>63</v>
      </c>
      <c r="AF39" s="51">
        <v>1969</v>
      </c>
      <c r="AG39" s="37"/>
    </row>
    <row r="40" spans="1:33">
      <c r="A40" s="25">
        <f t="shared" si="15"/>
        <v>27</v>
      </c>
      <c r="B40" s="32" t="s">
        <v>140</v>
      </c>
      <c r="C40" s="33" t="s">
        <v>114</v>
      </c>
      <c r="D40" s="34">
        <v>588655.80000000005</v>
      </c>
      <c r="E40" s="34">
        <v>6728681.9000000004</v>
      </c>
      <c r="F40" s="30">
        <v>30</v>
      </c>
      <c r="G40" s="30">
        <v>-20.667068516200001</v>
      </c>
      <c r="H40" s="30">
        <v>187.515110327</v>
      </c>
      <c r="I40" s="301">
        <f t="shared" si="1"/>
        <v>0.11017565322171487</v>
      </c>
      <c r="J40" s="346">
        <f>'[27]2011Original Data Other Sources'!$N$1752*(2000*453.59/(8760*3600))</f>
        <v>0.11017565322171487</v>
      </c>
      <c r="K40" s="301">
        <f t="shared" si="2"/>
        <v>7.7669520547945211E-3</v>
      </c>
      <c r="L40" s="346">
        <f>'[27]2011Original Data Other Sources'!$N$3198*(2000*453.59/(8760*3600))</f>
        <v>7.7669520547945211E-3</v>
      </c>
      <c r="M40" s="346">
        <f t="shared" si="16"/>
        <v>0</v>
      </c>
      <c r="N40" s="346">
        <f t="shared" si="17"/>
        <v>0</v>
      </c>
      <c r="O40" s="346">
        <f>'[27]2011Original Data Other Sources'!$N$5897*(2000*453.59/(8760*3600))</f>
        <v>0</v>
      </c>
      <c r="P40" s="346">
        <f>'[27]2011Original Data Other Sources'!$N$520*(2000*453.59/(8760*3600))</f>
        <v>2.3588521055301875E-2</v>
      </c>
      <c r="Q40" s="207" t="s">
        <v>328</v>
      </c>
      <c r="R40" s="207" t="s">
        <v>326</v>
      </c>
      <c r="S40" s="207">
        <f>$K40*(VLOOKUP($Q40 &amp;"|"&amp; $R40,'AQRV Speciation'!$B$8:$G$22,2,FALSE))</f>
        <v>0</v>
      </c>
      <c r="T40" s="207">
        <f>$K40*(VLOOKUP($Q40 &amp;"|"&amp; $R40,'AQRV Speciation'!$B$8:$G$22,3,FALSE))</f>
        <v>6.6913130112348481E-3</v>
      </c>
      <c r="U40" s="207">
        <f>$K40*(VLOOKUP($Q40 &amp;"|"&amp; $R40,'AQRV Speciation'!$B$8:$G$22,4,FALSE))</f>
        <v>6.7232255133997951E-3</v>
      </c>
      <c r="V40" s="207">
        <f>$K40*(VLOOKUP($Q40 &amp;"|"&amp; $R40,'AQRV Speciation'!$B$8:$G$22,5,FALSE))</f>
        <v>1.0756390435596728E-3</v>
      </c>
      <c r="W40" s="207">
        <f>$K40*(VLOOKUP($Q40 &amp;"|"&amp; $R40,'AQRV Speciation'!$B$8:$G$22,6,FALSE))</f>
        <v>1.0437265413947264E-3</v>
      </c>
      <c r="X40" s="35">
        <f>VLOOKUP(B40,'[28]FOR Stack Parameters'!$A$2:$O$38,12,FALSE)</f>
        <v>3.6576000000000004</v>
      </c>
      <c r="Y40" s="309">
        <f>VLOOKUP(B40,'[28]FOR Stack Parameters'!$A$2:$O$38,13,FALSE)</f>
        <v>599.81666666666661</v>
      </c>
      <c r="Z40" s="35">
        <f>VLOOKUP(B40,'[28]FOR Stack Parameters'!$A$2:$O$38,14,FALSE)</f>
        <v>18.288</v>
      </c>
      <c r="AA40" s="35">
        <f>VLOOKUP(B40,'[28]FOR Stack Parameters'!$A$2:$O$38,15,FALSE)</f>
        <v>3.0480000000000004E-2</v>
      </c>
      <c r="AB40" s="36" t="str">
        <f t="shared" si="5"/>
        <v>No</v>
      </c>
      <c r="AC40" s="36" t="str">
        <f t="shared" si="6"/>
        <v>No</v>
      </c>
      <c r="AD40" s="36" t="str">
        <f t="shared" si="7"/>
        <v>No</v>
      </c>
      <c r="AE40" s="36" t="s">
        <v>63</v>
      </c>
      <c r="AF40" s="51">
        <v>1969</v>
      </c>
      <c r="AG40" s="37"/>
    </row>
    <row r="41" spans="1:33">
      <c r="A41" s="25">
        <f t="shared" si="15"/>
        <v>28</v>
      </c>
      <c r="B41" s="32" t="s">
        <v>141</v>
      </c>
      <c r="C41" s="33" t="s">
        <v>115</v>
      </c>
      <c r="D41" s="34">
        <v>589336.30000000005</v>
      </c>
      <c r="E41" s="34">
        <v>6728894.2999999998</v>
      </c>
      <c r="F41" s="30">
        <v>40</v>
      </c>
      <c r="G41" s="30">
        <v>-19.977861687600001</v>
      </c>
      <c r="H41" s="30">
        <v>187.708166758</v>
      </c>
      <c r="I41" s="348">
        <f>VLOOKUP(B41,'[29]Modeled Sources - NOx'!$A$4:$P$50,15,FALSE)</f>
        <v>0.11874869528158294</v>
      </c>
      <c r="J41" s="348">
        <f>VLOOKUP(B41,'[29]Modeled Sources - NOx'!$A$4:$P$50,16,FALSE)</f>
        <v>0.11874869528158294</v>
      </c>
      <c r="K41" s="348">
        <f>VLOOKUP(B41,'[29]Modeled Sources - PM'!$A$6:$P$52,15,FALSE)</f>
        <v>3.1044619843333329E-2</v>
      </c>
      <c r="L41" s="348">
        <f>VLOOKUP(B41,'[29]Modeled Sources - PM'!$A$6:$P$52,16,FALSE)</f>
        <v>2.1263438248858438E-3</v>
      </c>
      <c r="M41" s="348">
        <f>VLOOKUP(B41,'[29]Modeled Sources - SO2'!$A$6:$R$52,15,FALSE)</f>
        <v>1.3459210928935889E-2</v>
      </c>
      <c r="N41" s="348">
        <f>VLOOKUP(B41,'[29]Modeled Sources - SO2'!$A$6:$R$52,16,FALSE)</f>
        <v>0.196504479562464</v>
      </c>
      <c r="O41" s="348">
        <f>VLOOKUP(B41,'[29]Modeled Sources - SO2'!$A$6:$R$52,18,FALSE)</f>
        <v>1.3459210928935888E-2</v>
      </c>
      <c r="P41" s="348">
        <f>VLOOKUP(B41,'[29]Modeled Sources - CO'!$A$6:$P$52,15,FALSE)</f>
        <v>0.46052228388888883</v>
      </c>
      <c r="Q41" s="207" t="s">
        <v>330</v>
      </c>
      <c r="R41" s="207" t="s">
        <v>329</v>
      </c>
      <c r="S41" s="207">
        <f>$K41*(VLOOKUP($Q41 &amp;"|"&amp; $R41,'AQRV Speciation'!$B$8:$G$22,2,FALSE))</f>
        <v>0</v>
      </c>
      <c r="T41" s="207">
        <f>$K41*(VLOOKUP($Q41 &amp;"|"&amp; $R41,'AQRV Speciation'!$B$8:$G$22,3,FALSE))</f>
        <v>0</v>
      </c>
      <c r="U41" s="207">
        <f>$K41*(VLOOKUP($Q41 &amp;"|"&amp; $R41,'AQRV Speciation'!$B$8:$G$22,4,FALSE))</f>
        <v>0</v>
      </c>
      <c r="V41" s="207">
        <f>$K41*(VLOOKUP($Q41 &amp;"|"&amp; $R41,'AQRV Speciation'!$B$8:$G$22,5,FALSE))</f>
        <v>0</v>
      </c>
      <c r="W41" s="207">
        <f>$K41*(VLOOKUP($Q41 &amp;"|"&amp; $R41,'AQRV Speciation'!$B$8:$G$22,6,FALSE))</f>
        <v>0</v>
      </c>
      <c r="X41" s="59">
        <v>3.66</v>
      </c>
      <c r="Y41" s="60">
        <v>600</v>
      </c>
      <c r="Z41" s="61">
        <v>39.29</v>
      </c>
      <c r="AA41" s="62">
        <v>0.24</v>
      </c>
      <c r="AB41" s="36" t="str">
        <f t="shared" si="5"/>
        <v>Yes</v>
      </c>
      <c r="AC41" s="36" t="str">
        <f t="shared" si="6"/>
        <v>Yes</v>
      </c>
      <c r="AD41" s="36" t="str">
        <f t="shared" si="7"/>
        <v>Yes</v>
      </c>
      <c r="AE41" s="36" t="s">
        <v>63</v>
      </c>
      <c r="AF41" s="51">
        <v>1990</v>
      </c>
      <c r="AG41" s="37" t="s">
        <v>463</v>
      </c>
    </row>
    <row r="42" spans="1:33">
      <c r="A42" s="25">
        <f t="shared" si="15"/>
        <v>29</v>
      </c>
      <c r="B42" s="32" t="s">
        <v>142</v>
      </c>
      <c r="C42" s="33" t="s">
        <v>116</v>
      </c>
      <c r="D42" s="34">
        <v>589058.6</v>
      </c>
      <c r="E42" s="34">
        <v>6728708.5999999996</v>
      </c>
      <c r="F42" s="51">
        <v>40</v>
      </c>
      <c r="G42" s="51">
        <v>-20.262041844300001</v>
      </c>
      <c r="H42" s="51">
        <v>187.53000946399999</v>
      </c>
      <c r="I42" s="301">
        <f t="shared" si="1"/>
        <v>0</v>
      </c>
      <c r="J42" s="346">
        <f>'[27]2011Original Data Other Sources'!$N$1754*(2000*453.59/(8760*3600))</f>
        <v>0</v>
      </c>
      <c r="K42" s="301">
        <f t="shared" si="2"/>
        <v>0</v>
      </c>
      <c r="L42" s="346">
        <f>'[27]2011Original Data Other Sources'!$N$3200*(2000*453.59/(8760*3600))</f>
        <v>0</v>
      </c>
      <c r="M42" s="346">
        <f>O42</f>
        <v>0</v>
      </c>
      <c r="N42" s="346">
        <f>O42</f>
        <v>0</v>
      </c>
      <c r="O42" s="346">
        <f>'[27]2011Original Data Other Sources'!$N$5899*(2000*453.59/(8760*3600))</f>
        <v>0</v>
      </c>
      <c r="P42" s="346">
        <f>'[27]2011Original Data Other Sources'!$N$522*(2000*453.59/(8760*3600))</f>
        <v>0</v>
      </c>
      <c r="Q42" s="207" t="s">
        <v>124</v>
      </c>
      <c r="R42" s="207" t="s">
        <v>329</v>
      </c>
      <c r="S42" s="207">
        <f>$K42*(VLOOKUP($Q42 &amp;"|"&amp; $R42,'AQRV Speciation'!$B$8:$G$22,2,FALSE))</f>
        <v>0</v>
      </c>
      <c r="T42" s="207">
        <f>$K42*(VLOOKUP($Q42 &amp;"|"&amp; $R42,'AQRV Speciation'!$B$8:$G$22,3,FALSE))</f>
        <v>0</v>
      </c>
      <c r="U42" s="207">
        <f>$K42*(VLOOKUP($Q42 &amp;"|"&amp; $R42,'AQRV Speciation'!$B$8:$G$22,4,FALSE))</f>
        <v>0</v>
      </c>
      <c r="V42" s="207">
        <f>$K42*(VLOOKUP($Q42 &amp;"|"&amp; $R42,'AQRV Speciation'!$B$8:$G$22,5,FALSE))</f>
        <v>0</v>
      </c>
      <c r="W42" s="207">
        <f>$K42*(VLOOKUP($Q42 &amp;"|"&amp; $R42,'AQRV Speciation'!$B$8:$G$22,6,FALSE))</f>
        <v>0</v>
      </c>
      <c r="X42" s="35">
        <f>VLOOKUP(B42,'[28]FOR Stack Parameters'!$A$2:$O$38,12,FALSE)</f>
        <v>2.4384000000000001</v>
      </c>
      <c r="Y42" s="309">
        <f>VLOOKUP(B42,'[28]FOR Stack Parameters'!$A$2:$O$38,13,FALSE)</f>
        <v>599.81666666666661</v>
      </c>
      <c r="Z42" s="35">
        <f>VLOOKUP(B42,'[28]FOR Stack Parameters'!$A$2:$O$38,14,FALSE)</f>
        <v>10.363200000000001</v>
      </c>
      <c r="AA42" s="35">
        <f>VLOOKUP(B42,'[28]FOR Stack Parameters'!$A$2:$O$38,15,FALSE)</f>
        <v>0.30480000000000002</v>
      </c>
      <c r="AB42" s="36" t="str">
        <f t="shared" si="5"/>
        <v>No</v>
      </c>
      <c r="AC42" s="36" t="str">
        <f t="shared" si="6"/>
        <v>No</v>
      </c>
      <c r="AD42" s="36" t="str">
        <f t="shared" si="7"/>
        <v>No</v>
      </c>
      <c r="AE42" s="36" t="s">
        <v>63</v>
      </c>
      <c r="AF42" s="51">
        <v>1969</v>
      </c>
      <c r="AG42" s="37"/>
    </row>
    <row r="43" spans="1:33">
      <c r="A43" s="25">
        <f t="shared" si="15"/>
        <v>30</v>
      </c>
      <c r="B43" s="32" t="s">
        <v>89</v>
      </c>
      <c r="C43" s="33" t="s">
        <v>117</v>
      </c>
      <c r="D43" s="34">
        <v>589399</v>
      </c>
      <c r="E43" s="34">
        <v>6728816</v>
      </c>
      <c r="F43" s="51">
        <v>40</v>
      </c>
      <c r="G43" s="51">
        <v>-19.917252036499999</v>
      </c>
      <c r="H43" s="51">
        <v>187.62773335899999</v>
      </c>
      <c r="I43" s="348">
        <f>VLOOKUP(B43,'[29]Modeled Sources - NOx'!$A$4:$P$50,15,FALSE)</f>
        <v>3.7058202614379081E-2</v>
      </c>
      <c r="J43" s="348">
        <f>VLOOKUP(B43,'[29]Modeled Sources - NOx'!$A$4:$P$50,16,FALSE)</f>
        <v>3.7058202614379074E-2</v>
      </c>
      <c r="K43" s="348">
        <f>VLOOKUP(B43,'[29]Modeled Sources - PM'!$A$6:$P$52,15,FALSE)</f>
        <v>2.8164233986928103E-3</v>
      </c>
      <c r="L43" s="348">
        <f>VLOOKUP(B43,'[29]Modeled Sources - PM'!$A$6:$P$52,16,FALSE)</f>
        <v>2.8164233986928099E-3</v>
      </c>
      <c r="M43" s="348">
        <f>VLOOKUP(B43,'[29]Modeled Sources - SO2'!$A$6:$R$52,15,FALSE)</f>
        <v>1.0164915216254575E-2</v>
      </c>
      <c r="N43" s="348">
        <f>VLOOKUP(B43,'[29]Modeled Sources - SO2'!$A$6:$R$52,16,FALSE)</f>
        <v>1.0164915216254575E-2</v>
      </c>
      <c r="O43" s="348">
        <f>VLOOKUP(B43,'[29]Modeled Sources - SO2'!$A$6:$R$52,18,FALSE)</f>
        <v>1.0164915216254573E-2</v>
      </c>
      <c r="P43" s="348">
        <f>VLOOKUP(B43,'[29]Modeled Sources - CO'!$A$6:$P$52,15,FALSE)</f>
        <v>3.1128890196078431E-2</v>
      </c>
      <c r="Q43" s="207" t="s">
        <v>323</v>
      </c>
      <c r="R43" s="207" t="s">
        <v>321</v>
      </c>
      <c r="S43" s="207">
        <f>$K43*(VLOOKUP($Q43 &amp;"|"&amp; $R43,'AQRV Speciation'!$B$8:$G$22,2,FALSE))</f>
        <v>0</v>
      </c>
      <c r="T43" s="207">
        <f>$K43*(VLOOKUP($Q43 &amp;"|"&amp; $R43,'AQRV Speciation'!$B$8:$G$22,3,FALSE))</f>
        <v>7.0410584967320257E-4</v>
      </c>
      <c r="U43" s="207">
        <f>$K43*(VLOOKUP($Q43 &amp;"|"&amp; $R43,'AQRV Speciation'!$B$8:$G$22,4,FALSE))</f>
        <v>7.0410584967320257E-4</v>
      </c>
      <c r="V43" s="207">
        <f>$K43*(VLOOKUP($Q43 &amp;"|"&amp; $R43,'AQRV Speciation'!$B$8:$G$22,5,FALSE))</f>
        <v>2.1123175490196078E-3</v>
      </c>
      <c r="W43" s="207">
        <f>$K43*(VLOOKUP($Q43 &amp;"|"&amp; $R43,'AQRV Speciation'!$B$8:$G$22,6,FALSE))</f>
        <v>2.1123175490196078E-3</v>
      </c>
      <c r="X43" s="35">
        <f>VLOOKUP(B43,'[28]FOR Stack Parameters'!$A$2:$O$38,12,FALSE)</f>
        <v>30.48</v>
      </c>
      <c r="Y43" s="309">
        <v>1273</v>
      </c>
      <c r="Z43" s="35">
        <v>20</v>
      </c>
      <c r="AA43" s="424">
        <f>VLOOKUP(B43,'[28]FOR Stack Parameters'!$A$2:$O$38,15,FALSE)</f>
        <v>0.30480000000000002</v>
      </c>
      <c r="AB43" s="36" t="str">
        <f t="shared" si="5"/>
        <v>No</v>
      </c>
      <c r="AC43" s="36" t="str">
        <f t="shared" si="6"/>
        <v>Yes</v>
      </c>
      <c r="AD43" s="36" t="str">
        <f t="shared" si="7"/>
        <v>No</v>
      </c>
      <c r="AE43" s="36" t="s">
        <v>63</v>
      </c>
      <c r="AF43" s="51">
        <v>1981</v>
      </c>
      <c r="AG43" s="37" t="s">
        <v>243</v>
      </c>
    </row>
    <row r="44" spans="1:33">
      <c r="A44" s="25">
        <f t="shared" si="15"/>
        <v>31</v>
      </c>
      <c r="B44" s="32" t="s">
        <v>90</v>
      </c>
      <c r="C44" s="33" t="s">
        <v>118</v>
      </c>
      <c r="D44" s="35">
        <v>589238.6</v>
      </c>
      <c r="E44" s="35">
        <v>6728872.1299999999</v>
      </c>
      <c r="F44" s="51">
        <v>40</v>
      </c>
      <c r="G44" s="51">
        <v>-20.076566478899998</v>
      </c>
      <c r="H44" s="51">
        <v>187.688805081</v>
      </c>
      <c r="I44" s="301">
        <f t="shared" si="1"/>
        <v>1.7259893455098935E-3</v>
      </c>
      <c r="J44" s="346">
        <f>'[27]2011Original Data Other Sources'!$N$1758*(2000*453.59/(8760*3600))</f>
        <v>1.7259893455098935E-3</v>
      </c>
      <c r="K44" s="301">
        <f t="shared" si="2"/>
        <v>0</v>
      </c>
      <c r="L44" s="346">
        <f>'[27]2011Original Data Other Sources'!$N$3204*(2000*453.59/(8760*3600))</f>
        <v>0</v>
      </c>
      <c r="M44" s="346">
        <f>O44</f>
        <v>0</v>
      </c>
      <c r="N44" s="346">
        <f>O44</f>
        <v>0</v>
      </c>
      <c r="O44" s="346">
        <f>'[27]2011Original Data Other Sources'!$N$5903*(2000*453.59/(8760*3600))</f>
        <v>0</v>
      </c>
      <c r="P44" s="346">
        <f>'[27]2011Original Data Other Sources'!$N$526*(2000*453.59/(8760*3600))</f>
        <v>1.4383244545915781E-3</v>
      </c>
      <c r="Q44" s="207" t="s">
        <v>323</v>
      </c>
      <c r="R44" s="207" t="s">
        <v>321</v>
      </c>
      <c r="S44" s="207">
        <f>$K44*(VLOOKUP($Q44 &amp;"|"&amp; $R44,'AQRV Speciation'!$B$8:$G$22,2,FALSE))</f>
        <v>0</v>
      </c>
      <c r="T44" s="207">
        <f>$K44*(VLOOKUP($Q44 &amp;"|"&amp; $R44,'AQRV Speciation'!$B$8:$G$22,3,FALSE))</f>
        <v>0</v>
      </c>
      <c r="U44" s="207">
        <f>$K44*(VLOOKUP($Q44 &amp;"|"&amp; $R44,'AQRV Speciation'!$B$8:$G$22,4,FALSE))</f>
        <v>0</v>
      </c>
      <c r="V44" s="207">
        <f>$K44*(VLOOKUP($Q44 &amp;"|"&amp; $R44,'AQRV Speciation'!$B$8:$G$22,5,FALSE))</f>
        <v>0</v>
      </c>
      <c r="W44" s="207">
        <f>$K44*(VLOOKUP($Q44 &amp;"|"&amp; $R44,'AQRV Speciation'!$B$8:$G$22,6,FALSE))</f>
        <v>0</v>
      </c>
      <c r="X44" s="35">
        <f>VLOOKUP(B44,'[28]FOR Stack Parameters'!$A$2:$O$38,12,FALSE)</f>
        <v>31.394400000000001</v>
      </c>
      <c r="Y44" s="309">
        <v>1273</v>
      </c>
      <c r="Z44" s="35">
        <v>20</v>
      </c>
      <c r="AA44" s="35">
        <f>VLOOKUP(B44,'[28]FOR Stack Parameters'!$A$2:$O$38,15,FALSE)</f>
        <v>1.524</v>
      </c>
      <c r="AB44" s="36" t="str">
        <f t="shared" si="5"/>
        <v>No</v>
      </c>
      <c r="AC44" s="36" t="str">
        <f t="shared" si="6"/>
        <v>Yes</v>
      </c>
      <c r="AD44" s="36" t="str">
        <f t="shared" si="7"/>
        <v>Yes</v>
      </c>
      <c r="AE44" s="36" t="s">
        <v>63</v>
      </c>
      <c r="AF44" s="51">
        <v>1983</v>
      </c>
      <c r="AG44" s="37" t="s">
        <v>438</v>
      </c>
    </row>
    <row r="45" spans="1:33">
      <c r="A45" s="25">
        <f t="shared" si="15"/>
        <v>32</v>
      </c>
      <c r="B45" s="32" t="s">
        <v>146</v>
      </c>
      <c r="C45" s="33" t="s">
        <v>119</v>
      </c>
      <c r="D45" s="34">
        <v>589292.80000000005</v>
      </c>
      <c r="E45" s="34">
        <v>6728693.2999999998</v>
      </c>
      <c r="F45" s="30">
        <v>40</v>
      </c>
      <c r="G45" s="30">
        <v>-20.027458087199999</v>
      </c>
      <c r="H45" s="30">
        <v>187.50773432</v>
      </c>
      <c r="I45" s="348">
        <f>VLOOKUP(B45,'[29]Modeled Sources - NOx'!$A$4:$P$50,15,FALSE)</f>
        <v>6.1763671023965135E-3</v>
      </c>
      <c r="J45" s="348">
        <f>VLOOKUP(B45,'[29]Modeled Sources - NOx'!$A$4:$P$50,16,FALSE)</f>
        <v>6.1763671023965126E-3</v>
      </c>
      <c r="K45" s="348">
        <f>VLOOKUP(B45,'[29]Modeled Sources - PM'!$A$6:$P$52,15,FALSE)</f>
        <v>4.6940389978213505E-4</v>
      </c>
      <c r="L45" s="348">
        <f>VLOOKUP(B45,'[29]Modeled Sources - PM'!$A$6:$P$52,16,FALSE)</f>
        <v>4.6940389978213494E-4</v>
      </c>
      <c r="M45" s="348">
        <f>VLOOKUP(B45,'[29]Modeled Sources - SO2'!$A$6:$R$52,15,FALSE)</f>
        <v>1.0457731703965613E-3</v>
      </c>
      <c r="N45" s="348">
        <f>VLOOKUP(B45,'[29]Modeled Sources - SO2'!$A$6:$R$52,16,FALSE)</f>
        <v>1.0457731703965613E-3</v>
      </c>
      <c r="O45" s="348">
        <f>VLOOKUP(B45,'[29]Modeled Sources - SO2'!$A$6:$R$52,18,FALSE)</f>
        <v>1.0457731703965609E-3</v>
      </c>
      <c r="P45" s="348">
        <f>VLOOKUP(B45,'[29]Modeled Sources - CO'!$A$6:$P$52,15,FALSE)</f>
        <v>5.1881483660130715E-3</v>
      </c>
      <c r="Q45" s="207" t="s">
        <v>320</v>
      </c>
      <c r="R45" s="207" t="s">
        <v>321</v>
      </c>
      <c r="S45" s="207">
        <f>$K45*(VLOOKUP($Q45 &amp;"|"&amp; $R45,'AQRV Speciation'!$B$8:$G$22,2,FALSE))</f>
        <v>0</v>
      </c>
      <c r="T45" s="207">
        <f>$K45*(VLOOKUP($Q45 &amp;"|"&amp; $R45,'AQRV Speciation'!$B$8:$G$22,3,FALSE))</f>
        <v>1.1735097494553376E-4</v>
      </c>
      <c r="U45" s="207">
        <f>$K45*(VLOOKUP($Q45 &amp;"|"&amp; $R45,'AQRV Speciation'!$B$8:$G$22,4,FALSE))</f>
        <v>1.1735097494553376E-4</v>
      </c>
      <c r="V45" s="207">
        <f>$K45*(VLOOKUP($Q45 &amp;"|"&amp; $R45,'AQRV Speciation'!$B$8:$G$22,5,FALSE))</f>
        <v>3.5205292483660134E-4</v>
      </c>
      <c r="W45" s="207">
        <f>$K45*(VLOOKUP($Q45 &amp;"|"&amp; $R45,'AQRV Speciation'!$B$8:$G$22,6,FALSE))</f>
        <v>3.5205292483660134E-4</v>
      </c>
      <c r="X45" s="35">
        <f>VLOOKUP(B45,'[28]FOR Stack Parameters'!$A$2:$O$38,12,FALSE)</f>
        <v>3.048</v>
      </c>
      <c r="Y45" s="309">
        <f>VLOOKUP(B45,'[28]FOR Stack Parameters'!$A$2:$O$38,13,FALSE)</f>
        <v>1060.9277777777779</v>
      </c>
      <c r="Z45" s="35">
        <f>VLOOKUP(B45,'[28]FOR Stack Parameters'!$A$2:$O$38,14,FALSE)</f>
        <v>1.8288000000000002</v>
      </c>
      <c r="AA45" s="35">
        <f>VLOOKUP(B45,'[28]FOR Stack Parameters'!$A$2:$O$38,15,FALSE)</f>
        <v>0.30480000000000002</v>
      </c>
      <c r="AB45" s="36" t="str">
        <f t="shared" si="5"/>
        <v>Yes</v>
      </c>
      <c r="AC45" s="36" t="str">
        <f t="shared" si="6"/>
        <v>Yes</v>
      </c>
      <c r="AD45" s="36" t="str">
        <f t="shared" si="7"/>
        <v>Yes</v>
      </c>
      <c r="AE45" s="36" t="s">
        <v>63</v>
      </c>
      <c r="AF45" s="51" t="s">
        <v>403</v>
      </c>
      <c r="AG45" s="37" t="s">
        <v>193</v>
      </c>
    </row>
    <row r="46" spans="1:33">
      <c r="A46" s="25">
        <f t="shared" si="15"/>
        <v>33</v>
      </c>
      <c r="B46" s="32" t="s">
        <v>147</v>
      </c>
      <c r="C46" s="33" t="s">
        <v>120</v>
      </c>
      <c r="D46" s="34">
        <v>588747.6</v>
      </c>
      <c r="E46" s="34">
        <v>6728858.6299999999</v>
      </c>
      <c r="F46" s="30">
        <v>40</v>
      </c>
      <c r="G46" s="30">
        <v>-20.569722158299999</v>
      </c>
      <c r="H46" s="30">
        <v>187.68976158800001</v>
      </c>
      <c r="I46" s="348">
        <f>VLOOKUP(B46,'[29]Modeled Sources - NOx'!$A$4:$P$50,15,FALSE)</f>
        <v>2.4705468409586054E-2</v>
      </c>
      <c r="J46" s="348">
        <f>VLOOKUP(B46,'[29]Modeled Sources - NOx'!$A$4:$P$50,16,FALSE)</f>
        <v>2.470546840958605E-2</v>
      </c>
      <c r="K46" s="348">
        <f>VLOOKUP(B46,'[29]Modeled Sources - PM'!$A$6:$P$52,15,FALSE)</f>
        <v>1.8776155991285402E-3</v>
      </c>
      <c r="L46" s="348">
        <f>VLOOKUP(B46,'[29]Modeled Sources - PM'!$A$6:$P$52,16,FALSE)</f>
        <v>1.8776155991285398E-3</v>
      </c>
      <c r="M46" s="348">
        <f>VLOOKUP(B46,'[29]Modeled Sources - SO2'!$A$6:$R$52,15,FALSE)</f>
        <v>4.1830926815862451E-3</v>
      </c>
      <c r="N46" s="348">
        <f>VLOOKUP(B46,'[29]Modeled Sources - SO2'!$A$6:$R$52,16,FALSE)</f>
        <v>4.1830926815862451E-3</v>
      </c>
      <c r="O46" s="348">
        <f>VLOOKUP(B46,'[29]Modeled Sources - SO2'!$A$6:$R$52,18,FALSE)</f>
        <v>4.1830926815862434E-3</v>
      </c>
      <c r="P46" s="348">
        <f>VLOOKUP(B46,'[29]Modeled Sources - CO'!$A$6:$P$52,15,FALSE)</f>
        <v>2.0752593464052286E-2</v>
      </c>
      <c r="Q46" s="207" t="s">
        <v>320</v>
      </c>
      <c r="R46" s="207" t="s">
        <v>321</v>
      </c>
      <c r="S46" s="207">
        <f>$K46*(VLOOKUP($Q46 &amp;"|"&amp; $R46,'AQRV Speciation'!$B$8:$G$22,2,FALSE))</f>
        <v>0</v>
      </c>
      <c r="T46" s="207">
        <f>$K46*(VLOOKUP($Q46 &amp;"|"&amp; $R46,'AQRV Speciation'!$B$8:$G$22,3,FALSE))</f>
        <v>4.6940389978213505E-4</v>
      </c>
      <c r="U46" s="207">
        <f>$K46*(VLOOKUP($Q46 &amp;"|"&amp; $R46,'AQRV Speciation'!$B$8:$G$22,4,FALSE))</f>
        <v>4.6940389978213505E-4</v>
      </c>
      <c r="V46" s="207">
        <f>$K46*(VLOOKUP($Q46 &amp;"|"&amp; $R46,'AQRV Speciation'!$B$8:$G$22,5,FALSE))</f>
        <v>1.4082116993464054E-3</v>
      </c>
      <c r="W46" s="207">
        <f>$K46*(VLOOKUP($Q46 &amp;"|"&amp; $R46,'AQRV Speciation'!$B$8:$G$22,6,FALSE))</f>
        <v>1.4082116993464054E-3</v>
      </c>
      <c r="X46" s="35">
        <f>VLOOKUP(B46,'[28]FOR Stack Parameters'!$A$2:$O$38,12,FALSE)</f>
        <v>2.4384000000000001</v>
      </c>
      <c r="Y46" s="309">
        <f>VLOOKUP(B46,'[28]FOR Stack Parameters'!$A$2:$O$38,13,FALSE)</f>
        <v>1060.9277777777779</v>
      </c>
      <c r="Z46" s="35">
        <f>VLOOKUP(B46,'[28]FOR Stack Parameters'!$A$2:$O$38,14,FALSE)</f>
        <v>1.2192000000000001</v>
      </c>
      <c r="AA46" s="35">
        <f>VLOOKUP(B46,'[28]FOR Stack Parameters'!$A$2:$O$38,15,FALSE)</f>
        <v>0.9144000000000001</v>
      </c>
      <c r="AB46" s="36" t="str">
        <f t="shared" si="5"/>
        <v>Yes</v>
      </c>
      <c r="AC46" s="36" t="str">
        <f t="shared" si="6"/>
        <v>Yes</v>
      </c>
      <c r="AD46" s="36" t="str">
        <f t="shared" si="7"/>
        <v>Yes</v>
      </c>
      <c r="AE46" s="36" t="s">
        <v>63</v>
      </c>
      <c r="AF46" s="51">
        <v>2002</v>
      </c>
      <c r="AG46" s="37" t="s">
        <v>192</v>
      </c>
    </row>
    <row r="47" spans="1:33">
      <c r="A47" s="25">
        <f t="shared" si="15"/>
        <v>34</v>
      </c>
      <c r="B47" s="56" t="s">
        <v>150</v>
      </c>
      <c r="C47" s="57" t="s">
        <v>122</v>
      </c>
      <c r="D47" s="34">
        <v>589282</v>
      </c>
      <c r="E47" s="34">
        <v>6728838</v>
      </c>
      <c r="F47" s="51">
        <v>40</v>
      </c>
      <c r="G47" s="51">
        <v>-20.034019967700001</v>
      </c>
      <c r="H47" s="51">
        <v>187.65327034800001</v>
      </c>
      <c r="I47" s="301">
        <f t="shared" ref="I47:I48" si="18">J47</f>
        <v>6.3286276002029435E-2</v>
      </c>
      <c r="J47" s="346">
        <f>'[27]2011Original Data Other Sources'!$N$1775*(2000*453.59/(8760*3600))</f>
        <v>6.3286276002029435E-2</v>
      </c>
      <c r="K47" s="301">
        <f t="shared" ref="K47:K48" si="19">L47</f>
        <v>1.7259893455098935E-3</v>
      </c>
      <c r="L47" s="346">
        <f>'[27]2011Original Data Other Sources'!$N$3221*(2000*453.59/(8760*3600))</f>
        <v>1.7259893455098935E-3</v>
      </c>
      <c r="M47" s="346">
        <f t="shared" ref="M47:M48" si="20">O47</f>
        <v>4.314973363774734E-3</v>
      </c>
      <c r="N47" s="346">
        <f t="shared" ref="N47:N48" si="21">O47</f>
        <v>4.314973363774734E-3</v>
      </c>
      <c r="O47" s="346">
        <f>'[27]2011Original Data Other Sources'!$N$5921*(2000*453.59/(8760*3600))</f>
        <v>4.314973363774734E-3</v>
      </c>
      <c r="P47" s="346">
        <f>'[27]2011Original Data Other Sources'!$N$543*(2000*453.59/(8760*3600))</f>
        <v>9.4929414003044141E-3</v>
      </c>
      <c r="Q47" s="207" t="s">
        <v>320</v>
      </c>
      <c r="R47" s="207" t="s">
        <v>321</v>
      </c>
      <c r="S47" s="207">
        <f>$K47*(VLOOKUP($Q47 &amp;"|"&amp; $R47,'AQRV Speciation'!$B$8:$G$22,2,FALSE))</f>
        <v>0</v>
      </c>
      <c r="T47" s="207">
        <f>$K47*(VLOOKUP($Q47 &amp;"|"&amp; $R47,'AQRV Speciation'!$B$8:$G$22,3,FALSE))</f>
        <v>4.3149733637747338E-4</v>
      </c>
      <c r="U47" s="207">
        <f>$K47*(VLOOKUP($Q47 &amp;"|"&amp; $R47,'AQRV Speciation'!$B$8:$G$22,4,FALSE))</f>
        <v>4.3149733637747338E-4</v>
      </c>
      <c r="V47" s="207">
        <f>$K47*(VLOOKUP($Q47 &amp;"|"&amp; $R47,'AQRV Speciation'!$B$8:$G$22,5,FALSE))</f>
        <v>1.2944920091324202E-3</v>
      </c>
      <c r="W47" s="207">
        <f>$K47*(VLOOKUP($Q47 &amp;"|"&amp; $R47,'AQRV Speciation'!$B$8:$G$22,6,FALSE))</f>
        <v>1.2944920091324202E-3</v>
      </c>
      <c r="X47" s="35">
        <f>VLOOKUP(B47,'[28]FOR Stack Parameters'!$A$2:$O$38,12,FALSE)</f>
        <v>26.822400000000002</v>
      </c>
      <c r="Y47" s="309">
        <f>VLOOKUP(B47,'[28]FOR Stack Parameters'!$A$2:$O$38,13,FALSE)</f>
        <v>579.81666666666661</v>
      </c>
      <c r="Z47" s="35">
        <f>VLOOKUP(B47,'[28]FOR Stack Parameters'!$A$2:$O$38,14,FALSE)</f>
        <v>5.7911999999999999</v>
      </c>
      <c r="AA47" s="35">
        <f>VLOOKUP(B47,'[28]FOR Stack Parameters'!$A$2:$O$38,15,FALSE)</f>
        <v>1.2192000000000001</v>
      </c>
      <c r="AB47" s="36" t="str">
        <f t="shared" si="5"/>
        <v>Yes</v>
      </c>
      <c r="AC47" s="36" t="str">
        <f t="shared" si="6"/>
        <v>Yes</v>
      </c>
      <c r="AD47" s="36" t="str">
        <f t="shared" si="7"/>
        <v>Yes</v>
      </c>
      <c r="AE47" s="36" t="s">
        <v>63</v>
      </c>
      <c r="AF47" s="51">
        <v>2007</v>
      </c>
      <c r="AG47" s="37" t="s">
        <v>148</v>
      </c>
    </row>
    <row r="48" spans="1:33">
      <c r="A48" s="25">
        <f t="shared" si="15"/>
        <v>35</v>
      </c>
      <c r="B48" s="56" t="s">
        <v>132</v>
      </c>
      <c r="C48" s="57" t="s">
        <v>123</v>
      </c>
      <c r="D48" s="34">
        <v>589019</v>
      </c>
      <c r="E48" s="34">
        <v>6728839.7000000002</v>
      </c>
      <c r="F48" s="51">
        <v>40</v>
      </c>
      <c r="G48" s="51">
        <v>-20.297910235300002</v>
      </c>
      <c r="H48" s="51">
        <v>187.66274784300001</v>
      </c>
      <c r="I48" s="301">
        <f t="shared" si="18"/>
        <v>0.52326243658041605</v>
      </c>
      <c r="J48" s="346">
        <f>'[27]2011Original Data Other Sources'!$N$1776*(2000*453.59/(8760*3600))</f>
        <v>0.52326243658041605</v>
      </c>
      <c r="K48" s="301">
        <f t="shared" si="19"/>
        <v>6.5012265347539316E-2</v>
      </c>
      <c r="L48" s="346">
        <f>'[27]2011Original Data Other Sources'!$N$3222*(2000*453.59/(8760*3600))</f>
        <v>6.5012265347539316E-2</v>
      </c>
      <c r="M48" s="346">
        <f t="shared" si="20"/>
        <v>2.3588521055301875E-2</v>
      </c>
      <c r="N48" s="346">
        <f t="shared" si="21"/>
        <v>2.3588521055301875E-2</v>
      </c>
      <c r="O48" s="346">
        <f>'[27]2011Original Data Other Sources'!$N$5922*(2000*453.59/(8760*3600))</f>
        <v>2.3588521055301875E-2</v>
      </c>
      <c r="P48" s="346">
        <f>'[27]2011Original Data Other Sources'!$N$544*(2000*453.59/(8760*3600))</f>
        <v>0.71801156773211572</v>
      </c>
      <c r="Q48" s="207" t="s">
        <v>320</v>
      </c>
      <c r="R48" s="207" t="s">
        <v>321</v>
      </c>
      <c r="S48" s="207">
        <f>$K48*(VLOOKUP($Q48 &amp;"|"&amp; $R48,'AQRV Speciation'!$B$8:$G$22,2,FALSE))</f>
        <v>0</v>
      </c>
      <c r="T48" s="207">
        <f>$K48*(VLOOKUP($Q48 &amp;"|"&amp; $R48,'AQRV Speciation'!$B$8:$G$22,3,FALSE))</f>
        <v>1.6253066336884829E-2</v>
      </c>
      <c r="U48" s="207">
        <f>$K48*(VLOOKUP($Q48 &amp;"|"&amp; $R48,'AQRV Speciation'!$B$8:$G$22,4,FALSE))</f>
        <v>1.6253066336884829E-2</v>
      </c>
      <c r="V48" s="207">
        <f>$K48*(VLOOKUP($Q48 &amp;"|"&amp; $R48,'AQRV Speciation'!$B$8:$G$22,5,FALSE))</f>
        <v>4.8759199010654494E-2</v>
      </c>
      <c r="W48" s="207">
        <f>$K48*(VLOOKUP($Q48 &amp;"|"&amp; $R48,'AQRV Speciation'!$B$8:$G$22,6,FALSE))</f>
        <v>4.8759199010654494E-2</v>
      </c>
      <c r="X48" s="35">
        <f>X47</f>
        <v>26.822400000000002</v>
      </c>
      <c r="Y48" s="309">
        <f t="shared" ref="Y48:AA48" si="22">Y47</f>
        <v>579.81666666666661</v>
      </c>
      <c r="Z48" s="35">
        <f t="shared" si="22"/>
        <v>5.7911999999999999</v>
      </c>
      <c r="AA48" s="35">
        <f t="shared" si="22"/>
        <v>1.2192000000000001</v>
      </c>
      <c r="AB48" s="36" t="str">
        <f t="shared" si="5"/>
        <v>Yes</v>
      </c>
      <c r="AC48" s="36" t="str">
        <f t="shared" si="6"/>
        <v>Yes</v>
      </c>
      <c r="AD48" s="36" t="str">
        <f t="shared" si="7"/>
        <v>Yes</v>
      </c>
      <c r="AE48" s="36" t="s">
        <v>63</v>
      </c>
      <c r="AF48" s="51">
        <v>2010</v>
      </c>
      <c r="AG48" s="37" t="s">
        <v>412</v>
      </c>
    </row>
    <row r="49" spans="1:33">
      <c r="A49" s="25">
        <f t="shared" si="15"/>
        <v>36</v>
      </c>
      <c r="B49" s="56" t="s">
        <v>151</v>
      </c>
      <c r="C49" s="76" t="s">
        <v>124</v>
      </c>
      <c r="D49" s="34">
        <v>589065.78</v>
      </c>
      <c r="E49" s="34">
        <v>6728699.1200000001</v>
      </c>
      <c r="F49" s="51">
        <v>40</v>
      </c>
      <c r="G49" s="51">
        <v>-20.255116291</v>
      </c>
      <c r="H49" s="51">
        <v>187.52028349700001</v>
      </c>
      <c r="I49" s="349">
        <v>0</v>
      </c>
      <c r="J49" s="349">
        <v>0</v>
      </c>
      <c r="K49" s="348">
        <f>'[30]122) EU 121'!$F$43*0.02877</f>
        <v>2.877E-2</v>
      </c>
      <c r="L49" s="348">
        <f>K49</f>
        <v>2.877E-2</v>
      </c>
      <c r="M49" s="349">
        <v>0</v>
      </c>
      <c r="N49" s="349">
        <v>0</v>
      </c>
      <c r="O49" s="349">
        <v>0</v>
      </c>
      <c r="P49" s="349">
        <v>0</v>
      </c>
      <c r="Q49" s="207" t="s">
        <v>124</v>
      </c>
      <c r="R49" s="207" t="s">
        <v>329</v>
      </c>
      <c r="S49" s="207">
        <f>$K49*(VLOOKUP($Q49 &amp;"|"&amp; $R49,'AQRV Speciation'!$B$8:$G$22,2,FALSE))</f>
        <v>0</v>
      </c>
      <c r="T49" s="207">
        <f>$K49*(VLOOKUP($Q49 &amp;"|"&amp; $R49,'AQRV Speciation'!$B$8:$G$22,3,FALSE))</f>
        <v>0</v>
      </c>
      <c r="U49" s="207">
        <f>$K49*(VLOOKUP($Q49 &amp;"|"&amp; $R49,'AQRV Speciation'!$B$8:$G$22,4,FALSE))</f>
        <v>0</v>
      </c>
      <c r="V49" s="207">
        <f>$K49*(VLOOKUP($Q49 &amp;"|"&amp; $R49,'AQRV Speciation'!$B$8:$G$22,5,FALSE))</f>
        <v>2.877E-2</v>
      </c>
      <c r="W49" s="207">
        <f>$K49*(VLOOKUP($Q49 &amp;"|"&amp; $R49,'AQRV Speciation'!$B$8:$G$22,6,FALSE))</f>
        <v>2.877E-2</v>
      </c>
      <c r="X49" s="35">
        <f>VLOOKUP(B49,'[28]FOR Stack Parameters'!$A$2:$O$38,12,FALSE)</f>
        <v>9.1440000000000001</v>
      </c>
      <c r="Y49" s="309">
        <f>VLOOKUP(B49,'[28]FOR Stack Parameters'!$A$2:$O$38,13,FALSE)</f>
        <v>272.03888888888889</v>
      </c>
      <c r="Z49" s="35">
        <f>VLOOKUP(B49,'[28]FOR Stack Parameters'!$A$2:$O$38,14,FALSE)</f>
        <v>0.30480000000000002</v>
      </c>
      <c r="AA49" s="35">
        <f>VLOOKUP(B49,'[28]FOR Stack Parameters'!$A$2:$O$38,15,FALSE)</f>
        <v>6.0960000000000001</v>
      </c>
      <c r="AB49" s="36" t="str">
        <f t="shared" si="5"/>
        <v>Yes</v>
      </c>
      <c r="AC49" s="36" t="str">
        <f t="shared" si="6"/>
        <v>Yes</v>
      </c>
      <c r="AD49" s="36" t="str">
        <f t="shared" si="7"/>
        <v>Yes</v>
      </c>
      <c r="AE49" s="36" t="s">
        <v>63</v>
      </c>
      <c r="AF49" s="51">
        <v>2012</v>
      </c>
      <c r="AG49" s="37" t="s">
        <v>148</v>
      </c>
    </row>
    <row r="50" spans="1:33">
      <c r="A50" s="25">
        <f t="shared" si="15"/>
        <v>37</v>
      </c>
      <c r="B50" s="32" t="s">
        <v>40</v>
      </c>
      <c r="C50" s="58" t="s">
        <v>41</v>
      </c>
      <c r="D50" s="435">
        <v>587369.12</v>
      </c>
      <c r="E50" s="313">
        <v>6728656.3899999997</v>
      </c>
      <c r="F50" s="51">
        <v>0</v>
      </c>
      <c r="G50" s="314">
        <v>-21.95</v>
      </c>
      <c r="H50" s="385">
        <v>187.52699999999999</v>
      </c>
      <c r="I50" s="439">
        <f>[31]Emissions!$L$13</f>
        <v>6.4047900788049796</v>
      </c>
      <c r="J50" s="439">
        <f>[31]Emissions!$M$13</f>
        <v>2.8004589354541773E-3</v>
      </c>
      <c r="K50" s="439">
        <f>[31]Emissions!$N$13</f>
        <v>0.30850533101143207</v>
      </c>
      <c r="L50" s="439">
        <f>[31]Emissions!$O$13</f>
        <v>1.3489224474745197E-4</v>
      </c>
      <c r="M50" s="439">
        <f>[31]Emissions!$V$13</f>
        <v>0.42716674660155646</v>
      </c>
      <c r="N50" s="439">
        <f>[31]Emissions!$V$13</f>
        <v>0.42716674660155646</v>
      </c>
      <c r="O50" s="439">
        <f>[31]Emissions!$W$13</f>
        <v>1.8677629051542941E-4</v>
      </c>
      <c r="P50" s="439">
        <f>[31]Emissions!$T$13</f>
        <v>0.5488365320112879</v>
      </c>
      <c r="Q50" s="207" t="s">
        <v>328</v>
      </c>
      <c r="R50" s="207" t="s">
        <v>326</v>
      </c>
      <c r="S50" s="207">
        <f>$K50*(VLOOKUP($Q50 &amp;"|"&amp; $R50,'AQRV Speciation'!$B$8:$G$22,2,FALSE))</f>
        <v>0</v>
      </c>
      <c r="T50" s="207">
        <f>$K50*(VLOOKUP($Q50 &amp;"|"&amp; $R50,'AQRV Speciation'!$B$8:$G$22,3,FALSE))</f>
        <v>0.26578067186056825</v>
      </c>
      <c r="U50" s="207">
        <f>$K50*(VLOOKUP($Q50 &amp;"|"&amp; $R50,'AQRV Speciation'!$B$8:$G$22,4,FALSE))</f>
        <v>0.26704824464514892</v>
      </c>
      <c r="V50" s="207">
        <f>$K50*(VLOOKUP($Q50 &amp;"|"&amp; $R50,'AQRV Speciation'!$B$8:$G$22,5,FALSE))</f>
        <v>4.2724659150863792E-2</v>
      </c>
      <c r="W50" s="207">
        <f>$K50*(VLOOKUP($Q50 &amp;"|"&amp; $R50,'AQRV Speciation'!$B$8:$G$22,6,FALSE))</f>
        <v>4.1457086366283202E-2</v>
      </c>
      <c r="X50" s="440">
        <v>45</v>
      </c>
      <c r="Y50" s="441">
        <v>589</v>
      </c>
      <c r="Z50" s="314">
        <v>4.2</v>
      </c>
      <c r="AA50" s="313">
        <v>1.68</v>
      </c>
      <c r="AB50" s="36" t="str">
        <f t="shared" si="5"/>
        <v>No</v>
      </c>
      <c r="AC50" s="36" t="str">
        <f t="shared" si="6"/>
        <v>No</v>
      </c>
      <c r="AD50" s="36" t="str">
        <f t="shared" si="7"/>
        <v>No</v>
      </c>
      <c r="AE50" s="36" t="s">
        <v>63</v>
      </c>
      <c r="AF50" s="51">
        <v>1969</v>
      </c>
      <c r="AG50" s="65" t="s">
        <v>464</v>
      </c>
    </row>
    <row r="51" spans="1:33" ht="10.5" customHeight="1">
      <c r="B51" s="88"/>
      <c r="C51" s="437" t="s">
        <v>604</v>
      </c>
      <c r="D51" s="75"/>
      <c r="E51" s="75"/>
      <c r="F51" s="74"/>
      <c r="G51" s="74"/>
      <c r="H51" s="74"/>
      <c r="I51" s="83"/>
      <c r="J51" s="67"/>
      <c r="K51" s="73"/>
      <c r="L51" s="73"/>
      <c r="M51" s="73"/>
      <c r="N51" s="73"/>
      <c r="O51" s="73"/>
      <c r="P51" s="73"/>
      <c r="Q51" s="73"/>
      <c r="R51" s="73"/>
      <c r="S51" s="73"/>
      <c r="T51" s="73"/>
      <c r="U51" s="73"/>
      <c r="V51" s="73"/>
      <c r="W51" s="73"/>
      <c r="X51" s="73"/>
      <c r="Y51" s="73"/>
      <c r="Z51" s="73"/>
      <c r="AA51" s="86"/>
      <c r="AB51" s="63"/>
      <c r="AC51" s="63"/>
      <c r="AD51" s="64"/>
      <c r="AE51" s="64"/>
      <c r="AG51" s="65"/>
    </row>
    <row r="52" spans="1:33" s="43" customFormat="1" hidden="1">
      <c r="A52" s="25"/>
      <c r="B52" s="46" t="s">
        <v>149</v>
      </c>
      <c r="C52" s="47" t="s">
        <v>121</v>
      </c>
      <c r="D52" s="48">
        <v>589293.5</v>
      </c>
      <c r="E52" s="48">
        <v>6728838</v>
      </c>
      <c r="F52" s="45">
        <v>40</v>
      </c>
      <c r="G52" s="45"/>
      <c r="H52" s="45"/>
      <c r="I52" s="50"/>
      <c r="J52" s="50"/>
      <c r="K52" s="50"/>
      <c r="L52" s="50"/>
      <c r="M52" s="50"/>
      <c r="N52" s="50"/>
      <c r="O52" s="50"/>
      <c r="P52" s="50"/>
      <c r="Q52" s="50"/>
      <c r="R52" s="50"/>
      <c r="S52" s="50"/>
      <c r="T52" s="50"/>
      <c r="U52" s="50"/>
      <c r="V52" s="50"/>
      <c r="W52" s="50"/>
      <c r="X52" s="48">
        <v>26.212800000000001</v>
      </c>
      <c r="Y52" s="49">
        <v>579.81666666666661</v>
      </c>
      <c r="Z52" s="48">
        <v>5.7911999999999999</v>
      </c>
      <c r="AA52" s="48">
        <v>1.2192000000000001</v>
      </c>
      <c r="AB52" s="54"/>
      <c r="AC52" s="54"/>
      <c r="AD52" s="42"/>
      <c r="AE52" s="53"/>
      <c r="AF52" s="275"/>
      <c r="AG52" s="55" t="s">
        <v>194</v>
      </c>
    </row>
    <row r="53" spans="1:33" s="43" customFormat="1" ht="15" hidden="1" customHeight="1">
      <c r="B53" s="251"/>
      <c r="C53" s="252" t="s">
        <v>373</v>
      </c>
      <c r="D53" s="230"/>
      <c r="E53" s="253"/>
      <c r="F53" s="254"/>
      <c r="G53" s="254"/>
      <c r="H53" s="254"/>
      <c r="I53" s="255"/>
      <c r="J53" s="222"/>
      <c r="K53" s="222"/>
      <c r="L53" s="222"/>
      <c r="M53" s="222"/>
      <c r="N53" s="256"/>
      <c r="O53" s="222"/>
      <c r="P53" s="222"/>
      <c r="Q53" s="222"/>
      <c r="R53" s="222"/>
      <c r="S53" s="222"/>
      <c r="T53" s="222"/>
      <c r="U53" s="222"/>
      <c r="V53" s="222"/>
      <c r="W53" s="222"/>
      <c r="X53" s="255"/>
      <c r="Y53" s="222"/>
      <c r="Z53" s="256"/>
      <c r="AA53" s="257"/>
      <c r="AB53" s="174"/>
      <c r="AC53" s="174"/>
      <c r="AD53" s="174"/>
      <c r="AE53" s="174"/>
      <c r="AF53" s="275"/>
      <c r="AG53" s="175"/>
    </row>
    <row r="54" spans="1:33" s="43" customFormat="1" ht="15" hidden="1" customHeight="1">
      <c r="B54" s="458" t="s">
        <v>227</v>
      </c>
      <c r="C54" s="460" t="s">
        <v>234</v>
      </c>
      <c r="D54" s="461" t="s">
        <v>239</v>
      </c>
      <c r="E54" s="461"/>
      <c r="F54" s="461"/>
      <c r="G54" s="172"/>
      <c r="H54" s="172"/>
      <c r="I54" s="442" t="s">
        <v>240</v>
      </c>
      <c r="J54" s="443"/>
      <c r="K54" s="443"/>
      <c r="L54" s="443"/>
      <c r="M54" s="443"/>
      <c r="N54" s="444"/>
      <c r="O54" s="185"/>
      <c r="P54" s="185"/>
      <c r="Q54" s="186"/>
      <c r="R54" s="186"/>
      <c r="S54" s="185"/>
      <c r="T54" s="185"/>
      <c r="U54" s="222"/>
      <c r="V54" s="185"/>
      <c r="W54" s="222"/>
      <c r="X54" s="442" t="s">
        <v>241</v>
      </c>
      <c r="Y54" s="443"/>
      <c r="Z54" s="444"/>
      <c r="AA54" s="173"/>
      <c r="AB54" s="174" t="s">
        <v>59</v>
      </c>
      <c r="AC54" s="174" t="s">
        <v>60</v>
      </c>
      <c r="AD54" s="174" t="s">
        <v>61</v>
      </c>
      <c r="AE54" s="174" t="s">
        <v>62</v>
      </c>
      <c r="AF54" s="275"/>
      <c r="AG54" s="175"/>
    </row>
    <row r="55" spans="1:33" s="43" customFormat="1" ht="33.75" hidden="1">
      <c r="B55" s="459"/>
      <c r="C55" s="460"/>
      <c r="D55" s="176" t="s">
        <v>13</v>
      </c>
      <c r="E55" s="176" t="s">
        <v>25</v>
      </c>
      <c r="F55" s="177" t="s">
        <v>244</v>
      </c>
      <c r="G55" s="177"/>
      <c r="H55" s="177"/>
      <c r="I55" s="178" t="s">
        <v>225</v>
      </c>
      <c r="J55" s="178"/>
      <c r="K55" s="178" t="s">
        <v>242</v>
      </c>
      <c r="L55" s="178" t="s">
        <v>10</v>
      </c>
      <c r="M55" s="178" t="s">
        <v>226</v>
      </c>
      <c r="N55" s="178" t="s">
        <v>12</v>
      </c>
      <c r="O55" s="178"/>
      <c r="P55" s="178"/>
      <c r="Q55" s="178"/>
      <c r="R55" s="178"/>
      <c r="S55" s="178"/>
      <c r="T55" s="178"/>
      <c r="U55" s="178"/>
      <c r="V55" s="178"/>
      <c r="W55" s="178"/>
      <c r="X55" s="178" t="s">
        <v>245</v>
      </c>
      <c r="Y55" s="178" t="s">
        <v>246</v>
      </c>
      <c r="Z55" s="178" t="s">
        <v>247</v>
      </c>
      <c r="AA55" s="179"/>
      <c r="AB55" s="180" t="s">
        <v>65</v>
      </c>
      <c r="AC55" s="180" t="s">
        <v>66</v>
      </c>
      <c r="AD55" s="180" t="s">
        <v>67</v>
      </c>
      <c r="AE55" s="180" t="s">
        <v>68</v>
      </c>
      <c r="AF55" s="275"/>
      <c r="AG55" s="55"/>
    </row>
    <row r="56" spans="1:33" s="43" customFormat="1" hidden="1">
      <c r="B56" s="39" t="s">
        <v>200</v>
      </c>
      <c r="C56" s="457" t="s">
        <v>2</v>
      </c>
      <c r="D56" s="181">
        <v>589411.6</v>
      </c>
      <c r="E56" s="181">
        <v>6728309.2999999998</v>
      </c>
      <c r="F56" s="182">
        <v>40</v>
      </c>
      <c r="G56" s="182"/>
      <c r="H56" s="182"/>
      <c r="I56" s="41">
        <v>0.3029</v>
      </c>
      <c r="J56" s="41"/>
      <c r="K56" s="41">
        <v>6.7500000000000004E-2</v>
      </c>
      <c r="L56" s="41">
        <v>2.12E-2</v>
      </c>
      <c r="M56" s="41">
        <v>7.0000000000000001E-3</v>
      </c>
      <c r="N56" s="41">
        <v>4.2900000000000001E-2</v>
      </c>
      <c r="O56" s="41"/>
      <c r="P56" s="41"/>
      <c r="Q56" s="41"/>
      <c r="R56" s="41"/>
      <c r="S56" s="41"/>
      <c r="T56" s="41"/>
      <c r="U56" s="41"/>
      <c r="V56" s="41"/>
      <c r="W56" s="41"/>
      <c r="X56" s="39">
        <v>10</v>
      </c>
      <c r="Y56" s="39">
        <v>126</v>
      </c>
      <c r="Z56" s="39">
        <v>9.3000000000000007</v>
      </c>
      <c r="AA56" s="183"/>
      <c r="AB56" s="42" t="s">
        <v>64</v>
      </c>
      <c r="AC56" s="42" t="s">
        <v>64</v>
      </c>
      <c r="AD56" s="42" t="s">
        <v>64</v>
      </c>
      <c r="AE56" s="42" t="s">
        <v>63</v>
      </c>
      <c r="AF56" s="275"/>
      <c r="AG56" s="55" t="s">
        <v>195</v>
      </c>
    </row>
    <row r="57" spans="1:33" s="43" customFormat="1" hidden="1">
      <c r="B57" s="39" t="s">
        <v>201</v>
      </c>
      <c r="C57" s="457"/>
      <c r="D57" s="181">
        <v>589342.19999999995</v>
      </c>
      <c r="E57" s="181">
        <v>6728512</v>
      </c>
      <c r="F57" s="182">
        <v>40</v>
      </c>
      <c r="G57" s="182"/>
      <c r="H57" s="182"/>
      <c r="I57" s="41">
        <v>7.2999999999999995E-2</v>
      </c>
      <c r="J57" s="41"/>
      <c r="K57" s="41">
        <v>1.6299999999999999E-2</v>
      </c>
      <c r="L57" s="41">
        <v>5.1000000000000004E-3</v>
      </c>
      <c r="M57" s="41">
        <v>1.6999999999999999E-3</v>
      </c>
      <c r="N57" s="41">
        <v>1.03E-2</v>
      </c>
      <c r="O57" s="41"/>
      <c r="P57" s="41"/>
      <c r="Q57" s="41"/>
      <c r="R57" s="41"/>
      <c r="S57" s="41"/>
      <c r="T57" s="41"/>
      <c r="U57" s="41"/>
      <c r="V57" s="41"/>
      <c r="W57" s="41"/>
      <c r="X57" s="39">
        <v>10</v>
      </c>
      <c r="Y57" s="39">
        <v>62</v>
      </c>
      <c r="Z57" s="39">
        <v>9.3000000000000007</v>
      </c>
      <c r="AA57" s="183"/>
      <c r="AB57" s="42" t="s">
        <v>64</v>
      </c>
      <c r="AC57" s="42" t="s">
        <v>64</v>
      </c>
      <c r="AD57" s="42" t="s">
        <v>64</v>
      </c>
      <c r="AE57" s="42" t="s">
        <v>63</v>
      </c>
      <c r="AF57" s="275"/>
      <c r="AG57" s="55"/>
    </row>
    <row r="58" spans="1:33" s="43" customFormat="1" hidden="1">
      <c r="B58" s="39" t="s">
        <v>202</v>
      </c>
      <c r="C58" s="457"/>
      <c r="D58" s="181">
        <v>589478.80000000005</v>
      </c>
      <c r="E58" s="181">
        <v>6728511.4000000004</v>
      </c>
      <c r="F58" s="182">
        <v>40</v>
      </c>
      <c r="G58" s="182"/>
      <c r="H58" s="182"/>
      <c r="I58" s="41">
        <v>7.1800000000000003E-2</v>
      </c>
      <c r="J58" s="41"/>
      <c r="K58" s="41">
        <v>1.6E-2</v>
      </c>
      <c r="L58" s="41">
        <v>5.0000000000000001E-3</v>
      </c>
      <c r="M58" s="41">
        <v>1.6999999999999999E-3</v>
      </c>
      <c r="N58" s="41">
        <v>1.0200000000000001E-2</v>
      </c>
      <c r="O58" s="41"/>
      <c r="P58" s="41"/>
      <c r="Q58" s="41"/>
      <c r="R58" s="41"/>
      <c r="S58" s="41"/>
      <c r="T58" s="41"/>
      <c r="U58" s="41"/>
      <c r="V58" s="41"/>
      <c r="W58" s="41"/>
      <c r="X58" s="39">
        <v>10</v>
      </c>
      <c r="Y58" s="39">
        <v>61</v>
      </c>
      <c r="Z58" s="39">
        <v>9.3000000000000007</v>
      </c>
      <c r="AA58" s="183"/>
      <c r="AB58" s="42" t="s">
        <v>64</v>
      </c>
      <c r="AC58" s="42" t="s">
        <v>64</v>
      </c>
      <c r="AD58" s="42" t="s">
        <v>64</v>
      </c>
      <c r="AE58" s="42" t="s">
        <v>63</v>
      </c>
      <c r="AF58" s="275"/>
      <c r="AG58" s="55"/>
    </row>
    <row r="59" spans="1:33" s="43" customFormat="1" hidden="1">
      <c r="B59" s="39" t="s">
        <v>203</v>
      </c>
      <c r="C59" s="457"/>
      <c r="D59" s="181">
        <v>589318.5</v>
      </c>
      <c r="E59" s="181">
        <v>6728640.2000000002</v>
      </c>
      <c r="F59" s="182">
        <v>40</v>
      </c>
      <c r="G59" s="182"/>
      <c r="H59" s="182"/>
      <c r="I59" s="41">
        <v>5.9299999999999999E-2</v>
      </c>
      <c r="J59" s="41"/>
      <c r="K59" s="41">
        <v>1.32E-2</v>
      </c>
      <c r="L59" s="41">
        <v>4.1999999999999997E-3</v>
      </c>
      <c r="M59" s="41">
        <v>1.4E-3</v>
      </c>
      <c r="N59" s="41">
        <v>8.3999999999999995E-3</v>
      </c>
      <c r="O59" s="41"/>
      <c r="P59" s="41"/>
      <c r="Q59" s="41"/>
      <c r="R59" s="41"/>
      <c r="S59" s="41"/>
      <c r="T59" s="41"/>
      <c r="U59" s="41"/>
      <c r="V59" s="41"/>
      <c r="W59" s="41"/>
      <c r="X59" s="39">
        <v>10</v>
      </c>
      <c r="Y59" s="39">
        <v>56</v>
      </c>
      <c r="Z59" s="39">
        <v>9.3000000000000007</v>
      </c>
      <c r="AA59" s="183"/>
      <c r="AB59" s="42" t="s">
        <v>64</v>
      </c>
      <c r="AC59" s="42" t="s">
        <v>64</v>
      </c>
      <c r="AD59" s="42" t="s">
        <v>64</v>
      </c>
      <c r="AE59" s="42" t="s">
        <v>63</v>
      </c>
      <c r="AF59" s="275"/>
      <c r="AG59" s="55"/>
    </row>
    <row r="60" spans="1:33" s="43" customFormat="1" hidden="1">
      <c r="B60" s="39" t="s">
        <v>204</v>
      </c>
      <c r="C60" s="457"/>
      <c r="D60" s="181">
        <v>589179.69999999995</v>
      </c>
      <c r="E60" s="181">
        <v>6728603.2999999998</v>
      </c>
      <c r="F60" s="182">
        <v>40</v>
      </c>
      <c r="G60" s="182"/>
      <c r="H60" s="182"/>
      <c r="I60" s="41">
        <v>8.2500000000000004E-2</v>
      </c>
      <c r="J60" s="41"/>
      <c r="K60" s="41">
        <v>1.84E-2</v>
      </c>
      <c r="L60" s="41">
        <v>5.7999999999999996E-3</v>
      </c>
      <c r="M60" s="41">
        <v>1.9E-3</v>
      </c>
      <c r="N60" s="41">
        <v>1.17E-2</v>
      </c>
      <c r="O60" s="41"/>
      <c r="P60" s="41"/>
      <c r="Q60" s="41"/>
      <c r="R60" s="41"/>
      <c r="S60" s="41"/>
      <c r="T60" s="41"/>
      <c r="U60" s="41"/>
      <c r="V60" s="41"/>
      <c r="W60" s="41"/>
      <c r="X60" s="39">
        <v>10</v>
      </c>
      <c r="Y60" s="39">
        <v>66</v>
      </c>
      <c r="Z60" s="39">
        <v>9.3000000000000007</v>
      </c>
      <c r="AA60" s="183"/>
      <c r="AB60" s="42" t="s">
        <v>64</v>
      </c>
      <c r="AC60" s="42" t="s">
        <v>64</v>
      </c>
      <c r="AD60" s="42" t="s">
        <v>64</v>
      </c>
      <c r="AE60" s="42" t="s">
        <v>63</v>
      </c>
      <c r="AF60" s="275"/>
      <c r="AG60" s="55"/>
    </row>
    <row r="61" spans="1:33" s="43" customFormat="1" hidden="1">
      <c r="B61" s="39" t="s">
        <v>205</v>
      </c>
      <c r="C61" s="457"/>
      <c r="D61" s="181">
        <v>589063.80000000005</v>
      </c>
      <c r="E61" s="181">
        <v>6728572</v>
      </c>
      <c r="F61" s="182">
        <v>40</v>
      </c>
      <c r="G61" s="182"/>
      <c r="H61" s="182"/>
      <c r="I61" s="41">
        <v>2.2200000000000001E-2</v>
      </c>
      <c r="J61" s="41"/>
      <c r="K61" s="41">
        <v>4.8999999999999998E-3</v>
      </c>
      <c r="L61" s="41">
        <v>1.6000000000000001E-3</v>
      </c>
      <c r="M61" s="41">
        <v>5.0000000000000001E-4</v>
      </c>
      <c r="N61" s="41">
        <v>3.0999999999999999E-3</v>
      </c>
      <c r="O61" s="41"/>
      <c r="P61" s="41"/>
      <c r="Q61" s="41"/>
      <c r="R61" s="41"/>
      <c r="S61" s="41"/>
      <c r="T61" s="41"/>
      <c r="U61" s="41"/>
      <c r="V61" s="41"/>
      <c r="W61" s="41"/>
      <c r="X61" s="39">
        <v>10</v>
      </c>
      <c r="Y61" s="39">
        <v>34</v>
      </c>
      <c r="Z61" s="39">
        <v>9.3000000000000007</v>
      </c>
      <c r="AA61" s="183"/>
      <c r="AB61" s="42" t="s">
        <v>64</v>
      </c>
      <c r="AC61" s="42" t="s">
        <v>64</v>
      </c>
      <c r="AD61" s="42" t="s">
        <v>64</v>
      </c>
      <c r="AE61" s="42" t="s">
        <v>63</v>
      </c>
      <c r="AF61" s="275"/>
      <c r="AG61" s="55"/>
    </row>
    <row r="62" spans="1:33" s="43" customFormat="1" hidden="1">
      <c r="B62" s="39" t="s">
        <v>206</v>
      </c>
      <c r="C62" s="457"/>
      <c r="D62" s="181">
        <v>588981.4</v>
      </c>
      <c r="E62" s="181">
        <v>6728571.5</v>
      </c>
      <c r="F62" s="182">
        <v>40</v>
      </c>
      <c r="G62" s="182"/>
      <c r="H62" s="182"/>
      <c r="I62" s="41">
        <v>2.24E-2</v>
      </c>
      <c r="J62" s="41"/>
      <c r="K62" s="41">
        <v>5.0000000000000001E-3</v>
      </c>
      <c r="L62" s="41">
        <v>1.6000000000000001E-3</v>
      </c>
      <c r="M62" s="41">
        <v>5.0000000000000001E-4</v>
      </c>
      <c r="N62" s="41">
        <v>3.2000000000000002E-3</v>
      </c>
      <c r="O62" s="41"/>
      <c r="P62" s="41"/>
      <c r="Q62" s="41"/>
      <c r="R62" s="41"/>
      <c r="S62" s="41"/>
      <c r="T62" s="41"/>
      <c r="U62" s="41"/>
      <c r="V62" s="41"/>
      <c r="W62" s="41"/>
      <c r="X62" s="39">
        <v>10</v>
      </c>
      <c r="Y62" s="39">
        <v>34</v>
      </c>
      <c r="Z62" s="39">
        <v>9.3000000000000007</v>
      </c>
      <c r="AA62" s="183"/>
      <c r="AB62" s="42" t="s">
        <v>64</v>
      </c>
      <c r="AC62" s="42" t="s">
        <v>64</v>
      </c>
      <c r="AD62" s="42" t="s">
        <v>64</v>
      </c>
      <c r="AE62" s="42" t="s">
        <v>63</v>
      </c>
      <c r="AF62" s="275"/>
      <c r="AG62" s="55"/>
    </row>
    <row r="63" spans="1:33" s="43" customFormat="1" hidden="1">
      <c r="B63" s="39" t="s">
        <v>207</v>
      </c>
      <c r="C63" s="457"/>
      <c r="D63" s="181">
        <v>588889.5</v>
      </c>
      <c r="E63" s="181">
        <v>6728584.7000000002</v>
      </c>
      <c r="F63" s="182">
        <v>39</v>
      </c>
      <c r="G63" s="182"/>
      <c r="H63" s="182"/>
      <c r="I63" s="41">
        <v>4.2900000000000001E-2</v>
      </c>
      <c r="J63" s="41"/>
      <c r="K63" s="41">
        <v>9.5999999999999992E-3</v>
      </c>
      <c r="L63" s="41">
        <v>3.0000000000000001E-3</v>
      </c>
      <c r="M63" s="41">
        <v>1E-3</v>
      </c>
      <c r="N63" s="41">
        <v>6.1000000000000004E-3</v>
      </c>
      <c r="O63" s="41"/>
      <c r="P63" s="41"/>
      <c r="Q63" s="41"/>
      <c r="R63" s="41"/>
      <c r="S63" s="41"/>
      <c r="T63" s="41"/>
      <c r="U63" s="41"/>
      <c r="V63" s="41"/>
      <c r="W63" s="41"/>
      <c r="X63" s="39">
        <v>10</v>
      </c>
      <c r="Y63" s="39">
        <v>47</v>
      </c>
      <c r="Z63" s="39">
        <v>9.3000000000000007</v>
      </c>
      <c r="AA63" s="183"/>
      <c r="AB63" s="42" t="s">
        <v>64</v>
      </c>
      <c r="AC63" s="42" t="s">
        <v>64</v>
      </c>
      <c r="AD63" s="42" t="s">
        <v>64</v>
      </c>
      <c r="AE63" s="42" t="s">
        <v>63</v>
      </c>
      <c r="AF63" s="275"/>
      <c r="AG63" s="55"/>
    </row>
    <row r="64" spans="1:33" s="43" customFormat="1" hidden="1">
      <c r="B64" s="39" t="s">
        <v>208</v>
      </c>
      <c r="C64" s="457"/>
      <c r="D64" s="181">
        <v>588889.5</v>
      </c>
      <c r="E64" s="181">
        <v>6728685.7000000002</v>
      </c>
      <c r="F64" s="182">
        <v>39</v>
      </c>
      <c r="G64" s="182"/>
      <c r="H64" s="182"/>
      <c r="I64" s="41">
        <v>4.2900000000000001E-2</v>
      </c>
      <c r="J64" s="41"/>
      <c r="K64" s="41">
        <v>9.5999999999999992E-3</v>
      </c>
      <c r="L64" s="41">
        <v>3.0000000000000001E-3</v>
      </c>
      <c r="M64" s="41">
        <v>1E-3</v>
      </c>
      <c r="N64" s="41">
        <v>6.1000000000000004E-3</v>
      </c>
      <c r="O64" s="41"/>
      <c r="P64" s="41"/>
      <c r="Q64" s="41"/>
      <c r="R64" s="41"/>
      <c r="S64" s="41"/>
      <c r="T64" s="41"/>
      <c r="U64" s="41"/>
      <c r="V64" s="41"/>
      <c r="W64" s="41"/>
      <c r="X64" s="39">
        <v>10</v>
      </c>
      <c r="Y64" s="39">
        <v>47</v>
      </c>
      <c r="Z64" s="39">
        <v>9.3000000000000007</v>
      </c>
      <c r="AA64" s="183"/>
      <c r="AB64" s="42" t="s">
        <v>64</v>
      </c>
      <c r="AC64" s="42" t="s">
        <v>64</v>
      </c>
      <c r="AD64" s="42" t="s">
        <v>64</v>
      </c>
      <c r="AE64" s="42" t="s">
        <v>63</v>
      </c>
      <c r="AF64" s="275"/>
      <c r="AG64" s="55"/>
    </row>
    <row r="65" spans="1:33" s="43" customFormat="1" hidden="1">
      <c r="B65" s="39" t="s">
        <v>209</v>
      </c>
      <c r="C65" s="457"/>
      <c r="D65" s="181">
        <v>588889.5</v>
      </c>
      <c r="E65" s="181">
        <v>6728788.2999999998</v>
      </c>
      <c r="F65" s="182">
        <v>40</v>
      </c>
      <c r="G65" s="182"/>
      <c r="H65" s="182"/>
      <c r="I65" s="41">
        <v>4.2900000000000001E-2</v>
      </c>
      <c r="J65" s="41"/>
      <c r="K65" s="41">
        <v>9.5999999999999992E-3</v>
      </c>
      <c r="L65" s="41">
        <v>3.0000000000000001E-3</v>
      </c>
      <c r="M65" s="41">
        <v>1E-3</v>
      </c>
      <c r="N65" s="41">
        <v>6.1000000000000004E-3</v>
      </c>
      <c r="O65" s="41"/>
      <c r="P65" s="41"/>
      <c r="Q65" s="41"/>
      <c r="R65" s="41"/>
      <c r="S65" s="41"/>
      <c r="T65" s="41"/>
      <c r="U65" s="41"/>
      <c r="V65" s="41"/>
      <c r="W65" s="41"/>
      <c r="X65" s="39">
        <v>10</v>
      </c>
      <c r="Y65" s="39">
        <v>47</v>
      </c>
      <c r="Z65" s="39">
        <v>9.3000000000000007</v>
      </c>
      <c r="AA65" s="183"/>
      <c r="AB65" s="42" t="s">
        <v>64</v>
      </c>
      <c r="AC65" s="42" t="s">
        <v>64</v>
      </c>
      <c r="AD65" s="42" t="s">
        <v>64</v>
      </c>
      <c r="AE65" s="42" t="s">
        <v>63</v>
      </c>
      <c r="AF65" s="275"/>
      <c r="AG65" s="55"/>
    </row>
    <row r="66" spans="1:33" s="43" customFormat="1" hidden="1">
      <c r="B66" s="39" t="s">
        <v>210</v>
      </c>
      <c r="C66" s="457"/>
      <c r="D66" s="181">
        <v>588773.80000000005</v>
      </c>
      <c r="E66" s="181">
        <v>6728683.5999999996</v>
      </c>
      <c r="F66" s="182">
        <v>36</v>
      </c>
      <c r="G66" s="182"/>
      <c r="H66" s="182"/>
      <c r="I66" s="41">
        <v>6.6500000000000004E-2</v>
      </c>
      <c r="J66" s="41"/>
      <c r="K66" s="41">
        <v>1.4800000000000001E-2</v>
      </c>
      <c r="L66" s="41">
        <v>4.7000000000000002E-3</v>
      </c>
      <c r="M66" s="41">
        <v>1.5E-3</v>
      </c>
      <c r="N66" s="41">
        <v>9.4000000000000004E-3</v>
      </c>
      <c r="O66" s="41"/>
      <c r="P66" s="41"/>
      <c r="Q66" s="41"/>
      <c r="R66" s="41"/>
      <c r="S66" s="41"/>
      <c r="T66" s="41"/>
      <c r="U66" s="41"/>
      <c r="V66" s="41"/>
      <c r="W66" s="41"/>
      <c r="X66" s="39">
        <v>10</v>
      </c>
      <c r="Y66" s="39">
        <v>59</v>
      </c>
      <c r="Z66" s="39">
        <v>9.3000000000000007</v>
      </c>
      <c r="AA66" s="183"/>
      <c r="AB66" s="42" t="s">
        <v>64</v>
      </c>
      <c r="AC66" s="42" t="s">
        <v>64</v>
      </c>
      <c r="AD66" s="42" t="s">
        <v>64</v>
      </c>
      <c r="AE66" s="42" t="s">
        <v>63</v>
      </c>
      <c r="AF66" s="275"/>
      <c r="AG66" s="55"/>
    </row>
    <row r="67" spans="1:33" s="43" customFormat="1" hidden="1">
      <c r="B67" s="39" t="s">
        <v>211</v>
      </c>
      <c r="C67" s="457"/>
      <c r="D67" s="181">
        <v>588773.69999999995</v>
      </c>
      <c r="E67" s="181">
        <v>6728810.7000000002</v>
      </c>
      <c r="F67" s="182">
        <v>39</v>
      </c>
      <c r="G67" s="182"/>
      <c r="H67" s="182"/>
      <c r="I67" s="41">
        <v>6.6000000000000003E-2</v>
      </c>
      <c r="J67" s="41"/>
      <c r="K67" s="41">
        <v>1.47E-2</v>
      </c>
      <c r="L67" s="41">
        <v>4.5999999999999999E-3</v>
      </c>
      <c r="M67" s="41">
        <v>1.5E-3</v>
      </c>
      <c r="N67" s="41">
        <v>9.2999999999999992E-3</v>
      </c>
      <c r="O67" s="41"/>
      <c r="P67" s="41"/>
      <c r="Q67" s="41"/>
      <c r="R67" s="41"/>
      <c r="S67" s="41"/>
      <c r="T67" s="41"/>
      <c r="U67" s="41"/>
      <c r="V67" s="41"/>
      <c r="W67" s="41"/>
      <c r="X67" s="39">
        <v>10</v>
      </c>
      <c r="Y67" s="39">
        <v>59</v>
      </c>
      <c r="Z67" s="39">
        <v>9.3000000000000007</v>
      </c>
      <c r="AA67" s="183"/>
      <c r="AB67" s="42" t="s">
        <v>64</v>
      </c>
      <c r="AC67" s="42" t="s">
        <v>64</v>
      </c>
      <c r="AD67" s="42" t="s">
        <v>64</v>
      </c>
      <c r="AE67" s="42" t="s">
        <v>63</v>
      </c>
      <c r="AF67" s="275"/>
      <c r="AG67" s="184"/>
    </row>
    <row r="68" spans="1:33" ht="15" customHeight="1">
      <c r="D68" s="26"/>
      <c r="E68" s="26"/>
      <c r="F68" s="26"/>
      <c r="G68" s="25"/>
      <c r="H68" s="25"/>
      <c r="AB68" s="426"/>
      <c r="AC68" s="426"/>
      <c r="AD68" s="426"/>
      <c r="AE68" s="426"/>
      <c r="AG68" s="427"/>
    </row>
    <row r="69" spans="1:33" s="76" customFormat="1">
      <c r="B69" s="74"/>
      <c r="C69" s="345" t="s">
        <v>517</v>
      </c>
      <c r="D69" s="345"/>
      <c r="E69" s="345"/>
      <c r="F69" s="345"/>
      <c r="G69" s="150"/>
      <c r="H69" s="150"/>
      <c r="I69" s="150"/>
      <c r="J69" s="150"/>
      <c r="K69" s="150"/>
      <c r="L69" s="150"/>
      <c r="M69" s="150"/>
      <c r="N69" s="150"/>
      <c r="O69" s="150"/>
      <c r="P69" s="331"/>
      <c r="Q69" s="331"/>
      <c r="R69" s="331"/>
      <c r="S69" s="331"/>
      <c r="T69" s="331"/>
      <c r="U69" s="331"/>
      <c r="V69" s="331"/>
      <c r="W69" s="331"/>
      <c r="X69" s="331"/>
      <c r="Y69" s="331"/>
      <c r="Z69" s="331"/>
      <c r="AA69" s="331"/>
      <c r="AB69" s="70"/>
      <c r="AC69" s="70"/>
      <c r="AD69" s="71"/>
      <c r="AE69" s="71"/>
      <c r="AF69" s="276"/>
      <c r="AG69" s="65"/>
    </row>
    <row r="70" spans="1:33" s="76" customFormat="1">
      <c r="B70" s="74"/>
      <c r="C70" s="350" t="s">
        <v>520</v>
      </c>
      <c r="D70" s="350"/>
      <c r="E70" s="350"/>
      <c r="F70" s="350"/>
      <c r="G70" s="331"/>
      <c r="H70" s="331"/>
      <c r="I70" s="331"/>
      <c r="J70" s="331"/>
      <c r="K70" s="331"/>
      <c r="L70" s="331"/>
      <c r="M70" s="331"/>
      <c r="N70" s="331"/>
      <c r="O70" s="331"/>
      <c r="P70" s="331"/>
      <c r="Q70" s="331"/>
      <c r="R70" s="331"/>
      <c r="S70" s="331"/>
      <c r="T70" s="331"/>
      <c r="U70" s="331"/>
      <c r="V70" s="331"/>
      <c r="W70" s="331"/>
      <c r="X70" s="331"/>
      <c r="Y70" s="331"/>
      <c r="Z70" s="331"/>
      <c r="AA70" s="331"/>
      <c r="AB70" s="70"/>
      <c r="AC70" s="70"/>
      <c r="AD70" s="71"/>
      <c r="AE70" s="71"/>
      <c r="AF70" s="276"/>
      <c r="AG70" s="65"/>
    </row>
    <row r="71" spans="1:33" ht="15" customHeight="1">
      <c r="A71" s="462" t="s">
        <v>436</v>
      </c>
      <c r="B71" s="462"/>
      <c r="C71" s="66" t="s">
        <v>155</v>
      </c>
      <c r="D71" s="26">
        <f>50.9+36.5</f>
        <v>87.4</v>
      </c>
      <c r="E71" s="26" t="s">
        <v>156</v>
      </c>
      <c r="F71" s="25"/>
      <c r="G71" s="25"/>
      <c r="X71" s="77"/>
      <c r="Y71" s="78"/>
      <c r="Z71" s="77"/>
      <c r="AA71" s="77"/>
      <c r="AB71" s="79"/>
      <c r="AC71" s="79"/>
      <c r="AD71" s="79"/>
      <c r="AE71" s="79"/>
    </row>
    <row r="72" spans="1:33">
      <c r="C72" s="66" t="s">
        <v>157</v>
      </c>
      <c r="D72" s="26">
        <f>53.5+36.5</f>
        <v>90</v>
      </c>
      <c r="E72" s="26" t="s">
        <v>156</v>
      </c>
      <c r="F72" s="25"/>
      <c r="G72" s="25"/>
      <c r="X72" s="77"/>
      <c r="Y72" s="78"/>
      <c r="Z72" s="77"/>
      <c r="AA72" s="77"/>
    </row>
    <row r="73" spans="1:33">
      <c r="X73" s="77"/>
      <c r="Y73" s="78"/>
      <c r="Z73" s="77"/>
      <c r="AA73" s="77"/>
    </row>
    <row r="75" spans="1:33">
      <c r="B75" s="279" t="s">
        <v>404</v>
      </c>
      <c r="D75" s="25"/>
      <c r="E75" s="25"/>
      <c r="F75" s="25"/>
      <c r="G75" s="25"/>
    </row>
    <row r="76" spans="1:33">
      <c r="B76" s="66" t="s">
        <v>405</v>
      </c>
      <c r="C76" s="26" t="s">
        <v>420</v>
      </c>
      <c r="D76" s="25"/>
      <c r="E76" s="25"/>
      <c r="F76" s="25"/>
      <c r="G76" s="25"/>
      <c r="H76" s="25"/>
    </row>
    <row r="77" spans="1:33">
      <c r="B77" s="66"/>
      <c r="C77" s="25" t="s">
        <v>419</v>
      </c>
      <c r="D77" s="25"/>
      <c r="E77" s="25"/>
      <c r="F77" s="25"/>
      <c r="G77" s="25"/>
      <c r="H77" s="25"/>
    </row>
    <row r="78" spans="1:33" ht="21" customHeight="1">
      <c r="A78" s="445" t="s">
        <v>409</v>
      </c>
      <c r="B78" s="445"/>
      <c r="C78" s="281" t="s">
        <v>410</v>
      </c>
    </row>
    <row r="79" spans="1:33">
      <c r="B79" s="66" t="s">
        <v>406</v>
      </c>
      <c r="C79" s="292" t="s">
        <v>439</v>
      </c>
    </row>
    <row r="80" spans="1:33" ht="24" customHeight="1">
      <c r="B80" s="280" t="s">
        <v>408</v>
      </c>
      <c r="C80" s="448" t="s">
        <v>407</v>
      </c>
      <c r="D80" s="448"/>
      <c r="E80" s="448"/>
      <c r="F80" s="448"/>
      <c r="G80" s="448"/>
      <c r="H80" s="448"/>
      <c r="I80" s="448"/>
      <c r="J80" s="448"/>
      <c r="K80" s="448"/>
      <c r="L80" s="448"/>
      <c r="M80" s="448"/>
      <c r="N80" s="448"/>
      <c r="O80" s="448"/>
      <c r="P80" s="73"/>
    </row>
    <row r="91" spans="3:57" ht="15">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row>
    <row r="92" spans="3:57" ht="15">
      <c r="C92" s="315"/>
      <c r="D92" s="26"/>
      <c r="I92" s="27"/>
      <c r="N92" s="11"/>
      <c r="O92" s="316"/>
      <c r="P92" s="316"/>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row>
    <row r="93" spans="3:57" ht="15">
      <c r="C93" s="315"/>
      <c r="D93" s="26"/>
      <c r="I93" s="27"/>
      <c r="N93" s="11"/>
      <c r="O93" s="316"/>
      <c r="P93" s="316"/>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row>
    <row r="94" spans="3:57" ht="15">
      <c r="C94" s="315"/>
      <c r="D94" s="26"/>
      <c r="I94" s="27"/>
      <c r="N94" s="11"/>
      <c r="O94" s="316"/>
      <c r="P94" s="316"/>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row>
    <row r="95" spans="3:57" ht="15">
      <c r="C95" s="315"/>
      <c r="D95" s="26"/>
      <c r="I95" s="27"/>
      <c r="N95" s="11"/>
      <c r="O95" s="316"/>
      <c r="P95" s="316"/>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row>
    <row r="96" spans="3:57" ht="15">
      <c r="C96" s="315"/>
      <c r="D96" s="26"/>
      <c r="I96" s="27"/>
      <c r="N96" s="11"/>
      <c r="O96" s="316"/>
      <c r="P96" s="31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row>
    <row r="97" spans="3:57" ht="15">
      <c r="C97" s="315"/>
      <c r="D97" s="26"/>
      <c r="I97" s="27"/>
      <c r="N97" s="11"/>
      <c r="O97" s="316"/>
      <c r="P97" s="316"/>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row>
    <row r="98" spans="3:57" ht="15">
      <c r="C98" s="315"/>
      <c r="D98" s="26"/>
      <c r="I98" s="27"/>
      <c r="N98" s="11"/>
      <c r="O98" s="316"/>
      <c r="P98" s="316"/>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row>
    <row r="99" spans="3:57" ht="15">
      <c r="C99" s="315"/>
      <c r="D99" s="26"/>
      <c r="I99" s="27"/>
      <c r="N99" s="11"/>
      <c r="O99" s="316"/>
      <c r="P99" s="316"/>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row>
    <row r="100" spans="3:57" ht="15">
      <c r="C100" s="315"/>
      <c r="D100" s="26"/>
      <c r="I100" s="27"/>
      <c r="N100" s="11"/>
      <c r="O100" s="316"/>
      <c r="P100" s="316"/>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row>
    <row r="101" spans="3:57" ht="15">
      <c r="C101" s="315"/>
      <c r="D101" s="26"/>
      <c r="I101" s="27"/>
      <c r="N101" s="11"/>
      <c r="O101" s="316"/>
      <c r="P101" s="316"/>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row>
    <row r="102" spans="3:57" ht="15">
      <c r="C102" s="315"/>
      <c r="D102" s="26"/>
      <c r="I102" s="27"/>
      <c r="N102" s="11"/>
      <c r="O102" s="316"/>
      <c r="P102" s="316"/>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row>
    <row r="103" spans="3:57" ht="15">
      <c r="C103" s="315"/>
      <c r="D103" s="26"/>
      <c r="I103" s="27"/>
      <c r="N103" s="11"/>
      <c r="O103" s="316"/>
      <c r="P103" s="316"/>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row>
    <row r="104" spans="3:57" ht="15">
      <c r="C104" s="315"/>
      <c r="D104" s="26"/>
      <c r="I104" s="27"/>
      <c r="N104" s="11"/>
      <c r="O104" s="316"/>
      <c r="P104" s="316"/>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row>
    <row r="105" spans="3:57" ht="15">
      <c r="C105" s="315"/>
      <c r="D105" s="26"/>
      <c r="I105" s="27"/>
      <c r="N105" s="11"/>
      <c r="O105" s="316"/>
      <c r="P105" s="316"/>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row>
    <row r="106" spans="3:57" ht="15">
      <c r="C106" s="315"/>
      <c r="D106" s="26"/>
      <c r="I106" s="27"/>
      <c r="N106" s="11"/>
      <c r="O106" s="316"/>
      <c r="P106" s="31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row>
    <row r="107" spans="3:57" ht="15">
      <c r="C107" s="315"/>
      <c r="D107" s="26"/>
      <c r="I107" s="27"/>
      <c r="N107" s="11"/>
      <c r="O107" s="316"/>
      <c r="P107" s="316"/>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row>
    <row r="108" spans="3:57" ht="15">
      <c r="C108" s="315"/>
      <c r="D108" s="26"/>
      <c r="I108" s="27"/>
      <c r="N108" s="11"/>
      <c r="O108" s="316"/>
      <c r="P108" s="316"/>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row>
    <row r="109" spans="3:57" ht="15">
      <c r="C109" s="315"/>
      <c r="D109" s="26"/>
      <c r="I109" s="27"/>
      <c r="N109" s="11"/>
      <c r="O109" s="316"/>
      <c r="P109" s="316"/>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row>
    <row r="110" spans="3:57" ht="15">
      <c r="C110" s="315"/>
      <c r="D110" s="26"/>
      <c r="I110" s="27"/>
      <c r="N110" s="11"/>
      <c r="O110" s="316"/>
      <c r="P110" s="316"/>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row>
    <row r="111" spans="3:57" ht="15">
      <c r="C111" s="315"/>
      <c r="D111" s="26"/>
      <c r="I111" s="27"/>
      <c r="N111" s="11"/>
      <c r="O111" s="316"/>
      <c r="P111" s="316"/>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row>
    <row r="112" spans="3:57" ht="15">
      <c r="C112" s="315"/>
      <c r="D112" s="26"/>
      <c r="I112" s="27"/>
      <c r="N112" s="11"/>
      <c r="O112" s="316"/>
      <c r="P112" s="316"/>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row>
    <row r="113" spans="3:57" ht="15">
      <c r="C113" s="315"/>
      <c r="D113" s="26"/>
      <c r="I113" s="27"/>
      <c r="N113" s="11"/>
      <c r="O113" s="316"/>
      <c r="P113" s="316"/>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row>
    <row r="114" spans="3:57" ht="15">
      <c r="C114" s="315"/>
      <c r="D114" s="26"/>
      <c r="I114" s="27"/>
      <c r="N114" s="11"/>
      <c r="O114" s="316"/>
      <c r="P114" s="316"/>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row>
    <row r="115" spans="3:57" ht="15">
      <c r="C115" s="315"/>
      <c r="D115" s="26"/>
      <c r="I115" s="27"/>
      <c r="N115" s="11"/>
      <c r="O115" s="316"/>
      <c r="P115" s="316"/>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row>
    <row r="116" spans="3:57" ht="15">
      <c r="C116" s="315"/>
      <c r="D116" s="26"/>
      <c r="I116" s="27"/>
      <c r="N116" s="11"/>
      <c r="O116" s="316"/>
      <c r="P116" s="3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row>
    <row r="117" spans="3:57" ht="15">
      <c r="C117" s="315"/>
      <c r="D117" s="26"/>
      <c r="I117" s="27"/>
      <c r="N117" s="11"/>
      <c r="O117" s="316"/>
      <c r="P117" s="316"/>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row>
    <row r="118" spans="3:57" ht="15">
      <c r="C118" s="315"/>
      <c r="D118" s="26"/>
      <c r="I118" s="27"/>
      <c r="N118" s="11"/>
      <c r="O118" s="316"/>
      <c r="P118" s="316"/>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row>
    <row r="119" spans="3:57" ht="15">
      <c r="C119" s="315"/>
      <c r="D119" s="26"/>
      <c r="I119" s="27"/>
      <c r="N119" s="11"/>
      <c r="O119" s="316"/>
      <c r="P119" s="316"/>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row>
    <row r="120" spans="3:57" ht="15">
      <c r="C120" s="315"/>
      <c r="D120" s="26"/>
      <c r="I120" s="27"/>
      <c r="N120" s="11"/>
      <c r="O120" s="316"/>
      <c r="P120" s="316"/>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row>
    <row r="121" spans="3:57" ht="15">
      <c r="C121" s="315"/>
      <c r="D121" s="26"/>
      <c r="I121" s="27"/>
      <c r="N121" s="11"/>
      <c r="O121" s="316"/>
      <c r="P121" s="316"/>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row>
    <row r="122" spans="3:57" ht="15">
      <c r="C122" s="315"/>
      <c r="N122" s="11"/>
      <c r="O122" s="316"/>
      <c r="P122" s="316"/>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row>
    <row r="123" spans="3:57" ht="15">
      <c r="C123" s="315"/>
      <c r="N123" s="11"/>
      <c r="O123" s="316"/>
      <c r="P123" s="316"/>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row>
    <row r="124" spans="3:57" ht="15">
      <c r="C124" s="315"/>
      <c r="N124" s="11"/>
      <c r="O124" s="316"/>
      <c r="P124" s="316"/>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row>
    <row r="125" spans="3:57" ht="15">
      <c r="C125" s="315"/>
      <c r="N125" s="11"/>
      <c r="O125" s="316"/>
      <c r="P125" s="316"/>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row>
    <row r="126" spans="3:57" ht="15">
      <c r="C126" s="315"/>
      <c r="N126" s="11"/>
      <c r="O126" s="316"/>
      <c r="P126" s="31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row>
    <row r="127" spans="3:57" ht="15">
      <c r="C127" s="315"/>
      <c r="N127" s="11"/>
      <c r="O127" s="316"/>
      <c r="P127" s="316"/>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row>
    <row r="128" spans="3:57" ht="15">
      <c r="C128" s="315"/>
      <c r="N128" s="11"/>
      <c r="O128" s="316"/>
      <c r="P128" s="316"/>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row>
    <row r="129" spans="3:57" ht="15">
      <c r="C129" s="315"/>
      <c r="N129" s="11"/>
      <c r="O129" s="316"/>
      <c r="P129" s="316"/>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row>
    <row r="130" spans="3:57" ht="15">
      <c r="C130" s="315"/>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row>
    <row r="131" spans="3:57" ht="15">
      <c r="C131" s="315"/>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row>
    <row r="132" spans="3:57">
      <c r="C132" s="315"/>
    </row>
    <row r="133" spans="3:57">
      <c r="C133" s="315"/>
    </row>
    <row r="134" spans="3:57">
      <c r="C134" s="315"/>
    </row>
    <row r="135" spans="3:57">
      <c r="C135" s="315"/>
    </row>
    <row r="136" spans="3:57">
      <c r="C136" s="315"/>
    </row>
    <row r="137" spans="3:57">
      <c r="C137" s="315"/>
    </row>
    <row r="138" spans="3:57">
      <c r="C138" s="315"/>
    </row>
    <row r="139" spans="3:57">
      <c r="C139" s="315"/>
    </row>
    <row r="140" spans="3:57">
      <c r="C140" s="315"/>
    </row>
    <row r="141" spans="3:57">
      <c r="C141" s="315"/>
    </row>
    <row r="142" spans="3:57">
      <c r="C142" s="315"/>
    </row>
    <row r="143" spans="3:57">
      <c r="C143" s="315"/>
    </row>
    <row r="144" spans="3:57">
      <c r="C144" s="315"/>
    </row>
    <row r="145" spans="2:34">
      <c r="C145" s="315"/>
    </row>
    <row r="146" spans="2:34">
      <c r="C146" s="315"/>
    </row>
    <row r="147" spans="2:34">
      <c r="C147" s="315"/>
    </row>
    <row r="148" spans="2:34">
      <c r="C148" s="315"/>
    </row>
    <row r="149" spans="2:34">
      <c r="C149" s="315"/>
    </row>
    <row r="150" spans="2:34">
      <c r="C150" s="315"/>
    </row>
    <row r="151" spans="2:34">
      <c r="C151" s="315"/>
    </row>
    <row r="152" spans="2:34">
      <c r="B152" s="25"/>
      <c r="C152" s="315"/>
      <c r="D152" s="26"/>
      <c r="I152" s="27"/>
      <c r="AB152" s="25"/>
      <c r="AF152" s="28"/>
      <c r="AG152" s="195"/>
      <c r="AH152" s="29"/>
    </row>
    <row r="153" spans="2:34">
      <c r="B153" s="25"/>
      <c r="C153" s="315"/>
      <c r="D153" s="26"/>
      <c r="I153" s="27"/>
      <c r="AB153" s="25"/>
      <c r="AF153" s="28"/>
      <c r="AG153" s="195"/>
      <c r="AH153" s="29"/>
    </row>
    <row r="154" spans="2:34">
      <c r="B154" s="25"/>
      <c r="C154" s="315"/>
      <c r="D154" s="26"/>
      <c r="I154" s="27"/>
      <c r="AB154" s="25"/>
      <c r="AF154" s="28"/>
      <c r="AG154" s="195"/>
      <c r="AH154" s="29"/>
    </row>
    <row r="155" spans="2:34">
      <c r="B155" s="25"/>
      <c r="C155" s="315"/>
      <c r="D155" s="26"/>
      <c r="I155" s="27"/>
      <c r="AB155" s="25"/>
      <c r="AF155" s="28"/>
      <c r="AG155" s="195"/>
      <c r="AH155" s="29"/>
    </row>
    <row r="156" spans="2:34">
      <c r="B156" s="25"/>
      <c r="C156" s="315"/>
      <c r="D156" s="26"/>
      <c r="I156" s="27"/>
      <c r="AB156" s="25"/>
      <c r="AF156" s="28"/>
      <c r="AG156" s="195"/>
      <c r="AH156" s="29"/>
    </row>
    <row r="157" spans="2:34">
      <c r="B157" s="25"/>
      <c r="C157" s="315"/>
      <c r="D157" s="26"/>
      <c r="I157" s="27"/>
      <c r="AB157" s="25"/>
      <c r="AF157" s="28"/>
      <c r="AG157" s="195"/>
      <c r="AH157" s="29"/>
    </row>
    <row r="158" spans="2:34">
      <c r="B158" s="25"/>
      <c r="C158" s="315"/>
      <c r="D158" s="26"/>
      <c r="I158" s="27"/>
      <c r="AB158" s="25"/>
      <c r="AF158" s="28"/>
      <c r="AG158" s="195"/>
      <c r="AH158" s="29"/>
    </row>
    <row r="159" spans="2:34">
      <c r="B159" s="25"/>
      <c r="C159" s="315"/>
      <c r="D159" s="26"/>
      <c r="I159" s="27"/>
      <c r="AB159" s="25"/>
      <c r="AF159" s="28"/>
      <c r="AG159" s="195"/>
      <c r="AH159" s="29"/>
    </row>
    <row r="160" spans="2:34">
      <c r="B160" s="25"/>
      <c r="C160" s="315"/>
      <c r="D160" s="26"/>
      <c r="I160" s="27"/>
      <c r="AB160" s="25"/>
      <c r="AF160" s="28"/>
      <c r="AG160" s="195"/>
      <c r="AH160" s="29"/>
    </row>
    <row r="161" spans="2:34">
      <c r="B161" s="25"/>
      <c r="C161" s="315"/>
      <c r="D161" s="26"/>
      <c r="I161" s="27"/>
      <c r="AB161" s="25"/>
      <c r="AF161" s="28"/>
      <c r="AG161" s="195"/>
      <c r="AH161" s="29"/>
    </row>
    <row r="162" spans="2:34">
      <c r="B162" s="25"/>
      <c r="C162" s="315"/>
      <c r="D162" s="26"/>
      <c r="I162" s="27"/>
      <c r="AB162" s="25"/>
      <c r="AF162" s="28"/>
      <c r="AG162" s="195"/>
      <c r="AH162" s="29"/>
    </row>
    <row r="163" spans="2:34">
      <c r="B163" s="25"/>
      <c r="C163" s="315"/>
      <c r="D163" s="26"/>
      <c r="I163" s="27"/>
      <c r="AB163" s="25"/>
      <c r="AF163" s="28"/>
      <c r="AG163" s="195"/>
      <c r="AH163" s="29"/>
    </row>
    <row r="164" spans="2:34">
      <c r="B164" s="25"/>
      <c r="C164" s="315"/>
      <c r="D164" s="26"/>
      <c r="I164" s="27"/>
      <c r="AB164" s="25"/>
      <c r="AF164" s="28"/>
      <c r="AG164" s="195"/>
      <c r="AH164" s="29"/>
    </row>
    <row r="165" spans="2:34">
      <c r="B165" s="25"/>
      <c r="C165" s="315"/>
      <c r="D165" s="26"/>
      <c r="I165" s="27"/>
      <c r="AB165" s="25"/>
      <c r="AF165" s="28"/>
      <c r="AG165" s="195"/>
      <c r="AH165" s="29"/>
    </row>
    <row r="166" spans="2:34">
      <c r="B166" s="25"/>
      <c r="C166" s="315"/>
      <c r="D166" s="26"/>
      <c r="I166" s="27"/>
      <c r="AB166" s="25"/>
      <c r="AF166" s="28"/>
      <c r="AG166" s="195"/>
      <c r="AH166" s="29"/>
    </row>
    <row r="167" spans="2:34">
      <c r="B167" s="25"/>
      <c r="C167" s="315"/>
      <c r="D167" s="26"/>
      <c r="I167" s="27"/>
      <c r="AB167" s="25"/>
      <c r="AF167" s="28"/>
      <c r="AG167" s="195"/>
      <c r="AH167" s="29"/>
    </row>
    <row r="168" spans="2:34">
      <c r="B168" s="25"/>
      <c r="C168" s="315"/>
      <c r="D168" s="26"/>
      <c r="I168" s="27"/>
      <c r="AB168" s="25"/>
      <c r="AF168" s="28"/>
      <c r="AG168" s="195"/>
      <c r="AH168" s="29"/>
    </row>
    <row r="169" spans="2:34">
      <c r="B169" s="25"/>
      <c r="C169" s="315"/>
      <c r="D169" s="26"/>
      <c r="I169" s="27"/>
      <c r="AB169" s="25"/>
      <c r="AF169" s="28"/>
      <c r="AG169" s="195"/>
      <c r="AH169" s="29"/>
    </row>
    <row r="170" spans="2:34">
      <c r="B170" s="25"/>
      <c r="C170" s="315"/>
      <c r="D170" s="26"/>
      <c r="I170" s="27"/>
      <c r="AB170" s="25"/>
      <c r="AF170" s="28"/>
      <c r="AG170" s="195"/>
      <c r="AH170" s="29"/>
    </row>
    <row r="171" spans="2:34">
      <c r="B171" s="25"/>
      <c r="C171" s="315"/>
      <c r="D171" s="26"/>
      <c r="I171" s="27"/>
      <c r="AB171" s="25"/>
      <c r="AF171" s="28"/>
      <c r="AG171" s="195"/>
      <c r="AH171" s="29"/>
    </row>
    <row r="172" spans="2:34">
      <c r="B172" s="25"/>
      <c r="C172" s="315"/>
      <c r="D172" s="26"/>
      <c r="I172" s="27"/>
      <c r="AB172" s="25"/>
      <c r="AF172" s="28"/>
      <c r="AG172" s="195"/>
      <c r="AH172" s="29"/>
    </row>
    <row r="173" spans="2:34">
      <c r="B173" s="25"/>
      <c r="C173" s="315"/>
      <c r="D173" s="26"/>
      <c r="I173" s="27"/>
      <c r="AB173" s="25"/>
      <c r="AF173" s="28"/>
      <c r="AG173" s="195"/>
      <c r="AH173" s="29"/>
    </row>
    <row r="174" spans="2:34">
      <c r="B174" s="25"/>
      <c r="C174" s="315"/>
      <c r="D174" s="26"/>
      <c r="I174" s="27"/>
      <c r="AB174" s="25"/>
      <c r="AF174" s="28"/>
      <c r="AG174" s="195"/>
      <c r="AH174" s="29"/>
    </row>
    <row r="175" spans="2:34">
      <c r="B175" s="25"/>
      <c r="C175" s="315"/>
      <c r="D175" s="26"/>
      <c r="I175" s="27"/>
      <c r="AB175" s="25"/>
      <c r="AF175" s="28"/>
      <c r="AG175" s="195"/>
      <c r="AH175" s="29"/>
    </row>
    <row r="176" spans="2:34">
      <c r="B176" s="25"/>
      <c r="C176" s="315"/>
      <c r="D176" s="26"/>
      <c r="I176" s="27"/>
      <c r="AB176" s="25"/>
      <c r="AF176" s="28"/>
      <c r="AG176" s="195"/>
      <c r="AH176" s="29"/>
    </row>
    <row r="177" spans="2:34">
      <c r="B177" s="25"/>
      <c r="C177" s="315"/>
      <c r="D177" s="26"/>
      <c r="I177" s="27"/>
      <c r="AB177" s="25"/>
      <c r="AF177" s="28"/>
      <c r="AG177" s="195"/>
      <c r="AH177" s="29"/>
    </row>
    <row r="178" spans="2:34">
      <c r="B178" s="25"/>
      <c r="C178" s="315"/>
      <c r="D178" s="26"/>
      <c r="I178" s="27"/>
      <c r="AB178" s="25"/>
      <c r="AF178" s="28"/>
      <c r="AG178" s="195"/>
      <c r="AH178" s="29"/>
    </row>
    <row r="179" spans="2:34">
      <c r="B179" s="25"/>
      <c r="C179" s="315"/>
      <c r="D179" s="26"/>
      <c r="I179" s="27"/>
      <c r="AB179" s="25"/>
      <c r="AF179" s="28"/>
      <c r="AG179" s="195"/>
      <c r="AH179" s="29"/>
    </row>
    <row r="180" spans="2:34">
      <c r="B180" s="25"/>
      <c r="C180" s="315"/>
      <c r="D180" s="26"/>
      <c r="I180" s="27"/>
      <c r="AB180" s="25"/>
      <c r="AF180" s="28"/>
      <c r="AG180" s="195"/>
      <c r="AH180" s="29"/>
    </row>
    <row r="181" spans="2:34">
      <c r="B181" s="25"/>
      <c r="C181" s="315"/>
      <c r="D181" s="26"/>
      <c r="I181" s="27"/>
      <c r="AB181" s="25"/>
      <c r="AF181" s="28"/>
      <c r="AG181" s="195"/>
      <c r="AH181" s="29"/>
    </row>
    <row r="182" spans="2:34">
      <c r="B182" s="25"/>
      <c r="C182" s="315"/>
      <c r="D182" s="26"/>
      <c r="I182" s="27"/>
      <c r="AB182" s="25"/>
      <c r="AF182" s="28"/>
      <c r="AG182" s="195"/>
      <c r="AH182" s="29"/>
    </row>
    <row r="183" spans="2:34">
      <c r="B183" s="25"/>
      <c r="C183" s="315"/>
      <c r="D183" s="26"/>
      <c r="I183" s="27"/>
      <c r="AB183" s="25"/>
      <c r="AF183" s="28"/>
      <c r="AG183" s="195"/>
      <c r="AH183" s="29"/>
    </row>
    <row r="184" spans="2:34">
      <c r="B184" s="25"/>
      <c r="C184" s="315"/>
      <c r="D184" s="26"/>
      <c r="I184" s="27"/>
      <c r="AB184" s="25"/>
      <c r="AF184" s="28"/>
      <c r="AG184" s="195"/>
      <c r="AH184" s="29"/>
    </row>
    <row r="185" spans="2:34">
      <c r="B185" s="25"/>
      <c r="C185" s="315"/>
      <c r="D185" s="26"/>
      <c r="I185" s="27"/>
      <c r="AB185" s="25"/>
      <c r="AF185" s="28"/>
      <c r="AG185" s="195"/>
      <c r="AH185" s="29"/>
    </row>
    <row r="186" spans="2:34">
      <c r="B186" s="25"/>
      <c r="C186" s="315"/>
      <c r="D186" s="26"/>
      <c r="I186" s="27"/>
      <c r="AB186" s="25"/>
      <c r="AF186" s="28"/>
      <c r="AG186" s="195"/>
      <c r="AH186" s="29"/>
    </row>
    <row r="187" spans="2:34">
      <c r="B187" s="25"/>
      <c r="C187" s="315"/>
      <c r="D187" s="26"/>
      <c r="I187" s="27"/>
      <c r="AB187" s="25"/>
      <c r="AF187" s="28"/>
      <c r="AG187" s="195"/>
      <c r="AH187" s="29"/>
    </row>
    <row r="188" spans="2:34">
      <c r="B188" s="25"/>
      <c r="C188" s="315"/>
      <c r="D188" s="26"/>
      <c r="I188" s="27"/>
      <c r="AB188" s="25"/>
      <c r="AF188" s="28"/>
      <c r="AG188" s="195"/>
      <c r="AH188" s="29"/>
    </row>
    <row r="189" spans="2:34">
      <c r="B189" s="25"/>
      <c r="C189" s="315"/>
      <c r="D189" s="26"/>
      <c r="I189" s="27"/>
      <c r="AB189" s="25"/>
      <c r="AF189" s="28"/>
      <c r="AG189" s="195"/>
      <c r="AH189" s="29"/>
    </row>
    <row r="190" spans="2:34">
      <c r="B190" s="25"/>
      <c r="C190" s="315"/>
      <c r="D190" s="26"/>
      <c r="I190" s="27"/>
      <c r="AB190" s="25"/>
      <c r="AF190" s="28"/>
      <c r="AG190" s="195"/>
      <c r="AH190" s="29"/>
    </row>
    <row r="191" spans="2:34">
      <c r="B191" s="25"/>
      <c r="C191" s="315"/>
      <c r="D191" s="26"/>
      <c r="I191" s="27"/>
      <c r="AB191" s="25"/>
      <c r="AF191" s="28"/>
      <c r="AG191" s="195"/>
      <c r="AH191" s="29"/>
    </row>
    <row r="192" spans="2:34">
      <c r="B192" s="25"/>
      <c r="C192" s="315"/>
      <c r="D192" s="26"/>
      <c r="I192" s="27"/>
      <c r="AB192" s="25"/>
      <c r="AF192" s="28"/>
      <c r="AG192" s="195"/>
      <c r="AH192" s="29"/>
    </row>
    <row r="193" spans="2:34">
      <c r="B193" s="25"/>
      <c r="C193" s="315"/>
      <c r="D193" s="26"/>
      <c r="I193" s="27"/>
      <c r="AB193" s="25"/>
      <c r="AF193" s="28"/>
      <c r="AG193" s="195"/>
      <c r="AH193" s="29"/>
    </row>
    <row r="194" spans="2:34">
      <c r="B194" s="25"/>
      <c r="C194" s="315"/>
      <c r="D194" s="26"/>
      <c r="I194" s="27"/>
      <c r="AB194" s="25"/>
      <c r="AF194" s="28"/>
      <c r="AG194" s="195"/>
      <c r="AH194" s="29"/>
    </row>
    <row r="195" spans="2:34">
      <c r="B195" s="25"/>
      <c r="C195" s="315"/>
      <c r="D195" s="26"/>
      <c r="I195" s="27"/>
      <c r="AB195" s="25"/>
      <c r="AF195" s="28"/>
      <c r="AG195" s="195"/>
      <c r="AH195" s="29"/>
    </row>
    <row r="196" spans="2:34">
      <c r="B196" s="25"/>
      <c r="C196" s="315"/>
      <c r="D196" s="26"/>
      <c r="I196" s="27"/>
      <c r="AB196" s="25"/>
      <c r="AF196" s="28"/>
      <c r="AG196" s="195"/>
      <c r="AH196" s="29"/>
    </row>
    <row r="197" spans="2:34">
      <c r="B197" s="25"/>
      <c r="C197" s="315"/>
      <c r="D197" s="26"/>
      <c r="I197" s="27"/>
      <c r="AB197" s="25"/>
      <c r="AF197" s="28"/>
      <c r="AG197" s="195"/>
      <c r="AH197" s="29"/>
    </row>
    <row r="198" spans="2:34">
      <c r="B198" s="25"/>
      <c r="C198" s="315"/>
      <c r="D198" s="26"/>
      <c r="I198" s="27"/>
      <c r="AB198" s="25"/>
      <c r="AF198" s="28"/>
      <c r="AG198" s="195"/>
      <c r="AH198" s="29"/>
    </row>
    <row r="199" spans="2:34">
      <c r="B199" s="25"/>
      <c r="C199" s="315"/>
      <c r="D199" s="26"/>
      <c r="I199" s="27"/>
      <c r="AB199" s="25"/>
      <c r="AF199" s="28"/>
      <c r="AG199" s="195"/>
      <c r="AH199" s="29"/>
    </row>
    <row r="200" spans="2:34">
      <c r="B200" s="25"/>
      <c r="C200" s="315"/>
      <c r="D200" s="26"/>
      <c r="I200" s="27"/>
      <c r="AB200" s="25"/>
      <c r="AF200" s="28"/>
      <c r="AG200" s="195"/>
      <c r="AH200" s="29"/>
    </row>
    <row r="201" spans="2:34">
      <c r="B201" s="25"/>
      <c r="C201" s="315"/>
      <c r="D201" s="26"/>
      <c r="I201" s="27"/>
      <c r="AB201" s="25"/>
      <c r="AF201" s="28"/>
      <c r="AG201" s="195"/>
      <c r="AH201" s="29"/>
    </row>
    <row r="202" spans="2:34">
      <c r="B202" s="25"/>
      <c r="C202" s="315"/>
      <c r="D202" s="26"/>
      <c r="I202" s="27"/>
      <c r="AB202" s="25"/>
      <c r="AF202" s="28"/>
      <c r="AG202" s="195"/>
      <c r="AH202" s="29"/>
    </row>
    <row r="203" spans="2:34">
      <c r="B203" s="25"/>
      <c r="C203" s="315"/>
      <c r="D203" s="26"/>
      <c r="I203" s="27"/>
      <c r="AB203" s="25"/>
      <c r="AF203" s="28"/>
      <c r="AG203" s="195"/>
      <c r="AH203" s="29"/>
    </row>
    <row r="204" spans="2:34">
      <c r="B204" s="25"/>
      <c r="C204" s="315"/>
      <c r="D204" s="26"/>
      <c r="I204" s="27"/>
      <c r="AB204" s="25"/>
      <c r="AF204" s="28"/>
      <c r="AG204" s="195"/>
      <c r="AH204" s="29"/>
    </row>
    <row r="205" spans="2:34">
      <c r="B205" s="25"/>
      <c r="C205" s="315"/>
      <c r="D205" s="26"/>
      <c r="I205" s="27"/>
      <c r="AB205" s="25"/>
      <c r="AF205" s="28"/>
      <c r="AG205" s="195"/>
      <c r="AH205" s="29"/>
    </row>
    <row r="206" spans="2:34">
      <c r="B206" s="25"/>
      <c r="C206" s="315"/>
      <c r="D206" s="26"/>
      <c r="I206" s="27"/>
      <c r="AB206" s="25"/>
      <c r="AF206" s="28"/>
      <c r="AG206" s="195"/>
      <c r="AH206" s="29"/>
    </row>
    <row r="207" spans="2:34">
      <c r="B207" s="25"/>
      <c r="C207" s="315"/>
      <c r="D207" s="26"/>
      <c r="I207" s="27"/>
      <c r="AB207" s="25"/>
      <c r="AF207" s="28"/>
      <c r="AG207" s="195"/>
      <c r="AH207" s="29"/>
    </row>
    <row r="208" spans="2:34">
      <c r="B208" s="25"/>
      <c r="C208" s="315"/>
      <c r="D208" s="26"/>
      <c r="I208" s="27"/>
      <c r="AB208" s="25"/>
      <c r="AF208" s="28"/>
      <c r="AG208" s="195"/>
      <c r="AH208" s="29"/>
    </row>
    <row r="209" spans="2:34">
      <c r="B209" s="25"/>
      <c r="C209" s="315"/>
      <c r="D209" s="26"/>
      <c r="I209" s="27"/>
      <c r="AB209" s="25"/>
      <c r="AF209" s="28"/>
      <c r="AG209" s="195"/>
      <c r="AH209" s="29"/>
    </row>
    <row r="210" spans="2:34">
      <c r="B210" s="25"/>
      <c r="C210" s="315"/>
      <c r="D210" s="26"/>
      <c r="I210" s="27"/>
      <c r="AB210" s="25"/>
      <c r="AF210" s="28"/>
      <c r="AG210" s="195"/>
      <c r="AH210" s="29"/>
    </row>
    <row r="211" spans="2:34">
      <c r="B211" s="25"/>
      <c r="C211" s="315"/>
      <c r="D211" s="26"/>
      <c r="I211" s="27"/>
      <c r="AB211" s="25"/>
      <c r="AF211" s="28"/>
      <c r="AG211" s="195"/>
      <c r="AH211" s="29"/>
    </row>
    <row r="212" spans="2:34">
      <c r="B212" s="25"/>
      <c r="C212" s="315"/>
      <c r="D212" s="26"/>
      <c r="I212" s="27"/>
      <c r="AB212" s="25"/>
      <c r="AF212" s="28"/>
      <c r="AG212" s="195"/>
      <c r="AH212" s="29"/>
    </row>
    <row r="213" spans="2:34">
      <c r="B213" s="25"/>
      <c r="C213" s="315"/>
      <c r="D213" s="26"/>
      <c r="I213" s="27"/>
      <c r="AB213" s="25"/>
      <c r="AF213" s="28"/>
      <c r="AG213" s="195"/>
      <c r="AH213" s="29"/>
    </row>
    <row r="214" spans="2:34">
      <c r="B214" s="25"/>
      <c r="C214" s="315"/>
      <c r="D214" s="26"/>
      <c r="I214" s="27"/>
      <c r="AB214" s="25"/>
      <c r="AF214" s="28"/>
      <c r="AG214" s="195"/>
      <c r="AH214" s="29"/>
    </row>
    <row r="215" spans="2:34">
      <c r="B215" s="25"/>
      <c r="C215" s="315"/>
      <c r="D215" s="26"/>
      <c r="I215" s="27"/>
      <c r="AB215" s="25"/>
      <c r="AF215" s="28"/>
      <c r="AG215" s="195"/>
      <c r="AH215" s="29"/>
    </row>
    <row r="216" spans="2:34">
      <c r="B216" s="25"/>
      <c r="C216" s="315"/>
      <c r="D216" s="26"/>
      <c r="I216" s="27"/>
      <c r="AB216" s="25"/>
      <c r="AF216" s="28"/>
      <c r="AG216" s="195"/>
      <c r="AH216" s="29"/>
    </row>
    <row r="217" spans="2:34">
      <c r="B217" s="25"/>
      <c r="C217" s="315"/>
      <c r="D217" s="26"/>
      <c r="I217" s="27"/>
      <c r="AB217" s="25"/>
      <c r="AF217" s="28"/>
      <c r="AG217" s="195"/>
      <c r="AH217" s="29"/>
    </row>
    <row r="218" spans="2:34">
      <c r="B218" s="25"/>
      <c r="C218" s="315"/>
      <c r="D218" s="26"/>
      <c r="I218" s="27"/>
      <c r="AB218" s="25"/>
      <c r="AF218" s="28"/>
      <c r="AG218" s="195"/>
      <c r="AH218" s="29"/>
    </row>
    <row r="219" spans="2:34">
      <c r="B219" s="25"/>
      <c r="C219" s="315"/>
      <c r="D219" s="26"/>
      <c r="I219" s="27"/>
      <c r="AB219" s="25"/>
      <c r="AF219" s="28"/>
      <c r="AG219" s="195"/>
      <c r="AH219" s="29"/>
    </row>
    <row r="220" spans="2:34">
      <c r="B220" s="25"/>
      <c r="C220" s="315"/>
      <c r="D220" s="26"/>
      <c r="I220" s="27"/>
      <c r="AB220" s="25"/>
      <c r="AF220" s="28"/>
      <c r="AG220" s="195"/>
      <c r="AH220" s="29"/>
    </row>
    <row r="221" spans="2:34">
      <c r="B221" s="25"/>
      <c r="C221" s="315"/>
      <c r="D221" s="26"/>
      <c r="I221" s="27"/>
      <c r="AB221" s="25"/>
      <c r="AF221" s="28"/>
      <c r="AG221" s="195"/>
      <c r="AH221" s="29"/>
    </row>
    <row r="222" spans="2:34">
      <c r="B222" s="25"/>
      <c r="C222" s="315"/>
      <c r="D222" s="26"/>
      <c r="I222" s="27"/>
      <c r="AB222" s="25"/>
      <c r="AF222" s="28"/>
      <c r="AG222" s="195"/>
      <c r="AH222" s="29"/>
    </row>
    <row r="223" spans="2:34">
      <c r="B223" s="25"/>
      <c r="C223" s="315"/>
      <c r="D223" s="26"/>
      <c r="I223" s="27"/>
      <c r="AB223" s="25"/>
      <c r="AF223" s="28"/>
      <c r="AG223" s="195"/>
      <c r="AH223" s="29"/>
    </row>
    <row r="224" spans="2:34">
      <c r="B224" s="25"/>
      <c r="C224" s="315"/>
      <c r="D224" s="26"/>
      <c r="I224" s="27"/>
      <c r="AB224" s="25"/>
      <c r="AF224" s="28"/>
      <c r="AG224" s="195"/>
      <c r="AH224" s="29"/>
    </row>
    <row r="225" spans="2:34">
      <c r="B225" s="25"/>
      <c r="C225" s="315"/>
      <c r="D225" s="26"/>
      <c r="I225" s="27"/>
      <c r="AB225" s="25"/>
      <c r="AF225" s="28"/>
      <c r="AG225" s="195"/>
      <c r="AH225" s="29"/>
    </row>
    <row r="226" spans="2:34">
      <c r="B226" s="25"/>
      <c r="C226" s="315"/>
      <c r="D226" s="26"/>
      <c r="I226" s="27"/>
      <c r="AB226" s="25"/>
      <c r="AF226" s="28"/>
      <c r="AG226" s="195"/>
      <c r="AH226" s="29"/>
    </row>
    <row r="227" spans="2:34">
      <c r="B227" s="25"/>
      <c r="C227" s="315"/>
      <c r="D227" s="26"/>
      <c r="I227" s="27"/>
      <c r="AB227" s="25"/>
      <c r="AF227" s="28"/>
      <c r="AG227" s="195"/>
      <c r="AH227" s="29"/>
    </row>
    <row r="228" spans="2:34">
      <c r="B228" s="25"/>
      <c r="C228" s="315"/>
      <c r="D228" s="26"/>
      <c r="I228" s="27"/>
      <c r="AB228" s="25"/>
      <c r="AF228" s="28"/>
      <c r="AG228" s="195"/>
      <c r="AH228" s="29"/>
    </row>
    <row r="229" spans="2:34">
      <c r="B229" s="25"/>
      <c r="C229" s="315"/>
      <c r="D229" s="26"/>
      <c r="I229" s="27"/>
      <c r="AB229" s="25"/>
      <c r="AF229" s="28"/>
      <c r="AG229" s="195"/>
      <c r="AH229" s="29"/>
    </row>
    <row r="230" spans="2:34">
      <c r="B230" s="25"/>
      <c r="C230" s="315"/>
      <c r="D230" s="26"/>
      <c r="I230" s="27"/>
      <c r="AB230" s="25"/>
      <c r="AF230" s="28"/>
      <c r="AG230" s="195"/>
      <c r="AH230" s="29"/>
    </row>
    <row r="231" spans="2:34">
      <c r="B231" s="25"/>
      <c r="C231" s="315"/>
      <c r="D231" s="26"/>
      <c r="I231" s="27"/>
      <c r="AB231" s="25"/>
      <c r="AF231" s="28"/>
      <c r="AG231" s="195"/>
      <c r="AH231" s="29"/>
    </row>
    <row r="232" spans="2:34">
      <c r="B232" s="25"/>
      <c r="C232" s="315"/>
      <c r="D232" s="26"/>
      <c r="I232" s="27"/>
      <c r="AB232" s="25"/>
      <c r="AF232" s="28"/>
      <c r="AG232" s="195"/>
      <c r="AH232" s="29"/>
    </row>
    <row r="233" spans="2:34">
      <c r="B233" s="25"/>
      <c r="C233" s="315"/>
      <c r="D233" s="26"/>
      <c r="I233" s="27"/>
      <c r="AB233" s="25"/>
      <c r="AF233" s="28"/>
      <c r="AG233" s="195"/>
      <c r="AH233" s="29"/>
    </row>
    <row r="234" spans="2:34">
      <c r="B234" s="25"/>
      <c r="C234" s="315"/>
      <c r="D234" s="26"/>
      <c r="I234" s="27"/>
      <c r="AB234" s="25"/>
      <c r="AF234" s="28"/>
      <c r="AG234" s="195"/>
      <c r="AH234" s="29"/>
    </row>
    <row r="235" spans="2:34">
      <c r="B235" s="25"/>
      <c r="C235" s="315"/>
      <c r="D235" s="26"/>
      <c r="I235" s="27"/>
      <c r="AB235" s="25"/>
      <c r="AF235" s="28"/>
      <c r="AG235" s="195"/>
      <c r="AH235" s="29"/>
    </row>
    <row r="236" spans="2:34">
      <c r="B236" s="25"/>
      <c r="C236" s="315"/>
      <c r="D236" s="26"/>
      <c r="I236" s="27"/>
      <c r="AB236" s="25"/>
      <c r="AF236" s="28"/>
      <c r="AG236" s="195"/>
      <c r="AH236" s="29"/>
    </row>
    <row r="237" spans="2:34">
      <c r="B237" s="25"/>
      <c r="C237" s="315"/>
      <c r="D237" s="26"/>
      <c r="I237" s="27"/>
      <c r="AB237" s="25"/>
      <c r="AF237" s="28"/>
      <c r="AG237" s="195"/>
      <c r="AH237" s="29"/>
    </row>
    <row r="238" spans="2:34">
      <c r="B238" s="25"/>
      <c r="C238" s="315"/>
      <c r="D238" s="26"/>
      <c r="I238" s="27"/>
      <c r="AB238" s="25"/>
      <c r="AF238" s="28"/>
      <c r="AG238" s="195"/>
      <c r="AH238" s="29"/>
    </row>
    <row r="239" spans="2:34">
      <c r="B239" s="25"/>
      <c r="C239" s="315"/>
      <c r="D239" s="26"/>
      <c r="I239" s="27"/>
      <c r="AB239" s="25"/>
      <c r="AF239" s="28"/>
      <c r="AG239" s="195"/>
      <c r="AH239" s="29"/>
    </row>
    <row r="240" spans="2:34">
      <c r="B240" s="25"/>
      <c r="C240" s="315"/>
      <c r="D240" s="26"/>
      <c r="I240" s="27"/>
      <c r="AB240" s="25"/>
      <c r="AF240" s="28"/>
      <c r="AG240" s="195"/>
      <c r="AH240" s="29"/>
    </row>
    <row r="241" spans="2:34">
      <c r="B241" s="25"/>
      <c r="C241" s="315"/>
      <c r="D241" s="26"/>
      <c r="I241" s="27"/>
      <c r="AB241" s="25"/>
      <c r="AF241" s="28"/>
      <c r="AG241" s="195"/>
      <c r="AH241" s="29"/>
    </row>
    <row r="242" spans="2:34">
      <c r="B242" s="25"/>
      <c r="C242" s="315"/>
      <c r="D242" s="26"/>
      <c r="I242" s="27"/>
      <c r="AB242" s="25"/>
      <c r="AF242" s="28"/>
      <c r="AG242" s="195"/>
      <c r="AH242" s="29"/>
    </row>
    <row r="243" spans="2:34">
      <c r="B243" s="25"/>
      <c r="C243" s="315"/>
      <c r="D243" s="26"/>
      <c r="I243" s="27"/>
      <c r="AB243" s="25"/>
      <c r="AF243" s="28"/>
      <c r="AG243" s="195"/>
      <c r="AH243" s="29"/>
    </row>
    <row r="244" spans="2:34">
      <c r="B244" s="25"/>
      <c r="C244" s="315"/>
      <c r="D244" s="26"/>
      <c r="I244" s="27"/>
      <c r="AB244" s="25"/>
      <c r="AF244" s="28"/>
      <c r="AG244" s="195"/>
      <c r="AH244" s="29"/>
    </row>
    <row r="245" spans="2:34">
      <c r="B245" s="25"/>
      <c r="C245" s="315"/>
      <c r="D245" s="26"/>
      <c r="I245" s="27"/>
      <c r="AB245" s="25"/>
      <c r="AF245" s="28"/>
      <c r="AG245" s="195"/>
      <c r="AH245" s="29"/>
    </row>
    <row r="246" spans="2:34">
      <c r="B246" s="25"/>
      <c r="C246" s="315"/>
      <c r="D246" s="26"/>
      <c r="I246" s="27"/>
      <c r="AB246" s="25"/>
      <c r="AF246" s="28"/>
      <c r="AG246" s="195"/>
      <c r="AH246" s="29"/>
    </row>
    <row r="247" spans="2:34">
      <c r="B247" s="25"/>
      <c r="C247" s="315"/>
      <c r="D247" s="26"/>
      <c r="I247" s="27"/>
      <c r="AB247" s="25"/>
      <c r="AF247" s="28"/>
      <c r="AG247" s="195"/>
      <c r="AH247" s="29"/>
    </row>
    <row r="248" spans="2:34">
      <c r="B248" s="25"/>
      <c r="C248" s="315"/>
      <c r="D248" s="26"/>
      <c r="I248" s="27"/>
      <c r="AB248" s="25"/>
      <c r="AF248" s="28"/>
      <c r="AG248" s="195"/>
      <c r="AH248" s="29"/>
    </row>
    <row r="249" spans="2:34">
      <c r="B249" s="25"/>
      <c r="C249" s="315"/>
      <c r="D249" s="26"/>
      <c r="I249" s="27"/>
      <c r="AB249" s="25"/>
      <c r="AF249" s="28"/>
      <c r="AG249" s="195"/>
      <c r="AH249" s="29"/>
    </row>
    <row r="250" spans="2:34">
      <c r="B250" s="25"/>
      <c r="C250" s="315"/>
      <c r="D250" s="26"/>
      <c r="I250" s="27"/>
      <c r="AB250" s="25"/>
      <c r="AF250" s="28"/>
      <c r="AG250" s="195"/>
      <c r="AH250" s="29"/>
    </row>
    <row r="251" spans="2:34">
      <c r="B251" s="25"/>
      <c r="C251" s="315"/>
      <c r="D251" s="26"/>
      <c r="I251" s="27"/>
      <c r="AB251" s="25"/>
      <c r="AF251" s="28"/>
      <c r="AG251" s="195"/>
      <c r="AH251" s="29"/>
    </row>
    <row r="252" spans="2:34">
      <c r="B252" s="25"/>
      <c r="C252" s="315"/>
      <c r="D252" s="26"/>
      <c r="I252" s="27"/>
      <c r="AB252" s="25"/>
      <c r="AF252" s="28"/>
      <c r="AG252" s="195"/>
      <c r="AH252" s="29"/>
    </row>
    <row r="253" spans="2:34">
      <c r="B253" s="25"/>
      <c r="C253" s="315"/>
      <c r="D253" s="26"/>
      <c r="I253" s="27"/>
      <c r="AB253" s="25"/>
      <c r="AF253" s="28"/>
      <c r="AG253" s="195"/>
      <c r="AH253" s="29"/>
    </row>
    <row r="254" spans="2:34">
      <c r="B254" s="25"/>
      <c r="C254" s="315"/>
      <c r="D254" s="26"/>
      <c r="I254" s="27"/>
      <c r="AB254" s="25"/>
      <c r="AF254" s="28"/>
      <c r="AG254" s="195"/>
      <c r="AH254" s="29"/>
    </row>
    <row r="255" spans="2:34">
      <c r="B255" s="25"/>
      <c r="C255" s="315"/>
      <c r="D255" s="26"/>
      <c r="I255" s="27"/>
      <c r="AB255" s="25"/>
      <c r="AF255" s="28"/>
      <c r="AG255" s="195"/>
      <c r="AH255" s="29"/>
    </row>
    <row r="256" spans="2:34">
      <c r="B256" s="25"/>
      <c r="C256" s="315"/>
      <c r="D256" s="26"/>
      <c r="I256" s="27"/>
      <c r="AB256" s="25"/>
      <c r="AF256" s="28"/>
      <c r="AG256" s="195"/>
      <c r="AH256" s="29"/>
    </row>
    <row r="257" spans="2:34">
      <c r="B257" s="25"/>
      <c r="C257" s="315"/>
      <c r="D257" s="26"/>
      <c r="I257" s="27"/>
      <c r="AB257" s="25"/>
      <c r="AF257" s="28"/>
      <c r="AG257" s="195"/>
      <c r="AH257" s="29"/>
    </row>
    <row r="258" spans="2:34">
      <c r="B258" s="25"/>
      <c r="C258" s="315"/>
      <c r="D258" s="26"/>
      <c r="I258" s="27"/>
      <c r="AB258" s="25"/>
      <c r="AF258" s="28"/>
      <c r="AG258" s="195"/>
      <c r="AH258" s="29"/>
    </row>
    <row r="259" spans="2:34">
      <c r="B259" s="25"/>
      <c r="C259" s="315"/>
      <c r="D259" s="26"/>
      <c r="I259" s="27"/>
      <c r="AB259" s="25"/>
      <c r="AF259" s="28"/>
      <c r="AG259" s="195"/>
      <c r="AH259" s="29"/>
    </row>
    <row r="260" spans="2:34">
      <c r="B260" s="25"/>
      <c r="C260" s="315"/>
      <c r="D260" s="26"/>
      <c r="I260" s="27"/>
      <c r="AB260" s="25"/>
      <c r="AF260" s="28"/>
      <c r="AG260" s="195"/>
      <c r="AH260" s="29"/>
    </row>
    <row r="261" spans="2:34">
      <c r="B261" s="25"/>
      <c r="C261" s="315"/>
      <c r="D261" s="26"/>
      <c r="I261" s="27"/>
      <c r="AB261" s="25"/>
      <c r="AF261" s="28"/>
      <c r="AG261" s="195"/>
      <c r="AH261" s="29"/>
    </row>
    <row r="262" spans="2:34">
      <c r="B262" s="25"/>
      <c r="C262" s="315"/>
      <c r="D262" s="26"/>
      <c r="I262" s="27"/>
      <c r="AB262" s="25"/>
      <c r="AF262" s="28"/>
      <c r="AG262" s="195"/>
      <c r="AH262" s="29"/>
    </row>
    <row r="263" spans="2:34">
      <c r="B263" s="25"/>
      <c r="C263" s="315"/>
      <c r="D263" s="26"/>
      <c r="I263" s="27"/>
      <c r="AB263" s="25"/>
      <c r="AF263" s="28"/>
      <c r="AG263" s="195"/>
      <c r="AH263" s="29"/>
    </row>
    <row r="264" spans="2:34">
      <c r="B264" s="25"/>
      <c r="C264" s="315"/>
      <c r="D264" s="26"/>
      <c r="I264" s="27"/>
      <c r="AB264" s="25"/>
      <c r="AF264" s="28"/>
      <c r="AG264" s="195"/>
      <c r="AH264" s="29"/>
    </row>
    <row r="265" spans="2:34">
      <c r="B265" s="25"/>
      <c r="C265" s="315"/>
      <c r="D265" s="26"/>
      <c r="I265" s="27"/>
      <c r="AB265" s="25"/>
      <c r="AF265" s="28"/>
      <c r="AG265" s="195"/>
      <c r="AH265" s="29"/>
    </row>
    <row r="266" spans="2:34">
      <c r="B266" s="25"/>
      <c r="C266" s="315"/>
      <c r="D266" s="26"/>
      <c r="I266" s="27"/>
      <c r="AB266" s="25"/>
      <c r="AF266" s="28"/>
      <c r="AG266" s="195"/>
      <c r="AH266" s="29"/>
    </row>
    <row r="267" spans="2:34">
      <c r="B267" s="25"/>
      <c r="C267" s="315"/>
      <c r="D267" s="26"/>
      <c r="I267" s="27"/>
      <c r="AB267" s="25"/>
      <c r="AF267" s="28"/>
      <c r="AG267" s="195"/>
      <c r="AH267" s="29"/>
    </row>
    <row r="268" spans="2:34">
      <c r="B268" s="25"/>
      <c r="C268" s="315"/>
      <c r="D268" s="26"/>
      <c r="I268" s="27"/>
      <c r="AB268" s="25"/>
      <c r="AF268" s="28"/>
      <c r="AG268" s="195"/>
      <c r="AH268" s="29"/>
    </row>
    <row r="269" spans="2:34">
      <c r="B269" s="25"/>
      <c r="C269" s="315"/>
      <c r="D269" s="26"/>
      <c r="I269" s="27"/>
      <c r="AB269" s="25"/>
      <c r="AF269" s="28"/>
      <c r="AG269" s="195"/>
      <c r="AH269" s="29"/>
    </row>
    <row r="270" spans="2:34">
      <c r="B270" s="25"/>
      <c r="C270" s="315"/>
      <c r="D270" s="26"/>
      <c r="I270" s="27"/>
      <c r="AB270" s="25"/>
      <c r="AF270" s="28"/>
      <c r="AG270" s="195"/>
      <c r="AH270" s="29"/>
    </row>
    <row r="271" spans="2:34">
      <c r="B271" s="25"/>
      <c r="C271" s="315"/>
      <c r="D271" s="26"/>
      <c r="I271" s="27"/>
      <c r="AB271" s="25"/>
      <c r="AF271" s="28"/>
      <c r="AG271" s="195"/>
      <c r="AH271" s="29"/>
    </row>
    <row r="272" spans="2:34">
      <c r="B272" s="25"/>
      <c r="C272" s="315"/>
      <c r="D272" s="26"/>
      <c r="I272" s="27"/>
      <c r="AB272" s="25"/>
      <c r="AF272" s="28"/>
      <c r="AG272" s="195"/>
      <c r="AH272" s="29"/>
    </row>
    <row r="273" spans="2:34">
      <c r="B273" s="25"/>
      <c r="C273" s="315"/>
      <c r="D273" s="26"/>
      <c r="I273" s="27"/>
      <c r="AB273" s="25"/>
      <c r="AF273" s="28"/>
      <c r="AG273" s="195"/>
      <c r="AH273" s="29"/>
    </row>
    <row r="274" spans="2:34">
      <c r="B274" s="25"/>
      <c r="C274" s="315"/>
      <c r="D274" s="26"/>
      <c r="I274" s="27"/>
      <c r="AB274" s="25"/>
      <c r="AF274" s="28"/>
      <c r="AG274" s="195"/>
      <c r="AH274" s="29"/>
    </row>
    <row r="275" spans="2:34">
      <c r="B275" s="25"/>
      <c r="C275" s="315"/>
      <c r="D275" s="26"/>
      <c r="I275" s="27"/>
      <c r="AB275" s="25"/>
      <c r="AF275" s="28"/>
      <c r="AG275" s="195"/>
      <c r="AH275" s="29"/>
    </row>
    <row r="276" spans="2:34">
      <c r="B276" s="25"/>
      <c r="C276" s="315"/>
      <c r="D276" s="26"/>
      <c r="I276" s="27"/>
      <c r="AB276" s="25"/>
      <c r="AF276" s="28"/>
      <c r="AG276" s="195"/>
      <c r="AH276" s="29"/>
    </row>
    <row r="277" spans="2:34">
      <c r="B277" s="25"/>
      <c r="C277" s="315"/>
      <c r="D277" s="26"/>
      <c r="I277" s="27"/>
      <c r="AB277" s="25"/>
      <c r="AF277" s="28"/>
      <c r="AG277" s="195"/>
      <c r="AH277" s="29"/>
    </row>
    <row r="278" spans="2:34">
      <c r="B278" s="25"/>
      <c r="C278" s="315"/>
      <c r="D278" s="26"/>
      <c r="I278" s="27"/>
      <c r="AB278" s="25"/>
      <c r="AF278" s="28"/>
      <c r="AG278" s="195"/>
      <c r="AH278" s="29"/>
    </row>
    <row r="279" spans="2:34">
      <c r="B279" s="25"/>
      <c r="C279" s="315"/>
      <c r="D279" s="26"/>
      <c r="I279" s="27"/>
      <c r="AB279" s="25"/>
      <c r="AF279" s="28"/>
      <c r="AG279" s="195"/>
      <c r="AH279" s="29"/>
    </row>
    <row r="280" spans="2:34">
      <c r="B280" s="25"/>
      <c r="C280" s="315"/>
      <c r="D280" s="26"/>
      <c r="I280" s="27"/>
      <c r="AB280" s="25"/>
      <c r="AF280" s="28"/>
      <c r="AG280" s="195"/>
      <c r="AH280" s="29"/>
    </row>
    <row r="281" spans="2:34">
      <c r="B281" s="25"/>
      <c r="C281" s="315"/>
      <c r="D281" s="26"/>
      <c r="I281" s="27"/>
      <c r="AB281" s="25"/>
      <c r="AF281" s="28"/>
      <c r="AG281" s="195"/>
      <c r="AH281" s="29"/>
    </row>
    <row r="282" spans="2:34">
      <c r="B282" s="25"/>
      <c r="C282" s="315"/>
      <c r="D282" s="26"/>
      <c r="I282" s="27"/>
      <c r="AB282" s="25"/>
      <c r="AF282" s="28"/>
      <c r="AG282" s="195"/>
      <c r="AH282" s="29"/>
    </row>
    <row r="283" spans="2:34">
      <c r="B283" s="25"/>
      <c r="C283" s="315"/>
      <c r="D283" s="26"/>
      <c r="I283" s="27"/>
      <c r="AB283" s="25"/>
      <c r="AF283" s="28"/>
      <c r="AG283" s="195"/>
      <c r="AH283" s="29"/>
    </row>
    <row r="284" spans="2:34">
      <c r="B284" s="25"/>
      <c r="C284" s="315"/>
      <c r="D284" s="26"/>
      <c r="I284" s="27"/>
      <c r="AB284" s="25"/>
      <c r="AF284" s="28"/>
      <c r="AG284" s="195"/>
      <c r="AH284" s="29"/>
    </row>
    <row r="285" spans="2:34">
      <c r="B285" s="25"/>
      <c r="C285" s="315"/>
      <c r="D285" s="26"/>
      <c r="I285" s="27"/>
      <c r="AB285" s="25"/>
      <c r="AF285" s="28"/>
      <c r="AG285" s="195"/>
      <c r="AH285" s="29"/>
    </row>
    <row r="286" spans="2:34">
      <c r="B286" s="25"/>
      <c r="C286" s="315"/>
      <c r="D286" s="26"/>
      <c r="I286" s="27"/>
      <c r="AB286" s="25"/>
      <c r="AF286" s="28"/>
      <c r="AG286" s="195"/>
      <c r="AH286" s="29"/>
    </row>
    <row r="287" spans="2:34">
      <c r="B287" s="25"/>
      <c r="C287" s="315"/>
      <c r="D287" s="26"/>
      <c r="I287" s="27"/>
      <c r="AB287" s="25"/>
      <c r="AF287" s="28"/>
      <c r="AG287" s="195"/>
      <c r="AH287" s="29"/>
    </row>
    <row r="288" spans="2:34">
      <c r="B288" s="25"/>
      <c r="C288" s="315"/>
      <c r="D288" s="26"/>
      <c r="I288" s="27"/>
      <c r="AB288" s="25"/>
      <c r="AF288" s="28"/>
      <c r="AG288" s="195"/>
      <c r="AH288" s="29"/>
    </row>
    <row r="289" spans="2:34">
      <c r="B289" s="25"/>
      <c r="C289" s="315"/>
      <c r="D289" s="26"/>
      <c r="I289" s="27"/>
      <c r="AB289" s="25"/>
      <c r="AF289" s="28"/>
      <c r="AG289" s="195"/>
      <c r="AH289" s="29"/>
    </row>
    <row r="290" spans="2:34">
      <c r="B290" s="25"/>
      <c r="C290" s="315"/>
      <c r="D290" s="26"/>
      <c r="I290" s="27"/>
      <c r="AB290" s="25"/>
      <c r="AF290" s="28"/>
      <c r="AG290" s="195"/>
      <c r="AH290" s="29"/>
    </row>
    <row r="291" spans="2:34">
      <c r="B291" s="25"/>
      <c r="C291" s="315"/>
      <c r="D291" s="26"/>
      <c r="I291" s="27"/>
      <c r="AB291" s="25"/>
      <c r="AF291" s="28"/>
      <c r="AG291" s="195"/>
      <c r="AH291" s="29"/>
    </row>
    <row r="292" spans="2:34">
      <c r="B292" s="25"/>
      <c r="C292" s="315"/>
      <c r="D292" s="26"/>
      <c r="I292" s="27"/>
      <c r="AB292" s="25"/>
      <c r="AF292" s="28"/>
      <c r="AG292" s="195"/>
      <c r="AH292" s="29"/>
    </row>
    <row r="293" spans="2:34">
      <c r="B293" s="25"/>
      <c r="C293" s="315"/>
      <c r="D293" s="26"/>
      <c r="I293" s="27"/>
      <c r="AB293" s="25"/>
      <c r="AF293" s="28"/>
      <c r="AG293" s="195"/>
      <c r="AH293" s="29"/>
    </row>
    <row r="294" spans="2:34">
      <c r="B294" s="25"/>
      <c r="C294" s="315"/>
      <c r="D294" s="26"/>
      <c r="I294" s="27"/>
      <c r="AB294" s="25"/>
      <c r="AF294" s="28"/>
      <c r="AG294" s="195"/>
      <c r="AH294" s="29"/>
    </row>
    <row r="295" spans="2:34">
      <c r="B295" s="25"/>
      <c r="C295" s="315"/>
      <c r="D295" s="26"/>
      <c r="I295" s="27"/>
      <c r="AB295" s="25"/>
      <c r="AF295" s="28"/>
      <c r="AG295" s="195"/>
      <c r="AH295" s="29"/>
    </row>
    <row r="296" spans="2:34">
      <c r="B296" s="25"/>
      <c r="C296" s="315"/>
      <c r="D296" s="26"/>
      <c r="I296" s="27"/>
      <c r="AB296" s="25"/>
      <c r="AF296" s="28"/>
      <c r="AG296" s="195"/>
      <c r="AH296" s="29"/>
    </row>
    <row r="297" spans="2:34">
      <c r="B297" s="25"/>
      <c r="C297" s="315"/>
      <c r="D297" s="26"/>
      <c r="I297" s="27"/>
      <c r="AB297" s="25"/>
      <c r="AF297" s="28"/>
      <c r="AG297" s="195"/>
      <c r="AH297" s="29"/>
    </row>
    <row r="298" spans="2:34">
      <c r="B298" s="25"/>
      <c r="C298" s="315"/>
      <c r="D298" s="26"/>
      <c r="I298" s="27"/>
      <c r="AB298" s="25"/>
      <c r="AF298" s="28"/>
      <c r="AG298" s="195"/>
      <c r="AH298" s="29"/>
    </row>
    <row r="299" spans="2:34">
      <c r="B299" s="25"/>
      <c r="C299" s="315"/>
      <c r="D299" s="26"/>
      <c r="I299" s="27"/>
      <c r="AB299" s="25"/>
      <c r="AF299" s="28"/>
      <c r="AG299" s="195"/>
      <c r="AH299" s="29"/>
    </row>
    <row r="300" spans="2:34">
      <c r="B300" s="25"/>
      <c r="C300" s="315"/>
      <c r="D300" s="26"/>
      <c r="I300" s="27"/>
      <c r="AB300" s="25"/>
      <c r="AF300" s="28"/>
      <c r="AG300" s="195"/>
      <c r="AH300" s="29"/>
    </row>
    <row r="301" spans="2:34">
      <c r="B301" s="25"/>
      <c r="C301" s="315"/>
      <c r="D301" s="26"/>
      <c r="I301" s="27"/>
      <c r="AB301" s="25"/>
      <c r="AF301" s="28"/>
      <c r="AG301" s="195"/>
      <c r="AH301" s="29"/>
    </row>
    <row r="302" spans="2:34">
      <c r="B302" s="25"/>
      <c r="C302" s="315"/>
      <c r="D302" s="26"/>
      <c r="I302" s="27"/>
      <c r="AB302" s="25"/>
      <c r="AF302" s="28"/>
      <c r="AG302" s="195"/>
      <c r="AH302" s="29"/>
    </row>
    <row r="303" spans="2:34">
      <c r="B303" s="25"/>
      <c r="C303" s="315"/>
      <c r="D303" s="26"/>
      <c r="I303" s="27"/>
      <c r="AB303" s="25"/>
      <c r="AF303" s="28"/>
      <c r="AG303" s="195"/>
      <c r="AH303" s="29"/>
    </row>
    <row r="304" spans="2:34">
      <c r="B304" s="25"/>
      <c r="C304" s="315"/>
      <c r="D304" s="26"/>
      <c r="I304" s="27"/>
      <c r="AB304" s="25"/>
      <c r="AF304" s="28"/>
      <c r="AG304" s="195"/>
      <c r="AH304" s="29"/>
    </row>
    <row r="305" spans="2:34">
      <c r="B305" s="25"/>
      <c r="C305" s="315"/>
      <c r="D305" s="26"/>
      <c r="I305" s="27"/>
      <c r="AB305" s="25"/>
      <c r="AF305" s="28"/>
      <c r="AG305" s="195"/>
      <c r="AH305" s="29"/>
    </row>
    <row r="306" spans="2:34">
      <c r="B306" s="25"/>
      <c r="C306" s="315"/>
      <c r="D306" s="26"/>
      <c r="I306" s="27"/>
      <c r="AB306" s="25"/>
      <c r="AF306" s="28"/>
      <c r="AG306" s="195"/>
      <c r="AH306" s="29"/>
    </row>
    <row r="307" spans="2:34">
      <c r="B307" s="25"/>
      <c r="C307" s="315"/>
      <c r="D307" s="26"/>
      <c r="I307" s="27"/>
      <c r="AB307" s="25"/>
      <c r="AF307" s="28"/>
      <c r="AG307" s="195"/>
      <c r="AH307" s="29"/>
    </row>
    <row r="308" spans="2:34">
      <c r="B308" s="25"/>
      <c r="C308" s="315"/>
      <c r="D308" s="26"/>
      <c r="I308" s="27"/>
      <c r="AB308" s="25"/>
      <c r="AF308" s="28"/>
      <c r="AG308" s="195"/>
      <c r="AH308" s="29"/>
    </row>
    <row r="309" spans="2:34">
      <c r="B309" s="25"/>
      <c r="C309" s="315"/>
      <c r="D309" s="26"/>
      <c r="I309" s="27"/>
      <c r="AB309" s="25"/>
      <c r="AF309" s="28"/>
      <c r="AG309" s="195"/>
      <c r="AH309" s="29"/>
    </row>
    <row r="310" spans="2:34">
      <c r="B310" s="25"/>
      <c r="C310" s="315"/>
      <c r="D310" s="26"/>
      <c r="I310" s="27"/>
      <c r="AB310" s="25"/>
      <c r="AF310" s="28"/>
      <c r="AG310" s="195"/>
      <c r="AH310" s="29"/>
    </row>
    <row r="311" spans="2:34">
      <c r="B311" s="25"/>
      <c r="C311" s="315"/>
      <c r="D311" s="26"/>
      <c r="I311" s="27"/>
      <c r="AB311" s="25"/>
      <c r="AF311" s="28"/>
      <c r="AG311" s="195"/>
      <c r="AH311" s="29"/>
    </row>
    <row r="312" spans="2:34">
      <c r="B312" s="25"/>
      <c r="C312" s="315"/>
      <c r="D312" s="26"/>
      <c r="I312" s="27"/>
      <c r="AB312" s="25"/>
      <c r="AF312" s="28"/>
      <c r="AG312" s="195"/>
      <c r="AH312" s="29"/>
    </row>
    <row r="313" spans="2:34">
      <c r="B313" s="25"/>
      <c r="C313" s="315"/>
      <c r="D313" s="26"/>
      <c r="I313" s="27"/>
      <c r="AB313" s="25"/>
      <c r="AF313" s="28"/>
      <c r="AG313" s="195"/>
      <c r="AH313" s="29"/>
    </row>
    <row r="314" spans="2:34">
      <c r="B314" s="25"/>
      <c r="C314" s="315"/>
      <c r="D314" s="26"/>
      <c r="I314" s="27"/>
      <c r="AB314" s="25"/>
      <c r="AF314" s="28"/>
      <c r="AG314" s="195"/>
      <c r="AH314" s="29"/>
    </row>
    <row r="315" spans="2:34">
      <c r="B315" s="25"/>
      <c r="C315" s="315"/>
      <c r="D315" s="26"/>
      <c r="I315" s="27"/>
      <c r="AB315" s="25"/>
      <c r="AF315" s="28"/>
      <c r="AG315" s="195"/>
      <c r="AH315" s="29"/>
    </row>
    <row r="316" spans="2:34">
      <c r="B316" s="25"/>
      <c r="C316" s="315"/>
      <c r="D316" s="26"/>
      <c r="I316" s="27"/>
      <c r="AB316" s="25"/>
      <c r="AF316" s="28"/>
      <c r="AG316" s="195"/>
      <c r="AH316" s="29"/>
    </row>
    <row r="317" spans="2:34">
      <c r="B317" s="25"/>
      <c r="C317" s="315"/>
      <c r="D317" s="26"/>
      <c r="I317" s="27"/>
      <c r="AB317" s="25"/>
      <c r="AF317" s="28"/>
      <c r="AG317" s="195"/>
      <c r="AH317" s="29"/>
    </row>
    <row r="318" spans="2:34">
      <c r="B318" s="25"/>
      <c r="C318" s="315"/>
      <c r="D318" s="26"/>
      <c r="I318" s="27"/>
      <c r="AB318" s="25"/>
      <c r="AF318" s="28"/>
      <c r="AG318" s="195"/>
      <c r="AH318" s="29"/>
    </row>
    <row r="319" spans="2:34">
      <c r="B319" s="25"/>
      <c r="C319" s="315"/>
      <c r="D319" s="26"/>
      <c r="I319" s="27"/>
      <c r="AB319" s="25"/>
      <c r="AF319" s="28"/>
      <c r="AG319" s="195"/>
      <c r="AH319" s="29"/>
    </row>
    <row r="320" spans="2:34">
      <c r="B320" s="25"/>
      <c r="C320" s="315"/>
      <c r="D320" s="26"/>
      <c r="I320" s="27"/>
      <c r="AB320" s="25"/>
      <c r="AF320" s="28"/>
      <c r="AG320" s="195"/>
      <c r="AH320" s="29"/>
    </row>
    <row r="321" spans="2:34">
      <c r="B321" s="25"/>
      <c r="C321" s="315"/>
      <c r="D321" s="26"/>
      <c r="I321" s="27"/>
      <c r="AB321" s="25"/>
      <c r="AF321" s="28"/>
      <c r="AG321" s="195"/>
      <c r="AH321" s="29"/>
    </row>
    <row r="322" spans="2:34">
      <c r="B322" s="25"/>
      <c r="C322" s="315"/>
      <c r="D322" s="26"/>
      <c r="I322" s="27"/>
      <c r="AB322" s="25"/>
      <c r="AF322" s="28"/>
      <c r="AG322" s="195"/>
      <c r="AH322" s="29"/>
    </row>
    <row r="323" spans="2:34">
      <c r="B323" s="25"/>
      <c r="C323" s="315"/>
      <c r="D323" s="26"/>
      <c r="I323" s="27"/>
      <c r="AB323" s="25"/>
      <c r="AF323" s="28"/>
      <c r="AG323" s="195"/>
      <c r="AH323" s="29"/>
    </row>
    <row r="324" spans="2:34">
      <c r="B324" s="25"/>
      <c r="C324" s="315"/>
      <c r="D324" s="26"/>
      <c r="I324" s="27"/>
      <c r="AB324" s="25"/>
      <c r="AF324" s="28"/>
      <c r="AG324" s="195"/>
      <c r="AH324" s="29"/>
    </row>
    <row r="325" spans="2:34">
      <c r="B325" s="25"/>
      <c r="C325" s="315"/>
      <c r="D325" s="26"/>
      <c r="I325" s="27"/>
      <c r="AB325" s="25"/>
      <c r="AF325" s="28"/>
      <c r="AG325" s="195"/>
      <c r="AH325" s="29"/>
    </row>
    <row r="326" spans="2:34">
      <c r="B326" s="25"/>
      <c r="C326" s="315"/>
      <c r="D326" s="26"/>
      <c r="I326" s="27"/>
      <c r="AB326" s="25"/>
      <c r="AF326" s="28"/>
      <c r="AG326" s="195"/>
      <c r="AH326" s="29"/>
    </row>
    <row r="327" spans="2:34">
      <c r="B327" s="25"/>
      <c r="C327" s="315"/>
      <c r="D327" s="26"/>
      <c r="I327" s="27"/>
      <c r="AB327" s="25"/>
      <c r="AF327" s="28"/>
      <c r="AG327" s="195"/>
      <c r="AH327" s="29"/>
    </row>
    <row r="328" spans="2:34">
      <c r="B328" s="25"/>
      <c r="C328" s="315"/>
      <c r="D328" s="26"/>
      <c r="I328" s="27"/>
      <c r="AB328" s="25"/>
      <c r="AF328" s="28"/>
      <c r="AG328" s="195"/>
      <c r="AH328" s="29"/>
    </row>
    <row r="329" spans="2:34">
      <c r="B329" s="25"/>
      <c r="C329" s="315"/>
      <c r="D329" s="26"/>
      <c r="I329" s="27"/>
      <c r="AB329" s="25"/>
      <c r="AF329" s="28"/>
      <c r="AG329" s="195"/>
      <c r="AH329" s="29"/>
    </row>
    <row r="330" spans="2:34">
      <c r="B330" s="25"/>
      <c r="C330" s="315"/>
      <c r="D330" s="26"/>
      <c r="I330" s="27"/>
      <c r="AB330" s="25"/>
      <c r="AF330" s="28"/>
      <c r="AG330" s="195"/>
      <c r="AH330" s="29"/>
    </row>
    <row r="331" spans="2:34">
      <c r="B331" s="25"/>
      <c r="C331" s="315"/>
      <c r="D331" s="26"/>
      <c r="I331" s="27"/>
      <c r="AB331" s="25"/>
      <c r="AF331" s="28"/>
      <c r="AG331" s="195"/>
      <c r="AH331" s="29"/>
    </row>
    <row r="332" spans="2:34">
      <c r="B332" s="25"/>
      <c r="C332" s="315"/>
      <c r="D332" s="26"/>
      <c r="I332" s="27"/>
      <c r="AB332" s="25"/>
      <c r="AF332" s="28"/>
      <c r="AG332" s="195"/>
      <c r="AH332" s="29"/>
    </row>
    <row r="333" spans="2:34">
      <c r="B333" s="25"/>
      <c r="C333" s="315"/>
      <c r="D333" s="26"/>
      <c r="I333" s="27"/>
      <c r="AB333" s="25"/>
      <c r="AF333" s="28"/>
      <c r="AG333" s="195"/>
      <c r="AH333" s="29"/>
    </row>
    <row r="334" spans="2:34">
      <c r="B334" s="25"/>
      <c r="C334" s="315"/>
      <c r="D334" s="26"/>
      <c r="I334" s="27"/>
      <c r="AB334" s="25"/>
      <c r="AF334" s="28"/>
      <c r="AG334" s="195"/>
      <c r="AH334" s="29"/>
    </row>
    <row r="335" spans="2:34">
      <c r="B335" s="25"/>
      <c r="C335" s="315"/>
      <c r="D335" s="26"/>
      <c r="I335" s="27"/>
      <c r="AB335" s="25"/>
      <c r="AF335" s="28"/>
      <c r="AG335" s="195"/>
      <c r="AH335" s="29"/>
    </row>
    <row r="336" spans="2:34">
      <c r="B336" s="25"/>
      <c r="C336" s="315"/>
      <c r="D336" s="26"/>
      <c r="I336" s="27"/>
      <c r="AB336" s="25"/>
      <c r="AF336" s="28"/>
      <c r="AG336" s="195"/>
      <c r="AH336" s="29"/>
    </row>
    <row r="337" spans="2:34">
      <c r="B337" s="25"/>
      <c r="C337" s="315"/>
      <c r="D337" s="26"/>
      <c r="I337" s="27"/>
      <c r="AB337" s="25"/>
      <c r="AF337" s="28"/>
      <c r="AG337" s="195"/>
      <c r="AH337" s="29"/>
    </row>
    <row r="338" spans="2:34">
      <c r="B338" s="25"/>
      <c r="C338" s="315"/>
      <c r="D338" s="26"/>
      <c r="I338" s="27"/>
      <c r="AB338" s="25"/>
      <c r="AF338" s="28"/>
      <c r="AG338" s="195"/>
      <c r="AH338" s="29"/>
    </row>
    <row r="339" spans="2:34">
      <c r="B339" s="25"/>
      <c r="C339" s="315"/>
      <c r="D339" s="26"/>
      <c r="I339" s="27"/>
      <c r="AB339" s="25"/>
      <c r="AF339" s="28"/>
      <c r="AG339" s="195"/>
      <c r="AH339" s="29"/>
    </row>
    <row r="340" spans="2:34">
      <c r="B340" s="25"/>
      <c r="C340" s="315"/>
      <c r="D340" s="26"/>
      <c r="I340" s="27"/>
      <c r="AB340" s="25"/>
      <c r="AF340" s="28"/>
      <c r="AG340" s="195"/>
      <c r="AH340" s="29"/>
    </row>
    <row r="341" spans="2:34">
      <c r="B341" s="25"/>
      <c r="C341" s="315"/>
      <c r="D341" s="26"/>
      <c r="I341" s="27"/>
      <c r="AB341" s="25"/>
      <c r="AF341" s="28"/>
      <c r="AG341" s="195"/>
      <c r="AH341" s="29"/>
    </row>
    <row r="342" spans="2:34">
      <c r="B342" s="25"/>
      <c r="C342" s="315"/>
      <c r="D342" s="26"/>
      <c r="I342" s="27"/>
      <c r="AB342" s="25"/>
      <c r="AF342" s="28"/>
      <c r="AG342" s="195"/>
      <c r="AH342" s="29"/>
    </row>
    <row r="343" spans="2:34">
      <c r="B343" s="25"/>
      <c r="C343" s="315"/>
      <c r="D343" s="26"/>
      <c r="I343" s="27"/>
      <c r="AB343" s="25"/>
      <c r="AF343" s="28"/>
      <c r="AG343" s="195"/>
      <c r="AH343" s="29"/>
    </row>
    <row r="344" spans="2:34">
      <c r="B344" s="25"/>
      <c r="C344" s="315"/>
      <c r="D344" s="26"/>
      <c r="I344" s="27"/>
      <c r="AB344" s="25"/>
      <c r="AF344" s="28"/>
      <c r="AG344" s="195"/>
      <c r="AH344" s="29"/>
    </row>
    <row r="345" spans="2:34">
      <c r="B345" s="25"/>
      <c r="C345" s="315"/>
      <c r="D345" s="26"/>
      <c r="I345" s="27"/>
      <c r="AB345" s="25"/>
      <c r="AF345" s="28"/>
      <c r="AG345" s="195"/>
      <c r="AH345" s="29"/>
    </row>
    <row r="346" spans="2:34">
      <c r="B346" s="25"/>
      <c r="C346" s="315"/>
      <c r="D346" s="26"/>
      <c r="I346" s="27"/>
      <c r="AB346" s="25"/>
      <c r="AF346" s="28"/>
      <c r="AG346" s="195"/>
      <c r="AH346" s="29"/>
    </row>
    <row r="347" spans="2:34">
      <c r="B347" s="25"/>
      <c r="C347" s="315"/>
      <c r="D347" s="26"/>
      <c r="I347" s="27"/>
      <c r="AB347" s="25"/>
      <c r="AF347" s="28"/>
      <c r="AG347" s="195"/>
      <c r="AH347" s="29"/>
    </row>
    <row r="348" spans="2:34">
      <c r="B348" s="25"/>
      <c r="C348" s="315"/>
      <c r="D348" s="26"/>
      <c r="I348" s="27"/>
      <c r="AB348" s="25"/>
      <c r="AF348" s="28"/>
      <c r="AG348" s="195"/>
      <c r="AH348" s="29"/>
    </row>
    <row r="349" spans="2:34">
      <c r="B349" s="25"/>
      <c r="C349" s="315"/>
      <c r="D349" s="26"/>
      <c r="I349" s="27"/>
      <c r="AB349" s="25"/>
      <c r="AF349" s="28"/>
      <c r="AG349" s="195"/>
      <c r="AH349" s="29"/>
    </row>
    <row r="350" spans="2:34">
      <c r="B350" s="25"/>
      <c r="C350" s="315"/>
      <c r="D350" s="26"/>
      <c r="I350" s="27"/>
      <c r="AB350" s="25"/>
      <c r="AF350" s="28"/>
      <c r="AG350" s="195"/>
      <c r="AH350" s="29"/>
    </row>
    <row r="351" spans="2:34">
      <c r="B351" s="25"/>
      <c r="C351" s="315"/>
      <c r="D351" s="26"/>
      <c r="I351" s="27"/>
      <c r="AB351" s="25"/>
      <c r="AF351" s="28"/>
      <c r="AG351" s="195"/>
      <c r="AH351" s="29"/>
    </row>
    <row r="352" spans="2:34">
      <c r="B352" s="25"/>
      <c r="C352" s="315"/>
      <c r="D352" s="26"/>
      <c r="I352" s="27"/>
      <c r="AB352" s="25"/>
      <c r="AF352" s="28"/>
      <c r="AG352" s="195"/>
      <c r="AH352" s="29"/>
    </row>
    <row r="353" spans="2:34">
      <c r="B353" s="25"/>
      <c r="C353" s="315"/>
      <c r="D353" s="26"/>
      <c r="I353" s="27"/>
      <c r="AB353" s="25"/>
      <c r="AF353" s="28"/>
      <c r="AG353" s="195"/>
      <c r="AH353" s="29"/>
    </row>
    <row r="354" spans="2:34">
      <c r="B354" s="25"/>
      <c r="C354" s="315"/>
      <c r="D354" s="26"/>
      <c r="I354" s="27"/>
      <c r="AB354" s="25"/>
      <c r="AF354" s="28"/>
      <c r="AG354" s="195"/>
      <c r="AH354" s="29"/>
    </row>
    <row r="355" spans="2:34">
      <c r="B355" s="25"/>
      <c r="C355" s="315"/>
      <c r="D355" s="26"/>
      <c r="I355" s="27"/>
      <c r="AB355" s="25"/>
      <c r="AF355" s="28"/>
      <c r="AG355" s="195"/>
      <c r="AH355" s="29"/>
    </row>
    <row r="356" spans="2:34">
      <c r="B356" s="25"/>
      <c r="C356" s="315"/>
      <c r="D356" s="26"/>
      <c r="I356" s="27"/>
      <c r="AB356" s="25"/>
      <c r="AF356" s="28"/>
      <c r="AG356" s="195"/>
      <c r="AH356" s="29"/>
    </row>
    <row r="357" spans="2:34">
      <c r="B357" s="25"/>
      <c r="C357" s="315"/>
      <c r="D357" s="26"/>
      <c r="I357" s="27"/>
      <c r="AB357" s="25"/>
      <c r="AF357" s="28"/>
      <c r="AG357" s="195"/>
      <c r="AH357" s="29"/>
    </row>
    <row r="358" spans="2:34">
      <c r="B358" s="25"/>
      <c r="C358" s="315"/>
      <c r="D358" s="26"/>
      <c r="I358" s="27"/>
      <c r="AB358" s="25"/>
      <c r="AF358" s="28"/>
      <c r="AG358" s="195"/>
      <c r="AH358" s="29"/>
    </row>
    <row r="359" spans="2:34">
      <c r="B359" s="25"/>
      <c r="C359" s="315"/>
      <c r="D359" s="26"/>
      <c r="I359" s="27"/>
      <c r="AB359" s="25"/>
      <c r="AF359" s="28"/>
      <c r="AG359" s="195"/>
      <c r="AH359" s="29"/>
    </row>
    <row r="360" spans="2:34">
      <c r="B360" s="25"/>
      <c r="C360" s="315"/>
      <c r="D360" s="26"/>
      <c r="I360" s="27"/>
      <c r="AB360" s="25"/>
      <c r="AF360" s="28"/>
      <c r="AG360" s="195"/>
      <c r="AH360" s="29"/>
    </row>
    <row r="361" spans="2:34">
      <c r="B361" s="25"/>
      <c r="C361" s="315"/>
      <c r="D361" s="26"/>
      <c r="I361" s="27"/>
      <c r="AB361" s="25"/>
      <c r="AF361" s="28"/>
      <c r="AG361" s="195"/>
      <c r="AH361" s="29"/>
    </row>
    <row r="362" spans="2:34">
      <c r="B362" s="25"/>
      <c r="C362" s="315"/>
      <c r="D362" s="26"/>
      <c r="I362" s="27"/>
      <c r="AB362" s="25"/>
      <c r="AF362" s="28"/>
      <c r="AG362" s="195"/>
      <c r="AH362" s="29"/>
    </row>
    <row r="363" spans="2:34">
      <c r="B363" s="25"/>
      <c r="C363" s="315"/>
      <c r="D363" s="26"/>
      <c r="I363" s="27"/>
      <c r="AB363" s="25"/>
      <c r="AF363" s="28"/>
      <c r="AG363" s="195"/>
      <c r="AH363" s="29"/>
    </row>
    <row r="364" spans="2:34">
      <c r="B364" s="25"/>
      <c r="C364" s="315"/>
      <c r="D364" s="26"/>
      <c r="I364" s="27"/>
      <c r="AB364" s="25"/>
      <c r="AF364" s="28"/>
      <c r="AG364" s="195"/>
      <c r="AH364" s="29"/>
    </row>
    <row r="365" spans="2:34">
      <c r="B365" s="25"/>
      <c r="C365" s="315"/>
      <c r="D365" s="26"/>
      <c r="I365" s="27"/>
      <c r="AB365" s="25"/>
      <c r="AF365" s="28"/>
      <c r="AG365" s="195"/>
      <c r="AH365" s="29"/>
    </row>
    <row r="366" spans="2:34">
      <c r="B366" s="25"/>
      <c r="C366" s="315"/>
      <c r="D366" s="26"/>
      <c r="I366" s="27"/>
      <c r="AB366" s="25"/>
      <c r="AF366" s="28"/>
      <c r="AG366" s="195"/>
      <c r="AH366" s="29"/>
    </row>
    <row r="367" spans="2:34">
      <c r="B367" s="25"/>
      <c r="C367" s="315"/>
      <c r="D367" s="26"/>
      <c r="I367" s="27"/>
      <c r="AB367" s="25"/>
      <c r="AF367" s="28"/>
      <c r="AG367" s="195"/>
      <c r="AH367" s="29"/>
    </row>
    <row r="368" spans="2:34">
      <c r="B368" s="25"/>
      <c r="C368" s="315"/>
      <c r="D368" s="26"/>
      <c r="I368" s="27"/>
      <c r="AB368" s="25"/>
      <c r="AF368" s="28"/>
      <c r="AG368" s="195"/>
      <c r="AH368" s="29"/>
    </row>
    <row r="369" spans="2:34">
      <c r="B369" s="25"/>
      <c r="C369" s="315"/>
      <c r="D369" s="26"/>
      <c r="I369" s="27"/>
      <c r="AB369" s="25"/>
      <c r="AF369" s="28"/>
      <c r="AG369" s="195"/>
      <c r="AH369" s="29"/>
    </row>
    <row r="370" spans="2:34">
      <c r="B370" s="25"/>
      <c r="C370" s="315"/>
      <c r="D370" s="26"/>
      <c r="I370" s="27"/>
      <c r="AB370" s="25"/>
      <c r="AF370" s="28"/>
      <c r="AG370" s="195"/>
      <c r="AH370" s="29"/>
    </row>
    <row r="371" spans="2:34">
      <c r="B371" s="25"/>
      <c r="C371" s="315"/>
      <c r="D371" s="26"/>
      <c r="I371" s="27"/>
      <c r="AB371" s="25"/>
      <c r="AF371" s="28"/>
      <c r="AG371" s="195"/>
      <c r="AH371" s="29"/>
    </row>
    <row r="372" spans="2:34">
      <c r="B372" s="25"/>
      <c r="C372" s="315"/>
      <c r="D372" s="26"/>
      <c r="I372" s="27"/>
      <c r="AB372" s="25"/>
      <c r="AF372" s="28"/>
      <c r="AG372" s="195"/>
      <c r="AH372" s="29"/>
    </row>
    <row r="373" spans="2:34">
      <c r="B373" s="25"/>
      <c r="C373" s="315"/>
      <c r="D373" s="26"/>
      <c r="I373" s="27"/>
      <c r="AB373" s="25"/>
      <c r="AF373" s="28"/>
      <c r="AG373" s="195"/>
      <c r="AH373" s="29"/>
    </row>
    <row r="374" spans="2:34">
      <c r="B374" s="25"/>
      <c r="C374" s="315"/>
      <c r="D374" s="26"/>
      <c r="I374" s="27"/>
      <c r="AB374" s="25"/>
      <c r="AF374" s="28"/>
      <c r="AG374" s="195"/>
      <c r="AH374" s="29"/>
    </row>
    <row r="375" spans="2:34">
      <c r="B375" s="25"/>
      <c r="C375" s="315"/>
      <c r="D375" s="26"/>
      <c r="I375" s="27"/>
      <c r="AB375" s="25"/>
      <c r="AF375" s="28"/>
      <c r="AG375" s="195"/>
      <c r="AH375" s="29"/>
    </row>
    <row r="376" spans="2:34">
      <c r="B376" s="25"/>
      <c r="C376" s="315"/>
      <c r="D376" s="26"/>
      <c r="I376" s="27"/>
      <c r="AB376" s="25"/>
      <c r="AF376" s="28"/>
      <c r="AG376" s="195"/>
      <c r="AH376" s="29"/>
    </row>
    <row r="377" spans="2:34">
      <c r="B377" s="25"/>
      <c r="C377" s="315"/>
      <c r="D377" s="26"/>
      <c r="I377" s="27"/>
      <c r="AB377" s="25"/>
      <c r="AF377" s="28"/>
      <c r="AG377" s="195"/>
      <c r="AH377" s="29"/>
    </row>
    <row r="378" spans="2:34">
      <c r="B378" s="25"/>
      <c r="C378" s="315"/>
      <c r="D378" s="26"/>
      <c r="I378" s="27"/>
      <c r="AB378" s="25"/>
      <c r="AF378" s="28"/>
      <c r="AG378" s="195"/>
      <c r="AH378" s="29"/>
    </row>
    <row r="379" spans="2:34">
      <c r="B379" s="25"/>
      <c r="C379" s="315"/>
      <c r="D379" s="26"/>
      <c r="I379" s="27"/>
      <c r="AB379" s="25"/>
      <c r="AF379" s="28"/>
      <c r="AG379" s="195"/>
      <c r="AH379" s="29"/>
    </row>
    <row r="380" spans="2:34">
      <c r="B380" s="25"/>
      <c r="C380" s="315"/>
      <c r="D380" s="26"/>
      <c r="I380" s="27"/>
      <c r="AB380" s="25"/>
      <c r="AF380" s="28"/>
      <c r="AG380" s="195"/>
      <c r="AH380" s="29"/>
    </row>
    <row r="381" spans="2:34">
      <c r="B381" s="25"/>
      <c r="C381" s="315"/>
      <c r="D381" s="26"/>
      <c r="I381" s="27"/>
      <c r="AB381" s="25"/>
      <c r="AF381" s="28"/>
      <c r="AG381" s="195"/>
      <c r="AH381" s="29"/>
    </row>
    <row r="382" spans="2:34">
      <c r="B382" s="25"/>
      <c r="C382" s="315"/>
      <c r="D382" s="26"/>
      <c r="I382" s="27"/>
      <c r="AB382" s="25"/>
      <c r="AF382" s="28"/>
      <c r="AG382" s="195"/>
      <c r="AH382" s="29"/>
    </row>
    <row r="383" spans="2:34">
      <c r="B383" s="25"/>
      <c r="C383" s="315"/>
      <c r="D383" s="26"/>
      <c r="I383" s="27"/>
      <c r="AB383" s="25"/>
      <c r="AF383" s="28"/>
      <c r="AG383" s="195"/>
      <c r="AH383" s="29"/>
    </row>
    <row r="384" spans="2:34">
      <c r="B384" s="25"/>
      <c r="C384" s="315"/>
      <c r="D384" s="26"/>
      <c r="I384" s="27"/>
      <c r="AB384" s="25"/>
      <c r="AF384" s="28"/>
      <c r="AG384" s="195"/>
      <c r="AH384" s="29"/>
    </row>
    <row r="385" spans="2:34">
      <c r="B385" s="25"/>
      <c r="C385" s="315"/>
      <c r="D385" s="26"/>
      <c r="I385" s="27"/>
      <c r="AB385" s="25"/>
      <c r="AF385" s="28"/>
      <c r="AG385" s="195"/>
      <c r="AH385" s="29"/>
    </row>
    <row r="386" spans="2:34">
      <c r="B386" s="25"/>
      <c r="C386" s="315"/>
      <c r="D386" s="26"/>
      <c r="I386" s="27"/>
      <c r="AB386" s="25"/>
      <c r="AF386" s="28"/>
      <c r="AG386" s="195"/>
      <c r="AH386" s="29"/>
    </row>
    <row r="387" spans="2:34">
      <c r="B387" s="25"/>
      <c r="C387" s="315"/>
      <c r="D387" s="26"/>
      <c r="I387" s="27"/>
      <c r="AB387" s="25"/>
      <c r="AF387" s="28"/>
      <c r="AG387" s="195"/>
      <c r="AH387" s="29"/>
    </row>
    <row r="388" spans="2:34">
      <c r="B388" s="25"/>
      <c r="C388" s="315"/>
      <c r="D388" s="26"/>
      <c r="I388" s="27"/>
      <c r="AB388" s="25"/>
      <c r="AF388" s="28"/>
      <c r="AG388" s="195"/>
      <c r="AH388" s="29"/>
    </row>
    <row r="389" spans="2:34">
      <c r="B389" s="25"/>
      <c r="C389" s="315"/>
      <c r="D389" s="26"/>
      <c r="I389" s="27"/>
      <c r="AB389" s="25"/>
      <c r="AF389" s="28"/>
      <c r="AG389" s="195"/>
      <c r="AH389" s="29"/>
    </row>
    <row r="390" spans="2:34">
      <c r="B390" s="25"/>
      <c r="C390" s="315"/>
      <c r="D390" s="26"/>
      <c r="I390" s="27"/>
      <c r="AB390" s="25"/>
      <c r="AF390" s="28"/>
      <c r="AG390" s="195"/>
      <c r="AH390" s="29"/>
    </row>
    <row r="391" spans="2:34">
      <c r="B391" s="25"/>
      <c r="C391" s="315"/>
      <c r="D391" s="26"/>
      <c r="I391" s="27"/>
      <c r="AB391" s="25"/>
      <c r="AF391" s="28"/>
      <c r="AG391" s="195"/>
      <c r="AH391" s="29"/>
    </row>
    <row r="392" spans="2:34">
      <c r="B392" s="25"/>
      <c r="C392" s="315"/>
      <c r="D392" s="26"/>
      <c r="I392" s="27"/>
      <c r="AB392" s="25"/>
      <c r="AF392" s="28"/>
      <c r="AG392" s="195"/>
      <c r="AH392" s="29"/>
    </row>
    <row r="393" spans="2:34">
      <c r="B393" s="25"/>
      <c r="C393" s="315"/>
      <c r="D393" s="26"/>
      <c r="I393" s="27"/>
      <c r="AB393" s="25"/>
      <c r="AF393" s="28"/>
      <c r="AG393" s="195"/>
      <c r="AH393" s="29"/>
    </row>
    <row r="394" spans="2:34">
      <c r="B394" s="25"/>
      <c r="C394" s="315"/>
      <c r="D394" s="26"/>
      <c r="I394" s="27"/>
      <c r="AB394" s="25"/>
      <c r="AF394" s="28"/>
      <c r="AG394" s="195"/>
      <c r="AH394" s="29"/>
    </row>
    <row r="395" spans="2:34">
      <c r="B395" s="25"/>
      <c r="C395" s="315"/>
      <c r="D395" s="26"/>
      <c r="I395" s="27"/>
      <c r="AB395" s="25"/>
      <c r="AF395" s="28"/>
      <c r="AG395" s="195"/>
      <c r="AH395" s="29"/>
    </row>
    <row r="396" spans="2:34">
      <c r="B396" s="25"/>
      <c r="C396" s="315"/>
      <c r="D396" s="26"/>
      <c r="I396" s="27"/>
      <c r="AB396" s="25"/>
      <c r="AF396" s="28"/>
      <c r="AG396" s="195"/>
      <c r="AH396" s="29"/>
    </row>
    <row r="397" spans="2:34">
      <c r="B397" s="25"/>
      <c r="C397" s="315"/>
      <c r="D397" s="26"/>
      <c r="I397" s="27"/>
      <c r="AB397" s="25"/>
      <c r="AF397" s="28"/>
      <c r="AG397" s="195"/>
      <c r="AH397" s="29"/>
    </row>
    <row r="398" spans="2:34">
      <c r="B398" s="25"/>
      <c r="C398" s="315"/>
      <c r="D398" s="26"/>
      <c r="I398" s="27"/>
      <c r="AB398" s="25"/>
      <c r="AF398" s="28"/>
      <c r="AG398" s="195"/>
      <c r="AH398" s="29"/>
    </row>
    <row r="399" spans="2:34">
      <c r="B399" s="25"/>
      <c r="C399" s="315"/>
      <c r="D399" s="26"/>
      <c r="I399" s="27"/>
      <c r="AB399" s="25"/>
      <c r="AF399" s="28"/>
      <c r="AG399" s="195"/>
      <c r="AH399" s="29"/>
    </row>
    <row r="400" spans="2:34">
      <c r="B400" s="25"/>
      <c r="C400" s="315"/>
      <c r="D400" s="26"/>
      <c r="I400" s="27"/>
      <c r="AB400" s="25"/>
      <c r="AF400" s="28"/>
      <c r="AG400" s="195"/>
      <c r="AH400" s="29"/>
    </row>
    <row r="401" spans="2:34">
      <c r="B401" s="25"/>
      <c r="C401" s="315"/>
      <c r="D401" s="26"/>
      <c r="I401" s="27"/>
      <c r="AB401" s="25"/>
      <c r="AF401" s="28"/>
      <c r="AG401" s="195"/>
      <c r="AH401" s="29"/>
    </row>
    <row r="402" spans="2:34">
      <c r="B402" s="25"/>
      <c r="C402" s="315"/>
      <c r="D402" s="26"/>
      <c r="I402" s="27"/>
      <c r="AB402" s="25"/>
      <c r="AF402" s="28"/>
      <c r="AG402" s="195"/>
      <c r="AH402" s="29"/>
    </row>
    <row r="403" spans="2:34">
      <c r="B403" s="25"/>
      <c r="C403" s="315"/>
      <c r="D403" s="26"/>
      <c r="I403" s="27"/>
      <c r="AB403" s="25"/>
      <c r="AF403" s="28"/>
      <c r="AG403" s="195"/>
      <c r="AH403" s="29"/>
    </row>
    <row r="404" spans="2:34">
      <c r="B404" s="25"/>
      <c r="C404" s="315"/>
      <c r="D404" s="26"/>
      <c r="I404" s="27"/>
      <c r="AB404" s="25"/>
      <c r="AF404" s="28"/>
      <c r="AG404" s="195"/>
      <c r="AH404" s="29"/>
    </row>
    <row r="405" spans="2:34">
      <c r="B405" s="25"/>
      <c r="C405" s="315"/>
      <c r="D405" s="26"/>
      <c r="I405" s="27"/>
      <c r="AB405" s="25"/>
      <c r="AF405" s="28"/>
      <c r="AG405" s="195"/>
      <c r="AH405" s="29"/>
    </row>
    <row r="406" spans="2:34">
      <c r="B406" s="25"/>
      <c r="C406" s="315"/>
      <c r="D406" s="26"/>
      <c r="I406" s="27"/>
      <c r="AB406" s="25"/>
      <c r="AF406" s="28"/>
      <c r="AG406" s="195"/>
      <c r="AH406" s="29"/>
    </row>
    <row r="407" spans="2:34">
      <c r="B407" s="25"/>
      <c r="C407" s="315"/>
      <c r="D407" s="26"/>
      <c r="I407" s="27"/>
      <c r="AB407" s="25"/>
      <c r="AF407" s="28"/>
      <c r="AG407" s="195"/>
      <c r="AH407" s="29"/>
    </row>
    <row r="408" spans="2:34">
      <c r="B408" s="25"/>
      <c r="C408" s="315"/>
      <c r="D408" s="26"/>
      <c r="I408" s="27"/>
      <c r="AB408" s="25"/>
      <c r="AF408" s="28"/>
      <c r="AG408" s="195"/>
      <c r="AH408" s="29"/>
    </row>
    <row r="409" spans="2:34">
      <c r="B409" s="25"/>
      <c r="C409" s="315"/>
      <c r="D409" s="26"/>
      <c r="I409" s="27"/>
      <c r="AB409" s="25"/>
      <c r="AF409" s="28"/>
      <c r="AG409" s="195"/>
      <c r="AH409" s="29"/>
    </row>
    <row r="410" spans="2:34">
      <c r="B410" s="25"/>
      <c r="C410" s="315"/>
      <c r="D410" s="26"/>
      <c r="I410" s="27"/>
      <c r="AB410" s="25"/>
      <c r="AF410" s="28"/>
      <c r="AG410" s="195"/>
      <c r="AH410" s="29"/>
    </row>
    <row r="411" spans="2:34">
      <c r="B411" s="25"/>
      <c r="C411" s="315"/>
      <c r="D411" s="26"/>
      <c r="I411" s="27"/>
      <c r="AB411" s="25"/>
      <c r="AF411" s="28"/>
      <c r="AG411" s="195"/>
      <c r="AH411" s="29"/>
    </row>
    <row r="412" spans="2:34">
      <c r="B412" s="25"/>
      <c r="C412" s="315"/>
      <c r="D412" s="26"/>
      <c r="I412" s="27"/>
      <c r="AB412" s="25"/>
      <c r="AF412" s="28"/>
      <c r="AG412" s="195"/>
      <c r="AH412" s="29"/>
    </row>
    <row r="413" spans="2:34">
      <c r="B413" s="25"/>
      <c r="C413" s="315"/>
      <c r="D413" s="26"/>
      <c r="I413" s="27"/>
      <c r="AB413" s="25"/>
      <c r="AF413" s="28"/>
      <c r="AG413" s="195"/>
      <c r="AH413" s="29"/>
    </row>
    <row r="414" spans="2:34">
      <c r="B414" s="25"/>
      <c r="C414" s="315"/>
      <c r="D414" s="26"/>
      <c r="I414" s="27"/>
      <c r="AB414" s="25"/>
      <c r="AF414" s="28"/>
      <c r="AG414" s="195"/>
      <c r="AH414" s="29"/>
    </row>
    <row r="415" spans="2:34">
      <c r="B415" s="25"/>
      <c r="C415" s="315"/>
      <c r="D415" s="26"/>
      <c r="I415" s="27"/>
      <c r="AB415" s="25"/>
      <c r="AF415" s="28"/>
      <c r="AG415" s="195"/>
      <c r="AH415" s="29"/>
    </row>
    <row r="416" spans="2:34">
      <c r="B416" s="25"/>
      <c r="C416" s="315"/>
      <c r="D416" s="26"/>
      <c r="I416" s="27"/>
      <c r="AB416" s="25"/>
      <c r="AF416" s="28"/>
      <c r="AG416" s="195"/>
      <c r="AH416" s="29"/>
    </row>
    <row r="417" spans="2:34">
      <c r="B417" s="25"/>
      <c r="C417" s="315"/>
      <c r="D417" s="26"/>
      <c r="I417" s="27"/>
      <c r="AB417" s="25"/>
      <c r="AF417" s="28"/>
      <c r="AG417" s="195"/>
      <c r="AH417" s="29"/>
    </row>
    <row r="418" spans="2:34">
      <c r="B418" s="25"/>
      <c r="C418" s="315"/>
      <c r="D418" s="26"/>
      <c r="I418" s="27"/>
      <c r="AB418" s="25"/>
      <c r="AF418" s="28"/>
      <c r="AG418" s="195"/>
      <c r="AH418" s="29"/>
    </row>
    <row r="419" spans="2:34">
      <c r="B419" s="25"/>
      <c r="C419" s="315"/>
      <c r="D419" s="26"/>
      <c r="I419" s="27"/>
      <c r="AB419" s="25"/>
      <c r="AF419" s="28"/>
      <c r="AG419" s="195"/>
      <c r="AH419" s="29"/>
    </row>
    <row r="420" spans="2:34">
      <c r="B420" s="25"/>
      <c r="C420" s="315"/>
      <c r="D420" s="26"/>
      <c r="I420" s="27"/>
      <c r="AB420" s="25"/>
      <c r="AF420" s="28"/>
      <c r="AG420" s="195"/>
      <c r="AH420" s="29"/>
    </row>
    <row r="421" spans="2:34">
      <c r="B421" s="25"/>
      <c r="C421" s="315"/>
      <c r="D421" s="26"/>
      <c r="I421" s="27"/>
      <c r="AB421" s="25"/>
      <c r="AF421" s="28"/>
      <c r="AG421" s="195"/>
      <c r="AH421" s="29"/>
    </row>
    <row r="422" spans="2:34">
      <c r="B422" s="25"/>
      <c r="C422" s="315"/>
      <c r="D422" s="26"/>
      <c r="I422" s="27"/>
      <c r="AB422" s="25"/>
      <c r="AF422" s="28"/>
      <c r="AG422" s="195"/>
      <c r="AH422" s="29"/>
    </row>
    <row r="423" spans="2:34">
      <c r="B423" s="25"/>
      <c r="C423" s="315"/>
      <c r="D423" s="26"/>
      <c r="I423" s="27"/>
      <c r="AB423" s="25"/>
      <c r="AF423" s="28"/>
      <c r="AG423" s="195"/>
      <c r="AH423" s="29"/>
    </row>
    <row r="424" spans="2:34">
      <c r="B424" s="25"/>
      <c r="C424" s="315"/>
      <c r="D424" s="26"/>
      <c r="I424" s="27"/>
      <c r="AB424" s="25"/>
      <c r="AF424" s="28"/>
      <c r="AG424" s="195"/>
      <c r="AH424" s="29"/>
    </row>
    <row r="425" spans="2:34">
      <c r="B425" s="25"/>
      <c r="C425" s="315"/>
      <c r="D425" s="26"/>
      <c r="I425" s="27"/>
      <c r="AB425" s="25"/>
      <c r="AF425" s="28"/>
      <c r="AG425" s="195"/>
      <c r="AH425" s="29"/>
    </row>
    <row r="426" spans="2:34">
      <c r="B426" s="25"/>
      <c r="C426" s="315"/>
      <c r="D426" s="26"/>
      <c r="I426" s="27"/>
      <c r="AB426" s="25"/>
      <c r="AF426" s="28"/>
      <c r="AG426" s="195"/>
      <c r="AH426" s="29"/>
    </row>
    <row r="427" spans="2:34">
      <c r="B427" s="25"/>
      <c r="C427" s="315"/>
      <c r="D427" s="26"/>
      <c r="I427" s="27"/>
      <c r="AB427" s="25"/>
      <c r="AF427" s="28"/>
      <c r="AG427" s="195"/>
      <c r="AH427" s="29"/>
    </row>
    <row r="428" spans="2:34">
      <c r="B428" s="25"/>
      <c r="C428" s="315"/>
      <c r="D428" s="26"/>
      <c r="I428" s="27"/>
      <c r="AB428" s="25"/>
      <c r="AF428" s="28"/>
      <c r="AG428" s="195"/>
      <c r="AH428" s="29"/>
    </row>
    <row r="429" spans="2:34">
      <c r="B429" s="25"/>
      <c r="C429" s="315"/>
      <c r="D429" s="26"/>
      <c r="I429" s="27"/>
      <c r="AB429" s="25"/>
      <c r="AF429" s="28"/>
      <c r="AG429" s="195"/>
      <c r="AH429" s="29"/>
    </row>
    <row r="430" spans="2:34">
      <c r="B430" s="25"/>
      <c r="C430" s="315"/>
      <c r="D430" s="26"/>
      <c r="I430" s="27"/>
      <c r="AB430" s="25"/>
      <c r="AF430" s="28"/>
      <c r="AG430" s="195"/>
      <c r="AH430" s="29"/>
    </row>
    <row r="431" spans="2:34">
      <c r="B431" s="25"/>
      <c r="C431" s="315"/>
      <c r="D431" s="26"/>
      <c r="I431" s="27"/>
      <c r="AB431" s="25"/>
      <c r="AF431" s="28"/>
      <c r="AG431" s="195"/>
      <c r="AH431" s="29"/>
    </row>
    <row r="432" spans="2:34">
      <c r="B432" s="25"/>
      <c r="C432" s="315"/>
      <c r="D432" s="26"/>
      <c r="I432" s="27"/>
      <c r="AB432" s="25"/>
      <c r="AF432" s="28"/>
      <c r="AG432" s="195"/>
      <c r="AH432" s="29"/>
    </row>
    <row r="433" spans="2:34">
      <c r="B433" s="25"/>
      <c r="C433" s="315"/>
      <c r="D433" s="26"/>
      <c r="I433" s="27"/>
      <c r="AB433" s="25"/>
      <c r="AF433" s="28"/>
      <c r="AG433" s="195"/>
      <c r="AH433" s="29"/>
    </row>
    <row r="434" spans="2:34">
      <c r="B434" s="25"/>
      <c r="C434" s="315"/>
      <c r="D434" s="26"/>
      <c r="I434" s="27"/>
      <c r="AB434" s="25"/>
      <c r="AF434" s="28"/>
      <c r="AG434" s="195"/>
      <c r="AH434" s="29"/>
    </row>
    <row r="435" spans="2:34">
      <c r="B435" s="25"/>
      <c r="C435" s="315"/>
      <c r="D435" s="26"/>
      <c r="I435" s="27"/>
      <c r="AB435" s="25"/>
      <c r="AF435" s="28"/>
      <c r="AG435" s="195"/>
      <c r="AH435" s="29"/>
    </row>
    <row r="436" spans="2:34">
      <c r="B436" s="25"/>
      <c r="C436" s="315"/>
      <c r="D436" s="26"/>
      <c r="I436" s="27"/>
      <c r="AB436" s="25"/>
      <c r="AF436" s="28"/>
      <c r="AG436" s="195"/>
      <c r="AH436" s="29"/>
    </row>
    <row r="437" spans="2:34">
      <c r="B437" s="25"/>
      <c r="C437" s="315"/>
      <c r="D437" s="26"/>
      <c r="I437" s="27"/>
      <c r="AB437" s="25"/>
      <c r="AF437" s="28"/>
      <c r="AG437" s="195"/>
      <c r="AH437" s="29"/>
    </row>
    <row r="438" spans="2:34">
      <c r="B438" s="25"/>
      <c r="C438" s="315"/>
      <c r="D438" s="26"/>
      <c r="I438" s="27"/>
      <c r="AB438" s="25"/>
      <c r="AF438" s="28"/>
      <c r="AG438" s="195"/>
      <c r="AH438" s="29"/>
    </row>
    <row r="439" spans="2:34">
      <c r="B439" s="25"/>
      <c r="C439" s="315"/>
      <c r="D439" s="26"/>
      <c r="I439" s="27"/>
      <c r="AB439" s="25"/>
      <c r="AF439" s="28"/>
      <c r="AG439" s="195"/>
      <c r="AH439" s="29"/>
    </row>
    <row r="440" spans="2:34">
      <c r="B440" s="25"/>
      <c r="C440" s="315"/>
      <c r="D440" s="26"/>
      <c r="I440" s="27"/>
      <c r="AB440" s="25"/>
      <c r="AF440" s="28"/>
      <c r="AG440" s="195"/>
      <c r="AH440" s="29"/>
    </row>
    <row r="441" spans="2:34">
      <c r="B441" s="25"/>
      <c r="C441" s="315"/>
      <c r="D441" s="26"/>
      <c r="I441" s="27"/>
      <c r="AB441" s="25"/>
      <c r="AF441" s="28"/>
      <c r="AG441" s="195"/>
      <c r="AH441" s="29"/>
    </row>
    <row r="442" spans="2:34">
      <c r="B442" s="25"/>
      <c r="C442" s="315"/>
      <c r="D442" s="26"/>
      <c r="I442" s="27"/>
      <c r="AB442" s="25"/>
      <c r="AF442" s="28"/>
      <c r="AG442" s="195"/>
      <c r="AH442" s="29"/>
    </row>
    <row r="443" spans="2:34">
      <c r="B443" s="25"/>
      <c r="C443" s="315"/>
      <c r="D443" s="26"/>
      <c r="I443" s="27"/>
      <c r="AB443" s="25"/>
      <c r="AF443" s="28"/>
      <c r="AG443" s="195"/>
      <c r="AH443" s="29"/>
    </row>
    <row r="444" spans="2:34">
      <c r="B444" s="25"/>
      <c r="C444" s="315"/>
      <c r="D444" s="26"/>
      <c r="I444" s="27"/>
      <c r="AB444" s="25"/>
      <c r="AF444" s="28"/>
      <c r="AG444" s="195"/>
      <c r="AH444" s="29"/>
    </row>
    <row r="445" spans="2:34">
      <c r="B445" s="25"/>
      <c r="C445" s="315"/>
      <c r="D445" s="26"/>
      <c r="I445" s="27"/>
      <c r="AB445" s="25"/>
      <c r="AF445" s="28"/>
      <c r="AG445" s="195"/>
      <c r="AH445" s="29"/>
    </row>
    <row r="446" spans="2:34">
      <c r="B446" s="25"/>
      <c r="C446" s="315"/>
      <c r="D446" s="26"/>
      <c r="I446" s="27"/>
      <c r="AB446" s="25"/>
      <c r="AF446" s="28"/>
      <c r="AG446" s="195"/>
      <c r="AH446" s="29"/>
    </row>
    <row r="447" spans="2:34">
      <c r="B447" s="25"/>
      <c r="C447" s="315"/>
      <c r="D447" s="26"/>
      <c r="I447" s="27"/>
      <c r="AB447" s="25"/>
      <c r="AF447" s="28"/>
      <c r="AG447" s="195"/>
      <c r="AH447" s="29"/>
    </row>
    <row r="448" spans="2:34">
      <c r="B448" s="25"/>
      <c r="C448" s="315"/>
      <c r="D448" s="26"/>
      <c r="I448" s="27"/>
      <c r="AB448" s="25"/>
      <c r="AF448" s="28"/>
      <c r="AG448" s="195"/>
      <c r="AH448" s="29"/>
    </row>
    <row r="449" spans="2:34">
      <c r="B449" s="25"/>
      <c r="C449" s="315"/>
      <c r="D449" s="26"/>
      <c r="I449" s="27"/>
      <c r="AB449" s="25"/>
      <c r="AF449" s="28"/>
      <c r="AG449" s="195"/>
      <c r="AH449" s="29"/>
    </row>
    <row r="450" spans="2:34">
      <c r="B450" s="25"/>
      <c r="C450" s="315"/>
      <c r="D450" s="26"/>
      <c r="I450" s="27"/>
      <c r="AB450" s="25"/>
      <c r="AF450" s="28"/>
      <c r="AG450" s="195"/>
      <c r="AH450" s="29"/>
    </row>
    <row r="451" spans="2:34">
      <c r="B451" s="25"/>
      <c r="C451" s="315"/>
      <c r="D451" s="26"/>
      <c r="I451" s="27"/>
      <c r="AB451" s="25"/>
      <c r="AF451" s="28"/>
      <c r="AG451" s="195"/>
      <c r="AH451" s="29"/>
    </row>
    <row r="452" spans="2:34">
      <c r="B452" s="25"/>
      <c r="C452" s="315"/>
      <c r="D452" s="26"/>
      <c r="I452" s="27"/>
      <c r="AB452" s="25"/>
      <c r="AF452" s="28"/>
      <c r="AG452" s="195"/>
      <c r="AH452" s="29"/>
    </row>
    <row r="453" spans="2:34">
      <c r="B453" s="25"/>
      <c r="C453" s="315"/>
      <c r="D453" s="26"/>
      <c r="I453" s="27"/>
      <c r="AB453" s="25"/>
      <c r="AF453" s="28"/>
      <c r="AG453" s="195"/>
      <c r="AH453" s="29"/>
    </row>
    <row r="454" spans="2:34">
      <c r="B454" s="25"/>
      <c r="C454" s="315"/>
      <c r="D454" s="26"/>
      <c r="I454" s="27"/>
      <c r="AB454" s="25"/>
      <c r="AF454" s="28"/>
      <c r="AG454" s="195"/>
      <c r="AH454" s="29"/>
    </row>
    <row r="455" spans="2:34">
      <c r="B455" s="25"/>
      <c r="C455" s="315"/>
      <c r="D455" s="26"/>
      <c r="I455" s="27"/>
      <c r="AB455" s="25"/>
      <c r="AF455" s="28"/>
      <c r="AG455" s="195"/>
      <c r="AH455" s="29"/>
    </row>
    <row r="456" spans="2:34">
      <c r="B456" s="25"/>
      <c r="C456" s="315"/>
      <c r="D456" s="26"/>
      <c r="I456" s="27"/>
      <c r="AB456" s="25"/>
      <c r="AF456" s="28"/>
      <c r="AG456" s="195"/>
      <c r="AH456" s="29"/>
    </row>
    <row r="457" spans="2:34">
      <c r="B457" s="25"/>
      <c r="C457" s="315"/>
      <c r="D457" s="26"/>
      <c r="I457" s="27"/>
      <c r="AB457" s="25"/>
      <c r="AF457" s="28"/>
      <c r="AG457" s="195"/>
      <c r="AH457" s="29"/>
    </row>
    <row r="458" spans="2:34">
      <c r="B458" s="25"/>
      <c r="C458" s="315"/>
      <c r="D458" s="26"/>
      <c r="I458" s="27"/>
      <c r="AB458" s="25"/>
      <c r="AF458" s="28"/>
      <c r="AG458" s="195"/>
      <c r="AH458" s="29"/>
    </row>
    <row r="459" spans="2:34">
      <c r="B459" s="25"/>
      <c r="C459" s="315"/>
      <c r="D459" s="26"/>
      <c r="I459" s="27"/>
      <c r="AB459" s="25"/>
      <c r="AF459" s="28"/>
      <c r="AG459" s="195"/>
      <c r="AH459" s="29"/>
    </row>
    <row r="460" spans="2:34">
      <c r="B460" s="25"/>
      <c r="C460" s="315"/>
      <c r="D460" s="26"/>
      <c r="I460" s="27"/>
      <c r="AB460" s="25"/>
      <c r="AF460" s="28"/>
      <c r="AG460" s="195"/>
      <c r="AH460" s="29"/>
    </row>
    <row r="461" spans="2:34">
      <c r="B461" s="25"/>
      <c r="C461" s="315"/>
      <c r="D461" s="26"/>
      <c r="I461" s="27"/>
      <c r="AB461" s="25"/>
      <c r="AF461" s="28"/>
      <c r="AG461" s="195"/>
      <c r="AH461" s="29"/>
    </row>
    <row r="462" spans="2:34">
      <c r="B462" s="25"/>
      <c r="C462" s="315"/>
      <c r="D462" s="26"/>
      <c r="I462" s="27"/>
      <c r="AB462" s="25"/>
      <c r="AF462" s="28"/>
      <c r="AG462" s="195"/>
      <c r="AH462" s="29"/>
    </row>
    <row r="463" spans="2:34">
      <c r="B463" s="25"/>
      <c r="C463" s="315"/>
      <c r="D463" s="26"/>
      <c r="I463" s="27"/>
      <c r="AB463" s="25"/>
      <c r="AF463" s="28"/>
      <c r="AG463" s="195"/>
      <c r="AH463" s="29"/>
    </row>
    <row r="464" spans="2:34">
      <c r="B464" s="25"/>
      <c r="C464" s="315"/>
      <c r="D464" s="26"/>
      <c r="I464" s="27"/>
      <c r="AB464" s="25"/>
      <c r="AF464" s="28"/>
      <c r="AG464" s="195"/>
      <c r="AH464" s="29"/>
    </row>
    <row r="465" spans="2:34">
      <c r="B465" s="25"/>
      <c r="C465" s="315"/>
      <c r="D465" s="26"/>
      <c r="I465" s="27"/>
      <c r="AB465" s="25"/>
      <c r="AF465" s="28"/>
      <c r="AG465" s="195"/>
      <c r="AH465" s="29"/>
    </row>
    <row r="466" spans="2:34">
      <c r="B466" s="25"/>
      <c r="C466" s="315"/>
      <c r="D466" s="26"/>
      <c r="I466" s="27"/>
      <c r="AB466" s="25"/>
      <c r="AF466" s="28"/>
      <c r="AG466" s="195"/>
      <c r="AH466" s="29"/>
    </row>
    <row r="467" spans="2:34">
      <c r="B467" s="25"/>
      <c r="C467" s="315"/>
      <c r="D467" s="26"/>
      <c r="I467" s="27"/>
      <c r="AB467" s="25"/>
      <c r="AF467" s="28"/>
      <c r="AG467" s="195"/>
      <c r="AH467" s="29"/>
    </row>
    <row r="468" spans="2:34">
      <c r="B468" s="25"/>
      <c r="C468" s="315"/>
      <c r="D468" s="26"/>
      <c r="I468" s="27"/>
      <c r="AB468" s="25"/>
      <c r="AF468" s="28"/>
      <c r="AG468" s="195"/>
      <c r="AH468" s="29"/>
    </row>
    <row r="469" spans="2:34">
      <c r="B469" s="25"/>
      <c r="C469" s="315"/>
      <c r="D469" s="26"/>
      <c r="I469" s="27"/>
      <c r="AB469" s="25"/>
      <c r="AF469" s="28"/>
      <c r="AG469" s="195"/>
      <c r="AH469" s="29"/>
    </row>
    <row r="470" spans="2:34">
      <c r="B470" s="25"/>
      <c r="C470" s="315"/>
      <c r="D470" s="26"/>
      <c r="I470" s="27"/>
      <c r="AB470" s="25"/>
      <c r="AF470" s="28"/>
      <c r="AG470" s="195"/>
      <c r="AH470" s="29"/>
    </row>
    <row r="471" spans="2:34">
      <c r="B471" s="25"/>
      <c r="C471" s="315"/>
      <c r="D471" s="26"/>
      <c r="I471" s="27"/>
      <c r="AB471" s="25"/>
      <c r="AF471" s="28"/>
      <c r="AG471" s="195"/>
      <c r="AH471" s="29"/>
    </row>
    <row r="472" spans="2:34">
      <c r="B472" s="25"/>
      <c r="C472" s="315"/>
      <c r="D472" s="26"/>
      <c r="I472" s="27"/>
      <c r="AB472" s="25"/>
      <c r="AF472" s="28"/>
      <c r="AG472" s="195"/>
      <c r="AH472" s="29"/>
    </row>
    <row r="473" spans="2:34">
      <c r="B473" s="25"/>
      <c r="C473" s="315"/>
      <c r="D473" s="26"/>
      <c r="I473" s="27"/>
      <c r="AB473" s="25"/>
      <c r="AF473" s="28"/>
      <c r="AG473" s="195"/>
      <c r="AH473" s="29"/>
    </row>
    <row r="474" spans="2:34">
      <c r="B474" s="25"/>
      <c r="C474" s="315"/>
      <c r="D474" s="26"/>
      <c r="I474" s="27"/>
      <c r="AB474" s="25"/>
      <c r="AF474" s="28"/>
      <c r="AG474" s="195"/>
      <c r="AH474" s="29"/>
    </row>
    <row r="475" spans="2:34">
      <c r="B475" s="25"/>
      <c r="C475" s="315"/>
      <c r="D475" s="26"/>
      <c r="I475" s="27"/>
      <c r="AB475" s="25"/>
      <c r="AF475" s="28"/>
      <c r="AG475" s="195"/>
      <c r="AH475" s="29"/>
    </row>
    <row r="476" spans="2:34">
      <c r="B476" s="25"/>
      <c r="C476" s="315"/>
      <c r="D476" s="26"/>
      <c r="I476" s="27"/>
      <c r="AB476" s="25"/>
      <c r="AF476" s="28"/>
      <c r="AG476" s="195"/>
      <c r="AH476" s="29"/>
    </row>
    <row r="477" spans="2:34">
      <c r="B477" s="25"/>
      <c r="C477" s="315"/>
      <c r="D477" s="26"/>
      <c r="I477" s="27"/>
      <c r="AB477" s="25"/>
      <c r="AF477" s="28"/>
      <c r="AG477" s="195"/>
      <c r="AH477" s="29"/>
    </row>
    <row r="478" spans="2:34">
      <c r="B478" s="25"/>
      <c r="C478" s="315"/>
      <c r="D478" s="26"/>
      <c r="I478" s="27"/>
      <c r="AB478" s="25"/>
      <c r="AF478" s="28"/>
      <c r="AG478" s="195"/>
      <c r="AH478" s="29"/>
    </row>
    <row r="479" spans="2:34">
      <c r="B479" s="25"/>
      <c r="C479" s="315"/>
      <c r="D479" s="26"/>
      <c r="I479" s="27"/>
      <c r="AB479" s="25"/>
      <c r="AF479" s="28"/>
      <c r="AG479" s="195"/>
      <c r="AH479" s="29"/>
    </row>
    <row r="480" spans="2:34">
      <c r="B480" s="25"/>
      <c r="C480" s="315"/>
      <c r="D480" s="26"/>
      <c r="I480" s="27"/>
      <c r="AB480" s="25"/>
      <c r="AF480" s="28"/>
      <c r="AG480" s="195"/>
      <c r="AH480" s="29"/>
    </row>
    <row r="481" spans="2:34">
      <c r="B481" s="25"/>
      <c r="C481" s="315"/>
      <c r="D481" s="26"/>
      <c r="I481" s="27"/>
      <c r="AB481" s="25"/>
      <c r="AF481" s="28"/>
      <c r="AG481" s="195"/>
      <c r="AH481" s="29"/>
    </row>
    <row r="482" spans="2:34">
      <c r="B482" s="25"/>
      <c r="C482" s="315"/>
      <c r="D482" s="26"/>
      <c r="I482" s="27"/>
      <c r="AB482" s="25"/>
      <c r="AF482" s="28"/>
      <c r="AG482" s="195"/>
      <c r="AH482" s="29"/>
    </row>
    <row r="483" spans="2:34">
      <c r="B483" s="25"/>
      <c r="C483" s="315"/>
      <c r="D483" s="26"/>
      <c r="I483" s="27"/>
      <c r="AB483" s="25"/>
      <c r="AF483" s="28"/>
      <c r="AG483" s="195"/>
      <c r="AH483" s="29"/>
    </row>
    <row r="484" spans="2:34">
      <c r="B484" s="25"/>
      <c r="C484" s="315"/>
      <c r="D484" s="26"/>
      <c r="I484" s="27"/>
      <c r="AB484" s="25"/>
      <c r="AF484" s="28"/>
      <c r="AG484" s="195"/>
      <c r="AH484" s="29"/>
    </row>
    <row r="485" spans="2:34">
      <c r="B485" s="25"/>
      <c r="C485" s="315"/>
      <c r="D485" s="26"/>
      <c r="I485" s="27"/>
      <c r="AB485" s="25"/>
      <c r="AF485" s="28"/>
      <c r="AG485" s="195"/>
      <c r="AH485" s="29"/>
    </row>
    <row r="486" spans="2:34">
      <c r="B486" s="25"/>
      <c r="C486" s="315"/>
      <c r="D486" s="26"/>
      <c r="I486" s="27"/>
      <c r="AB486" s="25"/>
      <c r="AF486" s="28"/>
      <c r="AG486" s="195"/>
      <c r="AH486" s="29"/>
    </row>
    <row r="487" spans="2:34">
      <c r="B487" s="25"/>
      <c r="C487" s="315"/>
      <c r="D487" s="26"/>
      <c r="I487" s="27"/>
      <c r="AB487" s="25"/>
      <c r="AF487" s="28"/>
      <c r="AG487" s="195"/>
      <c r="AH487" s="29"/>
    </row>
    <row r="488" spans="2:34">
      <c r="B488" s="25"/>
      <c r="C488" s="315"/>
      <c r="D488" s="26"/>
      <c r="I488" s="27"/>
      <c r="AB488" s="25"/>
      <c r="AF488" s="28"/>
      <c r="AG488" s="195"/>
      <c r="AH488" s="29"/>
    </row>
    <row r="489" spans="2:34">
      <c r="B489" s="25"/>
      <c r="C489" s="315"/>
      <c r="D489" s="26"/>
      <c r="I489" s="27"/>
      <c r="AB489" s="25"/>
      <c r="AF489" s="28"/>
      <c r="AG489" s="195"/>
      <c r="AH489" s="29"/>
    </row>
    <row r="490" spans="2:34">
      <c r="B490" s="25"/>
      <c r="C490" s="315"/>
      <c r="D490" s="26"/>
      <c r="I490" s="27"/>
      <c r="AB490" s="25"/>
      <c r="AF490" s="28"/>
      <c r="AG490" s="195"/>
      <c r="AH490" s="29"/>
    </row>
    <row r="491" spans="2:34">
      <c r="B491" s="25"/>
      <c r="C491" s="315"/>
      <c r="D491" s="26"/>
      <c r="I491" s="27"/>
      <c r="AB491" s="25"/>
      <c r="AF491" s="28"/>
      <c r="AG491" s="195"/>
      <c r="AH491" s="29"/>
    </row>
    <row r="492" spans="2:34">
      <c r="B492" s="25"/>
      <c r="C492" s="315"/>
      <c r="D492" s="26"/>
      <c r="I492" s="27"/>
      <c r="AB492" s="25"/>
      <c r="AF492" s="28"/>
      <c r="AG492" s="195"/>
      <c r="AH492" s="29"/>
    </row>
    <row r="493" spans="2:34">
      <c r="B493" s="25"/>
      <c r="C493" s="315"/>
      <c r="D493" s="26"/>
      <c r="I493" s="27"/>
      <c r="AB493" s="25"/>
      <c r="AF493" s="28"/>
      <c r="AG493" s="195"/>
      <c r="AH493" s="29"/>
    </row>
    <row r="494" spans="2:34">
      <c r="B494" s="25"/>
      <c r="C494" s="315"/>
      <c r="D494" s="26"/>
      <c r="I494" s="27"/>
      <c r="AB494" s="25"/>
      <c r="AF494" s="28"/>
      <c r="AG494" s="195"/>
      <c r="AH494" s="29"/>
    </row>
    <row r="495" spans="2:34">
      <c r="B495" s="25"/>
      <c r="C495" s="315"/>
      <c r="D495" s="26"/>
      <c r="I495" s="27"/>
      <c r="AB495" s="25"/>
      <c r="AF495" s="28"/>
      <c r="AG495" s="195"/>
      <c r="AH495" s="29"/>
    </row>
    <row r="496" spans="2:34">
      <c r="B496" s="25"/>
      <c r="C496" s="315"/>
      <c r="D496" s="26"/>
      <c r="I496" s="27"/>
      <c r="AB496" s="25"/>
      <c r="AF496" s="28"/>
      <c r="AG496" s="195"/>
      <c r="AH496" s="29"/>
    </row>
    <row r="497" spans="2:34">
      <c r="B497" s="25"/>
      <c r="C497" s="315"/>
      <c r="D497" s="26"/>
      <c r="I497" s="27"/>
      <c r="AB497" s="25"/>
      <c r="AF497" s="28"/>
      <c r="AG497" s="195"/>
      <c r="AH497" s="29"/>
    </row>
    <row r="498" spans="2:34">
      <c r="B498" s="25"/>
      <c r="C498" s="315"/>
      <c r="D498" s="26"/>
      <c r="I498" s="27"/>
      <c r="AB498" s="25"/>
      <c r="AF498" s="28"/>
      <c r="AG498" s="195"/>
      <c r="AH498" s="29"/>
    </row>
    <row r="499" spans="2:34">
      <c r="B499" s="25"/>
      <c r="C499" s="315"/>
      <c r="D499" s="26"/>
      <c r="I499" s="27"/>
      <c r="AB499" s="25"/>
      <c r="AF499" s="28"/>
      <c r="AG499" s="195"/>
      <c r="AH499" s="29"/>
    </row>
    <row r="500" spans="2:34">
      <c r="B500" s="25"/>
      <c r="C500" s="315"/>
      <c r="D500" s="26"/>
      <c r="I500" s="27"/>
      <c r="AB500" s="25"/>
      <c r="AF500" s="28"/>
      <c r="AG500" s="195"/>
      <c r="AH500" s="29"/>
    </row>
    <row r="501" spans="2:34">
      <c r="B501" s="25"/>
      <c r="C501" s="315"/>
      <c r="D501" s="26"/>
      <c r="I501" s="27"/>
      <c r="AB501" s="25"/>
      <c r="AF501" s="28"/>
      <c r="AG501" s="195"/>
      <c r="AH501" s="29"/>
    </row>
    <row r="502" spans="2:34">
      <c r="B502" s="25"/>
      <c r="C502" s="315"/>
      <c r="D502" s="26"/>
      <c r="I502" s="27"/>
      <c r="AB502" s="25"/>
      <c r="AF502" s="28"/>
      <c r="AG502" s="195"/>
      <c r="AH502" s="29"/>
    </row>
    <row r="503" spans="2:34">
      <c r="B503" s="25"/>
      <c r="C503" s="315"/>
      <c r="D503" s="26"/>
      <c r="I503" s="27"/>
      <c r="AB503" s="25"/>
      <c r="AF503" s="28"/>
      <c r="AG503" s="195"/>
      <c r="AH503" s="29"/>
    </row>
    <row r="504" spans="2:34">
      <c r="B504" s="25"/>
      <c r="C504" s="315"/>
      <c r="D504" s="26"/>
      <c r="I504" s="27"/>
      <c r="AB504" s="25"/>
      <c r="AF504" s="28"/>
      <c r="AG504" s="195"/>
      <c r="AH504" s="29"/>
    </row>
    <row r="505" spans="2:34">
      <c r="B505" s="25"/>
      <c r="C505" s="315"/>
      <c r="D505" s="26"/>
      <c r="I505" s="27"/>
      <c r="AB505" s="25"/>
      <c r="AF505" s="28"/>
      <c r="AG505" s="195"/>
      <c r="AH505" s="29"/>
    </row>
    <row r="506" spans="2:34">
      <c r="B506" s="25"/>
      <c r="C506" s="315"/>
      <c r="D506" s="26"/>
      <c r="I506" s="27"/>
      <c r="AB506" s="25"/>
      <c r="AF506" s="28"/>
      <c r="AG506" s="195"/>
      <c r="AH506" s="29"/>
    </row>
    <row r="507" spans="2:34">
      <c r="B507" s="25"/>
      <c r="C507" s="315"/>
      <c r="D507" s="26"/>
      <c r="I507" s="27"/>
      <c r="AB507" s="25"/>
      <c r="AF507" s="28"/>
      <c r="AG507" s="195"/>
      <c r="AH507" s="29"/>
    </row>
    <row r="508" spans="2:34">
      <c r="B508" s="25"/>
      <c r="C508" s="315"/>
      <c r="D508" s="26"/>
      <c r="I508" s="27"/>
      <c r="AB508" s="25"/>
      <c r="AF508" s="28"/>
      <c r="AG508" s="195"/>
      <c r="AH508" s="29"/>
    </row>
    <row r="509" spans="2:34">
      <c r="B509" s="25"/>
      <c r="C509" s="315"/>
      <c r="D509" s="26"/>
      <c r="I509" s="27"/>
      <c r="AB509" s="25"/>
      <c r="AF509" s="28"/>
      <c r="AG509" s="195"/>
      <c r="AH509" s="29"/>
    </row>
    <row r="510" spans="2:34">
      <c r="B510" s="25"/>
      <c r="C510" s="315"/>
      <c r="D510" s="26"/>
      <c r="I510" s="27"/>
      <c r="AB510" s="25"/>
      <c r="AF510" s="28"/>
      <c r="AG510" s="195"/>
      <c r="AH510" s="29"/>
    </row>
    <row r="511" spans="2:34">
      <c r="B511" s="25"/>
      <c r="C511" s="315"/>
      <c r="D511" s="26"/>
      <c r="I511" s="27"/>
      <c r="AB511" s="25"/>
      <c r="AF511" s="28"/>
      <c r="AG511" s="195"/>
      <c r="AH511" s="29"/>
    </row>
    <row r="512" spans="2:34">
      <c r="B512" s="25"/>
      <c r="C512" s="315"/>
      <c r="D512" s="26"/>
      <c r="I512" s="27"/>
      <c r="AB512" s="25"/>
      <c r="AF512" s="28"/>
      <c r="AG512" s="195"/>
      <c r="AH512" s="29"/>
    </row>
    <row r="513" spans="2:34">
      <c r="B513" s="25"/>
      <c r="C513" s="315"/>
      <c r="D513" s="26"/>
      <c r="I513" s="27"/>
      <c r="AB513" s="25"/>
      <c r="AF513" s="28"/>
      <c r="AG513" s="195"/>
      <c r="AH513" s="29"/>
    </row>
    <row r="514" spans="2:34">
      <c r="B514" s="25"/>
      <c r="C514" s="315"/>
      <c r="D514" s="26"/>
      <c r="I514" s="27"/>
      <c r="AB514" s="25"/>
      <c r="AF514" s="28"/>
      <c r="AG514" s="195"/>
      <c r="AH514" s="29"/>
    </row>
    <row r="515" spans="2:34">
      <c r="B515" s="25"/>
      <c r="C515" s="315"/>
      <c r="D515" s="26"/>
      <c r="I515" s="27"/>
      <c r="AB515" s="25"/>
      <c r="AF515" s="28"/>
      <c r="AG515" s="195"/>
      <c r="AH515" s="29"/>
    </row>
    <row r="516" spans="2:34">
      <c r="B516" s="25"/>
      <c r="C516" s="315"/>
      <c r="D516" s="26"/>
      <c r="I516" s="27"/>
      <c r="AB516" s="25"/>
      <c r="AF516" s="28"/>
      <c r="AG516" s="195"/>
      <c r="AH516" s="29"/>
    </row>
    <row r="517" spans="2:34">
      <c r="B517" s="25"/>
      <c r="C517" s="315"/>
      <c r="D517" s="26"/>
      <c r="I517" s="27"/>
      <c r="AB517" s="25"/>
      <c r="AF517" s="28"/>
      <c r="AG517" s="195"/>
      <c r="AH517" s="29"/>
    </row>
    <row r="518" spans="2:34">
      <c r="B518" s="25"/>
      <c r="C518" s="315"/>
      <c r="D518" s="26"/>
      <c r="I518" s="27"/>
      <c r="AB518" s="25"/>
      <c r="AF518" s="28"/>
      <c r="AG518" s="195"/>
      <c r="AH518" s="29"/>
    </row>
    <row r="519" spans="2:34">
      <c r="B519" s="25"/>
      <c r="C519" s="315"/>
      <c r="D519" s="26"/>
      <c r="I519" s="27"/>
      <c r="AB519" s="25"/>
      <c r="AF519" s="28"/>
      <c r="AG519" s="195"/>
      <c r="AH519" s="29"/>
    </row>
    <row r="520" spans="2:34">
      <c r="B520" s="25"/>
      <c r="C520" s="315"/>
      <c r="D520" s="26"/>
      <c r="I520" s="27"/>
      <c r="AB520" s="25"/>
      <c r="AF520" s="28"/>
      <c r="AG520" s="195"/>
      <c r="AH520" s="29"/>
    </row>
    <row r="521" spans="2:34">
      <c r="B521" s="25"/>
      <c r="C521" s="315"/>
      <c r="D521" s="26"/>
      <c r="I521" s="27"/>
      <c r="AB521" s="25"/>
      <c r="AF521" s="28"/>
      <c r="AG521" s="195"/>
      <c r="AH521" s="29"/>
    </row>
    <row r="522" spans="2:34">
      <c r="B522" s="25"/>
      <c r="C522" s="315"/>
      <c r="D522" s="26"/>
      <c r="I522" s="27"/>
      <c r="AB522" s="25"/>
      <c r="AF522" s="28"/>
      <c r="AG522" s="195"/>
      <c r="AH522" s="29"/>
    </row>
    <row r="523" spans="2:34">
      <c r="B523" s="25"/>
      <c r="C523" s="315"/>
      <c r="D523" s="26"/>
      <c r="I523" s="27"/>
      <c r="AB523" s="25"/>
      <c r="AF523" s="28"/>
      <c r="AG523" s="195"/>
      <c r="AH523" s="29"/>
    </row>
    <row r="524" spans="2:34">
      <c r="B524" s="25"/>
      <c r="C524" s="315"/>
      <c r="D524" s="26"/>
      <c r="I524" s="27"/>
      <c r="AB524" s="25"/>
      <c r="AF524" s="28"/>
      <c r="AG524" s="195"/>
      <c r="AH524" s="29"/>
    </row>
    <row r="525" spans="2:34">
      <c r="B525" s="25"/>
      <c r="C525" s="315"/>
      <c r="D525" s="26"/>
      <c r="I525" s="27"/>
      <c r="AB525" s="25"/>
      <c r="AF525" s="28"/>
      <c r="AG525" s="195"/>
      <c r="AH525" s="29"/>
    </row>
    <row r="526" spans="2:34">
      <c r="B526" s="25"/>
      <c r="C526" s="315"/>
      <c r="D526" s="26"/>
      <c r="I526" s="27"/>
      <c r="AB526" s="25"/>
      <c r="AF526" s="28"/>
      <c r="AG526" s="195"/>
      <c r="AH526" s="29"/>
    </row>
    <row r="527" spans="2:34">
      <c r="B527" s="25"/>
      <c r="C527" s="315"/>
      <c r="D527" s="26"/>
      <c r="I527" s="27"/>
      <c r="AB527" s="25"/>
      <c r="AF527" s="28"/>
      <c r="AG527" s="195"/>
      <c r="AH527" s="29"/>
    </row>
    <row r="528" spans="2:34">
      <c r="B528" s="25"/>
      <c r="C528" s="315"/>
      <c r="D528" s="26"/>
      <c r="I528" s="27"/>
      <c r="AB528" s="25"/>
      <c r="AF528" s="28"/>
      <c r="AG528" s="195"/>
      <c r="AH528" s="29"/>
    </row>
    <row r="529" spans="2:34">
      <c r="B529" s="25"/>
      <c r="C529" s="315"/>
      <c r="D529" s="26"/>
      <c r="I529" s="27"/>
      <c r="AB529" s="25"/>
      <c r="AF529" s="28"/>
      <c r="AG529" s="195"/>
      <c r="AH529" s="29"/>
    </row>
    <row r="530" spans="2:34">
      <c r="B530" s="25"/>
      <c r="C530" s="315"/>
      <c r="D530" s="26"/>
      <c r="I530" s="27"/>
      <c r="AB530" s="25"/>
      <c r="AF530" s="28"/>
      <c r="AG530" s="195"/>
      <c r="AH530" s="29"/>
    </row>
    <row r="531" spans="2:34">
      <c r="B531" s="25"/>
      <c r="C531" s="315"/>
      <c r="D531" s="26"/>
      <c r="I531" s="27"/>
      <c r="AB531" s="25"/>
      <c r="AF531" s="28"/>
      <c r="AG531" s="195"/>
      <c r="AH531" s="29"/>
    </row>
    <row r="532" spans="2:34">
      <c r="B532" s="25"/>
      <c r="C532" s="315"/>
      <c r="D532" s="26"/>
      <c r="I532" s="27"/>
      <c r="AB532" s="25"/>
      <c r="AF532" s="28"/>
      <c r="AG532" s="195"/>
      <c r="AH532" s="29"/>
    </row>
    <row r="533" spans="2:34">
      <c r="B533" s="25"/>
      <c r="C533" s="315"/>
      <c r="D533" s="26"/>
      <c r="I533" s="27"/>
      <c r="AB533" s="25"/>
      <c r="AF533" s="28"/>
      <c r="AG533" s="195"/>
      <c r="AH533" s="29"/>
    </row>
    <row r="534" spans="2:34">
      <c r="B534" s="25"/>
      <c r="C534" s="315"/>
      <c r="D534" s="26"/>
      <c r="I534" s="27"/>
      <c r="AB534" s="25"/>
      <c r="AF534" s="28"/>
      <c r="AG534" s="195"/>
      <c r="AH534" s="29"/>
    </row>
    <row r="535" spans="2:34">
      <c r="B535" s="25"/>
      <c r="C535" s="315"/>
      <c r="D535" s="26"/>
      <c r="I535" s="27"/>
      <c r="AB535" s="25"/>
      <c r="AF535" s="28"/>
      <c r="AG535" s="195"/>
      <c r="AH535" s="29"/>
    </row>
    <row r="536" spans="2:34">
      <c r="B536" s="25"/>
      <c r="C536" s="315"/>
      <c r="D536" s="26"/>
      <c r="I536" s="27"/>
      <c r="AB536" s="25"/>
      <c r="AF536" s="28"/>
      <c r="AG536" s="195"/>
      <c r="AH536" s="29"/>
    </row>
    <row r="537" spans="2:34">
      <c r="B537" s="25"/>
      <c r="C537" s="315"/>
      <c r="D537" s="26"/>
      <c r="I537" s="27"/>
      <c r="AB537" s="25"/>
      <c r="AF537" s="28"/>
      <c r="AG537" s="195"/>
      <c r="AH537" s="29"/>
    </row>
    <row r="538" spans="2:34">
      <c r="B538" s="25"/>
      <c r="C538" s="315"/>
      <c r="D538" s="26"/>
      <c r="I538" s="27"/>
      <c r="AB538" s="25"/>
      <c r="AF538" s="28"/>
      <c r="AG538" s="195"/>
      <c r="AH538" s="29"/>
    </row>
    <row r="539" spans="2:34">
      <c r="B539" s="25"/>
      <c r="C539" s="315"/>
      <c r="D539" s="26"/>
      <c r="I539" s="27"/>
      <c r="AB539" s="25"/>
      <c r="AF539" s="28"/>
      <c r="AG539" s="195"/>
      <c r="AH539" s="29"/>
    </row>
    <row r="540" spans="2:34">
      <c r="B540" s="25"/>
      <c r="C540" s="315"/>
      <c r="D540" s="26"/>
      <c r="I540" s="27"/>
      <c r="AB540" s="25"/>
      <c r="AF540" s="28"/>
      <c r="AG540" s="195"/>
      <c r="AH540" s="29"/>
    </row>
    <row r="541" spans="2:34">
      <c r="B541" s="25"/>
      <c r="C541" s="315"/>
      <c r="D541" s="26"/>
      <c r="I541" s="27"/>
      <c r="AB541" s="25"/>
      <c r="AF541" s="28"/>
      <c r="AG541" s="195"/>
      <c r="AH541" s="29"/>
    </row>
    <row r="542" spans="2:34">
      <c r="B542" s="25"/>
      <c r="C542" s="315"/>
      <c r="D542" s="26"/>
      <c r="I542" s="27"/>
      <c r="AB542" s="25"/>
      <c r="AF542" s="28"/>
      <c r="AG542" s="195"/>
      <c r="AH542" s="29"/>
    </row>
    <row r="543" spans="2:34">
      <c r="B543" s="25"/>
      <c r="C543" s="315"/>
      <c r="D543" s="26"/>
      <c r="I543" s="27"/>
      <c r="AB543" s="25"/>
      <c r="AF543" s="28"/>
      <c r="AG543" s="195"/>
      <c r="AH543" s="29"/>
    </row>
    <row r="544" spans="2:34">
      <c r="B544" s="25"/>
      <c r="C544" s="315"/>
      <c r="D544" s="26"/>
      <c r="I544" s="27"/>
      <c r="AB544" s="25"/>
      <c r="AF544" s="28"/>
      <c r="AG544" s="195"/>
      <c r="AH544" s="29"/>
    </row>
    <row r="545" spans="2:34">
      <c r="B545" s="25"/>
      <c r="C545" s="315"/>
      <c r="D545" s="26"/>
      <c r="I545" s="27"/>
      <c r="AB545" s="25"/>
      <c r="AF545" s="28"/>
      <c r="AG545" s="195"/>
      <c r="AH545" s="29"/>
    </row>
    <row r="546" spans="2:34">
      <c r="B546" s="25"/>
      <c r="C546" s="315"/>
      <c r="D546" s="26"/>
      <c r="I546" s="27"/>
      <c r="AB546" s="25"/>
      <c r="AF546" s="28"/>
      <c r="AG546" s="195"/>
      <c r="AH546" s="29"/>
    </row>
    <row r="547" spans="2:34">
      <c r="B547" s="25"/>
      <c r="C547" s="315"/>
      <c r="D547" s="26"/>
      <c r="I547" s="27"/>
      <c r="AB547" s="25"/>
      <c r="AF547" s="28"/>
      <c r="AG547" s="195"/>
      <c r="AH547" s="29"/>
    </row>
    <row r="548" spans="2:34">
      <c r="B548" s="25"/>
      <c r="C548" s="315"/>
      <c r="D548" s="26"/>
      <c r="I548" s="27"/>
      <c r="AB548" s="25"/>
      <c r="AF548" s="28"/>
      <c r="AG548" s="195"/>
      <c r="AH548" s="29"/>
    </row>
    <row r="549" spans="2:34">
      <c r="B549" s="25"/>
      <c r="C549" s="315"/>
      <c r="D549" s="26"/>
      <c r="I549" s="27"/>
      <c r="AB549" s="25"/>
      <c r="AF549" s="28"/>
      <c r="AG549" s="195"/>
      <c r="AH549" s="29"/>
    </row>
    <row r="550" spans="2:34">
      <c r="B550" s="25"/>
      <c r="C550" s="315"/>
      <c r="D550" s="26"/>
      <c r="I550" s="27"/>
      <c r="AB550" s="25"/>
      <c r="AF550" s="28"/>
      <c r="AG550" s="195"/>
      <c r="AH550" s="29"/>
    </row>
    <row r="551" spans="2:34">
      <c r="B551" s="25"/>
      <c r="C551" s="315"/>
      <c r="D551" s="26"/>
      <c r="I551" s="27"/>
      <c r="AB551" s="25"/>
      <c r="AF551" s="28"/>
      <c r="AG551" s="195"/>
      <c r="AH551" s="29"/>
    </row>
    <row r="552" spans="2:34">
      <c r="B552" s="25"/>
      <c r="C552" s="315"/>
      <c r="D552" s="26"/>
      <c r="I552" s="27"/>
      <c r="AB552" s="25"/>
      <c r="AF552" s="28"/>
      <c r="AG552" s="195"/>
      <c r="AH552" s="29"/>
    </row>
    <row r="553" spans="2:34">
      <c r="B553" s="25"/>
      <c r="C553" s="315"/>
      <c r="D553" s="26"/>
      <c r="I553" s="27"/>
      <c r="AB553" s="25"/>
      <c r="AF553" s="28"/>
      <c r="AG553" s="195"/>
      <c r="AH553" s="29"/>
    </row>
    <row r="554" spans="2:34">
      <c r="B554" s="25"/>
      <c r="C554" s="315"/>
      <c r="D554" s="26"/>
      <c r="I554" s="27"/>
      <c r="AB554" s="25"/>
      <c r="AF554" s="28"/>
      <c r="AG554" s="195"/>
      <c r="AH554" s="29"/>
    </row>
    <row r="555" spans="2:34">
      <c r="B555" s="25"/>
      <c r="C555" s="315"/>
      <c r="D555" s="26"/>
      <c r="I555" s="27"/>
      <c r="AB555" s="25"/>
      <c r="AF555" s="28"/>
      <c r="AG555" s="195"/>
      <c r="AH555" s="29"/>
    </row>
    <row r="556" spans="2:34">
      <c r="B556" s="25"/>
      <c r="C556" s="315"/>
      <c r="D556" s="26"/>
      <c r="I556" s="27"/>
      <c r="AB556" s="25"/>
      <c r="AF556" s="28"/>
      <c r="AG556" s="195"/>
      <c r="AH556" s="29"/>
    </row>
    <row r="557" spans="2:34">
      <c r="B557" s="25"/>
      <c r="C557" s="315"/>
      <c r="D557" s="26"/>
      <c r="I557" s="27"/>
      <c r="AB557" s="25"/>
      <c r="AF557" s="28"/>
      <c r="AG557" s="195"/>
      <c r="AH557" s="29"/>
    </row>
    <row r="558" spans="2:34">
      <c r="B558" s="25"/>
      <c r="C558" s="315"/>
      <c r="D558" s="26"/>
      <c r="I558" s="27"/>
      <c r="AB558" s="25"/>
      <c r="AF558" s="28"/>
      <c r="AG558" s="195"/>
      <c r="AH558" s="29"/>
    </row>
    <row r="559" spans="2:34">
      <c r="B559" s="25"/>
      <c r="C559" s="315"/>
      <c r="D559" s="26"/>
      <c r="I559" s="27"/>
      <c r="AB559" s="25"/>
      <c r="AF559" s="28"/>
      <c r="AG559" s="195"/>
      <c r="AH559" s="29"/>
    </row>
    <row r="560" spans="2:34">
      <c r="B560" s="25"/>
      <c r="C560" s="315"/>
      <c r="D560" s="26"/>
      <c r="I560" s="27"/>
      <c r="AB560" s="25"/>
      <c r="AF560" s="28"/>
      <c r="AG560" s="195"/>
      <c r="AH560" s="29"/>
    </row>
    <row r="561" spans="2:34">
      <c r="B561" s="25"/>
      <c r="C561" s="315"/>
      <c r="D561" s="26"/>
      <c r="I561" s="27"/>
      <c r="AB561" s="25"/>
      <c r="AF561" s="28"/>
      <c r="AG561" s="195"/>
      <c r="AH561" s="29"/>
    </row>
    <row r="562" spans="2:34">
      <c r="B562" s="25"/>
      <c r="C562" s="315"/>
      <c r="D562" s="26"/>
      <c r="I562" s="27"/>
      <c r="AB562" s="25"/>
      <c r="AF562" s="28"/>
      <c r="AG562" s="195"/>
      <c r="AH562" s="29"/>
    </row>
    <row r="563" spans="2:34">
      <c r="B563" s="25"/>
      <c r="C563" s="315"/>
      <c r="D563" s="26"/>
      <c r="I563" s="27"/>
      <c r="AB563" s="25"/>
      <c r="AF563" s="28"/>
      <c r="AG563" s="195"/>
      <c r="AH563" s="29"/>
    </row>
    <row r="564" spans="2:34">
      <c r="B564" s="25"/>
      <c r="C564" s="315"/>
      <c r="D564" s="26"/>
      <c r="I564" s="27"/>
      <c r="AB564" s="25"/>
      <c r="AF564" s="28"/>
      <c r="AG564" s="195"/>
      <c r="AH564" s="29"/>
    </row>
    <row r="565" spans="2:34">
      <c r="B565" s="25"/>
      <c r="C565" s="315"/>
      <c r="D565" s="26"/>
      <c r="I565" s="27"/>
      <c r="AB565" s="25"/>
      <c r="AF565" s="28"/>
      <c r="AG565" s="195"/>
      <c r="AH565" s="29"/>
    </row>
    <row r="566" spans="2:34">
      <c r="B566" s="25"/>
      <c r="C566" s="315"/>
      <c r="D566" s="26"/>
      <c r="I566" s="27"/>
      <c r="AB566" s="25"/>
      <c r="AF566" s="28"/>
      <c r="AG566" s="195"/>
      <c r="AH566" s="29"/>
    </row>
    <row r="567" spans="2:34">
      <c r="B567" s="25"/>
      <c r="C567" s="315"/>
      <c r="D567" s="26"/>
      <c r="I567" s="27"/>
      <c r="AB567" s="25"/>
      <c r="AF567" s="28"/>
      <c r="AG567" s="195"/>
      <c r="AH567" s="29"/>
    </row>
    <row r="568" spans="2:34">
      <c r="B568" s="25"/>
      <c r="C568" s="315"/>
      <c r="D568" s="26"/>
      <c r="I568" s="27"/>
      <c r="AB568" s="25"/>
      <c r="AF568" s="28"/>
      <c r="AG568" s="195"/>
      <c r="AH568" s="29"/>
    </row>
    <row r="569" spans="2:34">
      <c r="B569" s="25"/>
      <c r="C569" s="315"/>
      <c r="D569" s="26"/>
      <c r="I569" s="27"/>
      <c r="AB569" s="25"/>
      <c r="AF569" s="28"/>
      <c r="AG569" s="195"/>
      <c r="AH569" s="29"/>
    </row>
    <row r="570" spans="2:34">
      <c r="B570" s="25"/>
      <c r="C570" s="315"/>
      <c r="D570" s="26"/>
      <c r="I570" s="27"/>
      <c r="AB570" s="25"/>
      <c r="AF570" s="28"/>
      <c r="AG570" s="195"/>
      <c r="AH570" s="29"/>
    </row>
    <row r="571" spans="2:34">
      <c r="B571" s="25"/>
      <c r="C571" s="315"/>
      <c r="D571" s="26"/>
      <c r="I571" s="27"/>
      <c r="AB571" s="25"/>
      <c r="AF571" s="28"/>
      <c r="AG571" s="195"/>
      <c r="AH571" s="29"/>
    </row>
    <row r="572" spans="2:34">
      <c r="B572" s="25"/>
      <c r="C572" s="315"/>
      <c r="D572" s="26"/>
      <c r="I572" s="27"/>
      <c r="AB572" s="25"/>
      <c r="AF572" s="28"/>
      <c r="AG572" s="195"/>
      <c r="AH572" s="29"/>
    </row>
    <row r="573" spans="2:34">
      <c r="B573" s="25"/>
      <c r="C573" s="315"/>
      <c r="D573" s="26"/>
      <c r="I573" s="27"/>
      <c r="AB573" s="25"/>
      <c r="AF573" s="28"/>
      <c r="AG573" s="195"/>
      <c r="AH573" s="29"/>
    </row>
    <row r="574" spans="2:34">
      <c r="B574" s="25"/>
      <c r="C574" s="315"/>
      <c r="D574" s="26"/>
      <c r="I574" s="27"/>
      <c r="AB574" s="25"/>
      <c r="AF574" s="28"/>
      <c r="AG574" s="195"/>
      <c r="AH574" s="29"/>
    </row>
    <row r="575" spans="2:34">
      <c r="B575" s="25"/>
      <c r="C575" s="315"/>
      <c r="D575" s="26"/>
      <c r="I575" s="27"/>
      <c r="AB575" s="25"/>
      <c r="AF575" s="28"/>
      <c r="AG575" s="195"/>
      <c r="AH575" s="29"/>
    </row>
    <row r="576" spans="2:34">
      <c r="B576" s="25"/>
      <c r="C576" s="315"/>
      <c r="D576" s="26"/>
      <c r="I576" s="27"/>
      <c r="AB576" s="25"/>
      <c r="AF576" s="28"/>
      <c r="AG576" s="195"/>
      <c r="AH576" s="29"/>
    </row>
    <row r="577" spans="2:34">
      <c r="B577" s="25"/>
      <c r="C577" s="315"/>
      <c r="D577" s="26"/>
      <c r="I577" s="27"/>
      <c r="AB577" s="25"/>
      <c r="AF577" s="28"/>
      <c r="AG577" s="195"/>
      <c r="AH577" s="29"/>
    </row>
    <row r="578" spans="2:34">
      <c r="B578" s="25"/>
      <c r="C578" s="315"/>
      <c r="D578" s="26"/>
      <c r="I578" s="27"/>
      <c r="AB578" s="25"/>
      <c r="AF578" s="28"/>
      <c r="AG578" s="195"/>
      <c r="AH578" s="29"/>
    </row>
    <row r="579" spans="2:34">
      <c r="B579" s="25"/>
      <c r="C579" s="315"/>
      <c r="D579" s="26"/>
      <c r="I579" s="27"/>
      <c r="AB579" s="25"/>
      <c r="AF579" s="28"/>
      <c r="AG579" s="195"/>
      <c r="AH579" s="29"/>
    </row>
    <row r="580" spans="2:34">
      <c r="B580" s="25"/>
      <c r="C580" s="315"/>
      <c r="D580" s="26"/>
      <c r="I580" s="27"/>
      <c r="AB580" s="25"/>
      <c r="AF580" s="28"/>
      <c r="AG580" s="195"/>
      <c r="AH580" s="29"/>
    </row>
    <row r="581" spans="2:34">
      <c r="B581" s="25"/>
      <c r="C581" s="315"/>
      <c r="D581" s="26"/>
      <c r="I581" s="27"/>
      <c r="AB581" s="25"/>
      <c r="AF581" s="28"/>
      <c r="AG581" s="195"/>
      <c r="AH581" s="29"/>
    </row>
    <row r="582" spans="2:34">
      <c r="B582" s="25"/>
      <c r="C582" s="315"/>
      <c r="D582" s="26"/>
      <c r="I582" s="27"/>
      <c r="AB582" s="25"/>
      <c r="AF582" s="28"/>
      <c r="AG582" s="195"/>
      <c r="AH582" s="29"/>
    </row>
    <row r="583" spans="2:34">
      <c r="B583" s="25"/>
      <c r="C583" s="315"/>
      <c r="D583" s="26"/>
      <c r="I583" s="27"/>
      <c r="AB583" s="25"/>
      <c r="AF583" s="28"/>
      <c r="AG583" s="195"/>
      <c r="AH583" s="29"/>
    </row>
    <row r="584" spans="2:34">
      <c r="B584" s="25"/>
      <c r="C584" s="315"/>
      <c r="D584" s="26"/>
      <c r="I584" s="27"/>
      <c r="AB584" s="25"/>
      <c r="AF584" s="28"/>
      <c r="AG584" s="195"/>
      <c r="AH584" s="29"/>
    </row>
    <row r="585" spans="2:34">
      <c r="B585" s="25"/>
      <c r="C585" s="315"/>
      <c r="D585" s="26"/>
      <c r="I585" s="27"/>
      <c r="AB585" s="25"/>
      <c r="AF585" s="28"/>
      <c r="AG585" s="195"/>
      <c r="AH585" s="29"/>
    </row>
    <row r="586" spans="2:34">
      <c r="B586" s="25"/>
      <c r="C586" s="315"/>
      <c r="D586" s="26"/>
      <c r="I586" s="27"/>
      <c r="AB586" s="25"/>
      <c r="AF586" s="28"/>
      <c r="AG586" s="195"/>
      <c r="AH586" s="29"/>
    </row>
    <row r="587" spans="2:34">
      <c r="B587" s="25"/>
      <c r="C587" s="315"/>
      <c r="D587" s="26"/>
      <c r="I587" s="27"/>
      <c r="AB587" s="25"/>
      <c r="AF587" s="28"/>
      <c r="AG587" s="195"/>
      <c r="AH587" s="29"/>
    </row>
    <row r="588" spans="2:34">
      <c r="B588" s="25"/>
      <c r="C588" s="315"/>
      <c r="D588" s="26"/>
      <c r="I588" s="27"/>
      <c r="AB588" s="25"/>
      <c r="AF588" s="28"/>
      <c r="AG588" s="195"/>
      <c r="AH588" s="29"/>
    </row>
    <row r="589" spans="2:34">
      <c r="B589" s="25"/>
      <c r="C589" s="315"/>
      <c r="D589" s="26"/>
      <c r="I589" s="27"/>
      <c r="AB589" s="25"/>
      <c r="AF589" s="28"/>
      <c r="AG589" s="195"/>
      <c r="AH589" s="29"/>
    </row>
    <row r="590" spans="2:34">
      <c r="B590" s="25"/>
      <c r="C590" s="315"/>
      <c r="D590" s="26"/>
      <c r="I590" s="27"/>
      <c r="AB590" s="25"/>
      <c r="AF590" s="28"/>
      <c r="AG590" s="195"/>
      <c r="AH590" s="29"/>
    </row>
    <row r="591" spans="2:34">
      <c r="B591" s="25"/>
      <c r="C591" s="315"/>
      <c r="D591" s="26"/>
      <c r="I591" s="27"/>
      <c r="AB591" s="25"/>
      <c r="AF591" s="28"/>
      <c r="AG591" s="195"/>
      <c r="AH591" s="29"/>
    </row>
    <row r="592" spans="2:34">
      <c r="B592" s="25"/>
      <c r="C592" s="315"/>
      <c r="D592" s="26"/>
      <c r="I592" s="27"/>
      <c r="AB592" s="25"/>
      <c r="AF592" s="28"/>
      <c r="AG592" s="195"/>
      <c r="AH592" s="29"/>
    </row>
    <row r="593" spans="2:34">
      <c r="B593" s="25"/>
      <c r="C593" s="315"/>
      <c r="D593" s="26"/>
      <c r="I593" s="27"/>
      <c r="AB593" s="25"/>
      <c r="AF593" s="28"/>
      <c r="AG593" s="195"/>
      <c r="AH593" s="29"/>
    </row>
    <row r="594" spans="2:34">
      <c r="B594" s="25"/>
      <c r="C594" s="315"/>
      <c r="D594" s="26"/>
      <c r="I594" s="27"/>
      <c r="AB594" s="25"/>
      <c r="AF594" s="28"/>
      <c r="AG594" s="195"/>
      <c r="AH594" s="29"/>
    </row>
    <row r="595" spans="2:34">
      <c r="B595" s="25"/>
      <c r="C595" s="315"/>
      <c r="D595" s="26"/>
      <c r="I595" s="27"/>
      <c r="AB595" s="25"/>
      <c r="AF595" s="28"/>
      <c r="AG595" s="195"/>
      <c r="AH595" s="29"/>
    </row>
    <row r="596" spans="2:34">
      <c r="B596" s="25"/>
      <c r="C596" s="315"/>
      <c r="D596" s="26"/>
      <c r="I596" s="27"/>
      <c r="AB596" s="25"/>
      <c r="AF596" s="28"/>
      <c r="AG596" s="195"/>
      <c r="AH596" s="29"/>
    </row>
    <row r="597" spans="2:34">
      <c r="B597" s="25"/>
      <c r="C597" s="315"/>
      <c r="D597" s="26"/>
      <c r="I597" s="27"/>
      <c r="AB597" s="25"/>
      <c r="AF597" s="28"/>
      <c r="AG597" s="195"/>
      <c r="AH597" s="29"/>
    </row>
    <row r="598" spans="2:34">
      <c r="B598" s="25"/>
      <c r="C598" s="315"/>
      <c r="D598" s="26"/>
      <c r="I598" s="27"/>
      <c r="AB598" s="25"/>
      <c r="AF598" s="28"/>
      <c r="AG598" s="195"/>
      <c r="AH598" s="29"/>
    </row>
    <row r="599" spans="2:34">
      <c r="B599" s="25"/>
      <c r="C599" s="315"/>
      <c r="D599" s="26"/>
      <c r="I599" s="27"/>
      <c r="AB599" s="25"/>
      <c r="AF599" s="28"/>
      <c r="AG599" s="195"/>
      <c r="AH599" s="29"/>
    </row>
    <row r="600" spans="2:34">
      <c r="B600" s="25"/>
      <c r="C600" s="315"/>
      <c r="D600" s="26"/>
      <c r="I600" s="27"/>
      <c r="AB600" s="25"/>
      <c r="AF600" s="28"/>
      <c r="AG600" s="195"/>
      <c r="AH600" s="29"/>
    </row>
    <row r="601" spans="2:34" ht="13.5" customHeight="1">
      <c r="B601" s="25"/>
      <c r="C601" s="315"/>
      <c r="D601" s="26"/>
      <c r="I601" s="27"/>
      <c r="AB601" s="25"/>
      <c r="AF601" s="28"/>
      <c r="AG601" s="195"/>
      <c r="AH601" s="29"/>
    </row>
    <row r="602" spans="2:34">
      <c r="B602" s="25"/>
      <c r="C602" s="315"/>
      <c r="D602" s="26"/>
      <c r="I602" s="27"/>
      <c r="AB602" s="25"/>
      <c r="AF602" s="28"/>
      <c r="AG602" s="195"/>
      <c r="AH602" s="29"/>
    </row>
    <row r="603" spans="2:34">
      <c r="B603" s="25"/>
      <c r="C603" s="315"/>
      <c r="D603" s="26"/>
      <c r="I603" s="27"/>
      <c r="AB603" s="25"/>
      <c r="AF603" s="28"/>
      <c r="AG603" s="195"/>
      <c r="AH603" s="29"/>
    </row>
    <row r="604" spans="2:34">
      <c r="B604" s="25"/>
      <c r="C604" s="315"/>
      <c r="D604" s="26"/>
      <c r="I604" s="27"/>
      <c r="AB604" s="25"/>
      <c r="AF604" s="28"/>
      <c r="AG604" s="195"/>
      <c r="AH604" s="29"/>
    </row>
    <row r="605" spans="2:34">
      <c r="B605" s="25"/>
      <c r="C605" s="315"/>
      <c r="D605" s="26"/>
      <c r="I605" s="27"/>
      <c r="AB605" s="25"/>
      <c r="AF605" s="28"/>
      <c r="AG605" s="195"/>
      <c r="AH605" s="29"/>
    </row>
    <row r="606" spans="2:34">
      <c r="B606" s="25"/>
      <c r="C606" s="315"/>
      <c r="D606" s="26"/>
      <c r="I606" s="27"/>
      <c r="AB606" s="25"/>
      <c r="AF606" s="28"/>
      <c r="AG606" s="195"/>
      <c r="AH606" s="29"/>
    </row>
    <row r="607" spans="2:34">
      <c r="B607" s="25"/>
      <c r="C607" s="315"/>
      <c r="D607" s="26"/>
      <c r="I607" s="27"/>
      <c r="AB607" s="25"/>
      <c r="AF607" s="28"/>
      <c r="AG607" s="195"/>
      <c r="AH607" s="29"/>
    </row>
    <row r="608" spans="2:34">
      <c r="B608" s="25"/>
      <c r="C608" s="315"/>
      <c r="D608" s="26"/>
      <c r="I608" s="27"/>
      <c r="AB608" s="25"/>
      <c r="AF608" s="28"/>
      <c r="AG608" s="195"/>
      <c r="AH608" s="29"/>
    </row>
    <row r="609" spans="2:34">
      <c r="B609" s="25"/>
      <c r="C609" s="315"/>
      <c r="D609" s="26"/>
      <c r="I609" s="27"/>
      <c r="AB609" s="25"/>
      <c r="AF609" s="28"/>
      <c r="AG609" s="195"/>
      <c r="AH609" s="29"/>
    </row>
    <row r="610" spans="2:34">
      <c r="B610" s="25"/>
      <c r="C610" s="315"/>
      <c r="D610" s="26"/>
      <c r="I610" s="27"/>
      <c r="AB610" s="25"/>
      <c r="AF610" s="28"/>
      <c r="AG610" s="195"/>
      <c r="AH610" s="29"/>
    </row>
    <row r="611" spans="2:34">
      <c r="B611" s="25"/>
      <c r="C611" s="315"/>
      <c r="D611" s="26"/>
      <c r="I611" s="27"/>
      <c r="AB611" s="25"/>
      <c r="AF611" s="28"/>
      <c r="AG611" s="195"/>
      <c r="AH611" s="29"/>
    </row>
    <row r="612" spans="2:34">
      <c r="B612" s="25"/>
      <c r="C612" s="315"/>
      <c r="D612" s="26"/>
      <c r="I612" s="27"/>
      <c r="AB612" s="25"/>
      <c r="AF612" s="28"/>
      <c r="AG612" s="195"/>
      <c r="AH612" s="29"/>
    </row>
    <row r="613" spans="2:34">
      <c r="B613" s="25"/>
      <c r="C613" s="315"/>
      <c r="D613" s="26"/>
      <c r="I613" s="27"/>
      <c r="AB613" s="25"/>
      <c r="AF613" s="28"/>
      <c r="AG613" s="195"/>
      <c r="AH613" s="29"/>
    </row>
    <row r="614" spans="2:34">
      <c r="B614" s="25"/>
      <c r="C614" s="315"/>
      <c r="D614" s="26"/>
      <c r="I614" s="27"/>
      <c r="AB614" s="25"/>
      <c r="AF614" s="28"/>
      <c r="AG614" s="195"/>
      <c r="AH614" s="29"/>
    </row>
    <row r="615" spans="2:34">
      <c r="B615" s="25"/>
      <c r="C615" s="315"/>
      <c r="D615" s="26"/>
      <c r="I615" s="27"/>
      <c r="AB615" s="25"/>
      <c r="AF615" s="28"/>
      <c r="AG615" s="195"/>
      <c r="AH615" s="29"/>
    </row>
    <row r="616" spans="2:34">
      <c r="B616" s="25"/>
      <c r="C616" s="315"/>
      <c r="D616" s="26"/>
      <c r="I616" s="27"/>
      <c r="AB616" s="25"/>
      <c r="AF616" s="28"/>
      <c r="AG616" s="195"/>
      <c r="AH616" s="29"/>
    </row>
    <row r="617" spans="2:34">
      <c r="B617" s="25"/>
      <c r="C617" s="315"/>
      <c r="D617" s="26"/>
      <c r="I617" s="27"/>
      <c r="AB617" s="25"/>
      <c r="AF617" s="28"/>
      <c r="AG617" s="195"/>
      <c r="AH617" s="29"/>
    </row>
    <row r="618" spans="2:34">
      <c r="B618" s="25"/>
      <c r="C618" s="315"/>
      <c r="D618" s="26"/>
      <c r="I618" s="27"/>
      <c r="AB618" s="25"/>
      <c r="AF618" s="28"/>
      <c r="AG618" s="195"/>
      <c r="AH618" s="29"/>
    </row>
    <row r="619" spans="2:34">
      <c r="B619" s="25"/>
      <c r="C619" s="315"/>
      <c r="D619" s="26"/>
      <c r="I619" s="27"/>
      <c r="AB619" s="25"/>
      <c r="AF619" s="28"/>
      <c r="AG619" s="195"/>
      <c r="AH619" s="29"/>
    </row>
    <row r="620" spans="2:34">
      <c r="B620" s="25"/>
      <c r="C620" s="315"/>
      <c r="D620" s="26"/>
      <c r="I620" s="27"/>
      <c r="AB620" s="25"/>
      <c r="AF620" s="28"/>
      <c r="AG620" s="195"/>
      <c r="AH620" s="29"/>
    </row>
    <row r="621" spans="2:34">
      <c r="B621" s="25"/>
      <c r="C621" s="315"/>
      <c r="D621" s="26"/>
      <c r="I621" s="27"/>
      <c r="AB621" s="25"/>
      <c r="AF621" s="28"/>
      <c r="AG621" s="195"/>
      <c r="AH621" s="29"/>
    </row>
    <row r="622" spans="2:34">
      <c r="B622" s="25"/>
      <c r="C622" s="315"/>
      <c r="D622" s="26"/>
      <c r="I622" s="27"/>
      <c r="AB622" s="25"/>
      <c r="AF622" s="28"/>
      <c r="AG622" s="195"/>
      <c r="AH622" s="29"/>
    </row>
    <row r="623" spans="2:34">
      <c r="B623" s="25"/>
      <c r="C623" s="315"/>
      <c r="D623" s="26"/>
      <c r="I623" s="27"/>
      <c r="AB623" s="25"/>
      <c r="AF623" s="28"/>
      <c r="AG623" s="195"/>
      <c r="AH623" s="29"/>
    </row>
    <row r="624" spans="2:34">
      <c r="B624" s="25"/>
      <c r="C624" s="315"/>
      <c r="D624" s="26"/>
      <c r="I624" s="27"/>
      <c r="AB624" s="25"/>
      <c r="AF624" s="28"/>
      <c r="AG624" s="195"/>
      <c r="AH624" s="29"/>
    </row>
    <row r="625" spans="2:34">
      <c r="B625" s="25"/>
      <c r="C625" s="315"/>
      <c r="D625" s="26"/>
      <c r="I625" s="27"/>
      <c r="AB625" s="25"/>
      <c r="AF625" s="28"/>
      <c r="AG625" s="195"/>
      <c r="AH625" s="29"/>
    </row>
    <row r="626" spans="2:34">
      <c r="B626" s="25"/>
      <c r="C626" s="315"/>
      <c r="D626" s="26"/>
      <c r="I626" s="27"/>
      <c r="AB626" s="25"/>
      <c r="AF626" s="28"/>
      <c r="AG626" s="195"/>
      <c r="AH626" s="29"/>
    </row>
    <row r="627" spans="2:34">
      <c r="B627" s="25"/>
      <c r="C627" s="315"/>
      <c r="D627" s="26"/>
      <c r="I627" s="27"/>
      <c r="AB627" s="25"/>
      <c r="AF627" s="28"/>
      <c r="AG627" s="195"/>
      <c r="AH627" s="29"/>
    </row>
    <row r="628" spans="2:34">
      <c r="B628" s="25"/>
      <c r="C628" s="315"/>
      <c r="D628" s="26"/>
      <c r="I628" s="27"/>
      <c r="AB628" s="25"/>
      <c r="AF628" s="28"/>
      <c r="AG628" s="195"/>
      <c r="AH628" s="29"/>
    </row>
    <row r="629" spans="2:34">
      <c r="B629" s="25"/>
      <c r="C629" s="315"/>
      <c r="D629" s="26"/>
      <c r="I629" s="27"/>
      <c r="AB629" s="25"/>
      <c r="AF629" s="28"/>
      <c r="AG629" s="195"/>
      <c r="AH629" s="29"/>
    </row>
    <row r="630" spans="2:34">
      <c r="B630" s="25"/>
      <c r="C630" s="315"/>
      <c r="D630" s="26"/>
      <c r="I630" s="27"/>
      <c r="AB630" s="25"/>
      <c r="AF630" s="28"/>
      <c r="AG630" s="195"/>
      <c r="AH630" s="29"/>
    </row>
    <row r="631" spans="2:34">
      <c r="B631" s="25"/>
      <c r="C631" s="315"/>
      <c r="D631" s="26"/>
      <c r="I631" s="27"/>
      <c r="AB631" s="25"/>
      <c r="AF631" s="28"/>
      <c r="AG631" s="195"/>
      <c r="AH631" s="29"/>
    </row>
    <row r="632" spans="2:34">
      <c r="B632" s="25"/>
      <c r="C632" s="315"/>
      <c r="D632" s="26"/>
      <c r="I632" s="27"/>
      <c r="AB632" s="25"/>
      <c r="AF632" s="28"/>
      <c r="AG632" s="195"/>
      <c r="AH632" s="29"/>
    </row>
    <row r="633" spans="2:34">
      <c r="B633" s="25"/>
      <c r="C633" s="315"/>
      <c r="D633" s="26"/>
      <c r="I633" s="27"/>
      <c r="AB633" s="25"/>
      <c r="AF633" s="28"/>
      <c r="AG633" s="195"/>
      <c r="AH633" s="29"/>
    </row>
    <row r="634" spans="2:34">
      <c r="B634" s="25"/>
      <c r="C634" s="315"/>
      <c r="D634" s="26"/>
      <c r="I634" s="27"/>
      <c r="AB634" s="25"/>
      <c r="AF634" s="28"/>
      <c r="AG634" s="195"/>
      <c r="AH634" s="29"/>
    </row>
    <row r="635" spans="2:34">
      <c r="B635" s="25"/>
      <c r="C635" s="315"/>
      <c r="D635" s="26"/>
      <c r="I635" s="27"/>
      <c r="AB635" s="25"/>
      <c r="AF635" s="28"/>
      <c r="AG635" s="195"/>
      <c r="AH635" s="29"/>
    </row>
    <row r="636" spans="2:34">
      <c r="B636" s="25"/>
      <c r="C636" s="315"/>
      <c r="D636" s="26"/>
      <c r="I636" s="27"/>
      <c r="AB636" s="25"/>
      <c r="AF636" s="28"/>
      <c r="AG636" s="195"/>
      <c r="AH636" s="29"/>
    </row>
    <row r="637" spans="2:34">
      <c r="B637" s="25"/>
      <c r="C637" s="315"/>
      <c r="D637" s="26"/>
      <c r="I637" s="27"/>
      <c r="AB637" s="25"/>
      <c r="AF637" s="28"/>
      <c r="AG637" s="195"/>
      <c r="AH637" s="29"/>
    </row>
    <row r="638" spans="2:34">
      <c r="B638" s="25"/>
      <c r="C638" s="315"/>
      <c r="D638" s="26"/>
      <c r="I638" s="27"/>
      <c r="AB638" s="25"/>
      <c r="AF638" s="28"/>
      <c r="AG638" s="195"/>
      <c r="AH638" s="29"/>
    </row>
    <row r="639" spans="2:34">
      <c r="B639" s="25"/>
      <c r="C639" s="315"/>
      <c r="D639" s="26"/>
      <c r="I639" s="27"/>
      <c r="AB639" s="25"/>
      <c r="AF639" s="28"/>
      <c r="AG639" s="195"/>
      <c r="AH639" s="29"/>
    </row>
    <row r="640" spans="2:34">
      <c r="B640" s="25"/>
      <c r="C640" s="315"/>
      <c r="D640" s="26"/>
      <c r="I640" s="27"/>
      <c r="AB640" s="25"/>
      <c r="AF640" s="28"/>
      <c r="AG640" s="195"/>
      <c r="AH640" s="29"/>
    </row>
    <row r="641" spans="2:34">
      <c r="B641" s="25"/>
      <c r="C641" s="315"/>
      <c r="D641" s="26"/>
      <c r="I641" s="27"/>
      <c r="AB641" s="25"/>
      <c r="AF641" s="28"/>
      <c r="AG641" s="195"/>
      <c r="AH641" s="29"/>
    </row>
    <row r="642" spans="2:34">
      <c r="B642" s="25"/>
      <c r="C642" s="315"/>
      <c r="D642" s="26"/>
      <c r="I642" s="27"/>
      <c r="AB642" s="25"/>
      <c r="AF642" s="28"/>
      <c r="AG642" s="195"/>
      <c r="AH642" s="29"/>
    </row>
    <row r="643" spans="2:34">
      <c r="B643" s="25"/>
      <c r="C643" s="315"/>
      <c r="D643" s="26"/>
      <c r="I643" s="27"/>
      <c r="AB643" s="25"/>
      <c r="AF643" s="28"/>
      <c r="AG643" s="195"/>
      <c r="AH643" s="29"/>
    </row>
    <row r="644" spans="2:34">
      <c r="B644" s="25"/>
      <c r="C644" s="315"/>
      <c r="D644" s="26"/>
      <c r="I644" s="27"/>
      <c r="AB644" s="25"/>
      <c r="AF644" s="28"/>
      <c r="AG644" s="195"/>
      <c r="AH644" s="29"/>
    </row>
    <row r="645" spans="2:34">
      <c r="B645" s="25"/>
      <c r="C645" s="315"/>
      <c r="D645" s="26"/>
      <c r="I645" s="27"/>
      <c r="AB645" s="25"/>
      <c r="AF645" s="28"/>
      <c r="AG645" s="195"/>
      <c r="AH645" s="29"/>
    </row>
    <row r="646" spans="2:34">
      <c r="B646" s="25"/>
      <c r="C646" s="315"/>
      <c r="D646" s="26"/>
      <c r="I646" s="27"/>
      <c r="AB646" s="25"/>
      <c r="AF646" s="28"/>
      <c r="AG646" s="195"/>
      <c r="AH646" s="29"/>
    </row>
    <row r="647" spans="2:34">
      <c r="B647" s="25"/>
      <c r="C647" s="315"/>
      <c r="D647" s="26"/>
      <c r="I647" s="27"/>
      <c r="AB647" s="25"/>
      <c r="AF647" s="28"/>
      <c r="AG647" s="195"/>
      <c r="AH647" s="29"/>
    </row>
    <row r="648" spans="2:34">
      <c r="B648" s="25"/>
      <c r="C648" s="315"/>
      <c r="D648" s="26"/>
      <c r="I648" s="27"/>
      <c r="AB648" s="25"/>
      <c r="AF648" s="28"/>
      <c r="AG648" s="195"/>
      <c r="AH648" s="29"/>
    </row>
    <row r="649" spans="2:34">
      <c r="B649" s="25"/>
      <c r="C649" s="315"/>
      <c r="D649" s="26"/>
      <c r="I649" s="27"/>
      <c r="AB649" s="25"/>
      <c r="AF649" s="28"/>
      <c r="AG649" s="195"/>
      <c r="AH649" s="29"/>
    </row>
    <row r="650" spans="2:34">
      <c r="B650" s="25"/>
      <c r="C650" s="315"/>
      <c r="D650" s="26"/>
      <c r="I650" s="27"/>
      <c r="AB650" s="25"/>
      <c r="AF650" s="28"/>
      <c r="AG650" s="195"/>
      <c r="AH650" s="29"/>
    </row>
    <row r="651" spans="2:34">
      <c r="B651" s="25"/>
      <c r="C651" s="315"/>
      <c r="D651" s="26"/>
      <c r="I651" s="27"/>
      <c r="AB651" s="25"/>
      <c r="AF651" s="28"/>
      <c r="AG651" s="195"/>
      <c r="AH651" s="29"/>
    </row>
    <row r="652" spans="2:34">
      <c r="B652" s="25"/>
      <c r="C652" s="315"/>
      <c r="D652" s="26"/>
      <c r="I652" s="27"/>
      <c r="AB652" s="25"/>
      <c r="AF652" s="28"/>
      <c r="AG652" s="195"/>
      <c r="AH652" s="29"/>
    </row>
    <row r="653" spans="2:34">
      <c r="B653" s="25"/>
      <c r="C653" s="315"/>
      <c r="D653" s="26"/>
      <c r="I653" s="27"/>
      <c r="AB653" s="25"/>
      <c r="AF653" s="28"/>
      <c r="AG653" s="195"/>
      <c r="AH653" s="29"/>
    </row>
    <row r="654" spans="2:34">
      <c r="B654" s="25"/>
      <c r="C654" s="315"/>
      <c r="D654" s="26"/>
      <c r="I654" s="27"/>
      <c r="AB654" s="25"/>
      <c r="AF654" s="28"/>
      <c r="AG654" s="195"/>
      <c r="AH654" s="29"/>
    </row>
    <row r="655" spans="2:34">
      <c r="B655" s="25"/>
      <c r="C655" s="315"/>
      <c r="D655" s="26"/>
      <c r="I655" s="27"/>
      <c r="AB655" s="25"/>
      <c r="AF655" s="28"/>
      <c r="AG655" s="195"/>
      <c r="AH655" s="29"/>
    </row>
    <row r="656" spans="2:34">
      <c r="B656" s="25"/>
      <c r="C656" s="315"/>
      <c r="D656" s="26"/>
      <c r="I656" s="27"/>
      <c r="AB656" s="25"/>
      <c r="AF656" s="28"/>
      <c r="AG656" s="195"/>
      <c r="AH656" s="29"/>
    </row>
    <row r="657" spans="2:34">
      <c r="B657" s="25"/>
      <c r="C657" s="315"/>
      <c r="D657" s="26"/>
      <c r="I657" s="27"/>
      <c r="AB657" s="25"/>
      <c r="AF657" s="28"/>
      <c r="AG657" s="195"/>
      <c r="AH657" s="29"/>
    </row>
    <row r="658" spans="2:34">
      <c r="B658" s="25"/>
      <c r="C658" s="315"/>
      <c r="D658" s="26"/>
      <c r="I658" s="27"/>
      <c r="AB658" s="25"/>
      <c r="AF658" s="28"/>
      <c r="AG658" s="195"/>
      <c r="AH658" s="29"/>
    </row>
    <row r="659" spans="2:34">
      <c r="B659" s="25"/>
      <c r="C659" s="315"/>
      <c r="D659" s="26"/>
      <c r="I659" s="27"/>
      <c r="AB659" s="25"/>
      <c r="AF659" s="28"/>
      <c r="AG659" s="195"/>
      <c r="AH659" s="29"/>
    </row>
    <row r="660" spans="2:34">
      <c r="B660" s="25"/>
      <c r="C660" s="315"/>
      <c r="D660" s="26"/>
      <c r="I660" s="27"/>
      <c r="AB660" s="25"/>
      <c r="AF660" s="28"/>
      <c r="AG660" s="195"/>
      <c r="AH660" s="29"/>
    </row>
    <row r="661" spans="2:34">
      <c r="B661" s="25"/>
      <c r="C661" s="315"/>
      <c r="D661" s="26"/>
      <c r="I661" s="27"/>
      <c r="AB661" s="25"/>
      <c r="AF661" s="28"/>
      <c r="AG661" s="195"/>
      <c r="AH661" s="29"/>
    </row>
    <row r="662" spans="2:34">
      <c r="B662" s="25"/>
      <c r="C662" s="315"/>
      <c r="D662" s="26"/>
      <c r="I662" s="27"/>
      <c r="AB662" s="25"/>
      <c r="AF662" s="28"/>
      <c r="AG662" s="195"/>
      <c r="AH662" s="29"/>
    </row>
    <row r="663" spans="2:34">
      <c r="B663" s="25"/>
      <c r="C663" s="315"/>
      <c r="D663" s="26"/>
      <c r="I663" s="27"/>
      <c r="AB663" s="25"/>
      <c r="AF663" s="28"/>
      <c r="AG663" s="195"/>
      <c r="AH663" s="29"/>
    </row>
    <row r="664" spans="2:34">
      <c r="B664" s="25"/>
      <c r="C664" s="315"/>
      <c r="D664" s="26"/>
      <c r="I664" s="27"/>
      <c r="AB664" s="25"/>
      <c r="AF664" s="28"/>
      <c r="AG664" s="195"/>
      <c r="AH664" s="29"/>
    </row>
    <row r="665" spans="2:34">
      <c r="B665" s="25"/>
      <c r="C665" s="315"/>
      <c r="D665" s="26"/>
      <c r="I665" s="27"/>
      <c r="AB665" s="25"/>
      <c r="AF665" s="28"/>
      <c r="AG665" s="195"/>
      <c r="AH665" s="29"/>
    </row>
    <row r="666" spans="2:34">
      <c r="B666" s="25"/>
      <c r="C666" s="315"/>
      <c r="D666" s="26"/>
      <c r="I666" s="27"/>
      <c r="AB666" s="25"/>
      <c r="AF666" s="28"/>
      <c r="AG666" s="195"/>
      <c r="AH666" s="29"/>
    </row>
    <row r="667" spans="2:34">
      <c r="B667" s="25"/>
      <c r="C667" s="315"/>
      <c r="D667" s="26"/>
      <c r="I667" s="27"/>
      <c r="AB667" s="25"/>
      <c r="AF667" s="28"/>
      <c r="AG667" s="195"/>
      <c r="AH667" s="29"/>
    </row>
    <row r="668" spans="2:34">
      <c r="B668" s="25"/>
      <c r="C668" s="315"/>
      <c r="D668" s="26"/>
      <c r="I668" s="27"/>
      <c r="AB668" s="25"/>
      <c r="AF668" s="28"/>
      <c r="AG668" s="195"/>
      <c r="AH668" s="29"/>
    </row>
    <row r="669" spans="2:34">
      <c r="B669" s="25"/>
      <c r="C669" s="315"/>
      <c r="D669" s="26"/>
      <c r="I669" s="27"/>
      <c r="AB669" s="25"/>
      <c r="AF669" s="28"/>
      <c r="AG669" s="195"/>
      <c r="AH669" s="29"/>
    </row>
    <row r="670" spans="2:34">
      <c r="B670" s="25"/>
      <c r="C670" s="315"/>
      <c r="D670" s="26"/>
      <c r="I670" s="27"/>
      <c r="AB670" s="25"/>
      <c r="AF670" s="28"/>
      <c r="AG670" s="195"/>
      <c r="AH670" s="29"/>
    </row>
    <row r="671" spans="2:34">
      <c r="B671" s="25"/>
      <c r="C671" s="315"/>
      <c r="D671" s="26"/>
      <c r="I671" s="27"/>
      <c r="AB671" s="25"/>
      <c r="AF671" s="28"/>
      <c r="AG671" s="195"/>
      <c r="AH671" s="29"/>
    </row>
    <row r="672" spans="2:34">
      <c r="B672" s="25"/>
      <c r="C672" s="315"/>
      <c r="D672" s="26"/>
      <c r="I672" s="27"/>
      <c r="AB672" s="25"/>
      <c r="AF672" s="28"/>
      <c r="AG672" s="195"/>
      <c r="AH672" s="29"/>
    </row>
    <row r="673" spans="2:34">
      <c r="B673" s="25"/>
      <c r="C673" s="315"/>
      <c r="D673" s="26"/>
      <c r="I673" s="27"/>
      <c r="AB673" s="25"/>
      <c r="AF673" s="28"/>
      <c r="AG673" s="195"/>
      <c r="AH673" s="29"/>
    </row>
    <row r="674" spans="2:34">
      <c r="B674" s="25"/>
      <c r="C674" s="315"/>
      <c r="D674" s="26"/>
      <c r="I674" s="27"/>
      <c r="AB674" s="25"/>
      <c r="AF674" s="28"/>
      <c r="AG674" s="195"/>
      <c r="AH674" s="29"/>
    </row>
    <row r="675" spans="2:34">
      <c r="B675" s="25"/>
      <c r="C675" s="315"/>
      <c r="D675" s="26"/>
      <c r="I675" s="27"/>
      <c r="AB675" s="25"/>
      <c r="AF675" s="28"/>
      <c r="AG675" s="195"/>
      <c r="AH675" s="29"/>
    </row>
    <row r="676" spans="2:34">
      <c r="B676" s="25"/>
      <c r="C676" s="315"/>
      <c r="D676" s="26"/>
      <c r="I676" s="27"/>
      <c r="AB676" s="25"/>
      <c r="AF676" s="28"/>
      <c r="AG676" s="195"/>
      <c r="AH676" s="29"/>
    </row>
    <row r="677" spans="2:34">
      <c r="B677" s="25"/>
      <c r="C677" s="315"/>
      <c r="D677" s="26"/>
      <c r="I677" s="27"/>
      <c r="AB677" s="25"/>
      <c r="AF677" s="28"/>
      <c r="AG677" s="195"/>
      <c r="AH677" s="29"/>
    </row>
    <row r="678" spans="2:34">
      <c r="B678" s="25"/>
      <c r="C678" s="315"/>
      <c r="D678" s="26"/>
      <c r="I678" s="27"/>
      <c r="AB678" s="25"/>
      <c r="AF678" s="28"/>
      <c r="AG678" s="195"/>
      <c r="AH678" s="29"/>
    </row>
    <row r="679" spans="2:34">
      <c r="B679" s="25"/>
      <c r="C679" s="315"/>
      <c r="D679" s="26"/>
      <c r="I679" s="27"/>
      <c r="AB679" s="25"/>
      <c r="AF679" s="28"/>
      <c r="AG679" s="195"/>
      <c r="AH679" s="29"/>
    </row>
    <row r="680" spans="2:34">
      <c r="B680" s="25"/>
      <c r="C680" s="315"/>
      <c r="D680" s="26"/>
      <c r="I680" s="27"/>
      <c r="AB680" s="25"/>
      <c r="AF680" s="28"/>
      <c r="AG680" s="195"/>
      <c r="AH680" s="29"/>
    </row>
    <row r="681" spans="2:34">
      <c r="B681" s="25"/>
      <c r="C681" s="315"/>
      <c r="D681" s="26"/>
      <c r="I681" s="27"/>
      <c r="AB681" s="25"/>
      <c r="AF681" s="28"/>
      <c r="AG681" s="195"/>
      <c r="AH681" s="29"/>
    </row>
    <row r="682" spans="2:34">
      <c r="B682" s="25"/>
      <c r="C682" s="315"/>
      <c r="D682" s="26"/>
      <c r="I682" s="27"/>
      <c r="AB682" s="25"/>
      <c r="AF682" s="28"/>
      <c r="AG682" s="195"/>
      <c r="AH682" s="29"/>
    </row>
    <row r="683" spans="2:34">
      <c r="B683" s="25"/>
      <c r="C683" s="315"/>
      <c r="D683" s="26"/>
      <c r="I683" s="27"/>
      <c r="AB683" s="25"/>
      <c r="AF683" s="28"/>
      <c r="AG683" s="195"/>
      <c r="AH683" s="29"/>
    </row>
    <row r="684" spans="2:34">
      <c r="B684" s="25"/>
      <c r="C684" s="315"/>
      <c r="D684" s="26"/>
      <c r="I684" s="27"/>
      <c r="AB684" s="25"/>
      <c r="AF684" s="28"/>
      <c r="AG684" s="195"/>
      <c r="AH684" s="29"/>
    </row>
    <row r="685" spans="2:34">
      <c r="B685" s="25"/>
      <c r="C685" s="315"/>
      <c r="D685" s="26"/>
      <c r="I685" s="27"/>
      <c r="AB685" s="25"/>
      <c r="AF685" s="28"/>
      <c r="AG685" s="195"/>
      <c r="AH685" s="29"/>
    </row>
    <row r="686" spans="2:34">
      <c r="B686" s="25"/>
      <c r="C686" s="315"/>
      <c r="D686" s="26"/>
      <c r="I686" s="27"/>
      <c r="AB686" s="25"/>
      <c r="AF686" s="28"/>
      <c r="AG686" s="195"/>
      <c r="AH686" s="29"/>
    </row>
    <row r="687" spans="2:34">
      <c r="B687" s="25"/>
      <c r="C687" s="315"/>
      <c r="D687" s="26"/>
      <c r="I687" s="27"/>
      <c r="AB687" s="25"/>
      <c r="AF687" s="28"/>
      <c r="AG687" s="195"/>
      <c r="AH687" s="29"/>
    </row>
    <row r="688" spans="2:34">
      <c r="B688" s="25"/>
      <c r="C688" s="315"/>
      <c r="D688" s="26"/>
      <c r="I688" s="27"/>
      <c r="AB688" s="25"/>
      <c r="AF688" s="28"/>
      <c r="AG688" s="195"/>
      <c r="AH688" s="29"/>
    </row>
    <row r="689" spans="2:34">
      <c r="B689" s="25"/>
      <c r="C689" s="315"/>
      <c r="D689" s="26"/>
      <c r="I689" s="27"/>
      <c r="AB689" s="25"/>
      <c r="AF689" s="28"/>
      <c r="AG689" s="195"/>
      <c r="AH689" s="29"/>
    </row>
    <row r="690" spans="2:34">
      <c r="B690" s="25"/>
      <c r="C690" s="315"/>
      <c r="D690" s="26"/>
      <c r="I690" s="27"/>
      <c r="AB690" s="25"/>
      <c r="AF690" s="28"/>
      <c r="AG690" s="195"/>
      <c r="AH690" s="29"/>
    </row>
    <row r="691" spans="2:34">
      <c r="B691" s="25"/>
      <c r="C691" s="315"/>
      <c r="D691" s="26"/>
      <c r="I691" s="27"/>
      <c r="AB691" s="25"/>
      <c r="AF691" s="28"/>
      <c r="AG691" s="195"/>
      <c r="AH691" s="29"/>
    </row>
    <row r="692" spans="2:34">
      <c r="B692" s="25"/>
      <c r="C692" s="315"/>
      <c r="D692" s="26"/>
      <c r="I692" s="27"/>
      <c r="AB692" s="25"/>
      <c r="AF692" s="28"/>
      <c r="AG692" s="195"/>
      <c r="AH692" s="29"/>
    </row>
    <row r="693" spans="2:34">
      <c r="B693" s="25"/>
      <c r="C693" s="315"/>
      <c r="D693" s="26"/>
      <c r="I693" s="27"/>
      <c r="AB693" s="25"/>
      <c r="AF693" s="28"/>
      <c r="AG693" s="195"/>
      <c r="AH693" s="29"/>
    </row>
    <row r="694" spans="2:34">
      <c r="B694" s="25"/>
      <c r="C694" s="315"/>
      <c r="D694" s="26"/>
      <c r="I694" s="27"/>
      <c r="AB694" s="25"/>
      <c r="AF694" s="28"/>
      <c r="AG694" s="195"/>
      <c r="AH694" s="29"/>
    </row>
    <row r="695" spans="2:34">
      <c r="B695" s="25"/>
      <c r="C695" s="315"/>
      <c r="D695" s="26"/>
      <c r="I695" s="27"/>
      <c r="AB695" s="25"/>
      <c r="AF695" s="28"/>
      <c r="AG695" s="195"/>
      <c r="AH695" s="29"/>
    </row>
    <row r="696" spans="2:34">
      <c r="B696" s="25"/>
      <c r="C696" s="315"/>
      <c r="D696" s="26"/>
      <c r="I696" s="27"/>
      <c r="AB696" s="25"/>
      <c r="AF696" s="28"/>
      <c r="AG696" s="195"/>
      <c r="AH696" s="29"/>
    </row>
    <row r="697" spans="2:34">
      <c r="B697" s="25"/>
      <c r="C697" s="315"/>
      <c r="D697" s="26"/>
      <c r="I697" s="27"/>
      <c r="AB697" s="25"/>
      <c r="AF697" s="28"/>
      <c r="AG697" s="195"/>
      <c r="AH697" s="29"/>
    </row>
    <row r="698" spans="2:34">
      <c r="B698" s="25"/>
      <c r="C698" s="315"/>
      <c r="D698" s="26"/>
      <c r="I698" s="27"/>
      <c r="AB698" s="25"/>
      <c r="AF698" s="28"/>
      <c r="AG698" s="195"/>
      <c r="AH698" s="29"/>
    </row>
    <row r="699" spans="2:34">
      <c r="B699" s="25"/>
      <c r="C699" s="315"/>
      <c r="D699" s="26"/>
      <c r="I699" s="27"/>
      <c r="AB699" s="25"/>
      <c r="AF699" s="28"/>
      <c r="AG699" s="195"/>
      <c r="AH699" s="29"/>
    </row>
    <row r="700" spans="2:34">
      <c r="B700" s="25"/>
      <c r="C700" s="315"/>
      <c r="D700" s="26"/>
      <c r="I700" s="27"/>
      <c r="AB700" s="25"/>
      <c r="AF700" s="28"/>
      <c r="AG700" s="195"/>
      <c r="AH700" s="29"/>
    </row>
    <row r="701" spans="2:34">
      <c r="B701" s="25"/>
      <c r="C701" s="315"/>
      <c r="D701" s="26"/>
      <c r="I701" s="27"/>
      <c r="AB701" s="25"/>
      <c r="AF701" s="28"/>
      <c r="AG701" s="195"/>
      <c r="AH701" s="29"/>
    </row>
    <row r="702" spans="2:34">
      <c r="B702" s="25"/>
      <c r="C702" s="315"/>
      <c r="D702" s="26"/>
      <c r="I702" s="27"/>
      <c r="AB702" s="25"/>
      <c r="AF702" s="28"/>
      <c r="AG702" s="195"/>
      <c r="AH702" s="29"/>
    </row>
    <row r="703" spans="2:34">
      <c r="B703" s="25"/>
      <c r="C703" s="315"/>
      <c r="D703" s="26"/>
      <c r="I703" s="27"/>
      <c r="AB703" s="25"/>
      <c r="AF703" s="28"/>
      <c r="AG703" s="195"/>
      <c r="AH703" s="29"/>
    </row>
    <row r="704" spans="2:34">
      <c r="B704" s="25"/>
      <c r="C704" s="315"/>
      <c r="D704" s="26"/>
      <c r="I704" s="27"/>
      <c r="AB704" s="25"/>
      <c r="AF704" s="28"/>
      <c r="AG704" s="195"/>
      <c r="AH704" s="29"/>
    </row>
    <row r="705" spans="2:34">
      <c r="B705" s="25"/>
      <c r="C705" s="315"/>
      <c r="D705" s="26"/>
      <c r="I705" s="27"/>
      <c r="AB705" s="25"/>
      <c r="AF705" s="28"/>
      <c r="AG705" s="195"/>
      <c r="AH705" s="29"/>
    </row>
    <row r="706" spans="2:34">
      <c r="B706" s="25"/>
      <c r="C706" s="315"/>
      <c r="D706" s="26"/>
      <c r="I706" s="27"/>
      <c r="AB706" s="25"/>
      <c r="AF706" s="28"/>
      <c r="AG706" s="195"/>
      <c r="AH706" s="29"/>
    </row>
    <row r="707" spans="2:34">
      <c r="B707" s="25"/>
      <c r="C707" s="315"/>
      <c r="D707" s="26"/>
      <c r="I707" s="27"/>
      <c r="AB707" s="25"/>
      <c r="AF707" s="28"/>
      <c r="AG707" s="195"/>
      <c r="AH707" s="29"/>
    </row>
    <row r="708" spans="2:34">
      <c r="B708" s="25"/>
      <c r="C708" s="315"/>
      <c r="D708" s="26"/>
      <c r="I708" s="27"/>
      <c r="AB708" s="25"/>
      <c r="AF708" s="28"/>
      <c r="AG708" s="195"/>
      <c r="AH708" s="29"/>
    </row>
    <row r="709" spans="2:34">
      <c r="B709" s="25"/>
      <c r="C709" s="315"/>
      <c r="D709" s="26"/>
      <c r="I709" s="27"/>
      <c r="AB709" s="25"/>
      <c r="AF709" s="28"/>
      <c r="AG709" s="195"/>
      <c r="AH709" s="29"/>
    </row>
    <row r="710" spans="2:34">
      <c r="B710" s="25"/>
      <c r="C710" s="315"/>
      <c r="D710" s="26"/>
      <c r="I710" s="27"/>
      <c r="AB710" s="25"/>
      <c r="AF710" s="28"/>
      <c r="AG710" s="195"/>
      <c r="AH710" s="29"/>
    </row>
    <row r="711" spans="2:34">
      <c r="B711" s="25"/>
      <c r="C711" s="315"/>
      <c r="D711" s="26"/>
      <c r="I711" s="27"/>
      <c r="AB711" s="25"/>
      <c r="AF711" s="28"/>
      <c r="AG711" s="195"/>
      <c r="AH711" s="29"/>
    </row>
    <row r="712" spans="2:34">
      <c r="B712" s="25"/>
      <c r="C712" s="315"/>
      <c r="D712" s="26"/>
      <c r="I712" s="27"/>
      <c r="AB712" s="25"/>
      <c r="AF712" s="28"/>
      <c r="AG712" s="195"/>
      <c r="AH712" s="29"/>
    </row>
    <row r="713" spans="2:34">
      <c r="B713" s="25"/>
      <c r="C713" s="315"/>
      <c r="D713" s="26"/>
      <c r="I713" s="27"/>
      <c r="AB713" s="25"/>
      <c r="AF713" s="28"/>
      <c r="AG713" s="195"/>
      <c r="AH713" s="29"/>
    </row>
    <row r="714" spans="2:34">
      <c r="B714" s="25"/>
      <c r="C714" s="315"/>
      <c r="D714" s="26"/>
      <c r="I714" s="27"/>
      <c r="AB714" s="25"/>
      <c r="AF714" s="28"/>
      <c r="AG714" s="195"/>
      <c r="AH714" s="29"/>
    </row>
    <row r="715" spans="2:34">
      <c r="B715" s="25"/>
      <c r="C715" s="315"/>
      <c r="D715" s="26"/>
      <c r="I715" s="27"/>
      <c r="AB715" s="25"/>
      <c r="AF715" s="28"/>
      <c r="AG715" s="195"/>
      <c r="AH715" s="29"/>
    </row>
    <row r="716" spans="2:34">
      <c r="B716" s="25"/>
      <c r="C716" s="315"/>
      <c r="D716" s="26"/>
      <c r="I716" s="27"/>
      <c r="AB716" s="25"/>
      <c r="AF716" s="28"/>
      <c r="AG716" s="195"/>
      <c r="AH716" s="29"/>
    </row>
    <row r="717" spans="2:34">
      <c r="B717" s="25"/>
      <c r="C717" s="315"/>
      <c r="D717" s="26"/>
      <c r="I717" s="27"/>
      <c r="AB717" s="25"/>
      <c r="AF717" s="28"/>
      <c r="AG717" s="195"/>
      <c r="AH717" s="29"/>
    </row>
    <row r="718" spans="2:34">
      <c r="B718" s="25"/>
      <c r="C718" s="315"/>
      <c r="D718" s="26"/>
      <c r="I718" s="27"/>
      <c r="AB718" s="25"/>
      <c r="AF718" s="28"/>
      <c r="AG718" s="195"/>
      <c r="AH718" s="29"/>
    </row>
    <row r="719" spans="2:34">
      <c r="B719" s="25"/>
      <c r="C719" s="315"/>
      <c r="D719" s="26"/>
      <c r="I719" s="27"/>
      <c r="AB719" s="25"/>
      <c r="AF719" s="28"/>
      <c r="AG719" s="195"/>
      <c r="AH719" s="29"/>
    </row>
    <row r="720" spans="2:34">
      <c r="B720" s="25"/>
      <c r="C720" s="315"/>
      <c r="D720" s="26"/>
      <c r="I720" s="27"/>
      <c r="AB720" s="25"/>
      <c r="AF720" s="28"/>
      <c r="AG720" s="195"/>
      <c r="AH720" s="29"/>
    </row>
    <row r="721" spans="2:34">
      <c r="B721" s="25"/>
      <c r="C721" s="315"/>
      <c r="D721" s="26"/>
      <c r="I721" s="27"/>
      <c r="AB721" s="25"/>
      <c r="AF721" s="28"/>
      <c r="AG721" s="195"/>
      <c r="AH721" s="29"/>
    </row>
    <row r="722" spans="2:34">
      <c r="B722" s="25"/>
      <c r="C722" s="315"/>
      <c r="D722" s="26"/>
      <c r="I722" s="27"/>
      <c r="AB722" s="25"/>
      <c r="AF722" s="28"/>
      <c r="AG722" s="195"/>
      <c r="AH722" s="29"/>
    </row>
    <row r="723" spans="2:34">
      <c r="B723" s="25"/>
      <c r="C723" s="315"/>
      <c r="D723" s="26"/>
      <c r="I723" s="27"/>
      <c r="AB723" s="25"/>
      <c r="AF723" s="28"/>
      <c r="AG723" s="195"/>
      <c r="AH723" s="29"/>
    </row>
    <row r="724" spans="2:34">
      <c r="B724" s="25"/>
      <c r="C724" s="315"/>
      <c r="D724" s="26"/>
      <c r="I724" s="27"/>
      <c r="AB724" s="25"/>
      <c r="AF724" s="28"/>
      <c r="AG724" s="195"/>
      <c r="AH724" s="29"/>
    </row>
    <row r="725" spans="2:34">
      <c r="B725" s="25"/>
      <c r="C725" s="315"/>
      <c r="D725" s="26"/>
      <c r="I725" s="27"/>
      <c r="AB725" s="25"/>
      <c r="AF725" s="28"/>
      <c r="AG725" s="195"/>
      <c r="AH725" s="29"/>
    </row>
    <row r="726" spans="2:34">
      <c r="B726" s="25"/>
      <c r="C726" s="315"/>
      <c r="D726" s="26"/>
      <c r="I726" s="27"/>
      <c r="AB726" s="25"/>
      <c r="AF726" s="28"/>
      <c r="AG726" s="195"/>
      <c r="AH726" s="29"/>
    </row>
    <row r="727" spans="2:34">
      <c r="B727" s="25"/>
      <c r="C727" s="315"/>
      <c r="D727" s="26"/>
      <c r="I727" s="27"/>
      <c r="AB727" s="25"/>
      <c r="AF727" s="28"/>
      <c r="AG727" s="195"/>
      <c r="AH727" s="29"/>
    </row>
    <row r="728" spans="2:34">
      <c r="B728" s="25"/>
      <c r="C728" s="315"/>
      <c r="D728" s="26"/>
      <c r="I728" s="27"/>
      <c r="AB728" s="25"/>
      <c r="AF728" s="28"/>
      <c r="AG728" s="195"/>
      <c r="AH728" s="29"/>
    </row>
    <row r="729" spans="2:34">
      <c r="B729" s="25"/>
      <c r="C729" s="315"/>
      <c r="D729" s="26"/>
      <c r="I729" s="27"/>
      <c r="AB729" s="25"/>
      <c r="AF729" s="28"/>
      <c r="AG729" s="195"/>
      <c r="AH729" s="29"/>
    </row>
    <row r="730" spans="2:34">
      <c r="B730" s="25"/>
      <c r="C730" s="315"/>
      <c r="D730" s="26"/>
      <c r="I730" s="27"/>
      <c r="AB730" s="25"/>
      <c r="AF730" s="28"/>
      <c r="AG730" s="195"/>
      <c r="AH730" s="29"/>
    </row>
    <row r="731" spans="2:34">
      <c r="B731" s="25"/>
      <c r="C731" s="315"/>
      <c r="D731" s="26"/>
      <c r="I731" s="27"/>
      <c r="AB731" s="25"/>
      <c r="AF731" s="28"/>
      <c r="AG731" s="195"/>
      <c r="AH731" s="29"/>
    </row>
    <row r="732" spans="2:34">
      <c r="B732" s="25"/>
      <c r="C732" s="315"/>
      <c r="D732" s="26"/>
      <c r="I732" s="27"/>
      <c r="AB732" s="25"/>
      <c r="AF732" s="28"/>
      <c r="AG732" s="195"/>
      <c r="AH732" s="29"/>
    </row>
    <row r="733" spans="2:34">
      <c r="B733" s="25"/>
      <c r="C733" s="315"/>
      <c r="D733" s="26"/>
      <c r="I733" s="27"/>
      <c r="AB733" s="25"/>
      <c r="AF733" s="28"/>
      <c r="AG733" s="195"/>
      <c r="AH733" s="29"/>
    </row>
    <row r="734" spans="2:34">
      <c r="B734" s="25"/>
      <c r="C734" s="315"/>
      <c r="D734" s="26"/>
      <c r="I734" s="27"/>
      <c r="AB734" s="25"/>
      <c r="AF734" s="28"/>
      <c r="AG734" s="195"/>
      <c r="AH734" s="29"/>
    </row>
    <row r="735" spans="2:34">
      <c r="B735" s="25"/>
      <c r="C735" s="315"/>
      <c r="D735" s="26"/>
      <c r="I735" s="27"/>
      <c r="AB735" s="25"/>
      <c r="AF735" s="28"/>
      <c r="AG735" s="195"/>
      <c r="AH735" s="29"/>
    </row>
    <row r="736" spans="2:34">
      <c r="B736" s="25"/>
      <c r="C736" s="315"/>
      <c r="D736" s="26"/>
      <c r="I736" s="27"/>
      <c r="AB736" s="25"/>
      <c r="AF736" s="28"/>
      <c r="AG736" s="195"/>
      <c r="AH736" s="29"/>
    </row>
    <row r="737" spans="2:34">
      <c r="B737" s="25"/>
      <c r="C737" s="315"/>
      <c r="D737" s="26"/>
      <c r="I737" s="27"/>
      <c r="AB737" s="25"/>
      <c r="AF737" s="28"/>
      <c r="AG737" s="195"/>
      <c r="AH737" s="29"/>
    </row>
    <row r="738" spans="2:34">
      <c r="B738" s="25"/>
      <c r="C738" s="315"/>
      <c r="D738" s="26"/>
      <c r="I738" s="27"/>
      <c r="AB738" s="25"/>
      <c r="AF738" s="28"/>
      <c r="AG738" s="195"/>
      <c r="AH738" s="29"/>
    </row>
    <row r="739" spans="2:34">
      <c r="B739" s="25"/>
      <c r="C739" s="315"/>
      <c r="D739" s="26"/>
      <c r="I739" s="27"/>
      <c r="AB739" s="25"/>
      <c r="AF739" s="28"/>
      <c r="AG739" s="195"/>
      <c r="AH739" s="29"/>
    </row>
    <row r="740" spans="2:34">
      <c r="B740" s="25"/>
      <c r="C740" s="315"/>
      <c r="D740" s="26"/>
      <c r="I740" s="27"/>
      <c r="AB740" s="25"/>
      <c r="AF740" s="28"/>
      <c r="AG740" s="195"/>
      <c r="AH740" s="29"/>
    </row>
    <row r="741" spans="2:34">
      <c r="B741" s="25"/>
      <c r="C741" s="315"/>
      <c r="D741" s="26"/>
      <c r="I741" s="27"/>
      <c r="AB741" s="25"/>
      <c r="AF741" s="28"/>
      <c r="AG741" s="195"/>
      <c r="AH741" s="29"/>
    </row>
    <row r="742" spans="2:34">
      <c r="B742" s="25"/>
      <c r="C742" s="315"/>
      <c r="D742" s="26"/>
      <c r="I742" s="27"/>
      <c r="AB742" s="25"/>
      <c r="AF742" s="28"/>
      <c r="AG742" s="195"/>
      <c r="AH742" s="29"/>
    </row>
    <row r="743" spans="2:34">
      <c r="B743" s="25"/>
      <c r="C743" s="315"/>
      <c r="D743" s="26"/>
      <c r="I743" s="27"/>
      <c r="AB743" s="25"/>
      <c r="AF743" s="28"/>
      <c r="AG743" s="195"/>
      <c r="AH743" s="29"/>
    </row>
    <row r="744" spans="2:34">
      <c r="B744" s="25"/>
      <c r="C744" s="315"/>
      <c r="D744" s="26"/>
      <c r="I744" s="27"/>
      <c r="AB744" s="25"/>
      <c r="AF744" s="28"/>
      <c r="AG744" s="195"/>
      <c r="AH744" s="29"/>
    </row>
    <row r="745" spans="2:34">
      <c r="B745" s="25"/>
      <c r="C745" s="315"/>
      <c r="D745" s="26"/>
      <c r="I745" s="27"/>
      <c r="AB745" s="25"/>
      <c r="AF745" s="28"/>
      <c r="AG745" s="195"/>
      <c r="AH745" s="29"/>
    </row>
    <row r="746" spans="2:34">
      <c r="B746" s="25"/>
      <c r="C746" s="315"/>
      <c r="D746" s="26"/>
      <c r="I746" s="27"/>
      <c r="AB746" s="25"/>
      <c r="AF746" s="28"/>
      <c r="AG746" s="195"/>
      <c r="AH746" s="29"/>
    </row>
    <row r="747" spans="2:34">
      <c r="B747" s="25"/>
      <c r="C747" s="315"/>
      <c r="D747" s="26"/>
      <c r="I747" s="27"/>
      <c r="AB747" s="25"/>
      <c r="AF747" s="28"/>
      <c r="AG747" s="195"/>
      <c r="AH747" s="29"/>
    </row>
    <row r="748" spans="2:34">
      <c r="B748" s="25"/>
      <c r="C748" s="315"/>
      <c r="D748" s="26"/>
      <c r="I748" s="27"/>
      <c r="AB748" s="25"/>
      <c r="AF748" s="28"/>
      <c r="AG748" s="195"/>
      <c r="AH748" s="29"/>
    </row>
    <row r="749" spans="2:34">
      <c r="B749" s="25"/>
      <c r="C749" s="315"/>
      <c r="D749" s="26"/>
      <c r="I749" s="27"/>
      <c r="AB749" s="25"/>
      <c r="AF749" s="28"/>
      <c r="AG749" s="195"/>
      <c r="AH749" s="29"/>
    </row>
    <row r="750" spans="2:34">
      <c r="B750" s="25"/>
      <c r="C750" s="315"/>
      <c r="D750" s="26"/>
      <c r="I750" s="27"/>
      <c r="AB750" s="25"/>
      <c r="AF750" s="28"/>
      <c r="AG750" s="195"/>
      <c r="AH750" s="29"/>
    </row>
    <row r="751" spans="2:34" ht="11.25" customHeight="1">
      <c r="B751" s="25"/>
      <c r="C751" s="315"/>
      <c r="D751" s="26"/>
      <c r="I751" s="27"/>
      <c r="AB751" s="25"/>
      <c r="AF751" s="28"/>
      <c r="AG751" s="195"/>
      <c r="AH751" s="29"/>
    </row>
    <row r="752" spans="2:34">
      <c r="B752" s="25"/>
      <c r="C752" s="315"/>
      <c r="D752" s="26"/>
      <c r="I752" s="27"/>
      <c r="AB752" s="25"/>
      <c r="AF752" s="28"/>
      <c r="AG752" s="195"/>
      <c r="AH752" s="29"/>
    </row>
    <row r="753" spans="2:34">
      <c r="B753" s="25"/>
      <c r="C753" s="315"/>
      <c r="D753" s="26"/>
      <c r="I753" s="27"/>
      <c r="AB753" s="25"/>
      <c r="AF753" s="28"/>
      <c r="AG753" s="195"/>
      <c r="AH753" s="29"/>
    </row>
    <row r="754" spans="2:34">
      <c r="B754" s="25"/>
      <c r="C754" s="315"/>
      <c r="D754" s="26"/>
      <c r="I754" s="27"/>
      <c r="AB754" s="25"/>
      <c r="AF754" s="28"/>
      <c r="AG754" s="195"/>
      <c r="AH754" s="29"/>
    </row>
    <row r="755" spans="2:34">
      <c r="B755" s="25"/>
      <c r="C755" s="315"/>
      <c r="D755" s="26"/>
      <c r="I755" s="27"/>
      <c r="AB755" s="25"/>
      <c r="AF755" s="28"/>
      <c r="AG755" s="195"/>
      <c r="AH755" s="29"/>
    </row>
    <row r="756" spans="2:34">
      <c r="B756" s="25"/>
      <c r="C756" s="315"/>
      <c r="D756" s="26"/>
      <c r="I756" s="27"/>
      <c r="AB756" s="25"/>
      <c r="AF756" s="28"/>
      <c r="AG756" s="195"/>
      <c r="AH756" s="29"/>
    </row>
    <row r="757" spans="2:34">
      <c r="B757" s="25"/>
      <c r="C757" s="315"/>
      <c r="D757" s="26"/>
      <c r="I757" s="27"/>
      <c r="AB757" s="25"/>
      <c r="AF757" s="28"/>
      <c r="AG757" s="195"/>
      <c r="AH757" s="29"/>
    </row>
    <row r="758" spans="2:34">
      <c r="B758" s="25"/>
      <c r="C758" s="315"/>
      <c r="D758" s="26"/>
      <c r="I758" s="27"/>
      <c r="AB758" s="25"/>
      <c r="AF758" s="28"/>
      <c r="AG758" s="195"/>
      <c r="AH758" s="29"/>
    </row>
    <row r="759" spans="2:34">
      <c r="B759" s="25"/>
      <c r="C759" s="315"/>
      <c r="D759" s="26"/>
      <c r="I759" s="27"/>
      <c r="AB759" s="25"/>
      <c r="AF759" s="28"/>
      <c r="AG759" s="195"/>
      <c r="AH759" s="29"/>
    </row>
    <row r="760" spans="2:34">
      <c r="B760" s="25"/>
      <c r="C760" s="315"/>
      <c r="D760" s="26"/>
      <c r="I760" s="27"/>
      <c r="AB760" s="25"/>
      <c r="AF760" s="28"/>
      <c r="AG760" s="195"/>
      <c r="AH760" s="29"/>
    </row>
    <row r="761" spans="2:34">
      <c r="B761" s="25"/>
      <c r="C761" s="315"/>
      <c r="D761" s="26"/>
      <c r="I761" s="27"/>
      <c r="AB761" s="25"/>
      <c r="AF761" s="28"/>
      <c r="AG761" s="195"/>
      <c r="AH761" s="29"/>
    </row>
    <row r="762" spans="2:34">
      <c r="B762" s="25"/>
      <c r="C762" s="315"/>
      <c r="D762" s="26"/>
      <c r="I762" s="27"/>
      <c r="AB762" s="25"/>
      <c r="AF762" s="28"/>
      <c r="AG762" s="195"/>
      <c r="AH762" s="29"/>
    </row>
    <row r="763" spans="2:34">
      <c r="B763" s="25"/>
      <c r="C763" s="315"/>
      <c r="D763" s="26"/>
      <c r="I763" s="27"/>
      <c r="AB763" s="25"/>
      <c r="AF763" s="28"/>
      <c r="AG763" s="195"/>
      <c r="AH763" s="29"/>
    </row>
    <row r="764" spans="2:34">
      <c r="B764" s="25"/>
      <c r="C764" s="315"/>
      <c r="D764" s="26"/>
      <c r="I764" s="27"/>
      <c r="AB764" s="25"/>
      <c r="AF764" s="28"/>
      <c r="AG764" s="195"/>
      <c r="AH764" s="29"/>
    </row>
    <row r="765" spans="2:34">
      <c r="B765" s="25"/>
      <c r="C765" s="315"/>
      <c r="D765" s="26"/>
      <c r="I765" s="27"/>
      <c r="AB765" s="25"/>
      <c r="AF765" s="28"/>
      <c r="AG765" s="195"/>
      <c r="AH765" s="29"/>
    </row>
    <row r="766" spans="2:34">
      <c r="B766" s="25"/>
      <c r="C766" s="315"/>
      <c r="D766" s="26"/>
      <c r="I766" s="27"/>
      <c r="AB766" s="25"/>
      <c r="AF766" s="28"/>
      <c r="AG766" s="195"/>
      <c r="AH766" s="29"/>
    </row>
    <row r="767" spans="2:34">
      <c r="B767" s="25"/>
      <c r="C767" s="315"/>
      <c r="D767" s="26"/>
      <c r="I767" s="27"/>
      <c r="AB767" s="25"/>
      <c r="AF767" s="28"/>
      <c r="AG767" s="195"/>
      <c r="AH767" s="29"/>
    </row>
    <row r="768" spans="2:34">
      <c r="B768" s="25"/>
      <c r="C768" s="315"/>
      <c r="D768" s="26"/>
      <c r="I768" s="27"/>
      <c r="AB768" s="25"/>
      <c r="AF768" s="28"/>
      <c r="AG768" s="195"/>
      <c r="AH768" s="29"/>
    </row>
    <row r="769" spans="2:34">
      <c r="B769" s="25"/>
      <c r="C769" s="315"/>
      <c r="D769" s="26"/>
      <c r="I769" s="27"/>
      <c r="AB769" s="25"/>
      <c r="AF769" s="28"/>
      <c r="AG769" s="195"/>
      <c r="AH769" s="29"/>
    </row>
    <row r="770" spans="2:34">
      <c r="B770" s="25"/>
      <c r="C770" s="315"/>
      <c r="D770" s="26"/>
      <c r="I770" s="27"/>
      <c r="AB770" s="25"/>
      <c r="AF770" s="28"/>
      <c r="AG770" s="195"/>
      <c r="AH770" s="29"/>
    </row>
    <row r="771" spans="2:34">
      <c r="B771" s="25"/>
      <c r="C771" s="315"/>
      <c r="D771" s="26"/>
      <c r="I771" s="27"/>
      <c r="AB771" s="25"/>
      <c r="AF771" s="28"/>
      <c r="AG771" s="195"/>
      <c r="AH771" s="29"/>
    </row>
    <row r="772" spans="2:34">
      <c r="B772" s="25"/>
      <c r="C772" s="315"/>
      <c r="D772" s="26"/>
      <c r="I772" s="27"/>
      <c r="AB772" s="25"/>
      <c r="AF772" s="28"/>
      <c r="AG772" s="195"/>
      <c r="AH772" s="29"/>
    </row>
    <row r="773" spans="2:34">
      <c r="B773" s="25"/>
      <c r="C773" s="315"/>
      <c r="D773" s="26"/>
      <c r="I773" s="27"/>
      <c r="AB773" s="25"/>
      <c r="AF773" s="28"/>
      <c r="AG773" s="195"/>
      <c r="AH773" s="29"/>
    </row>
    <row r="774" spans="2:34">
      <c r="B774" s="25"/>
      <c r="C774" s="315"/>
      <c r="D774" s="26"/>
      <c r="I774" s="27"/>
      <c r="AB774" s="25"/>
      <c r="AF774" s="28"/>
      <c r="AG774" s="195"/>
      <c r="AH774" s="29"/>
    </row>
    <row r="775" spans="2:34">
      <c r="B775" s="25"/>
      <c r="C775" s="315"/>
      <c r="D775" s="26"/>
      <c r="I775" s="27"/>
      <c r="AB775" s="25"/>
      <c r="AF775" s="28"/>
      <c r="AG775" s="195"/>
      <c r="AH775" s="29"/>
    </row>
    <row r="776" spans="2:34">
      <c r="B776" s="25"/>
      <c r="C776" s="315"/>
      <c r="D776" s="26"/>
      <c r="I776" s="27"/>
      <c r="AB776" s="25"/>
      <c r="AF776" s="28"/>
      <c r="AG776" s="195"/>
      <c r="AH776" s="29"/>
    </row>
    <row r="777" spans="2:34">
      <c r="B777" s="25"/>
      <c r="C777" s="315"/>
      <c r="D777" s="26"/>
      <c r="I777" s="27"/>
      <c r="AB777" s="25"/>
      <c r="AF777" s="28"/>
      <c r="AG777" s="195"/>
      <c r="AH777" s="29"/>
    </row>
    <row r="778" spans="2:34">
      <c r="B778" s="25"/>
      <c r="C778" s="315"/>
      <c r="D778" s="26"/>
      <c r="I778" s="27"/>
      <c r="AB778" s="25"/>
      <c r="AF778" s="28"/>
      <c r="AG778" s="195"/>
      <c r="AH778" s="29"/>
    </row>
    <row r="779" spans="2:34">
      <c r="B779" s="25"/>
      <c r="C779" s="315"/>
      <c r="D779" s="26"/>
      <c r="I779" s="27"/>
      <c r="AB779" s="25"/>
      <c r="AF779" s="28"/>
      <c r="AG779" s="195"/>
      <c r="AH779" s="29"/>
    </row>
    <row r="780" spans="2:34">
      <c r="B780" s="25"/>
      <c r="C780" s="315"/>
      <c r="D780" s="26"/>
      <c r="I780" s="27"/>
      <c r="AB780" s="25"/>
      <c r="AF780" s="28"/>
      <c r="AG780" s="195"/>
      <c r="AH780" s="29"/>
    </row>
    <row r="781" spans="2:34">
      <c r="B781" s="25"/>
      <c r="C781" s="315"/>
      <c r="D781" s="26"/>
      <c r="I781" s="27"/>
      <c r="AB781" s="25"/>
      <c r="AF781" s="28"/>
      <c r="AG781" s="195"/>
      <c r="AH781" s="29"/>
    </row>
    <row r="782" spans="2:34">
      <c r="B782" s="25"/>
      <c r="C782" s="315"/>
      <c r="D782" s="26"/>
      <c r="I782" s="27"/>
      <c r="AB782" s="25"/>
      <c r="AF782" s="28"/>
      <c r="AG782" s="195"/>
      <c r="AH782" s="29"/>
    </row>
    <row r="783" spans="2:34">
      <c r="B783" s="25"/>
      <c r="C783" s="315"/>
      <c r="D783" s="26"/>
      <c r="I783" s="27"/>
      <c r="AB783" s="25"/>
      <c r="AF783" s="28"/>
      <c r="AG783" s="195"/>
      <c r="AH783" s="29"/>
    </row>
    <row r="784" spans="2:34">
      <c r="B784" s="25"/>
      <c r="C784" s="315"/>
      <c r="D784" s="26"/>
      <c r="I784" s="27"/>
      <c r="AB784" s="25"/>
      <c r="AF784" s="28"/>
      <c r="AG784" s="195"/>
      <c r="AH784" s="29"/>
    </row>
    <row r="785" spans="2:34">
      <c r="B785" s="25"/>
      <c r="C785" s="315"/>
      <c r="D785" s="26"/>
      <c r="I785" s="27"/>
      <c r="AB785" s="25"/>
      <c r="AF785" s="28"/>
      <c r="AG785" s="195"/>
      <c r="AH785" s="29"/>
    </row>
    <row r="786" spans="2:34">
      <c r="B786" s="25"/>
      <c r="C786" s="315"/>
      <c r="D786" s="26"/>
      <c r="I786" s="27"/>
      <c r="AB786" s="25"/>
      <c r="AF786" s="28"/>
      <c r="AG786" s="195"/>
      <c r="AH786" s="29"/>
    </row>
    <row r="787" spans="2:34">
      <c r="B787" s="25"/>
      <c r="C787" s="315"/>
      <c r="D787" s="26"/>
      <c r="I787" s="27"/>
      <c r="AB787" s="25"/>
      <c r="AF787" s="28"/>
      <c r="AG787" s="195"/>
      <c r="AH787" s="29"/>
    </row>
    <row r="788" spans="2:34">
      <c r="B788" s="25"/>
      <c r="C788" s="315"/>
      <c r="D788" s="26"/>
      <c r="I788" s="27"/>
      <c r="AB788" s="25"/>
      <c r="AF788" s="28"/>
      <c r="AG788" s="195"/>
      <c r="AH788" s="29"/>
    </row>
    <row r="789" spans="2:34">
      <c r="B789" s="25"/>
      <c r="C789" s="315"/>
      <c r="D789" s="26"/>
      <c r="I789" s="27"/>
      <c r="AB789" s="25"/>
      <c r="AF789" s="28"/>
      <c r="AG789" s="195"/>
      <c r="AH789" s="29"/>
    </row>
    <row r="790" spans="2:34">
      <c r="B790" s="25"/>
      <c r="C790" s="315"/>
      <c r="D790" s="26"/>
      <c r="I790" s="27"/>
      <c r="AB790" s="25"/>
      <c r="AF790" s="28"/>
      <c r="AG790" s="195"/>
      <c r="AH790" s="29"/>
    </row>
    <row r="791" spans="2:34">
      <c r="B791" s="25"/>
      <c r="C791" s="315"/>
      <c r="D791" s="26"/>
      <c r="I791" s="27"/>
      <c r="AB791" s="25"/>
      <c r="AF791" s="28"/>
      <c r="AG791" s="195"/>
      <c r="AH791" s="29"/>
    </row>
    <row r="792" spans="2:34">
      <c r="B792" s="25"/>
      <c r="C792" s="315"/>
      <c r="D792" s="26"/>
      <c r="I792" s="27"/>
      <c r="AB792" s="25"/>
      <c r="AF792" s="28"/>
      <c r="AG792" s="195"/>
      <c r="AH792" s="29"/>
    </row>
    <row r="793" spans="2:34">
      <c r="B793" s="25"/>
      <c r="C793" s="315"/>
      <c r="D793" s="26"/>
      <c r="I793" s="27"/>
      <c r="AB793" s="25"/>
      <c r="AF793" s="28"/>
      <c r="AG793" s="195"/>
      <c r="AH793" s="29"/>
    </row>
    <row r="794" spans="2:34">
      <c r="B794" s="25"/>
      <c r="C794" s="315"/>
      <c r="D794" s="26"/>
      <c r="I794" s="27"/>
      <c r="AB794" s="25"/>
      <c r="AF794" s="28"/>
      <c r="AG794" s="195"/>
      <c r="AH794" s="29"/>
    </row>
    <row r="795" spans="2:34">
      <c r="B795" s="25"/>
      <c r="C795" s="315"/>
      <c r="D795" s="26"/>
      <c r="I795" s="27"/>
      <c r="AB795" s="25"/>
      <c r="AF795" s="28"/>
      <c r="AG795" s="195"/>
      <c r="AH795" s="29"/>
    </row>
    <row r="796" spans="2:34">
      <c r="B796" s="25"/>
      <c r="C796" s="315"/>
      <c r="D796" s="26"/>
      <c r="I796" s="27"/>
      <c r="AB796" s="25"/>
      <c r="AF796" s="28"/>
      <c r="AG796" s="195"/>
      <c r="AH796" s="29"/>
    </row>
    <row r="797" spans="2:34">
      <c r="B797" s="25"/>
      <c r="C797" s="315"/>
      <c r="D797" s="26"/>
      <c r="I797" s="27"/>
      <c r="AB797" s="25"/>
      <c r="AF797" s="28"/>
      <c r="AG797" s="195"/>
      <c r="AH797" s="29"/>
    </row>
    <row r="798" spans="2:34">
      <c r="B798" s="25"/>
      <c r="C798" s="315"/>
      <c r="D798" s="26"/>
      <c r="I798" s="27"/>
      <c r="AB798" s="25"/>
      <c r="AF798" s="28"/>
      <c r="AG798" s="195"/>
      <c r="AH798" s="29"/>
    </row>
    <row r="799" spans="2:34">
      <c r="B799" s="25"/>
      <c r="C799" s="315"/>
      <c r="D799" s="26"/>
      <c r="I799" s="27"/>
      <c r="AB799" s="25"/>
      <c r="AF799" s="28"/>
      <c r="AG799" s="195"/>
      <c r="AH799" s="29"/>
    </row>
    <row r="800" spans="2:34">
      <c r="B800" s="25"/>
      <c r="C800" s="315"/>
      <c r="D800" s="26"/>
      <c r="I800" s="27"/>
      <c r="AB800" s="25"/>
      <c r="AF800" s="28"/>
      <c r="AG800" s="195"/>
      <c r="AH800" s="29"/>
    </row>
    <row r="801" spans="2:34">
      <c r="B801" s="25"/>
      <c r="C801" s="315"/>
      <c r="D801" s="26"/>
      <c r="I801" s="27"/>
      <c r="AB801" s="25"/>
      <c r="AF801" s="28"/>
      <c r="AG801" s="195"/>
      <c r="AH801" s="29"/>
    </row>
    <row r="802" spans="2:34">
      <c r="B802" s="25"/>
      <c r="C802" s="315"/>
      <c r="D802" s="26"/>
      <c r="I802" s="27"/>
      <c r="AB802" s="25"/>
      <c r="AF802" s="28"/>
      <c r="AG802" s="195"/>
      <c r="AH802" s="29"/>
    </row>
    <row r="803" spans="2:34">
      <c r="B803" s="25"/>
      <c r="C803" s="315"/>
      <c r="D803" s="26"/>
      <c r="I803" s="27"/>
      <c r="AB803" s="25"/>
      <c r="AF803" s="28"/>
      <c r="AG803" s="195"/>
      <c r="AH803" s="29"/>
    </row>
    <row r="804" spans="2:34">
      <c r="B804" s="25"/>
      <c r="C804" s="315"/>
      <c r="D804" s="26"/>
      <c r="I804" s="27"/>
      <c r="AB804" s="25"/>
      <c r="AF804" s="28"/>
      <c r="AG804" s="195"/>
      <c r="AH804" s="29"/>
    </row>
    <row r="805" spans="2:34">
      <c r="B805" s="25"/>
      <c r="C805" s="315"/>
      <c r="D805" s="26"/>
      <c r="I805" s="27"/>
      <c r="AB805" s="25"/>
      <c r="AF805" s="28"/>
      <c r="AG805" s="195"/>
      <c r="AH805" s="29"/>
    </row>
    <row r="806" spans="2:34">
      <c r="B806" s="25"/>
      <c r="C806" s="315"/>
      <c r="D806" s="26"/>
      <c r="I806" s="27"/>
      <c r="AB806" s="25"/>
      <c r="AF806" s="28"/>
      <c r="AG806" s="195"/>
      <c r="AH806" s="29"/>
    </row>
    <row r="807" spans="2:34">
      <c r="B807" s="25"/>
      <c r="C807" s="315"/>
      <c r="D807" s="26"/>
      <c r="I807" s="27"/>
      <c r="AB807" s="25"/>
      <c r="AF807" s="28"/>
      <c r="AG807" s="195"/>
      <c r="AH807" s="29"/>
    </row>
    <row r="808" spans="2:34">
      <c r="B808" s="25"/>
      <c r="C808" s="315"/>
      <c r="D808" s="26"/>
      <c r="I808" s="27"/>
      <c r="AB808" s="25"/>
      <c r="AF808" s="28"/>
      <c r="AG808" s="195"/>
      <c r="AH808" s="29"/>
    </row>
    <row r="809" spans="2:34">
      <c r="B809" s="25"/>
      <c r="C809" s="315"/>
      <c r="D809" s="26"/>
      <c r="I809" s="27"/>
      <c r="AB809" s="25"/>
      <c r="AF809" s="28"/>
      <c r="AG809" s="195"/>
      <c r="AH809" s="29"/>
    </row>
    <row r="810" spans="2:34">
      <c r="B810" s="25"/>
      <c r="C810" s="315"/>
      <c r="D810" s="26"/>
      <c r="I810" s="27"/>
      <c r="AB810" s="25"/>
      <c r="AF810" s="28"/>
      <c r="AG810" s="195"/>
      <c r="AH810" s="29"/>
    </row>
    <row r="811" spans="2:34">
      <c r="B811" s="25"/>
      <c r="C811" s="315"/>
      <c r="D811" s="26"/>
      <c r="I811" s="27"/>
      <c r="AB811" s="25"/>
      <c r="AF811" s="28"/>
      <c r="AG811" s="195"/>
      <c r="AH811" s="29"/>
    </row>
    <row r="812" spans="2:34">
      <c r="B812" s="25"/>
      <c r="C812" s="315"/>
      <c r="D812" s="26"/>
      <c r="I812" s="27"/>
      <c r="AB812" s="25"/>
      <c r="AF812" s="28"/>
      <c r="AG812" s="195"/>
      <c r="AH812" s="29"/>
    </row>
    <row r="813" spans="2:34">
      <c r="B813" s="25"/>
      <c r="C813" s="315"/>
      <c r="D813" s="26"/>
      <c r="I813" s="27"/>
      <c r="AB813" s="25"/>
      <c r="AF813" s="28"/>
      <c r="AG813" s="195"/>
      <c r="AH813" s="29"/>
    </row>
    <row r="814" spans="2:34">
      <c r="B814" s="25"/>
      <c r="C814" s="315"/>
      <c r="D814" s="26"/>
      <c r="I814" s="27"/>
      <c r="AB814" s="25"/>
      <c r="AF814" s="28"/>
      <c r="AG814" s="195"/>
      <c r="AH814" s="29"/>
    </row>
    <row r="815" spans="2:34">
      <c r="B815" s="25"/>
      <c r="C815" s="315"/>
      <c r="D815" s="26"/>
      <c r="I815" s="27"/>
      <c r="AB815" s="25"/>
      <c r="AF815" s="28"/>
      <c r="AG815" s="195"/>
      <c r="AH815" s="29"/>
    </row>
    <row r="816" spans="2:34">
      <c r="B816" s="25"/>
      <c r="C816" s="315"/>
      <c r="D816" s="26"/>
      <c r="I816" s="27"/>
      <c r="AB816" s="25"/>
      <c r="AF816" s="28"/>
      <c r="AG816" s="195"/>
      <c r="AH816" s="29"/>
    </row>
    <row r="817" spans="2:34">
      <c r="B817" s="25"/>
      <c r="C817" s="315"/>
      <c r="D817" s="26"/>
      <c r="I817" s="27"/>
      <c r="AB817" s="25"/>
      <c r="AF817" s="28"/>
      <c r="AG817" s="195"/>
      <c r="AH817" s="29"/>
    </row>
    <row r="818" spans="2:34">
      <c r="B818" s="25"/>
      <c r="C818" s="315"/>
      <c r="D818" s="26"/>
      <c r="I818" s="27"/>
      <c r="AB818" s="25"/>
      <c r="AF818" s="28"/>
      <c r="AG818" s="195"/>
      <c r="AH818" s="29"/>
    </row>
    <row r="819" spans="2:34">
      <c r="B819" s="25"/>
      <c r="C819" s="315"/>
      <c r="D819" s="26"/>
      <c r="I819" s="27"/>
      <c r="AB819" s="25"/>
      <c r="AF819" s="28"/>
      <c r="AG819" s="195"/>
      <c r="AH819" s="29"/>
    </row>
    <row r="820" spans="2:34">
      <c r="B820" s="25"/>
      <c r="C820" s="315"/>
      <c r="D820" s="26"/>
      <c r="I820" s="27"/>
      <c r="AB820" s="25"/>
      <c r="AF820" s="28"/>
      <c r="AG820" s="195"/>
      <c r="AH820" s="29"/>
    </row>
    <row r="821" spans="2:34">
      <c r="B821" s="25"/>
      <c r="C821" s="315"/>
      <c r="D821" s="26"/>
      <c r="I821" s="27"/>
      <c r="AB821" s="25"/>
      <c r="AF821" s="28"/>
      <c r="AG821" s="195"/>
      <c r="AH821" s="29"/>
    </row>
    <row r="822" spans="2:34">
      <c r="B822" s="25"/>
      <c r="C822" s="315"/>
      <c r="D822" s="26"/>
      <c r="I822" s="27"/>
      <c r="AB822" s="25"/>
      <c r="AF822" s="28"/>
      <c r="AG822" s="195"/>
      <c r="AH822" s="29"/>
    </row>
    <row r="823" spans="2:34">
      <c r="B823" s="25"/>
      <c r="C823" s="315"/>
      <c r="D823" s="26"/>
      <c r="I823" s="27"/>
      <c r="AB823" s="25"/>
      <c r="AF823" s="28"/>
      <c r="AG823" s="195"/>
      <c r="AH823" s="29"/>
    </row>
    <row r="824" spans="2:34">
      <c r="B824" s="25"/>
      <c r="C824" s="315"/>
      <c r="D824" s="26"/>
      <c r="I824" s="27"/>
      <c r="AB824" s="25"/>
      <c r="AF824" s="28"/>
      <c r="AG824" s="195"/>
      <c r="AH824" s="29"/>
    </row>
    <row r="825" spans="2:34">
      <c r="B825" s="25"/>
      <c r="C825" s="315"/>
      <c r="D825" s="26"/>
      <c r="I825" s="27"/>
      <c r="AB825" s="25"/>
      <c r="AF825" s="28"/>
      <c r="AG825" s="195"/>
      <c r="AH825" s="29"/>
    </row>
    <row r="826" spans="2:34">
      <c r="B826" s="25"/>
      <c r="C826" s="315"/>
      <c r="D826" s="26"/>
      <c r="I826" s="27"/>
      <c r="AB826" s="25"/>
      <c r="AF826" s="28"/>
      <c r="AG826" s="195"/>
      <c r="AH826" s="29"/>
    </row>
    <row r="827" spans="2:34">
      <c r="B827" s="25"/>
      <c r="C827" s="315"/>
      <c r="D827" s="26"/>
      <c r="I827" s="27"/>
      <c r="AB827" s="25"/>
      <c r="AF827" s="28"/>
      <c r="AG827" s="195"/>
      <c r="AH827" s="29"/>
    </row>
    <row r="828" spans="2:34">
      <c r="B828" s="25"/>
      <c r="C828" s="315"/>
      <c r="D828" s="26"/>
      <c r="I828" s="27"/>
      <c r="AB828" s="25"/>
      <c r="AF828" s="28"/>
      <c r="AG828" s="195"/>
      <c r="AH828" s="29"/>
    </row>
    <row r="829" spans="2:34">
      <c r="B829" s="25"/>
      <c r="C829" s="315"/>
      <c r="D829" s="26"/>
      <c r="I829" s="27"/>
      <c r="AB829" s="25"/>
      <c r="AF829" s="28"/>
      <c r="AG829" s="195"/>
      <c r="AH829" s="29"/>
    </row>
    <row r="830" spans="2:34">
      <c r="B830" s="25"/>
      <c r="C830" s="315"/>
      <c r="D830" s="26"/>
      <c r="I830" s="27"/>
      <c r="AB830" s="25"/>
      <c r="AF830" s="28"/>
      <c r="AG830" s="195"/>
      <c r="AH830" s="29"/>
    </row>
    <row r="831" spans="2:34">
      <c r="B831" s="25"/>
      <c r="C831" s="315"/>
      <c r="D831" s="26"/>
      <c r="I831" s="27"/>
      <c r="AB831" s="25"/>
      <c r="AF831" s="28"/>
      <c r="AG831" s="195"/>
      <c r="AH831" s="29"/>
    </row>
    <row r="832" spans="2:34">
      <c r="B832" s="25"/>
      <c r="C832" s="315"/>
      <c r="D832" s="26"/>
      <c r="I832" s="27"/>
      <c r="AB832" s="25"/>
      <c r="AF832" s="28"/>
      <c r="AG832" s="195"/>
      <c r="AH832" s="29"/>
    </row>
    <row r="833" spans="2:34">
      <c r="B833" s="25"/>
      <c r="C833" s="315"/>
      <c r="D833" s="26"/>
      <c r="I833" s="27"/>
      <c r="AB833" s="25"/>
      <c r="AF833" s="28"/>
      <c r="AG833" s="195"/>
      <c r="AH833" s="29"/>
    </row>
    <row r="834" spans="2:34">
      <c r="B834" s="25"/>
      <c r="C834" s="315"/>
      <c r="D834" s="26"/>
      <c r="I834" s="27"/>
      <c r="AB834" s="25"/>
      <c r="AF834" s="28"/>
      <c r="AG834" s="195"/>
      <c r="AH834" s="29"/>
    </row>
    <row r="835" spans="2:34">
      <c r="B835" s="25"/>
      <c r="C835" s="315"/>
      <c r="D835" s="26"/>
      <c r="I835" s="27"/>
      <c r="AB835" s="25"/>
      <c r="AF835" s="28"/>
      <c r="AG835" s="195"/>
      <c r="AH835" s="29"/>
    </row>
    <row r="836" spans="2:34">
      <c r="B836" s="25"/>
      <c r="C836" s="315"/>
      <c r="D836" s="26"/>
      <c r="I836" s="27"/>
      <c r="AB836" s="25"/>
      <c r="AF836" s="28"/>
      <c r="AG836" s="195"/>
      <c r="AH836" s="29"/>
    </row>
    <row r="837" spans="2:34">
      <c r="B837" s="25"/>
      <c r="C837" s="315"/>
      <c r="D837" s="26"/>
      <c r="I837" s="27"/>
      <c r="AB837" s="25"/>
      <c r="AF837" s="28"/>
      <c r="AG837" s="195"/>
      <c r="AH837" s="29"/>
    </row>
    <row r="838" spans="2:34">
      <c r="B838" s="25"/>
      <c r="C838" s="315"/>
      <c r="D838" s="26"/>
      <c r="I838" s="27"/>
      <c r="AB838" s="25"/>
      <c r="AF838" s="28"/>
      <c r="AG838" s="195"/>
      <c r="AH838" s="29"/>
    </row>
    <row r="839" spans="2:34">
      <c r="B839" s="25"/>
      <c r="C839" s="315"/>
      <c r="D839" s="26"/>
      <c r="I839" s="27"/>
      <c r="AB839" s="25"/>
      <c r="AF839" s="28"/>
      <c r="AG839" s="195"/>
      <c r="AH839" s="29"/>
    </row>
    <row r="840" spans="2:34">
      <c r="B840" s="25"/>
      <c r="C840" s="315"/>
      <c r="D840" s="26"/>
      <c r="I840" s="27"/>
      <c r="AB840" s="25"/>
      <c r="AF840" s="28"/>
      <c r="AG840" s="195"/>
      <c r="AH840" s="29"/>
    </row>
    <row r="841" spans="2:34">
      <c r="B841" s="25"/>
      <c r="C841" s="315"/>
      <c r="D841" s="26"/>
      <c r="I841" s="27"/>
      <c r="AB841" s="25"/>
      <c r="AF841" s="28"/>
      <c r="AG841" s="195"/>
      <c r="AH841" s="29"/>
    </row>
    <row r="842" spans="2:34">
      <c r="B842" s="25"/>
      <c r="C842" s="315"/>
      <c r="D842" s="26"/>
      <c r="I842" s="27"/>
      <c r="AB842" s="25"/>
      <c r="AF842" s="28"/>
      <c r="AG842" s="195"/>
      <c r="AH842" s="29"/>
    </row>
    <row r="843" spans="2:34">
      <c r="B843" s="25"/>
      <c r="C843" s="315"/>
      <c r="D843" s="26"/>
      <c r="I843" s="27"/>
      <c r="AB843" s="25"/>
      <c r="AF843" s="28"/>
      <c r="AG843" s="195"/>
      <c r="AH843" s="29"/>
    </row>
    <row r="844" spans="2:34">
      <c r="B844" s="25"/>
      <c r="C844" s="315"/>
      <c r="D844" s="26"/>
      <c r="I844" s="27"/>
      <c r="AB844" s="25"/>
      <c r="AF844" s="28"/>
      <c r="AG844" s="195"/>
      <c r="AH844" s="29"/>
    </row>
    <row r="845" spans="2:34">
      <c r="B845" s="25"/>
      <c r="C845" s="315"/>
      <c r="D845" s="26"/>
      <c r="I845" s="27"/>
      <c r="AB845" s="25"/>
      <c r="AF845" s="28"/>
      <c r="AG845" s="195"/>
      <c r="AH845" s="29"/>
    </row>
    <row r="846" spans="2:34">
      <c r="B846" s="25"/>
      <c r="C846" s="315"/>
      <c r="D846" s="26"/>
      <c r="I846" s="27"/>
      <c r="AB846" s="25"/>
      <c r="AF846" s="28"/>
      <c r="AG846" s="195"/>
      <c r="AH846" s="29"/>
    </row>
    <row r="847" spans="2:34">
      <c r="B847" s="25"/>
      <c r="C847" s="315"/>
      <c r="D847" s="26"/>
      <c r="I847" s="27"/>
      <c r="AB847" s="25"/>
      <c r="AF847" s="28"/>
      <c r="AG847" s="195"/>
      <c r="AH847" s="29"/>
    </row>
    <row r="848" spans="2:34">
      <c r="B848" s="25"/>
      <c r="C848" s="315"/>
      <c r="D848" s="26"/>
      <c r="I848" s="27"/>
      <c r="AB848" s="25"/>
      <c r="AF848" s="28"/>
      <c r="AG848" s="195"/>
      <c r="AH848" s="29"/>
    </row>
    <row r="849" spans="2:34">
      <c r="B849" s="25"/>
      <c r="C849" s="315"/>
      <c r="D849" s="26"/>
      <c r="I849" s="27"/>
      <c r="AB849" s="25"/>
      <c r="AF849" s="28"/>
      <c r="AG849" s="195"/>
      <c r="AH849" s="29"/>
    </row>
    <row r="850" spans="2:34">
      <c r="B850" s="25"/>
      <c r="C850" s="315"/>
      <c r="D850" s="26"/>
      <c r="I850" s="27"/>
      <c r="AB850" s="25"/>
      <c r="AF850" s="28"/>
      <c r="AG850" s="195"/>
      <c r="AH850" s="29"/>
    </row>
    <row r="851" spans="2:34">
      <c r="B851" s="25"/>
      <c r="C851" s="315"/>
      <c r="D851" s="26"/>
      <c r="I851" s="27"/>
      <c r="AB851" s="25"/>
      <c r="AF851" s="28"/>
      <c r="AG851" s="195"/>
      <c r="AH851" s="29"/>
    </row>
    <row r="852" spans="2:34">
      <c r="B852" s="25"/>
      <c r="C852" s="315"/>
      <c r="D852" s="26"/>
      <c r="I852" s="27"/>
      <c r="AB852" s="25"/>
      <c r="AF852" s="28"/>
      <c r="AG852" s="195"/>
      <c r="AH852" s="29"/>
    </row>
    <row r="853" spans="2:34">
      <c r="B853" s="25"/>
      <c r="C853" s="315"/>
      <c r="D853" s="26"/>
      <c r="I853" s="27"/>
      <c r="AB853" s="25"/>
      <c r="AF853" s="28"/>
      <c r="AG853" s="195"/>
      <c r="AH853" s="29"/>
    </row>
    <row r="854" spans="2:34">
      <c r="B854" s="25"/>
      <c r="C854" s="315"/>
      <c r="D854" s="26"/>
      <c r="I854" s="27"/>
      <c r="AB854" s="25"/>
      <c r="AF854" s="28"/>
      <c r="AG854" s="195"/>
      <c r="AH854" s="29"/>
    </row>
    <row r="855" spans="2:34">
      <c r="B855" s="25"/>
      <c r="C855" s="315"/>
      <c r="D855" s="26"/>
      <c r="I855" s="27"/>
      <c r="AB855" s="25"/>
      <c r="AF855" s="28"/>
      <c r="AG855" s="195"/>
      <c r="AH855" s="29"/>
    </row>
    <row r="856" spans="2:34">
      <c r="B856" s="25"/>
      <c r="C856" s="315"/>
      <c r="D856" s="26"/>
      <c r="I856" s="27"/>
      <c r="AB856" s="25"/>
      <c r="AF856" s="28"/>
      <c r="AG856" s="195"/>
      <c r="AH856" s="29"/>
    </row>
    <row r="857" spans="2:34">
      <c r="B857" s="25"/>
      <c r="C857" s="315"/>
      <c r="D857" s="26"/>
      <c r="I857" s="27"/>
      <c r="AB857" s="25"/>
      <c r="AF857" s="28"/>
      <c r="AG857" s="195"/>
      <c r="AH857" s="29"/>
    </row>
    <row r="858" spans="2:34">
      <c r="B858" s="25"/>
      <c r="C858" s="315"/>
      <c r="D858" s="26"/>
      <c r="I858" s="27"/>
      <c r="AB858" s="25"/>
      <c r="AF858" s="28"/>
      <c r="AG858" s="195"/>
      <c r="AH858" s="29"/>
    </row>
    <row r="859" spans="2:34">
      <c r="B859" s="25"/>
      <c r="C859" s="315"/>
      <c r="D859" s="26"/>
      <c r="I859" s="27"/>
      <c r="AB859" s="25"/>
      <c r="AF859" s="28"/>
      <c r="AG859" s="195"/>
      <c r="AH859" s="29"/>
    </row>
    <row r="860" spans="2:34">
      <c r="B860" s="25"/>
      <c r="C860" s="315"/>
      <c r="D860" s="26"/>
      <c r="I860" s="27"/>
      <c r="AB860" s="25"/>
      <c r="AF860" s="28"/>
      <c r="AG860" s="195"/>
      <c r="AH860" s="29"/>
    </row>
    <row r="861" spans="2:34">
      <c r="B861" s="25"/>
      <c r="C861" s="315"/>
      <c r="D861" s="26"/>
      <c r="I861" s="27"/>
      <c r="AB861" s="25"/>
      <c r="AF861" s="28"/>
      <c r="AG861" s="195"/>
      <c r="AH861" s="29"/>
    </row>
    <row r="862" spans="2:34">
      <c r="B862" s="25"/>
      <c r="C862" s="315"/>
      <c r="D862" s="26"/>
      <c r="I862" s="27"/>
      <c r="AB862" s="25"/>
      <c r="AF862" s="28"/>
      <c r="AG862" s="195"/>
      <c r="AH862" s="29"/>
    </row>
    <row r="863" spans="2:34">
      <c r="B863" s="25"/>
      <c r="C863" s="315"/>
      <c r="D863" s="26"/>
      <c r="I863" s="27"/>
      <c r="AB863" s="25"/>
      <c r="AF863" s="28"/>
      <c r="AG863" s="195"/>
      <c r="AH863" s="29"/>
    </row>
    <row r="864" spans="2:34">
      <c r="B864" s="25"/>
      <c r="C864" s="315"/>
      <c r="D864" s="26"/>
      <c r="I864" s="27"/>
      <c r="AB864" s="25"/>
      <c r="AF864" s="28"/>
      <c r="AG864" s="195"/>
      <c r="AH864" s="29"/>
    </row>
    <row r="865" spans="2:34">
      <c r="B865" s="25"/>
      <c r="C865" s="315"/>
      <c r="D865" s="26"/>
      <c r="I865" s="27"/>
      <c r="AB865" s="25"/>
      <c r="AF865" s="28"/>
      <c r="AG865" s="195"/>
      <c r="AH865" s="29"/>
    </row>
    <row r="866" spans="2:34">
      <c r="B866" s="25"/>
      <c r="C866" s="315"/>
      <c r="D866" s="26"/>
      <c r="I866" s="27"/>
      <c r="AB866" s="25"/>
      <c r="AF866" s="28"/>
      <c r="AG866" s="195"/>
      <c r="AH866" s="29"/>
    </row>
    <row r="867" spans="2:34">
      <c r="B867" s="25"/>
      <c r="C867" s="315"/>
      <c r="D867" s="26"/>
      <c r="I867" s="27"/>
      <c r="AB867" s="25"/>
      <c r="AF867" s="28"/>
      <c r="AG867" s="195"/>
      <c r="AH867" s="29"/>
    </row>
    <row r="868" spans="2:34">
      <c r="B868" s="25"/>
      <c r="C868" s="315"/>
      <c r="D868" s="26"/>
      <c r="I868" s="27"/>
      <c r="AB868" s="25"/>
      <c r="AF868" s="28"/>
      <c r="AG868" s="195"/>
      <c r="AH868" s="29"/>
    </row>
    <row r="869" spans="2:34">
      <c r="B869" s="25"/>
      <c r="C869" s="315"/>
      <c r="D869" s="26"/>
      <c r="I869" s="27"/>
      <c r="AB869" s="25"/>
      <c r="AF869" s="28"/>
      <c r="AG869" s="195"/>
      <c r="AH869" s="29"/>
    </row>
    <row r="870" spans="2:34">
      <c r="B870" s="25"/>
      <c r="C870" s="315"/>
      <c r="D870" s="26"/>
      <c r="I870" s="27"/>
      <c r="AB870" s="25"/>
      <c r="AF870" s="28"/>
      <c r="AG870" s="195"/>
      <c r="AH870" s="29"/>
    </row>
    <row r="871" spans="2:34">
      <c r="B871" s="25"/>
      <c r="C871" s="315"/>
      <c r="D871" s="26"/>
      <c r="I871" s="27"/>
      <c r="AB871" s="25"/>
      <c r="AF871" s="28"/>
      <c r="AG871" s="195"/>
      <c r="AH871" s="29"/>
    </row>
    <row r="872" spans="2:34">
      <c r="B872" s="25"/>
      <c r="C872" s="315"/>
      <c r="D872" s="26"/>
      <c r="I872" s="27"/>
      <c r="AB872" s="25"/>
      <c r="AF872" s="28"/>
      <c r="AG872" s="195"/>
      <c r="AH872" s="29"/>
    </row>
    <row r="873" spans="2:34">
      <c r="B873" s="25"/>
      <c r="C873" s="315"/>
      <c r="D873" s="26"/>
      <c r="I873" s="27"/>
      <c r="AB873" s="25"/>
      <c r="AF873" s="28"/>
      <c r="AG873" s="195"/>
      <c r="AH873" s="29"/>
    </row>
    <row r="874" spans="2:34">
      <c r="B874" s="25"/>
      <c r="C874" s="315"/>
      <c r="D874" s="26"/>
      <c r="I874" s="27"/>
      <c r="AB874" s="25"/>
      <c r="AF874" s="28"/>
      <c r="AG874" s="195"/>
      <c r="AH874" s="29"/>
    </row>
    <row r="875" spans="2:34">
      <c r="B875" s="25"/>
      <c r="C875" s="315"/>
      <c r="D875" s="26"/>
      <c r="I875" s="27"/>
      <c r="AB875" s="25"/>
      <c r="AF875" s="28"/>
      <c r="AG875" s="195"/>
      <c r="AH875" s="29"/>
    </row>
    <row r="876" spans="2:34">
      <c r="B876" s="25"/>
      <c r="C876" s="315"/>
      <c r="D876" s="26"/>
      <c r="I876" s="27"/>
      <c r="AB876" s="25"/>
      <c r="AF876" s="28"/>
      <c r="AG876" s="195"/>
      <c r="AH876" s="29"/>
    </row>
    <row r="877" spans="2:34">
      <c r="B877" s="25"/>
      <c r="C877" s="315"/>
      <c r="D877" s="26"/>
      <c r="I877" s="27"/>
      <c r="AB877" s="25"/>
      <c r="AF877" s="28"/>
      <c r="AG877" s="195"/>
      <c r="AH877" s="29"/>
    </row>
    <row r="878" spans="2:34">
      <c r="B878" s="25"/>
      <c r="C878" s="315"/>
      <c r="D878" s="26"/>
      <c r="I878" s="27"/>
      <c r="AB878" s="25"/>
      <c r="AF878" s="28"/>
      <c r="AG878" s="195"/>
      <c r="AH878" s="29"/>
    </row>
    <row r="879" spans="2:34">
      <c r="B879" s="25"/>
      <c r="C879" s="315"/>
      <c r="D879" s="26"/>
      <c r="I879" s="27"/>
      <c r="AB879" s="25"/>
      <c r="AF879" s="28"/>
      <c r="AG879" s="195"/>
      <c r="AH879" s="29"/>
    </row>
    <row r="880" spans="2:34">
      <c r="B880" s="25"/>
      <c r="C880" s="315"/>
      <c r="D880" s="26"/>
      <c r="I880" s="27"/>
      <c r="AB880" s="25"/>
      <c r="AF880" s="28"/>
      <c r="AG880" s="195"/>
      <c r="AH880" s="29"/>
    </row>
    <row r="881" spans="2:34">
      <c r="B881" s="25"/>
      <c r="C881" s="315"/>
      <c r="D881" s="26"/>
      <c r="I881" s="27"/>
      <c r="AB881" s="25"/>
      <c r="AF881" s="28"/>
      <c r="AG881" s="195"/>
      <c r="AH881" s="29"/>
    </row>
    <row r="882" spans="2:34">
      <c r="B882" s="25"/>
      <c r="C882" s="315"/>
      <c r="D882" s="26"/>
      <c r="I882" s="27"/>
      <c r="AB882" s="25"/>
      <c r="AF882" s="28"/>
      <c r="AG882" s="195"/>
      <c r="AH882" s="29"/>
    </row>
    <row r="883" spans="2:34">
      <c r="B883" s="25"/>
      <c r="C883" s="315"/>
      <c r="D883" s="26"/>
      <c r="I883" s="27"/>
      <c r="AB883" s="25"/>
      <c r="AF883" s="28"/>
      <c r="AG883" s="195"/>
      <c r="AH883" s="29"/>
    </row>
    <row r="884" spans="2:34">
      <c r="B884" s="25"/>
      <c r="C884" s="315"/>
      <c r="D884" s="26"/>
      <c r="I884" s="27"/>
      <c r="AB884" s="25"/>
      <c r="AF884" s="28"/>
      <c r="AG884" s="195"/>
      <c r="AH884" s="29"/>
    </row>
    <row r="885" spans="2:34">
      <c r="B885" s="25"/>
      <c r="C885" s="315"/>
      <c r="D885" s="26"/>
      <c r="I885" s="27"/>
      <c r="AB885" s="25"/>
      <c r="AF885" s="28"/>
      <c r="AG885" s="195"/>
      <c r="AH885" s="29"/>
    </row>
    <row r="886" spans="2:34">
      <c r="B886" s="25"/>
      <c r="C886" s="315"/>
      <c r="D886" s="26"/>
      <c r="I886" s="27"/>
      <c r="AB886" s="25"/>
      <c r="AF886" s="28"/>
      <c r="AG886" s="195"/>
      <c r="AH886" s="29"/>
    </row>
    <row r="887" spans="2:34">
      <c r="B887" s="25"/>
      <c r="C887" s="315"/>
      <c r="D887" s="26"/>
      <c r="I887" s="27"/>
      <c r="AB887" s="25"/>
      <c r="AF887" s="28"/>
      <c r="AG887" s="195"/>
      <c r="AH887" s="29"/>
    </row>
    <row r="888" spans="2:34">
      <c r="B888" s="25"/>
      <c r="C888" s="315"/>
      <c r="D888" s="26"/>
      <c r="I888" s="27"/>
      <c r="AB888" s="25"/>
      <c r="AF888" s="28"/>
      <c r="AG888" s="195"/>
      <c r="AH888" s="29"/>
    </row>
    <row r="889" spans="2:34">
      <c r="B889" s="25"/>
      <c r="C889" s="315"/>
      <c r="D889" s="26"/>
      <c r="I889" s="27"/>
      <c r="AB889" s="25"/>
      <c r="AF889" s="28"/>
      <c r="AG889" s="195"/>
      <c r="AH889" s="29"/>
    </row>
    <row r="890" spans="2:34">
      <c r="B890" s="25"/>
      <c r="C890" s="315"/>
      <c r="D890" s="26"/>
      <c r="I890" s="27"/>
      <c r="AB890" s="25"/>
      <c r="AF890" s="28"/>
      <c r="AG890" s="195"/>
      <c r="AH890" s="29"/>
    </row>
    <row r="891" spans="2:34">
      <c r="B891" s="25"/>
      <c r="C891" s="315"/>
      <c r="D891" s="26"/>
      <c r="I891" s="27"/>
      <c r="AB891" s="25"/>
      <c r="AF891" s="28"/>
      <c r="AG891" s="195"/>
      <c r="AH891" s="29"/>
    </row>
    <row r="892" spans="2:34">
      <c r="B892" s="25"/>
      <c r="C892" s="315"/>
      <c r="D892" s="26"/>
      <c r="I892" s="27"/>
      <c r="AB892" s="25"/>
      <c r="AF892" s="28"/>
      <c r="AG892" s="195"/>
      <c r="AH892" s="29"/>
    </row>
    <row r="893" spans="2:34">
      <c r="B893" s="25"/>
      <c r="C893" s="315"/>
      <c r="D893" s="26"/>
      <c r="I893" s="27"/>
      <c r="AB893" s="25"/>
      <c r="AF893" s="28"/>
      <c r="AG893" s="195"/>
      <c r="AH893" s="29"/>
    </row>
    <row r="894" spans="2:34">
      <c r="B894" s="25"/>
      <c r="C894" s="315"/>
      <c r="D894" s="26"/>
      <c r="I894" s="27"/>
      <c r="AB894" s="25"/>
      <c r="AF894" s="28"/>
      <c r="AG894" s="195"/>
      <c r="AH894" s="29"/>
    </row>
    <row r="895" spans="2:34">
      <c r="B895" s="25"/>
      <c r="C895" s="315"/>
      <c r="D895" s="26"/>
      <c r="I895" s="27"/>
      <c r="AB895" s="25"/>
      <c r="AF895" s="28"/>
      <c r="AG895" s="195"/>
      <c r="AH895" s="29"/>
    </row>
    <row r="896" spans="2:34">
      <c r="B896" s="25"/>
      <c r="C896" s="315"/>
      <c r="D896" s="26"/>
      <c r="I896" s="27"/>
      <c r="AB896" s="25"/>
      <c r="AF896" s="28"/>
      <c r="AG896" s="195"/>
      <c r="AH896" s="29"/>
    </row>
    <row r="897" spans="2:34">
      <c r="B897" s="25"/>
      <c r="C897" s="315"/>
      <c r="D897" s="26"/>
      <c r="I897" s="27"/>
      <c r="AB897" s="25"/>
      <c r="AF897" s="28"/>
      <c r="AG897" s="195"/>
      <c r="AH897" s="29"/>
    </row>
    <row r="898" spans="2:34">
      <c r="B898" s="25"/>
      <c r="C898" s="315"/>
      <c r="D898" s="26"/>
      <c r="I898" s="27"/>
      <c r="AB898" s="25"/>
      <c r="AF898" s="28"/>
      <c r="AG898" s="195"/>
      <c r="AH898" s="29"/>
    </row>
    <row r="899" spans="2:34">
      <c r="B899" s="25"/>
      <c r="C899" s="315"/>
      <c r="D899" s="26"/>
      <c r="I899" s="27"/>
      <c r="AB899" s="25"/>
      <c r="AF899" s="28"/>
      <c r="AG899" s="195"/>
      <c r="AH899" s="29"/>
    </row>
    <row r="900" spans="2:34">
      <c r="B900" s="25"/>
      <c r="C900" s="315"/>
      <c r="D900" s="26"/>
      <c r="I900" s="27"/>
      <c r="AB900" s="25"/>
      <c r="AF900" s="28"/>
      <c r="AG900" s="195"/>
      <c r="AH900" s="29"/>
    </row>
    <row r="901" spans="2:34">
      <c r="B901" s="25"/>
      <c r="C901" s="315"/>
      <c r="D901" s="26"/>
      <c r="I901" s="27"/>
      <c r="AB901" s="25"/>
      <c r="AF901" s="28"/>
      <c r="AG901" s="195"/>
      <c r="AH901" s="29"/>
    </row>
    <row r="902" spans="2:34">
      <c r="B902" s="25"/>
      <c r="C902" s="315"/>
      <c r="D902" s="26"/>
      <c r="I902" s="27"/>
      <c r="AB902" s="25"/>
      <c r="AF902" s="28"/>
      <c r="AG902" s="195"/>
      <c r="AH902" s="29"/>
    </row>
    <row r="903" spans="2:34">
      <c r="B903" s="25"/>
      <c r="C903" s="315"/>
      <c r="D903" s="26"/>
      <c r="I903" s="27"/>
      <c r="AB903" s="25"/>
      <c r="AF903" s="28"/>
      <c r="AG903" s="195"/>
      <c r="AH903" s="29"/>
    </row>
    <row r="904" spans="2:34">
      <c r="B904" s="25"/>
      <c r="C904" s="315"/>
      <c r="D904" s="26"/>
      <c r="I904" s="27"/>
      <c r="AB904" s="25"/>
      <c r="AF904" s="28"/>
      <c r="AG904" s="195"/>
      <c r="AH904" s="29"/>
    </row>
    <row r="905" spans="2:34">
      <c r="B905" s="25"/>
      <c r="C905" s="315"/>
      <c r="D905" s="26"/>
      <c r="I905" s="27"/>
      <c r="AB905" s="25"/>
      <c r="AF905" s="28"/>
      <c r="AG905" s="195"/>
      <c r="AH905" s="29"/>
    </row>
    <row r="906" spans="2:34">
      <c r="B906" s="25"/>
      <c r="C906" s="315"/>
      <c r="D906" s="26"/>
      <c r="I906" s="27"/>
      <c r="AB906" s="25"/>
      <c r="AF906" s="28"/>
      <c r="AG906" s="195"/>
      <c r="AH906" s="29"/>
    </row>
    <row r="907" spans="2:34">
      <c r="B907" s="25"/>
      <c r="C907" s="315"/>
      <c r="D907" s="26"/>
      <c r="I907" s="27"/>
      <c r="AB907" s="25"/>
      <c r="AF907" s="28"/>
      <c r="AG907" s="195"/>
      <c r="AH907" s="29"/>
    </row>
    <row r="908" spans="2:34">
      <c r="B908" s="25"/>
      <c r="C908" s="315"/>
      <c r="D908" s="26"/>
      <c r="I908" s="27"/>
      <c r="AB908" s="25"/>
      <c r="AF908" s="28"/>
      <c r="AG908" s="195"/>
      <c r="AH908" s="29"/>
    </row>
    <row r="909" spans="2:34">
      <c r="B909" s="25"/>
      <c r="C909" s="315"/>
      <c r="D909" s="26"/>
      <c r="I909" s="27"/>
      <c r="AB909" s="25"/>
      <c r="AF909" s="28"/>
      <c r="AG909" s="195"/>
      <c r="AH909" s="29"/>
    </row>
    <row r="910" spans="2:34">
      <c r="B910" s="25"/>
      <c r="C910" s="315"/>
      <c r="D910" s="26"/>
      <c r="I910" s="27"/>
      <c r="AB910" s="25"/>
      <c r="AF910" s="28"/>
      <c r="AG910" s="195"/>
      <c r="AH910" s="29"/>
    </row>
    <row r="911" spans="2:34">
      <c r="B911" s="25"/>
      <c r="C911" s="315"/>
      <c r="D911" s="26"/>
      <c r="I911" s="27"/>
      <c r="AB911" s="25"/>
      <c r="AF911" s="28"/>
      <c r="AG911" s="195"/>
      <c r="AH911" s="29"/>
    </row>
    <row r="912" spans="2:34">
      <c r="B912" s="25"/>
      <c r="C912" s="315"/>
      <c r="D912" s="26"/>
      <c r="I912" s="27"/>
      <c r="AB912" s="25"/>
      <c r="AF912" s="28"/>
      <c r="AG912" s="195"/>
      <c r="AH912" s="29"/>
    </row>
    <row r="913" spans="2:34">
      <c r="B913" s="25"/>
      <c r="C913" s="315"/>
      <c r="D913" s="26"/>
      <c r="I913" s="27"/>
      <c r="AB913" s="25"/>
      <c r="AF913" s="28"/>
      <c r="AG913" s="195"/>
      <c r="AH913" s="29"/>
    </row>
    <row r="914" spans="2:34">
      <c r="B914" s="25"/>
      <c r="C914" s="315"/>
      <c r="D914" s="26"/>
      <c r="I914" s="27"/>
      <c r="AB914" s="25"/>
      <c r="AF914" s="28"/>
      <c r="AG914" s="195"/>
      <c r="AH914" s="29"/>
    </row>
    <row r="915" spans="2:34">
      <c r="B915" s="25"/>
      <c r="C915" s="315"/>
      <c r="D915" s="26"/>
      <c r="I915" s="27"/>
      <c r="AB915" s="25"/>
      <c r="AF915" s="28"/>
      <c r="AG915" s="195"/>
      <c r="AH915" s="29"/>
    </row>
    <row r="916" spans="2:34">
      <c r="B916" s="25"/>
      <c r="C916" s="315"/>
      <c r="D916" s="26"/>
      <c r="I916" s="27"/>
      <c r="AB916" s="25"/>
      <c r="AF916" s="28"/>
      <c r="AG916" s="195"/>
      <c r="AH916" s="29"/>
    </row>
    <row r="917" spans="2:34">
      <c r="B917" s="25"/>
      <c r="C917" s="315"/>
      <c r="D917" s="26"/>
      <c r="I917" s="27"/>
      <c r="AB917" s="25"/>
      <c r="AF917" s="28"/>
      <c r="AG917" s="195"/>
      <c r="AH917" s="29"/>
    </row>
    <row r="918" spans="2:34">
      <c r="B918" s="25"/>
      <c r="C918" s="315"/>
      <c r="D918" s="26"/>
      <c r="I918" s="27"/>
      <c r="AB918" s="25"/>
      <c r="AF918" s="28"/>
      <c r="AG918" s="195"/>
      <c r="AH918" s="29"/>
    </row>
    <row r="919" spans="2:34">
      <c r="B919" s="25"/>
      <c r="C919" s="315"/>
      <c r="D919" s="26"/>
      <c r="I919" s="27"/>
      <c r="AB919" s="25"/>
      <c r="AF919" s="28"/>
      <c r="AG919" s="195"/>
      <c r="AH919" s="29"/>
    </row>
    <row r="920" spans="2:34">
      <c r="B920" s="25"/>
      <c r="C920" s="315"/>
      <c r="D920" s="26"/>
      <c r="I920" s="27"/>
      <c r="AB920" s="25"/>
      <c r="AF920" s="28"/>
      <c r="AG920" s="195"/>
      <c r="AH920" s="29"/>
    </row>
    <row r="921" spans="2:34">
      <c r="B921" s="25"/>
      <c r="C921" s="315"/>
      <c r="D921" s="26"/>
      <c r="I921" s="27"/>
      <c r="AB921" s="25"/>
      <c r="AF921" s="28"/>
      <c r="AG921" s="195"/>
      <c r="AH921" s="29"/>
    </row>
    <row r="922" spans="2:34">
      <c r="B922" s="25"/>
      <c r="C922" s="315"/>
      <c r="D922" s="26"/>
      <c r="I922" s="27"/>
      <c r="AB922" s="25"/>
      <c r="AF922" s="28"/>
      <c r="AG922" s="195"/>
      <c r="AH922" s="29"/>
    </row>
    <row r="923" spans="2:34">
      <c r="B923" s="25"/>
      <c r="C923" s="315"/>
      <c r="D923" s="26"/>
      <c r="I923" s="27"/>
      <c r="AB923" s="25"/>
      <c r="AF923" s="28"/>
      <c r="AG923" s="195"/>
      <c r="AH923" s="29"/>
    </row>
    <row r="924" spans="2:34">
      <c r="B924" s="25"/>
      <c r="C924" s="315"/>
      <c r="D924" s="26"/>
      <c r="I924" s="27"/>
      <c r="AB924" s="25"/>
      <c r="AF924" s="28"/>
      <c r="AG924" s="195"/>
      <c r="AH924" s="29"/>
    </row>
    <row r="925" spans="2:34">
      <c r="B925" s="25"/>
      <c r="C925" s="315"/>
      <c r="D925" s="26"/>
      <c r="I925" s="27"/>
      <c r="AB925" s="25"/>
      <c r="AF925" s="28"/>
      <c r="AG925" s="195"/>
      <c r="AH925" s="29"/>
    </row>
    <row r="926" spans="2:34">
      <c r="B926" s="25"/>
      <c r="C926" s="315"/>
      <c r="D926" s="26"/>
      <c r="I926" s="27"/>
      <c r="AB926" s="25"/>
      <c r="AF926" s="28"/>
      <c r="AG926" s="195"/>
      <c r="AH926" s="29"/>
    </row>
    <row r="927" spans="2:34">
      <c r="B927" s="25"/>
      <c r="C927" s="315"/>
      <c r="D927" s="26"/>
      <c r="I927" s="27"/>
      <c r="AB927" s="25"/>
      <c r="AF927" s="28"/>
      <c r="AG927" s="195"/>
      <c r="AH927" s="29"/>
    </row>
    <row r="928" spans="2:34">
      <c r="B928" s="25"/>
      <c r="C928" s="315"/>
      <c r="D928" s="26"/>
      <c r="I928" s="27"/>
      <c r="AB928" s="25"/>
      <c r="AF928" s="28"/>
      <c r="AG928" s="195"/>
      <c r="AH928" s="29"/>
    </row>
    <row r="929" spans="2:34">
      <c r="B929" s="25"/>
      <c r="C929" s="315"/>
      <c r="D929" s="26"/>
      <c r="I929" s="27"/>
      <c r="AB929" s="25"/>
      <c r="AF929" s="28"/>
      <c r="AG929" s="195"/>
      <c r="AH929" s="29"/>
    </row>
    <row r="930" spans="2:34">
      <c r="B930" s="25"/>
      <c r="C930" s="315"/>
      <c r="D930" s="26"/>
      <c r="I930" s="27"/>
      <c r="AB930" s="25"/>
      <c r="AF930" s="28"/>
      <c r="AG930" s="195"/>
      <c r="AH930" s="29"/>
    </row>
    <row r="931" spans="2:34">
      <c r="B931" s="25"/>
      <c r="C931" s="315"/>
      <c r="D931" s="26"/>
      <c r="I931" s="27"/>
      <c r="AB931" s="25"/>
      <c r="AF931" s="28"/>
      <c r="AG931" s="195"/>
      <c r="AH931" s="29"/>
    </row>
    <row r="932" spans="2:34">
      <c r="B932" s="25"/>
      <c r="C932" s="315"/>
      <c r="D932" s="26"/>
      <c r="I932" s="27"/>
      <c r="AB932" s="25"/>
      <c r="AF932" s="28"/>
      <c r="AG932" s="195"/>
      <c r="AH932" s="29"/>
    </row>
    <row r="933" spans="2:34">
      <c r="B933" s="25"/>
      <c r="C933" s="315"/>
      <c r="D933" s="26"/>
      <c r="I933" s="27"/>
      <c r="AB933" s="25"/>
      <c r="AF933" s="28"/>
      <c r="AG933" s="195"/>
      <c r="AH933" s="29"/>
    </row>
    <row r="934" spans="2:34">
      <c r="B934" s="25"/>
      <c r="C934" s="315"/>
      <c r="D934" s="26"/>
      <c r="I934" s="27"/>
      <c r="AB934" s="25"/>
      <c r="AF934" s="28"/>
      <c r="AG934" s="195"/>
      <c r="AH934" s="29"/>
    </row>
    <row r="935" spans="2:34">
      <c r="B935" s="25"/>
      <c r="C935" s="315"/>
      <c r="D935" s="26"/>
      <c r="I935" s="27"/>
      <c r="AB935" s="25"/>
      <c r="AF935" s="28"/>
      <c r="AG935" s="195"/>
      <c r="AH935" s="29"/>
    </row>
    <row r="936" spans="2:34">
      <c r="B936" s="25"/>
      <c r="C936" s="315"/>
      <c r="D936" s="26"/>
      <c r="I936" s="27"/>
      <c r="AB936" s="25"/>
      <c r="AF936" s="28"/>
      <c r="AG936" s="195"/>
      <c r="AH936" s="29"/>
    </row>
    <row r="937" spans="2:34">
      <c r="B937" s="25"/>
      <c r="C937" s="315"/>
      <c r="D937" s="26"/>
      <c r="I937" s="27"/>
      <c r="AB937" s="25"/>
      <c r="AF937" s="28"/>
      <c r="AG937" s="195"/>
      <c r="AH937" s="29"/>
    </row>
    <row r="938" spans="2:34">
      <c r="B938" s="25"/>
      <c r="C938" s="315"/>
      <c r="D938" s="26"/>
      <c r="I938" s="27"/>
      <c r="AB938" s="25"/>
      <c r="AF938" s="28"/>
      <c r="AG938" s="195"/>
      <c r="AH938" s="29"/>
    </row>
    <row r="939" spans="2:34">
      <c r="B939" s="25"/>
      <c r="C939" s="315"/>
      <c r="D939" s="26"/>
      <c r="I939" s="27"/>
      <c r="AB939" s="25"/>
      <c r="AF939" s="28"/>
      <c r="AG939" s="195"/>
      <c r="AH939" s="29"/>
    </row>
    <row r="940" spans="2:34">
      <c r="B940" s="25"/>
      <c r="C940" s="315"/>
      <c r="D940" s="26"/>
      <c r="I940" s="27"/>
      <c r="AB940" s="25"/>
      <c r="AF940" s="28"/>
      <c r="AG940" s="195"/>
      <c r="AH940" s="29"/>
    </row>
    <row r="941" spans="2:34">
      <c r="B941" s="25"/>
      <c r="C941" s="315"/>
      <c r="D941" s="26"/>
      <c r="I941" s="27"/>
      <c r="AB941" s="25"/>
      <c r="AF941" s="28"/>
      <c r="AG941" s="195"/>
      <c r="AH941" s="29"/>
    </row>
    <row r="942" spans="2:34">
      <c r="B942" s="25"/>
      <c r="C942" s="315"/>
      <c r="D942" s="26"/>
      <c r="I942" s="27"/>
      <c r="AB942" s="25"/>
      <c r="AF942" s="28"/>
      <c r="AG942" s="195"/>
      <c r="AH942" s="29"/>
    </row>
    <row r="943" spans="2:34">
      <c r="B943" s="25"/>
      <c r="C943" s="315"/>
      <c r="D943" s="26"/>
      <c r="I943" s="27"/>
      <c r="AB943" s="25"/>
      <c r="AF943" s="28"/>
      <c r="AG943" s="195"/>
      <c r="AH943" s="29"/>
    </row>
    <row r="944" spans="2:34">
      <c r="B944" s="25"/>
      <c r="C944" s="315"/>
      <c r="D944" s="26"/>
      <c r="I944" s="27"/>
      <c r="AB944" s="25"/>
      <c r="AF944" s="28"/>
      <c r="AG944" s="195"/>
      <c r="AH944" s="29"/>
    </row>
    <row r="945" spans="2:34">
      <c r="B945" s="25"/>
      <c r="C945" s="315"/>
      <c r="D945" s="26"/>
      <c r="I945" s="27"/>
      <c r="AB945" s="25"/>
      <c r="AF945" s="28"/>
      <c r="AG945" s="195"/>
      <c r="AH945" s="29"/>
    </row>
    <row r="946" spans="2:34">
      <c r="B946" s="25"/>
      <c r="C946" s="315"/>
      <c r="D946" s="26"/>
      <c r="I946" s="27"/>
      <c r="AB946" s="25"/>
      <c r="AF946" s="28"/>
      <c r="AG946" s="195"/>
      <c r="AH946" s="29"/>
    </row>
    <row r="947" spans="2:34">
      <c r="B947" s="25"/>
      <c r="C947" s="315"/>
      <c r="D947" s="26"/>
      <c r="I947" s="27"/>
      <c r="AB947" s="25"/>
      <c r="AF947" s="28"/>
      <c r="AG947" s="195"/>
      <c r="AH947" s="29"/>
    </row>
    <row r="948" spans="2:34">
      <c r="B948" s="25"/>
      <c r="C948" s="315"/>
      <c r="D948" s="26"/>
      <c r="I948" s="27"/>
      <c r="AB948" s="25"/>
      <c r="AF948" s="28"/>
      <c r="AG948" s="195"/>
      <c r="AH948" s="29"/>
    </row>
    <row r="949" spans="2:34">
      <c r="B949" s="25"/>
      <c r="C949" s="315"/>
      <c r="D949" s="26"/>
      <c r="I949" s="27"/>
      <c r="AB949" s="25"/>
      <c r="AF949" s="28"/>
      <c r="AG949" s="195"/>
      <c r="AH949" s="29"/>
    </row>
    <row r="950" spans="2:34">
      <c r="B950" s="25"/>
      <c r="C950" s="315"/>
      <c r="D950" s="26"/>
      <c r="I950" s="27"/>
      <c r="AB950" s="25"/>
      <c r="AF950" s="28"/>
      <c r="AG950" s="195"/>
      <c r="AH950" s="29"/>
    </row>
    <row r="951" spans="2:34">
      <c r="B951" s="25"/>
      <c r="C951" s="315"/>
      <c r="D951" s="26"/>
      <c r="I951" s="27"/>
      <c r="AB951" s="25"/>
      <c r="AF951" s="28"/>
      <c r="AG951" s="195"/>
      <c r="AH951" s="29"/>
    </row>
    <row r="952" spans="2:34">
      <c r="B952" s="25"/>
      <c r="C952" s="315"/>
      <c r="D952" s="26"/>
      <c r="I952" s="27"/>
      <c r="AB952" s="25"/>
      <c r="AF952" s="28"/>
      <c r="AG952" s="195"/>
      <c r="AH952" s="29"/>
    </row>
    <row r="953" spans="2:34">
      <c r="B953" s="25"/>
      <c r="C953" s="315"/>
      <c r="D953" s="26"/>
      <c r="I953" s="27"/>
      <c r="AB953" s="25"/>
      <c r="AF953" s="28"/>
      <c r="AG953" s="195"/>
      <c r="AH953" s="29"/>
    </row>
    <row r="954" spans="2:34">
      <c r="B954" s="25"/>
      <c r="C954" s="315"/>
      <c r="D954" s="26"/>
      <c r="I954" s="27"/>
      <c r="AB954" s="25"/>
      <c r="AF954" s="28"/>
      <c r="AG954" s="195"/>
      <c r="AH954" s="29"/>
    </row>
    <row r="955" spans="2:34">
      <c r="B955" s="25"/>
      <c r="C955" s="315"/>
      <c r="D955" s="26"/>
      <c r="I955" s="27"/>
      <c r="AB955" s="25"/>
      <c r="AF955" s="28"/>
      <c r="AG955" s="195"/>
      <c r="AH955" s="29"/>
    </row>
    <row r="956" spans="2:34">
      <c r="B956" s="25"/>
      <c r="C956" s="315"/>
      <c r="D956" s="26"/>
      <c r="I956" s="27"/>
      <c r="AB956" s="25"/>
      <c r="AF956" s="28"/>
      <c r="AG956" s="195"/>
      <c r="AH956" s="29"/>
    </row>
    <row r="957" spans="2:34">
      <c r="B957" s="25"/>
      <c r="C957" s="315"/>
      <c r="D957" s="26"/>
      <c r="I957" s="27"/>
      <c r="AB957" s="25"/>
      <c r="AF957" s="28"/>
      <c r="AG957" s="195"/>
      <c r="AH957" s="29"/>
    </row>
    <row r="958" spans="2:34">
      <c r="B958" s="25"/>
      <c r="C958" s="315"/>
      <c r="D958" s="26"/>
      <c r="I958" s="27"/>
      <c r="AB958" s="25"/>
      <c r="AF958" s="28"/>
      <c r="AG958" s="195"/>
      <c r="AH958" s="29"/>
    </row>
    <row r="959" spans="2:34">
      <c r="B959" s="25"/>
      <c r="C959" s="315"/>
      <c r="D959" s="26"/>
      <c r="I959" s="27"/>
      <c r="AB959" s="25"/>
      <c r="AF959" s="28"/>
      <c r="AG959" s="195"/>
      <c r="AH959" s="29"/>
    </row>
    <row r="960" spans="2:34">
      <c r="B960" s="25"/>
      <c r="C960" s="315"/>
      <c r="D960" s="26"/>
      <c r="I960" s="27"/>
      <c r="AB960" s="25"/>
      <c r="AF960" s="28"/>
      <c r="AG960" s="195"/>
      <c r="AH960" s="29"/>
    </row>
    <row r="961" spans="2:34">
      <c r="B961" s="25"/>
      <c r="C961" s="315"/>
      <c r="D961" s="26"/>
      <c r="I961" s="27"/>
      <c r="AB961" s="25"/>
      <c r="AF961" s="28"/>
      <c r="AG961" s="195"/>
      <c r="AH961" s="29"/>
    </row>
    <row r="962" spans="2:34">
      <c r="B962" s="25"/>
      <c r="C962" s="315"/>
      <c r="D962" s="26"/>
      <c r="I962" s="27"/>
      <c r="AB962" s="25"/>
      <c r="AF962" s="28"/>
      <c r="AG962" s="195"/>
      <c r="AH962" s="29"/>
    </row>
    <row r="963" spans="2:34">
      <c r="B963" s="25"/>
      <c r="C963" s="315"/>
      <c r="D963" s="26"/>
      <c r="I963" s="27"/>
      <c r="AB963" s="25"/>
      <c r="AF963" s="28"/>
      <c r="AG963" s="195"/>
      <c r="AH963" s="29"/>
    </row>
    <row r="964" spans="2:34">
      <c r="B964" s="25"/>
      <c r="C964" s="315"/>
      <c r="D964" s="26"/>
      <c r="I964" s="27"/>
      <c r="AB964" s="25"/>
      <c r="AF964" s="28"/>
      <c r="AG964" s="195"/>
      <c r="AH964" s="29"/>
    </row>
    <row r="965" spans="2:34">
      <c r="B965" s="25"/>
      <c r="C965" s="315"/>
      <c r="D965" s="26"/>
      <c r="I965" s="27"/>
      <c r="AB965" s="25"/>
      <c r="AF965" s="28"/>
      <c r="AG965" s="195"/>
      <c r="AH965" s="29"/>
    </row>
    <row r="966" spans="2:34">
      <c r="B966" s="25"/>
      <c r="C966" s="315"/>
      <c r="D966" s="26"/>
      <c r="I966" s="27"/>
      <c r="AB966" s="25"/>
      <c r="AF966" s="28"/>
      <c r="AG966" s="195"/>
      <c r="AH966" s="29"/>
    </row>
    <row r="967" spans="2:34">
      <c r="B967" s="25"/>
      <c r="C967" s="315"/>
      <c r="D967" s="26"/>
      <c r="I967" s="27"/>
      <c r="AB967" s="25"/>
      <c r="AF967" s="28"/>
      <c r="AG967" s="195"/>
      <c r="AH967" s="29"/>
    </row>
    <row r="968" spans="2:34">
      <c r="B968" s="25"/>
      <c r="C968" s="315"/>
      <c r="D968" s="26"/>
      <c r="I968" s="27"/>
      <c r="AB968" s="25"/>
      <c r="AF968" s="28"/>
      <c r="AG968" s="195"/>
      <c r="AH968" s="29"/>
    </row>
    <row r="969" spans="2:34">
      <c r="B969" s="25"/>
      <c r="C969" s="315"/>
      <c r="D969" s="26"/>
      <c r="I969" s="27"/>
      <c r="AB969" s="25"/>
      <c r="AF969" s="28"/>
      <c r="AG969" s="195"/>
      <c r="AH969" s="29"/>
    </row>
    <row r="970" spans="2:34">
      <c r="B970" s="25"/>
      <c r="C970" s="315"/>
      <c r="D970" s="26"/>
      <c r="I970" s="27"/>
      <c r="AB970" s="25"/>
      <c r="AF970" s="28"/>
      <c r="AG970" s="195"/>
      <c r="AH970" s="29"/>
    </row>
    <row r="971" spans="2:34">
      <c r="B971" s="25"/>
      <c r="C971" s="315"/>
      <c r="D971" s="26"/>
      <c r="I971" s="27"/>
      <c r="AB971" s="25"/>
      <c r="AF971" s="28"/>
      <c r="AG971" s="195"/>
      <c r="AH971" s="29"/>
    </row>
    <row r="972" spans="2:34">
      <c r="B972" s="25"/>
      <c r="C972" s="315"/>
      <c r="D972" s="26"/>
      <c r="I972" s="27"/>
      <c r="AB972" s="25"/>
      <c r="AF972" s="28"/>
      <c r="AG972" s="195"/>
      <c r="AH972" s="29"/>
    </row>
    <row r="973" spans="2:34">
      <c r="B973" s="25"/>
      <c r="C973" s="315"/>
      <c r="D973" s="26"/>
      <c r="I973" s="27"/>
      <c r="AB973" s="25"/>
      <c r="AF973" s="28"/>
      <c r="AG973" s="195"/>
      <c r="AH973" s="29"/>
    </row>
    <row r="974" spans="2:34">
      <c r="B974" s="25"/>
      <c r="C974" s="315"/>
      <c r="D974" s="26"/>
      <c r="I974" s="27"/>
      <c r="AB974" s="25"/>
      <c r="AF974" s="28"/>
      <c r="AG974" s="195"/>
      <c r="AH974" s="29"/>
    </row>
    <row r="975" spans="2:34">
      <c r="B975" s="25"/>
      <c r="C975" s="315"/>
      <c r="D975" s="26"/>
      <c r="I975" s="27"/>
      <c r="AB975" s="25"/>
      <c r="AF975" s="28"/>
      <c r="AG975" s="195"/>
      <c r="AH975" s="29"/>
    </row>
    <row r="976" spans="2:34">
      <c r="B976" s="25"/>
      <c r="C976" s="315"/>
      <c r="D976" s="26"/>
      <c r="I976" s="27"/>
      <c r="AB976" s="25"/>
      <c r="AF976" s="28"/>
      <c r="AG976" s="195"/>
      <c r="AH976" s="29"/>
    </row>
    <row r="977" spans="2:34">
      <c r="B977" s="25"/>
      <c r="C977" s="315"/>
      <c r="D977" s="26"/>
      <c r="I977" s="27"/>
      <c r="AB977" s="25"/>
      <c r="AF977" s="28"/>
      <c r="AG977" s="195"/>
      <c r="AH977" s="29"/>
    </row>
    <row r="978" spans="2:34">
      <c r="B978" s="25"/>
      <c r="C978" s="315"/>
      <c r="D978" s="26"/>
      <c r="I978" s="27"/>
      <c r="AB978" s="25"/>
      <c r="AF978" s="28"/>
      <c r="AG978" s="195"/>
      <c r="AH978" s="29"/>
    </row>
    <row r="979" spans="2:34">
      <c r="B979" s="25"/>
      <c r="C979" s="315"/>
      <c r="D979" s="26"/>
      <c r="I979" s="27"/>
      <c r="AB979" s="25"/>
      <c r="AF979" s="28"/>
      <c r="AG979" s="195"/>
      <c r="AH979" s="29"/>
    </row>
    <row r="980" spans="2:34">
      <c r="B980" s="25"/>
      <c r="C980" s="315"/>
      <c r="D980" s="26"/>
      <c r="I980" s="27"/>
      <c r="AB980" s="25"/>
      <c r="AF980" s="28"/>
      <c r="AG980" s="195"/>
      <c r="AH980" s="29"/>
    </row>
    <row r="981" spans="2:34">
      <c r="B981" s="25"/>
      <c r="C981" s="315"/>
      <c r="D981" s="26"/>
      <c r="I981" s="27"/>
      <c r="AB981" s="25"/>
      <c r="AF981" s="28"/>
      <c r="AG981" s="195"/>
      <c r="AH981" s="29"/>
    </row>
    <row r="982" spans="2:34">
      <c r="B982" s="25"/>
      <c r="C982" s="315"/>
      <c r="D982" s="26"/>
      <c r="I982" s="27"/>
      <c r="AB982" s="25"/>
      <c r="AF982" s="28"/>
      <c r="AG982" s="195"/>
      <c r="AH982" s="29"/>
    </row>
    <row r="983" spans="2:34">
      <c r="B983" s="25"/>
      <c r="C983" s="315"/>
      <c r="D983" s="26"/>
      <c r="I983" s="27"/>
      <c r="AB983" s="25"/>
      <c r="AF983" s="28"/>
      <c r="AG983" s="195"/>
      <c r="AH983" s="29"/>
    </row>
    <row r="984" spans="2:34">
      <c r="B984" s="25"/>
      <c r="C984" s="315"/>
      <c r="D984" s="26"/>
      <c r="I984" s="27"/>
      <c r="AB984" s="25"/>
      <c r="AF984" s="28"/>
      <c r="AG984" s="195"/>
      <c r="AH984" s="29"/>
    </row>
    <row r="985" spans="2:34">
      <c r="B985" s="25"/>
      <c r="C985" s="315"/>
      <c r="D985" s="26"/>
      <c r="I985" s="27"/>
      <c r="AB985" s="25"/>
      <c r="AF985" s="28"/>
      <c r="AG985" s="195"/>
      <c r="AH985" s="29"/>
    </row>
    <row r="986" spans="2:34">
      <c r="B986" s="25"/>
      <c r="C986" s="315"/>
      <c r="D986" s="26"/>
      <c r="I986" s="27"/>
      <c r="AB986" s="25"/>
      <c r="AF986" s="28"/>
      <c r="AG986" s="195"/>
      <c r="AH986" s="29"/>
    </row>
    <row r="987" spans="2:34">
      <c r="B987" s="25"/>
      <c r="C987" s="315"/>
      <c r="D987" s="26"/>
      <c r="I987" s="27"/>
      <c r="AB987" s="25"/>
      <c r="AF987" s="28"/>
      <c r="AG987" s="195"/>
      <c r="AH987" s="29"/>
    </row>
    <row r="988" spans="2:34">
      <c r="B988" s="25"/>
      <c r="C988" s="315"/>
      <c r="D988" s="26"/>
      <c r="I988" s="27"/>
      <c r="AB988" s="25"/>
      <c r="AF988" s="28"/>
      <c r="AG988" s="195"/>
      <c r="AH988" s="29"/>
    </row>
    <row r="989" spans="2:34">
      <c r="B989" s="25"/>
      <c r="C989" s="315"/>
      <c r="D989" s="26"/>
      <c r="I989" s="27"/>
      <c r="AB989" s="25"/>
      <c r="AF989" s="28"/>
      <c r="AG989" s="195"/>
      <c r="AH989" s="29"/>
    </row>
    <row r="990" spans="2:34">
      <c r="B990" s="25"/>
      <c r="C990" s="315"/>
      <c r="D990" s="26"/>
      <c r="I990" s="27"/>
      <c r="AB990" s="25"/>
      <c r="AF990" s="28"/>
      <c r="AG990" s="195"/>
      <c r="AH990" s="29"/>
    </row>
    <row r="991" spans="2:34">
      <c r="B991" s="25"/>
      <c r="C991" s="315"/>
      <c r="D991" s="26"/>
      <c r="I991" s="27"/>
      <c r="AB991" s="25"/>
      <c r="AF991" s="28"/>
      <c r="AG991" s="195"/>
      <c r="AH991" s="29"/>
    </row>
    <row r="992" spans="2:34">
      <c r="B992" s="25"/>
      <c r="C992" s="315"/>
      <c r="D992" s="26"/>
      <c r="I992" s="27"/>
      <c r="AB992" s="25"/>
      <c r="AF992" s="28"/>
      <c r="AG992" s="195"/>
      <c r="AH992" s="29"/>
    </row>
    <row r="993" spans="2:34">
      <c r="B993" s="25"/>
      <c r="C993" s="315"/>
      <c r="D993" s="26"/>
      <c r="I993" s="27"/>
      <c r="AB993" s="25"/>
      <c r="AF993" s="28"/>
      <c r="AG993" s="195"/>
      <c r="AH993" s="29"/>
    </row>
    <row r="994" spans="2:34">
      <c r="B994" s="25"/>
      <c r="C994" s="315"/>
      <c r="D994" s="26"/>
      <c r="I994" s="27"/>
      <c r="AB994" s="25"/>
      <c r="AF994" s="28"/>
      <c r="AG994" s="195"/>
      <c r="AH994" s="29"/>
    </row>
    <row r="995" spans="2:34">
      <c r="B995" s="25"/>
      <c r="C995" s="315"/>
      <c r="D995" s="26"/>
      <c r="I995" s="27"/>
      <c r="AB995" s="25"/>
      <c r="AF995" s="28"/>
      <c r="AG995" s="195"/>
      <c r="AH995" s="29"/>
    </row>
    <row r="996" spans="2:34">
      <c r="B996" s="25"/>
      <c r="C996" s="315"/>
      <c r="D996" s="26"/>
      <c r="I996" s="27"/>
      <c r="AB996" s="25"/>
      <c r="AF996" s="28"/>
      <c r="AG996" s="195"/>
      <c r="AH996" s="29"/>
    </row>
    <row r="997" spans="2:34">
      <c r="B997" s="25"/>
      <c r="C997" s="315"/>
      <c r="D997" s="26"/>
      <c r="I997" s="27"/>
      <c r="AB997" s="25"/>
      <c r="AF997" s="28"/>
      <c r="AG997" s="195"/>
      <c r="AH997" s="29"/>
    </row>
    <row r="998" spans="2:34">
      <c r="B998" s="25"/>
      <c r="C998" s="315"/>
      <c r="D998" s="26"/>
      <c r="I998" s="27"/>
      <c r="AB998" s="25"/>
      <c r="AF998" s="28"/>
      <c r="AG998" s="195"/>
      <c r="AH998" s="29"/>
    </row>
    <row r="999" spans="2:34">
      <c r="B999" s="25"/>
      <c r="C999" s="315"/>
      <c r="D999" s="26"/>
      <c r="I999" s="27"/>
      <c r="AB999" s="25"/>
      <c r="AF999" s="28"/>
      <c r="AG999" s="195"/>
      <c r="AH999" s="29"/>
    </row>
    <row r="1000" spans="2:34">
      <c r="B1000" s="25"/>
      <c r="C1000" s="315"/>
      <c r="D1000" s="26"/>
      <c r="I1000" s="27"/>
      <c r="AB1000" s="25"/>
      <c r="AF1000" s="28"/>
      <c r="AG1000" s="195"/>
      <c r="AH1000" s="29"/>
    </row>
    <row r="1001" spans="2:34">
      <c r="B1001" s="25"/>
      <c r="C1001" s="315"/>
      <c r="D1001" s="26"/>
      <c r="I1001" s="27"/>
      <c r="AB1001" s="25"/>
      <c r="AF1001" s="28"/>
      <c r="AG1001" s="195"/>
      <c r="AH1001" s="29"/>
    </row>
    <row r="1002" spans="2:34">
      <c r="B1002" s="25"/>
      <c r="C1002" s="315"/>
      <c r="D1002" s="26"/>
      <c r="I1002" s="27"/>
      <c r="AB1002" s="25"/>
      <c r="AF1002" s="28"/>
      <c r="AG1002" s="195"/>
      <c r="AH1002" s="29"/>
    </row>
    <row r="1003" spans="2:34">
      <c r="B1003" s="25"/>
      <c r="C1003" s="315"/>
      <c r="D1003" s="26"/>
      <c r="I1003" s="27"/>
      <c r="AB1003" s="25"/>
      <c r="AF1003" s="28"/>
      <c r="AG1003" s="195"/>
      <c r="AH1003" s="29"/>
    </row>
    <row r="1004" spans="2:34">
      <c r="B1004" s="25"/>
      <c r="C1004" s="315"/>
      <c r="D1004" s="26"/>
      <c r="I1004" s="27"/>
      <c r="AB1004" s="25"/>
      <c r="AF1004" s="28"/>
      <c r="AG1004" s="195"/>
      <c r="AH1004" s="29"/>
    </row>
    <row r="1005" spans="2:34">
      <c r="B1005" s="25"/>
      <c r="C1005" s="315"/>
      <c r="D1005" s="26"/>
      <c r="I1005" s="27"/>
      <c r="AB1005" s="25"/>
      <c r="AF1005" s="28"/>
      <c r="AG1005" s="195"/>
      <c r="AH1005" s="29"/>
    </row>
    <row r="1006" spans="2:34">
      <c r="B1006" s="25"/>
      <c r="C1006" s="315"/>
      <c r="D1006" s="26"/>
      <c r="I1006" s="27"/>
      <c r="AB1006" s="25"/>
      <c r="AF1006" s="28"/>
      <c r="AG1006" s="195"/>
      <c r="AH1006" s="29"/>
    </row>
    <row r="1007" spans="2:34">
      <c r="B1007" s="25"/>
      <c r="C1007" s="315"/>
      <c r="D1007" s="26"/>
      <c r="I1007" s="27"/>
      <c r="AB1007" s="25"/>
      <c r="AF1007" s="28"/>
      <c r="AG1007" s="195"/>
      <c r="AH1007" s="29"/>
    </row>
    <row r="1008" spans="2:34">
      <c r="B1008" s="25"/>
      <c r="C1008" s="315"/>
      <c r="D1008" s="26"/>
      <c r="I1008" s="27"/>
      <c r="AB1008" s="25"/>
      <c r="AF1008" s="28"/>
      <c r="AG1008" s="195"/>
      <c r="AH1008" s="29"/>
    </row>
    <row r="1009" spans="2:34">
      <c r="B1009" s="25"/>
      <c r="C1009" s="315"/>
      <c r="D1009" s="26"/>
      <c r="I1009" s="27"/>
      <c r="AB1009" s="25"/>
      <c r="AF1009" s="28"/>
      <c r="AG1009" s="195"/>
      <c r="AH1009" s="29"/>
    </row>
    <row r="1010" spans="2:34">
      <c r="B1010" s="25"/>
      <c r="C1010" s="315"/>
      <c r="D1010" s="26"/>
      <c r="I1010" s="27"/>
      <c r="AB1010" s="25"/>
      <c r="AF1010" s="28"/>
      <c r="AG1010" s="195"/>
      <c r="AH1010" s="29"/>
    </row>
    <row r="1011" spans="2:34">
      <c r="B1011" s="25"/>
      <c r="C1011" s="315"/>
      <c r="D1011" s="26"/>
      <c r="I1011" s="27"/>
      <c r="AB1011" s="25"/>
      <c r="AF1011" s="28"/>
      <c r="AG1011" s="195"/>
      <c r="AH1011" s="29"/>
    </row>
    <row r="1012" spans="2:34">
      <c r="B1012" s="25"/>
      <c r="C1012" s="315"/>
      <c r="D1012" s="26"/>
      <c r="I1012" s="27"/>
      <c r="AB1012" s="25"/>
      <c r="AF1012" s="28"/>
      <c r="AG1012" s="195"/>
      <c r="AH1012" s="29"/>
    </row>
    <row r="1013" spans="2:34">
      <c r="B1013" s="25"/>
      <c r="C1013" s="315"/>
      <c r="D1013" s="26"/>
      <c r="I1013" s="27"/>
      <c r="AB1013" s="25"/>
      <c r="AF1013" s="28"/>
      <c r="AG1013" s="195"/>
      <c r="AH1013" s="29"/>
    </row>
    <row r="1014" spans="2:34">
      <c r="B1014" s="25"/>
      <c r="C1014" s="315"/>
      <c r="D1014" s="26"/>
      <c r="I1014" s="27"/>
      <c r="AB1014" s="25"/>
      <c r="AF1014" s="28"/>
      <c r="AG1014" s="195"/>
      <c r="AH1014" s="29"/>
    </row>
    <row r="1015" spans="2:34">
      <c r="B1015" s="25"/>
      <c r="C1015" s="315"/>
      <c r="D1015" s="26"/>
      <c r="I1015" s="27"/>
      <c r="AB1015" s="25"/>
      <c r="AF1015" s="28"/>
      <c r="AG1015" s="195"/>
      <c r="AH1015" s="29"/>
    </row>
    <row r="1016" spans="2:34">
      <c r="B1016" s="25"/>
      <c r="C1016" s="315"/>
      <c r="D1016" s="26"/>
      <c r="I1016" s="27"/>
      <c r="AB1016" s="25"/>
      <c r="AF1016" s="28"/>
      <c r="AG1016" s="195"/>
      <c r="AH1016" s="29"/>
    </row>
    <row r="1017" spans="2:34">
      <c r="B1017" s="25"/>
      <c r="C1017" s="315"/>
      <c r="D1017" s="26"/>
      <c r="I1017" s="27"/>
      <c r="AB1017" s="25"/>
      <c r="AF1017" s="28"/>
      <c r="AG1017" s="195"/>
      <c r="AH1017" s="29"/>
    </row>
    <row r="1018" spans="2:34">
      <c r="B1018" s="25"/>
      <c r="C1018" s="315"/>
      <c r="D1018" s="26"/>
      <c r="I1018" s="27"/>
      <c r="AB1018" s="25"/>
      <c r="AF1018" s="28"/>
      <c r="AG1018" s="195"/>
      <c r="AH1018" s="29"/>
    </row>
    <row r="1019" spans="2:34">
      <c r="B1019" s="25"/>
      <c r="C1019" s="315"/>
      <c r="D1019" s="26"/>
      <c r="I1019" s="27"/>
      <c r="AB1019" s="25"/>
      <c r="AF1019" s="28"/>
      <c r="AG1019" s="195"/>
      <c r="AH1019" s="29"/>
    </row>
    <row r="1020" spans="2:34">
      <c r="B1020" s="25"/>
      <c r="C1020" s="315"/>
      <c r="D1020" s="26"/>
      <c r="I1020" s="27"/>
      <c r="AB1020" s="25"/>
      <c r="AF1020" s="28"/>
      <c r="AG1020" s="195"/>
      <c r="AH1020" s="29"/>
    </row>
    <row r="1021" spans="2:34">
      <c r="B1021" s="25"/>
      <c r="C1021" s="315"/>
      <c r="D1021" s="26"/>
      <c r="I1021" s="27"/>
      <c r="AB1021" s="25"/>
      <c r="AF1021" s="28"/>
      <c r="AG1021" s="195"/>
      <c r="AH1021" s="29"/>
    </row>
    <row r="1022" spans="2:34">
      <c r="B1022" s="25"/>
      <c r="C1022" s="315"/>
      <c r="D1022" s="26"/>
      <c r="I1022" s="27"/>
      <c r="AB1022" s="25"/>
      <c r="AF1022" s="28"/>
      <c r="AG1022" s="195"/>
      <c r="AH1022" s="29"/>
    </row>
    <row r="1023" spans="2:34">
      <c r="B1023" s="25"/>
      <c r="C1023" s="315"/>
      <c r="D1023" s="26"/>
      <c r="I1023" s="27"/>
      <c r="AB1023" s="25"/>
      <c r="AF1023" s="28"/>
      <c r="AG1023" s="195"/>
      <c r="AH1023" s="29"/>
    </row>
    <row r="1024" spans="2:34">
      <c r="B1024" s="25"/>
      <c r="C1024" s="315"/>
      <c r="D1024" s="26"/>
      <c r="I1024" s="27"/>
      <c r="AB1024" s="25"/>
      <c r="AF1024" s="28"/>
      <c r="AG1024" s="195"/>
      <c r="AH1024" s="29"/>
    </row>
    <row r="1025" spans="2:34">
      <c r="B1025" s="25"/>
      <c r="C1025" s="315"/>
      <c r="D1025" s="26"/>
      <c r="I1025" s="27"/>
      <c r="AB1025" s="25"/>
      <c r="AF1025" s="28"/>
      <c r="AG1025" s="195"/>
      <c r="AH1025" s="29"/>
    </row>
    <row r="1026" spans="2:34">
      <c r="B1026" s="25"/>
      <c r="C1026" s="315"/>
      <c r="D1026" s="26"/>
      <c r="I1026" s="27"/>
      <c r="AB1026" s="25"/>
      <c r="AF1026" s="28"/>
      <c r="AG1026" s="195"/>
      <c r="AH1026" s="29"/>
    </row>
    <row r="1027" spans="2:34">
      <c r="B1027" s="25"/>
      <c r="C1027" s="315"/>
      <c r="D1027" s="26"/>
      <c r="I1027" s="27"/>
      <c r="AB1027" s="25"/>
      <c r="AF1027" s="28"/>
      <c r="AG1027" s="195"/>
      <c r="AH1027" s="29"/>
    </row>
    <row r="1028" spans="2:34">
      <c r="B1028" s="25"/>
      <c r="C1028" s="315"/>
      <c r="D1028" s="26"/>
      <c r="I1028" s="27"/>
      <c r="AB1028" s="25"/>
      <c r="AF1028" s="28"/>
      <c r="AG1028" s="195"/>
      <c r="AH1028" s="29"/>
    </row>
    <row r="1029" spans="2:34">
      <c r="B1029" s="25"/>
      <c r="C1029" s="315"/>
      <c r="D1029" s="26"/>
      <c r="I1029" s="27"/>
      <c r="AB1029" s="25"/>
      <c r="AF1029" s="28"/>
      <c r="AG1029" s="195"/>
      <c r="AH1029" s="29"/>
    </row>
    <row r="1030" spans="2:34">
      <c r="B1030" s="25"/>
      <c r="C1030" s="315"/>
      <c r="D1030" s="26"/>
      <c r="I1030" s="27"/>
      <c r="AB1030" s="25"/>
      <c r="AF1030" s="28"/>
      <c r="AG1030" s="195"/>
      <c r="AH1030" s="29"/>
    </row>
    <row r="1031" spans="2:34">
      <c r="B1031" s="25"/>
      <c r="C1031" s="315"/>
      <c r="D1031" s="26"/>
      <c r="I1031" s="27"/>
      <c r="AB1031" s="25"/>
      <c r="AF1031" s="28"/>
      <c r="AG1031" s="195"/>
      <c r="AH1031" s="29"/>
    </row>
    <row r="1032" spans="2:34">
      <c r="B1032" s="25"/>
      <c r="C1032" s="315"/>
      <c r="D1032" s="26"/>
      <c r="I1032" s="27"/>
      <c r="AB1032" s="25"/>
      <c r="AF1032" s="28"/>
      <c r="AG1032" s="195"/>
      <c r="AH1032" s="29"/>
    </row>
    <row r="1033" spans="2:34">
      <c r="B1033" s="25"/>
      <c r="C1033" s="315"/>
      <c r="D1033" s="26"/>
      <c r="I1033" s="27"/>
      <c r="AB1033" s="25"/>
      <c r="AF1033" s="28"/>
      <c r="AG1033" s="195"/>
      <c r="AH1033" s="29"/>
    </row>
    <row r="1034" spans="2:34">
      <c r="B1034" s="25"/>
      <c r="C1034" s="315"/>
      <c r="D1034" s="26"/>
      <c r="I1034" s="27"/>
      <c r="AB1034" s="25"/>
      <c r="AF1034" s="28"/>
      <c r="AG1034" s="195"/>
      <c r="AH1034" s="29"/>
    </row>
    <row r="1035" spans="2:34">
      <c r="B1035" s="25"/>
      <c r="C1035" s="315"/>
      <c r="D1035" s="26"/>
      <c r="I1035" s="27"/>
      <c r="AB1035" s="25"/>
      <c r="AF1035" s="28"/>
      <c r="AG1035" s="195"/>
      <c r="AH1035" s="29"/>
    </row>
    <row r="1036" spans="2:34">
      <c r="B1036" s="25"/>
      <c r="C1036" s="315"/>
      <c r="D1036" s="26"/>
      <c r="I1036" s="27"/>
      <c r="AB1036" s="25"/>
      <c r="AF1036" s="28"/>
      <c r="AG1036" s="195"/>
      <c r="AH1036" s="29"/>
    </row>
    <row r="1037" spans="2:34">
      <c r="B1037" s="25"/>
      <c r="C1037" s="315"/>
      <c r="D1037" s="26"/>
      <c r="I1037" s="27"/>
      <c r="AB1037" s="25"/>
      <c r="AF1037" s="28"/>
      <c r="AG1037" s="195"/>
      <c r="AH1037" s="29"/>
    </row>
    <row r="1038" spans="2:34">
      <c r="B1038" s="25"/>
      <c r="C1038" s="315"/>
      <c r="D1038" s="26"/>
      <c r="I1038" s="27"/>
      <c r="AB1038" s="25"/>
      <c r="AF1038" s="28"/>
      <c r="AG1038" s="195"/>
      <c r="AH1038" s="29"/>
    </row>
    <row r="1039" spans="2:34">
      <c r="B1039" s="25"/>
      <c r="C1039" s="315"/>
      <c r="D1039" s="26"/>
      <c r="I1039" s="27"/>
      <c r="AB1039" s="25"/>
      <c r="AF1039" s="28"/>
      <c r="AG1039" s="195"/>
      <c r="AH1039" s="29"/>
    </row>
    <row r="1040" spans="2:34">
      <c r="B1040" s="25"/>
      <c r="C1040" s="315"/>
      <c r="D1040" s="26"/>
      <c r="I1040" s="27"/>
      <c r="AB1040" s="25"/>
      <c r="AF1040" s="28"/>
      <c r="AG1040" s="195"/>
      <c r="AH1040" s="29"/>
    </row>
    <row r="1041" spans="2:34">
      <c r="B1041" s="25"/>
      <c r="C1041" s="315"/>
      <c r="D1041" s="26"/>
      <c r="I1041" s="27"/>
      <c r="AB1041" s="25"/>
      <c r="AF1041" s="28"/>
      <c r="AG1041" s="195"/>
      <c r="AH1041" s="29"/>
    </row>
    <row r="1042" spans="2:34">
      <c r="B1042" s="25"/>
      <c r="C1042" s="315"/>
      <c r="D1042" s="26"/>
      <c r="I1042" s="27"/>
      <c r="AB1042" s="25"/>
      <c r="AF1042" s="28"/>
      <c r="AG1042" s="195"/>
      <c r="AH1042" s="29"/>
    </row>
    <row r="1043" spans="2:34">
      <c r="B1043" s="25"/>
      <c r="C1043" s="315"/>
      <c r="D1043" s="26"/>
      <c r="I1043" s="27"/>
      <c r="AB1043" s="25"/>
      <c r="AF1043" s="28"/>
      <c r="AG1043" s="195"/>
      <c r="AH1043" s="29"/>
    </row>
    <row r="1044" spans="2:34">
      <c r="B1044" s="25"/>
      <c r="C1044" s="315"/>
      <c r="D1044" s="26"/>
      <c r="I1044" s="27"/>
      <c r="AB1044" s="25"/>
      <c r="AF1044" s="28"/>
      <c r="AG1044" s="195"/>
      <c r="AH1044" s="29"/>
    </row>
    <row r="1045" spans="2:34">
      <c r="B1045" s="25"/>
      <c r="C1045" s="315"/>
      <c r="D1045" s="26"/>
      <c r="I1045" s="27"/>
      <c r="AB1045" s="25"/>
      <c r="AF1045" s="28"/>
      <c r="AG1045" s="195"/>
      <c r="AH1045" s="29"/>
    </row>
    <row r="1046" spans="2:34">
      <c r="B1046" s="25"/>
      <c r="C1046" s="315"/>
      <c r="D1046" s="26"/>
      <c r="I1046" s="27"/>
      <c r="AB1046" s="25"/>
      <c r="AF1046" s="28"/>
      <c r="AG1046" s="195"/>
      <c r="AH1046" s="29"/>
    </row>
    <row r="1047" spans="2:34">
      <c r="B1047" s="25"/>
      <c r="C1047" s="315"/>
      <c r="D1047" s="26"/>
      <c r="I1047" s="27"/>
      <c r="AB1047" s="25"/>
      <c r="AF1047" s="28"/>
      <c r="AG1047" s="195"/>
      <c r="AH1047" s="29"/>
    </row>
    <row r="1048" spans="2:34">
      <c r="B1048" s="25"/>
      <c r="C1048" s="315"/>
      <c r="D1048" s="26"/>
      <c r="I1048" s="27"/>
      <c r="AB1048" s="25"/>
      <c r="AF1048" s="28"/>
      <c r="AG1048" s="195"/>
      <c r="AH1048" s="29"/>
    </row>
    <row r="1049" spans="2:34">
      <c r="B1049" s="25"/>
      <c r="C1049" s="315"/>
      <c r="D1049" s="26"/>
      <c r="I1049" s="27"/>
      <c r="AB1049" s="25"/>
      <c r="AF1049" s="28"/>
      <c r="AG1049" s="195"/>
      <c r="AH1049" s="29"/>
    </row>
    <row r="1050" spans="2:34">
      <c r="B1050" s="25"/>
      <c r="C1050" s="315"/>
      <c r="D1050" s="26"/>
      <c r="I1050" s="27"/>
      <c r="AB1050" s="25"/>
      <c r="AF1050" s="28"/>
      <c r="AG1050" s="195"/>
      <c r="AH1050" s="29"/>
    </row>
    <row r="1051" spans="2:34">
      <c r="B1051" s="25"/>
      <c r="C1051" s="315"/>
      <c r="D1051" s="26"/>
      <c r="I1051" s="27"/>
      <c r="AB1051" s="25"/>
      <c r="AF1051" s="28"/>
      <c r="AG1051" s="195"/>
      <c r="AH1051" s="29"/>
    </row>
    <row r="1052" spans="2:34">
      <c r="B1052" s="25"/>
      <c r="C1052" s="315"/>
      <c r="D1052" s="26"/>
      <c r="I1052" s="27"/>
      <c r="AB1052" s="25"/>
      <c r="AF1052" s="28"/>
      <c r="AG1052" s="195"/>
      <c r="AH1052" s="29"/>
    </row>
    <row r="1053" spans="2:34">
      <c r="B1053" s="25"/>
      <c r="C1053" s="315"/>
      <c r="D1053" s="26"/>
      <c r="I1053" s="27"/>
      <c r="AB1053" s="25"/>
      <c r="AF1053" s="28"/>
      <c r="AG1053" s="195"/>
      <c r="AH1053" s="29"/>
    </row>
    <row r="1054" spans="2:34">
      <c r="B1054" s="25"/>
      <c r="C1054" s="315"/>
      <c r="D1054" s="26"/>
      <c r="I1054" s="27"/>
      <c r="AB1054" s="25"/>
      <c r="AF1054" s="28"/>
      <c r="AG1054" s="195"/>
      <c r="AH1054" s="29"/>
    </row>
    <row r="1055" spans="2:34">
      <c r="B1055" s="25"/>
      <c r="C1055" s="315"/>
      <c r="D1055" s="26"/>
      <c r="I1055" s="27"/>
      <c r="AB1055" s="25"/>
      <c r="AF1055" s="28"/>
      <c r="AG1055" s="195"/>
      <c r="AH1055" s="29"/>
    </row>
    <row r="1056" spans="2:34">
      <c r="B1056" s="25"/>
      <c r="C1056" s="315"/>
      <c r="D1056" s="26"/>
      <c r="I1056" s="27"/>
      <c r="AB1056" s="25"/>
      <c r="AF1056" s="28"/>
      <c r="AG1056" s="195"/>
      <c r="AH1056" s="29"/>
    </row>
    <row r="1057" spans="2:34">
      <c r="B1057" s="25"/>
      <c r="C1057" s="315"/>
      <c r="D1057" s="26"/>
      <c r="I1057" s="27"/>
      <c r="AB1057" s="25"/>
      <c r="AF1057" s="28"/>
      <c r="AG1057" s="195"/>
      <c r="AH1057" s="29"/>
    </row>
    <row r="1058" spans="2:34">
      <c r="B1058" s="25"/>
      <c r="C1058" s="315"/>
      <c r="D1058" s="26"/>
      <c r="I1058" s="27"/>
      <c r="AB1058" s="25"/>
      <c r="AF1058" s="28"/>
      <c r="AG1058" s="195"/>
      <c r="AH1058" s="29"/>
    </row>
    <row r="1059" spans="2:34">
      <c r="B1059" s="25"/>
      <c r="C1059" s="315"/>
      <c r="D1059" s="26"/>
      <c r="I1059" s="27"/>
      <c r="AB1059" s="25"/>
      <c r="AF1059" s="28"/>
      <c r="AG1059" s="195"/>
      <c r="AH1059" s="29"/>
    </row>
    <row r="1060" spans="2:34">
      <c r="B1060" s="25"/>
      <c r="C1060" s="315"/>
      <c r="D1060" s="26"/>
      <c r="I1060" s="27"/>
      <c r="AB1060" s="25"/>
      <c r="AF1060" s="28"/>
      <c r="AG1060" s="195"/>
      <c r="AH1060" s="29"/>
    </row>
    <row r="1061" spans="2:34">
      <c r="B1061" s="25"/>
      <c r="C1061" s="315"/>
      <c r="D1061" s="26"/>
      <c r="I1061" s="27"/>
      <c r="AB1061" s="25"/>
      <c r="AF1061" s="28"/>
      <c r="AG1061" s="195"/>
      <c r="AH1061" s="29"/>
    </row>
    <row r="1062" spans="2:34">
      <c r="B1062" s="25"/>
      <c r="C1062" s="315"/>
      <c r="D1062" s="26"/>
      <c r="I1062" s="27"/>
      <c r="AB1062" s="25"/>
      <c r="AF1062" s="28"/>
      <c r="AG1062" s="195"/>
      <c r="AH1062" s="29"/>
    </row>
    <row r="1063" spans="2:34">
      <c r="B1063" s="25"/>
      <c r="C1063" s="315"/>
      <c r="D1063" s="26"/>
      <c r="I1063" s="27"/>
      <c r="AB1063" s="25"/>
      <c r="AF1063" s="28"/>
      <c r="AG1063" s="195"/>
      <c r="AH1063" s="29"/>
    </row>
    <row r="1064" spans="2:34">
      <c r="B1064" s="25"/>
      <c r="C1064" s="315"/>
      <c r="D1064" s="26"/>
      <c r="I1064" s="27"/>
      <c r="AB1064" s="25"/>
      <c r="AF1064" s="28"/>
      <c r="AG1064" s="195"/>
      <c r="AH1064" s="29"/>
    </row>
    <row r="1065" spans="2:34">
      <c r="B1065" s="25"/>
      <c r="C1065" s="315"/>
      <c r="D1065" s="26"/>
      <c r="I1065" s="27"/>
      <c r="AB1065" s="25"/>
      <c r="AF1065" s="28"/>
      <c r="AG1065" s="195"/>
      <c r="AH1065" s="29"/>
    </row>
    <row r="1066" spans="2:34">
      <c r="B1066" s="25"/>
      <c r="C1066" s="315"/>
      <c r="D1066" s="26"/>
      <c r="I1066" s="27"/>
      <c r="AB1066" s="25"/>
      <c r="AF1066" s="28"/>
      <c r="AG1066" s="195"/>
      <c r="AH1066" s="29"/>
    </row>
    <row r="1067" spans="2:34">
      <c r="B1067" s="25"/>
      <c r="C1067" s="315"/>
      <c r="D1067" s="26"/>
      <c r="I1067" s="27"/>
      <c r="AB1067" s="25"/>
      <c r="AF1067" s="28"/>
      <c r="AG1067" s="195"/>
      <c r="AH1067" s="29"/>
    </row>
    <row r="1068" spans="2:34">
      <c r="B1068" s="25"/>
      <c r="C1068" s="315"/>
      <c r="D1068" s="26"/>
      <c r="I1068" s="27"/>
      <c r="AB1068" s="25"/>
      <c r="AF1068" s="28"/>
      <c r="AG1068" s="195"/>
      <c r="AH1068" s="29"/>
    </row>
    <row r="1069" spans="2:34">
      <c r="B1069" s="25"/>
      <c r="C1069" s="315"/>
      <c r="D1069" s="26"/>
      <c r="I1069" s="27"/>
      <c r="AB1069" s="25"/>
      <c r="AF1069" s="28"/>
      <c r="AG1069" s="195"/>
      <c r="AH1069" s="29"/>
    </row>
    <row r="1070" spans="2:34">
      <c r="B1070" s="25"/>
      <c r="C1070" s="315"/>
      <c r="D1070" s="26"/>
      <c r="I1070" s="27"/>
      <c r="AB1070" s="25"/>
      <c r="AF1070" s="28"/>
      <c r="AG1070" s="195"/>
      <c r="AH1070" s="29"/>
    </row>
    <row r="1071" spans="2:34">
      <c r="B1071" s="25"/>
      <c r="C1071" s="315"/>
      <c r="D1071" s="26"/>
      <c r="I1071" s="27"/>
      <c r="AB1071" s="25"/>
      <c r="AF1071" s="28"/>
      <c r="AG1071" s="195"/>
      <c r="AH1071" s="29"/>
    </row>
    <row r="1072" spans="2:34">
      <c r="B1072" s="25"/>
      <c r="C1072" s="315"/>
      <c r="D1072" s="26"/>
      <c r="I1072" s="27"/>
      <c r="AB1072" s="25"/>
      <c r="AF1072" s="28"/>
      <c r="AG1072" s="195"/>
      <c r="AH1072" s="29"/>
    </row>
    <row r="1073" spans="2:34">
      <c r="B1073" s="25"/>
      <c r="C1073" s="315"/>
      <c r="D1073" s="26"/>
      <c r="I1073" s="27"/>
      <c r="AB1073" s="25"/>
      <c r="AF1073" s="28"/>
      <c r="AG1073" s="195"/>
      <c r="AH1073" s="29"/>
    </row>
    <row r="1074" spans="2:34">
      <c r="B1074" s="25"/>
      <c r="C1074" s="315"/>
      <c r="D1074" s="26"/>
      <c r="I1074" s="27"/>
      <c r="AB1074" s="25"/>
      <c r="AF1074" s="28"/>
      <c r="AG1074" s="195"/>
      <c r="AH1074" s="29"/>
    </row>
    <row r="1075" spans="2:34">
      <c r="B1075" s="25"/>
      <c r="C1075" s="315"/>
      <c r="D1075" s="26"/>
      <c r="I1075" s="27"/>
      <c r="AB1075" s="25"/>
      <c r="AF1075" s="28"/>
      <c r="AG1075" s="195"/>
      <c r="AH1075" s="29"/>
    </row>
    <row r="1076" spans="2:34">
      <c r="B1076" s="25"/>
      <c r="C1076" s="315"/>
      <c r="D1076" s="26"/>
      <c r="I1076" s="27"/>
      <c r="AB1076" s="25"/>
      <c r="AF1076" s="28"/>
      <c r="AG1076" s="195"/>
      <c r="AH1076" s="29"/>
    </row>
    <row r="1077" spans="2:34">
      <c r="B1077" s="25"/>
      <c r="C1077" s="315"/>
      <c r="D1077" s="26"/>
      <c r="I1077" s="27"/>
      <c r="AB1077" s="25"/>
      <c r="AF1077" s="28"/>
      <c r="AG1077" s="195"/>
      <c r="AH1077" s="29"/>
    </row>
    <row r="1078" spans="2:34">
      <c r="B1078" s="25"/>
      <c r="C1078" s="315"/>
      <c r="D1078" s="26"/>
      <c r="I1078" s="27"/>
      <c r="AB1078" s="25"/>
      <c r="AF1078" s="28"/>
      <c r="AG1078" s="195"/>
      <c r="AH1078" s="29"/>
    </row>
    <row r="1079" spans="2:34">
      <c r="B1079" s="25"/>
      <c r="C1079" s="315"/>
      <c r="D1079" s="26"/>
      <c r="I1079" s="27"/>
      <c r="AB1079" s="25"/>
      <c r="AF1079" s="28"/>
      <c r="AG1079" s="195"/>
      <c r="AH1079" s="29"/>
    </row>
    <row r="1080" spans="2:34">
      <c r="B1080" s="25"/>
      <c r="C1080" s="315"/>
      <c r="D1080" s="26"/>
      <c r="I1080" s="27"/>
      <c r="AB1080" s="25"/>
      <c r="AF1080" s="28"/>
      <c r="AG1080" s="195"/>
      <c r="AH1080" s="29"/>
    </row>
    <row r="1081" spans="2:34">
      <c r="B1081" s="25"/>
      <c r="C1081" s="315"/>
      <c r="D1081" s="26"/>
      <c r="I1081" s="27"/>
      <c r="AB1081" s="25"/>
      <c r="AF1081" s="28"/>
      <c r="AG1081" s="195"/>
      <c r="AH1081" s="29"/>
    </row>
    <row r="1082" spans="2:34">
      <c r="B1082" s="25"/>
      <c r="C1082" s="315"/>
      <c r="D1082" s="26"/>
      <c r="I1082" s="27"/>
      <c r="AB1082" s="25"/>
      <c r="AF1082" s="28"/>
      <c r="AG1082" s="195"/>
      <c r="AH1082" s="29"/>
    </row>
    <row r="1083" spans="2:34">
      <c r="B1083" s="25"/>
      <c r="C1083" s="315"/>
      <c r="D1083" s="26"/>
      <c r="I1083" s="27"/>
      <c r="AB1083" s="25"/>
      <c r="AF1083" s="28"/>
      <c r="AG1083" s="195"/>
      <c r="AH1083" s="29"/>
    </row>
    <row r="1084" spans="2:34">
      <c r="B1084" s="25"/>
      <c r="C1084" s="315"/>
      <c r="D1084" s="26"/>
      <c r="I1084" s="27"/>
      <c r="AB1084" s="25"/>
      <c r="AF1084" s="28"/>
      <c r="AG1084" s="195"/>
      <c r="AH1084" s="29"/>
    </row>
    <row r="1085" spans="2:34">
      <c r="B1085" s="25"/>
      <c r="C1085" s="315"/>
      <c r="D1085" s="26"/>
      <c r="I1085" s="27"/>
      <c r="AB1085" s="25"/>
      <c r="AF1085" s="28"/>
      <c r="AG1085" s="195"/>
      <c r="AH1085" s="29"/>
    </row>
    <row r="1086" spans="2:34">
      <c r="B1086" s="25"/>
      <c r="C1086" s="315"/>
      <c r="D1086" s="26"/>
      <c r="I1086" s="27"/>
      <c r="AB1086" s="25"/>
      <c r="AF1086" s="28"/>
      <c r="AG1086" s="195"/>
      <c r="AH1086" s="29"/>
    </row>
    <row r="1087" spans="2:34">
      <c r="B1087" s="25"/>
      <c r="C1087" s="315"/>
      <c r="D1087" s="26"/>
      <c r="I1087" s="27"/>
      <c r="AB1087" s="25"/>
      <c r="AF1087" s="28"/>
      <c r="AG1087" s="195"/>
      <c r="AH1087" s="29"/>
    </row>
    <row r="1088" spans="2:34">
      <c r="B1088" s="25"/>
      <c r="C1088" s="315"/>
      <c r="D1088" s="26"/>
      <c r="I1088" s="27"/>
      <c r="AB1088" s="25"/>
      <c r="AF1088" s="28"/>
      <c r="AG1088" s="195"/>
      <c r="AH1088" s="29"/>
    </row>
    <row r="1089" spans="2:34">
      <c r="B1089" s="25"/>
      <c r="C1089" s="315"/>
      <c r="D1089" s="26"/>
      <c r="I1089" s="27"/>
      <c r="AB1089" s="25"/>
      <c r="AF1089" s="28"/>
      <c r="AG1089" s="195"/>
      <c r="AH1089" s="29"/>
    </row>
    <row r="1090" spans="2:34">
      <c r="B1090" s="25"/>
      <c r="C1090" s="315"/>
      <c r="D1090" s="26"/>
      <c r="I1090" s="27"/>
      <c r="AB1090" s="25"/>
      <c r="AF1090" s="28"/>
      <c r="AG1090" s="195"/>
      <c r="AH1090" s="29"/>
    </row>
    <row r="1091" spans="2:34">
      <c r="B1091" s="25"/>
      <c r="C1091" s="315"/>
      <c r="D1091" s="26"/>
      <c r="I1091" s="27"/>
      <c r="AB1091" s="25"/>
      <c r="AF1091" s="28"/>
      <c r="AG1091" s="195"/>
      <c r="AH1091" s="29"/>
    </row>
    <row r="1092" spans="2:34">
      <c r="B1092" s="25"/>
      <c r="C1092" s="315"/>
      <c r="D1092" s="26"/>
      <c r="I1092" s="27"/>
      <c r="AB1092" s="25"/>
      <c r="AF1092" s="28"/>
      <c r="AG1092" s="195"/>
      <c r="AH1092" s="29"/>
    </row>
    <row r="1093" spans="2:34">
      <c r="B1093" s="25"/>
      <c r="C1093" s="315"/>
      <c r="D1093" s="26"/>
      <c r="I1093" s="27"/>
      <c r="AB1093" s="25"/>
      <c r="AF1093" s="28"/>
      <c r="AG1093" s="195"/>
      <c r="AH1093" s="29"/>
    </row>
    <row r="1094" spans="2:34">
      <c r="B1094" s="25"/>
      <c r="C1094" s="315"/>
      <c r="D1094" s="26"/>
      <c r="I1094" s="27"/>
      <c r="AB1094" s="25"/>
      <c r="AF1094" s="28"/>
      <c r="AG1094" s="195"/>
      <c r="AH1094" s="29"/>
    </row>
    <row r="1095" spans="2:34">
      <c r="B1095" s="25"/>
      <c r="C1095" s="315"/>
      <c r="D1095" s="26"/>
      <c r="I1095" s="27"/>
      <c r="AB1095" s="25"/>
      <c r="AF1095" s="28"/>
      <c r="AG1095" s="195"/>
      <c r="AH1095" s="29"/>
    </row>
    <row r="1096" spans="2:34">
      <c r="B1096" s="25"/>
      <c r="C1096" s="315"/>
      <c r="D1096" s="26"/>
      <c r="I1096" s="27"/>
      <c r="AB1096" s="25"/>
      <c r="AF1096" s="28"/>
      <c r="AG1096" s="195"/>
      <c r="AH1096" s="29"/>
    </row>
    <row r="1097" spans="2:34">
      <c r="B1097" s="25"/>
      <c r="C1097" s="315"/>
      <c r="D1097" s="26"/>
      <c r="I1097" s="27"/>
      <c r="AB1097" s="25"/>
      <c r="AF1097" s="28"/>
      <c r="AG1097" s="195"/>
      <c r="AH1097" s="29"/>
    </row>
    <row r="1098" spans="2:34">
      <c r="B1098" s="25"/>
      <c r="C1098" s="315"/>
      <c r="D1098" s="26"/>
      <c r="I1098" s="27"/>
      <c r="AB1098" s="25"/>
      <c r="AF1098" s="28"/>
      <c r="AG1098" s="195"/>
      <c r="AH1098" s="29"/>
    </row>
    <row r="1099" spans="2:34">
      <c r="B1099" s="25"/>
      <c r="C1099" s="315"/>
      <c r="D1099" s="26"/>
      <c r="I1099" s="27"/>
      <c r="AB1099" s="25"/>
      <c r="AF1099" s="28"/>
      <c r="AG1099" s="195"/>
      <c r="AH1099" s="29"/>
    </row>
    <row r="1100" spans="2:34">
      <c r="B1100" s="25"/>
      <c r="C1100" s="315"/>
      <c r="D1100" s="26"/>
      <c r="I1100" s="27"/>
      <c r="AB1100" s="25"/>
      <c r="AF1100" s="28"/>
      <c r="AG1100" s="195"/>
      <c r="AH1100" s="29"/>
    </row>
    <row r="1101" spans="2:34">
      <c r="B1101" s="25"/>
      <c r="C1101" s="315"/>
      <c r="D1101" s="26"/>
      <c r="I1101" s="27"/>
      <c r="AB1101" s="25"/>
      <c r="AF1101" s="28"/>
      <c r="AG1101" s="195"/>
      <c r="AH1101" s="29"/>
    </row>
    <row r="1102" spans="2:34">
      <c r="B1102" s="25"/>
      <c r="C1102" s="315"/>
      <c r="D1102" s="26"/>
      <c r="I1102" s="27"/>
      <c r="AB1102" s="25"/>
      <c r="AF1102" s="28"/>
      <c r="AG1102" s="195"/>
      <c r="AH1102" s="29"/>
    </row>
    <row r="1103" spans="2:34">
      <c r="B1103" s="25"/>
      <c r="C1103" s="315"/>
      <c r="D1103" s="26"/>
      <c r="I1103" s="27"/>
      <c r="AB1103" s="25"/>
      <c r="AF1103" s="28"/>
      <c r="AG1103" s="195"/>
      <c r="AH1103" s="29"/>
    </row>
    <row r="1104" spans="2:34">
      <c r="B1104" s="25"/>
      <c r="C1104" s="315"/>
      <c r="D1104" s="26"/>
      <c r="I1104" s="27"/>
      <c r="AB1104" s="25"/>
      <c r="AF1104" s="28"/>
      <c r="AG1104" s="195"/>
      <c r="AH1104" s="29"/>
    </row>
    <row r="1105" spans="2:34">
      <c r="B1105" s="25"/>
      <c r="C1105" s="315"/>
      <c r="D1105" s="26"/>
      <c r="I1105" s="27"/>
      <c r="AB1105" s="25"/>
      <c r="AF1105" s="28"/>
      <c r="AG1105" s="195"/>
      <c r="AH1105" s="29"/>
    </row>
    <row r="1106" spans="2:34">
      <c r="B1106" s="25"/>
      <c r="C1106" s="315"/>
      <c r="D1106" s="26"/>
      <c r="I1106" s="27"/>
      <c r="AB1106" s="25"/>
      <c r="AF1106" s="28"/>
      <c r="AG1106" s="195"/>
      <c r="AH1106" s="29"/>
    </row>
    <row r="1107" spans="2:34">
      <c r="B1107" s="25"/>
      <c r="C1107" s="315"/>
      <c r="D1107" s="26"/>
      <c r="I1107" s="27"/>
      <c r="AB1107" s="25"/>
      <c r="AF1107" s="28"/>
      <c r="AG1107" s="195"/>
      <c r="AH1107" s="29"/>
    </row>
    <row r="1108" spans="2:34">
      <c r="B1108" s="25"/>
      <c r="C1108" s="315"/>
      <c r="D1108" s="26"/>
      <c r="I1108" s="27"/>
      <c r="AB1108" s="25"/>
      <c r="AF1108" s="28"/>
      <c r="AG1108" s="195"/>
      <c r="AH1108" s="29"/>
    </row>
    <row r="1109" spans="2:34">
      <c r="B1109" s="25"/>
      <c r="C1109" s="315"/>
      <c r="D1109" s="26"/>
      <c r="I1109" s="27"/>
      <c r="AB1109" s="25"/>
      <c r="AF1109" s="28"/>
      <c r="AG1109" s="195"/>
      <c r="AH1109" s="29"/>
    </row>
    <row r="1110" spans="2:34">
      <c r="B1110" s="25"/>
      <c r="C1110" s="315"/>
      <c r="D1110" s="26"/>
      <c r="I1110" s="27"/>
      <c r="AB1110" s="25"/>
      <c r="AF1110" s="28"/>
      <c r="AG1110" s="195"/>
      <c r="AH1110" s="29"/>
    </row>
    <row r="1111" spans="2:34">
      <c r="B1111" s="25"/>
      <c r="C1111" s="315"/>
      <c r="D1111" s="26"/>
      <c r="I1111" s="27"/>
      <c r="AB1111" s="25"/>
      <c r="AF1111" s="28"/>
      <c r="AG1111" s="195"/>
      <c r="AH1111" s="29"/>
    </row>
    <row r="1112" spans="2:34">
      <c r="B1112" s="25"/>
      <c r="C1112" s="315"/>
      <c r="D1112" s="26"/>
      <c r="I1112" s="27"/>
      <c r="AB1112" s="25"/>
      <c r="AF1112" s="28"/>
      <c r="AG1112" s="195"/>
      <c r="AH1112" s="29"/>
    </row>
    <row r="1113" spans="2:34">
      <c r="B1113" s="25"/>
      <c r="C1113" s="315"/>
      <c r="D1113" s="26"/>
      <c r="I1113" s="27"/>
      <c r="AB1113" s="25"/>
      <c r="AF1113" s="28"/>
      <c r="AG1113" s="195"/>
      <c r="AH1113" s="29"/>
    </row>
    <row r="1114" spans="2:34">
      <c r="B1114" s="25"/>
      <c r="C1114" s="315"/>
      <c r="D1114" s="26"/>
      <c r="I1114" s="27"/>
      <c r="AB1114" s="25"/>
      <c r="AF1114" s="28"/>
      <c r="AG1114" s="195"/>
      <c r="AH1114" s="29"/>
    </row>
    <row r="1115" spans="2:34">
      <c r="B1115" s="25"/>
      <c r="C1115" s="315"/>
      <c r="D1115" s="26"/>
      <c r="I1115" s="27"/>
      <c r="AB1115" s="25"/>
      <c r="AF1115" s="28"/>
      <c r="AG1115" s="195"/>
      <c r="AH1115" s="29"/>
    </row>
    <row r="1116" spans="2:34">
      <c r="B1116" s="25"/>
      <c r="C1116" s="315"/>
      <c r="D1116" s="26"/>
      <c r="I1116" s="27"/>
      <c r="AB1116" s="25"/>
      <c r="AF1116" s="28"/>
      <c r="AG1116" s="195"/>
      <c r="AH1116" s="29"/>
    </row>
    <row r="1117" spans="2:34">
      <c r="B1117" s="25"/>
      <c r="C1117" s="315"/>
      <c r="D1117" s="26"/>
      <c r="I1117" s="27"/>
      <c r="AB1117" s="25"/>
      <c r="AF1117" s="28"/>
      <c r="AG1117" s="195"/>
      <c r="AH1117" s="29"/>
    </row>
    <row r="1118" spans="2:34">
      <c r="B1118" s="25"/>
      <c r="C1118" s="315"/>
      <c r="D1118" s="26"/>
      <c r="I1118" s="27"/>
      <c r="AB1118" s="25"/>
      <c r="AF1118" s="28"/>
      <c r="AG1118" s="195"/>
      <c r="AH1118" s="29"/>
    </row>
    <row r="1119" spans="2:34">
      <c r="B1119" s="25"/>
      <c r="C1119" s="315"/>
      <c r="D1119" s="26"/>
      <c r="I1119" s="27"/>
      <c r="AB1119" s="25"/>
      <c r="AF1119" s="28"/>
      <c r="AG1119" s="195"/>
      <c r="AH1119" s="29"/>
    </row>
    <row r="1120" spans="2:34">
      <c r="B1120" s="25"/>
      <c r="C1120" s="315"/>
      <c r="D1120" s="26"/>
      <c r="I1120" s="27"/>
      <c r="AB1120" s="25"/>
      <c r="AF1120" s="28"/>
      <c r="AG1120" s="195"/>
      <c r="AH1120" s="29"/>
    </row>
    <row r="1121" spans="2:34">
      <c r="B1121" s="25"/>
      <c r="C1121" s="315"/>
      <c r="D1121" s="26"/>
      <c r="I1121" s="27"/>
      <c r="AB1121" s="25"/>
      <c r="AF1121" s="28"/>
      <c r="AG1121" s="195"/>
      <c r="AH1121" s="29"/>
    </row>
    <row r="1122" spans="2:34">
      <c r="B1122" s="25"/>
      <c r="C1122" s="315"/>
      <c r="D1122" s="26"/>
      <c r="I1122" s="27"/>
      <c r="AB1122" s="25"/>
      <c r="AF1122" s="28"/>
      <c r="AG1122" s="195"/>
      <c r="AH1122" s="29"/>
    </row>
    <row r="1123" spans="2:34">
      <c r="B1123" s="25"/>
      <c r="C1123" s="315"/>
      <c r="D1123" s="26"/>
      <c r="I1123" s="27"/>
      <c r="AB1123" s="25"/>
      <c r="AF1123" s="28"/>
      <c r="AG1123" s="195"/>
      <c r="AH1123" s="29"/>
    </row>
    <row r="1124" spans="2:34">
      <c r="B1124" s="25"/>
      <c r="C1124" s="315"/>
      <c r="D1124" s="26"/>
      <c r="I1124" s="27"/>
      <c r="AB1124" s="25"/>
      <c r="AF1124" s="28"/>
      <c r="AG1124" s="195"/>
      <c r="AH1124" s="29"/>
    </row>
    <row r="1125" spans="2:34">
      <c r="B1125" s="25"/>
      <c r="C1125" s="315"/>
      <c r="D1125" s="26"/>
      <c r="I1125" s="27"/>
      <c r="AB1125" s="25"/>
      <c r="AF1125" s="28"/>
      <c r="AG1125" s="195"/>
      <c r="AH1125" s="29"/>
    </row>
    <row r="1126" spans="2:34">
      <c r="B1126" s="25"/>
      <c r="C1126" s="315"/>
      <c r="D1126" s="26"/>
      <c r="I1126" s="27"/>
      <c r="AB1126" s="25"/>
      <c r="AF1126" s="28"/>
      <c r="AG1126" s="195"/>
      <c r="AH1126" s="29"/>
    </row>
    <row r="1127" spans="2:34">
      <c r="B1127" s="25"/>
      <c r="C1127" s="315"/>
      <c r="D1127" s="26"/>
      <c r="I1127" s="27"/>
      <c r="AB1127" s="25"/>
      <c r="AF1127" s="28"/>
      <c r="AG1127" s="195"/>
      <c r="AH1127" s="29"/>
    </row>
    <row r="1128" spans="2:34">
      <c r="B1128" s="25"/>
      <c r="C1128" s="315"/>
      <c r="D1128" s="26"/>
      <c r="I1128" s="27"/>
      <c r="AB1128" s="25"/>
      <c r="AF1128" s="28"/>
      <c r="AG1128" s="195"/>
      <c r="AH1128" s="29"/>
    </row>
    <row r="1129" spans="2:34">
      <c r="B1129" s="25"/>
      <c r="C1129" s="315"/>
      <c r="D1129" s="26"/>
      <c r="I1129" s="27"/>
      <c r="AB1129" s="25"/>
      <c r="AF1129" s="28"/>
      <c r="AG1129" s="195"/>
      <c r="AH1129" s="29"/>
    </row>
    <row r="1130" spans="2:34">
      <c r="B1130" s="25"/>
      <c r="C1130" s="315"/>
      <c r="D1130" s="26"/>
      <c r="I1130" s="27"/>
      <c r="AB1130" s="25"/>
      <c r="AF1130" s="28"/>
      <c r="AG1130" s="195"/>
      <c r="AH1130" s="29"/>
    </row>
    <row r="1131" spans="2:34">
      <c r="B1131" s="25"/>
      <c r="C1131" s="315"/>
      <c r="D1131" s="26"/>
      <c r="I1131" s="27"/>
      <c r="AB1131" s="25"/>
      <c r="AF1131" s="28"/>
      <c r="AG1131" s="195"/>
      <c r="AH1131" s="29"/>
    </row>
    <row r="1132" spans="2:34">
      <c r="B1132" s="25"/>
      <c r="C1132" s="315"/>
      <c r="D1132" s="26"/>
      <c r="I1132" s="27"/>
      <c r="AB1132" s="25"/>
      <c r="AF1132" s="28"/>
      <c r="AG1132" s="195"/>
      <c r="AH1132" s="29"/>
    </row>
    <row r="1133" spans="2:34">
      <c r="B1133" s="25"/>
      <c r="C1133" s="315"/>
      <c r="D1133" s="26"/>
      <c r="I1133" s="27"/>
      <c r="AB1133" s="25"/>
      <c r="AF1133" s="28"/>
      <c r="AG1133" s="195"/>
      <c r="AH1133" s="29"/>
    </row>
    <row r="1134" spans="2:34">
      <c r="B1134" s="25"/>
      <c r="C1134" s="315"/>
      <c r="D1134" s="26"/>
      <c r="I1134" s="27"/>
      <c r="AB1134" s="25"/>
      <c r="AF1134" s="28"/>
      <c r="AG1134" s="195"/>
      <c r="AH1134" s="29"/>
    </row>
    <row r="1135" spans="2:34">
      <c r="B1135" s="25"/>
      <c r="C1135" s="315"/>
      <c r="D1135" s="26"/>
      <c r="I1135" s="27"/>
      <c r="AB1135" s="25"/>
      <c r="AF1135" s="28"/>
      <c r="AG1135" s="195"/>
      <c r="AH1135" s="29"/>
    </row>
    <row r="1136" spans="2:34">
      <c r="B1136" s="25"/>
      <c r="C1136" s="315"/>
      <c r="D1136" s="26"/>
      <c r="I1136" s="27"/>
      <c r="AB1136" s="25"/>
      <c r="AF1136" s="28"/>
      <c r="AG1136" s="195"/>
      <c r="AH1136" s="29"/>
    </row>
    <row r="1137" spans="2:34">
      <c r="B1137" s="25"/>
      <c r="C1137" s="315"/>
      <c r="D1137" s="26"/>
      <c r="I1137" s="27"/>
      <c r="AB1137" s="25"/>
      <c r="AF1137" s="28"/>
      <c r="AG1137" s="195"/>
      <c r="AH1137" s="29"/>
    </row>
    <row r="1138" spans="2:34">
      <c r="B1138" s="25"/>
      <c r="C1138" s="315"/>
      <c r="D1138" s="26"/>
      <c r="I1138" s="27"/>
      <c r="AB1138" s="25"/>
      <c r="AF1138" s="28"/>
      <c r="AG1138" s="195"/>
      <c r="AH1138" s="29"/>
    </row>
    <row r="1139" spans="2:34">
      <c r="B1139" s="25"/>
      <c r="C1139" s="315"/>
      <c r="D1139" s="26"/>
      <c r="I1139" s="27"/>
      <c r="AB1139" s="25"/>
      <c r="AF1139" s="28"/>
      <c r="AG1139" s="195"/>
      <c r="AH1139" s="29"/>
    </row>
    <row r="1140" spans="2:34">
      <c r="B1140" s="25"/>
      <c r="C1140" s="315"/>
      <c r="D1140" s="26"/>
      <c r="I1140" s="27"/>
      <c r="AB1140" s="25"/>
      <c r="AF1140" s="28"/>
      <c r="AG1140" s="195"/>
      <c r="AH1140" s="29"/>
    </row>
    <row r="1141" spans="2:34">
      <c r="B1141" s="25"/>
      <c r="C1141" s="315"/>
      <c r="D1141" s="26"/>
      <c r="I1141" s="27"/>
      <c r="AB1141" s="25"/>
      <c r="AF1141" s="28"/>
      <c r="AG1141" s="195"/>
      <c r="AH1141" s="29"/>
    </row>
    <row r="1142" spans="2:34">
      <c r="B1142" s="25"/>
      <c r="C1142" s="315"/>
      <c r="D1142" s="26"/>
      <c r="I1142" s="27"/>
      <c r="AB1142" s="25"/>
      <c r="AF1142" s="28"/>
      <c r="AG1142" s="195"/>
      <c r="AH1142" s="29"/>
    </row>
    <row r="1143" spans="2:34">
      <c r="B1143" s="25"/>
      <c r="C1143" s="315"/>
      <c r="D1143" s="26"/>
      <c r="I1143" s="27"/>
      <c r="AB1143" s="25"/>
      <c r="AF1143" s="28"/>
      <c r="AG1143" s="195"/>
      <c r="AH1143" s="29"/>
    </row>
    <row r="1144" spans="2:34">
      <c r="B1144" s="25"/>
      <c r="C1144" s="315"/>
      <c r="D1144" s="26"/>
      <c r="I1144" s="27"/>
      <c r="AB1144" s="25"/>
      <c r="AF1144" s="28"/>
      <c r="AG1144" s="195"/>
      <c r="AH1144" s="29"/>
    </row>
    <row r="1145" spans="2:34">
      <c r="B1145" s="25"/>
      <c r="C1145" s="315"/>
      <c r="D1145" s="26"/>
      <c r="I1145" s="27"/>
      <c r="AB1145" s="25"/>
      <c r="AF1145" s="28"/>
      <c r="AG1145" s="195"/>
      <c r="AH1145" s="29"/>
    </row>
    <row r="1146" spans="2:34">
      <c r="B1146" s="25"/>
      <c r="C1146" s="315"/>
      <c r="D1146" s="26"/>
      <c r="I1146" s="27"/>
      <c r="AB1146" s="25"/>
      <c r="AF1146" s="28"/>
      <c r="AG1146" s="195"/>
      <c r="AH1146" s="29"/>
    </row>
    <row r="1147" spans="2:34">
      <c r="B1147" s="25"/>
      <c r="C1147" s="315"/>
      <c r="D1147" s="26"/>
      <c r="I1147" s="27"/>
      <c r="AB1147" s="25"/>
      <c r="AF1147" s="28"/>
      <c r="AG1147" s="195"/>
      <c r="AH1147" s="29"/>
    </row>
    <row r="1148" spans="2:34">
      <c r="B1148" s="25"/>
      <c r="C1148" s="315"/>
      <c r="D1148" s="26"/>
      <c r="I1148" s="27"/>
      <c r="AB1148" s="25"/>
      <c r="AF1148" s="28"/>
      <c r="AG1148" s="195"/>
      <c r="AH1148" s="29"/>
    </row>
    <row r="1149" spans="2:34">
      <c r="B1149" s="25"/>
      <c r="C1149" s="315"/>
      <c r="D1149" s="26"/>
      <c r="I1149" s="27"/>
      <c r="AB1149" s="25"/>
      <c r="AF1149" s="28"/>
      <c r="AG1149" s="195"/>
      <c r="AH1149" s="29"/>
    </row>
    <row r="1150" spans="2:34">
      <c r="B1150" s="25"/>
      <c r="C1150" s="315"/>
      <c r="D1150" s="26"/>
      <c r="I1150" s="27"/>
      <c r="AB1150" s="25"/>
      <c r="AF1150" s="28"/>
      <c r="AG1150" s="195"/>
      <c r="AH1150" s="29"/>
    </row>
    <row r="1151" spans="2:34">
      <c r="B1151" s="25"/>
      <c r="C1151" s="315"/>
      <c r="D1151" s="26"/>
      <c r="I1151" s="27"/>
      <c r="AB1151" s="25"/>
      <c r="AF1151" s="28"/>
      <c r="AG1151" s="195"/>
      <c r="AH1151" s="29"/>
    </row>
    <row r="1152" spans="2:34">
      <c r="B1152" s="25"/>
      <c r="C1152" s="315"/>
      <c r="D1152" s="26"/>
      <c r="I1152" s="27"/>
      <c r="AB1152" s="25"/>
      <c r="AF1152" s="28"/>
      <c r="AG1152" s="195"/>
      <c r="AH1152" s="29"/>
    </row>
    <row r="1153" spans="2:34">
      <c r="B1153" s="25"/>
      <c r="C1153" s="315"/>
      <c r="D1153" s="26"/>
      <c r="I1153" s="27"/>
      <c r="AB1153" s="25"/>
      <c r="AF1153" s="28"/>
      <c r="AG1153" s="195"/>
      <c r="AH1153" s="29"/>
    </row>
    <row r="1154" spans="2:34">
      <c r="B1154" s="25"/>
      <c r="C1154" s="315"/>
      <c r="D1154" s="26"/>
      <c r="I1154" s="27"/>
      <c r="AB1154" s="25"/>
      <c r="AF1154" s="28"/>
      <c r="AG1154" s="195"/>
      <c r="AH1154" s="29"/>
    </row>
    <row r="1155" spans="2:34">
      <c r="B1155" s="25"/>
      <c r="C1155" s="315"/>
      <c r="D1155" s="26"/>
      <c r="I1155" s="27"/>
      <c r="AB1155" s="25"/>
      <c r="AF1155" s="28"/>
      <c r="AG1155" s="195"/>
      <c r="AH1155" s="29"/>
    </row>
    <row r="1156" spans="2:34">
      <c r="B1156" s="25"/>
      <c r="C1156" s="315"/>
      <c r="D1156" s="26"/>
      <c r="I1156" s="27"/>
      <c r="AB1156" s="25"/>
      <c r="AF1156" s="28"/>
      <c r="AG1156" s="195"/>
      <c r="AH1156" s="29"/>
    </row>
    <row r="1157" spans="2:34">
      <c r="B1157" s="25"/>
      <c r="C1157" s="315"/>
      <c r="D1157" s="26"/>
      <c r="I1157" s="27"/>
      <c r="AB1157" s="25"/>
      <c r="AF1157" s="28"/>
      <c r="AG1157" s="195"/>
      <c r="AH1157" s="29"/>
    </row>
    <row r="1158" spans="2:34">
      <c r="B1158" s="25"/>
      <c r="C1158" s="315"/>
      <c r="D1158" s="26"/>
      <c r="I1158" s="27"/>
      <c r="AB1158" s="25"/>
      <c r="AF1158" s="28"/>
      <c r="AG1158" s="195"/>
      <c r="AH1158" s="29"/>
    </row>
    <row r="1159" spans="2:34">
      <c r="B1159" s="25"/>
      <c r="C1159" s="315"/>
      <c r="D1159" s="26"/>
      <c r="I1159" s="27"/>
      <c r="AB1159" s="25"/>
      <c r="AF1159" s="28"/>
      <c r="AG1159" s="195"/>
      <c r="AH1159" s="29"/>
    </row>
    <row r="1160" spans="2:34">
      <c r="B1160" s="25"/>
      <c r="C1160" s="315"/>
      <c r="D1160" s="26"/>
      <c r="I1160" s="27"/>
      <c r="AB1160" s="25"/>
      <c r="AF1160" s="28"/>
      <c r="AG1160" s="195"/>
      <c r="AH1160" s="29"/>
    </row>
    <row r="1161" spans="2:34">
      <c r="B1161" s="25"/>
      <c r="C1161" s="315"/>
      <c r="D1161" s="26"/>
      <c r="I1161" s="27"/>
      <c r="AB1161" s="25"/>
      <c r="AF1161" s="28"/>
      <c r="AG1161" s="195"/>
      <c r="AH1161" s="29"/>
    </row>
    <row r="1162" spans="2:34">
      <c r="B1162" s="25"/>
      <c r="C1162" s="315"/>
      <c r="D1162" s="26"/>
      <c r="I1162" s="27"/>
      <c r="AB1162" s="25"/>
      <c r="AF1162" s="28"/>
      <c r="AG1162" s="195"/>
      <c r="AH1162" s="29"/>
    </row>
    <row r="1163" spans="2:34">
      <c r="B1163" s="25"/>
      <c r="C1163" s="315"/>
      <c r="D1163" s="26"/>
      <c r="I1163" s="27"/>
      <c r="AB1163" s="25"/>
      <c r="AF1163" s="28"/>
      <c r="AG1163" s="195"/>
      <c r="AH1163" s="29"/>
    </row>
    <row r="1164" spans="2:34">
      <c r="B1164" s="25"/>
      <c r="C1164" s="315"/>
      <c r="D1164" s="26"/>
      <c r="I1164" s="27"/>
      <c r="AB1164" s="25"/>
      <c r="AF1164" s="28"/>
      <c r="AG1164" s="195"/>
      <c r="AH1164" s="29"/>
    </row>
    <row r="1165" spans="2:34">
      <c r="B1165" s="25"/>
      <c r="C1165" s="315"/>
      <c r="D1165" s="26"/>
      <c r="I1165" s="27"/>
      <c r="AB1165" s="25"/>
      <c r="AF1165" s="28"/>
      <c r="AG1165" s="195"/>
      <c r="AH1165" s="29"/>
    </row>
    <row r="1166" spans="2:34">
      <c r="B1166" s="25"/>
      <c r="C1166" s="315"/>
      <c r="D1166" s="26"/>
      <c r="I1166" s="27"/>
      <c r="AB1166" s="25"/>
      <c r="AF1166" s="28"/>
      <c r="AG1166" s="195"/>
      <c r="AH1166" s="29"/>
    </row>
    <row r="1167" spans="2:34">
      <c r="B1167" s="25"/>
      <c r="C1167" s="315"/>
      <c r="D1167" s="26"/>
      <c r="I1167" s="27"/>
      <c r="AB1167" s="25"/>
      <c r="AF1167" s="28"/>
      <c r="AG1167" s="195"/>
      <c r="AH1167" s="29"/>
    </row>
    <row r="1168" spans="2:34">
      <c r="B1168" s="25"/>
      <c r="C1168" s="315"/>
      <c r="D1168" s="26"/>
      <c r="I1168" s="27"/>
      <c r="AB1168" s="25"/>
      <c r="AF1168" s="28"/>
      <c r="AG1168" s="195"/>
      <c r="AH1168" s="29"/>
    </row>
    <row r="1169" spans="2:34">
      <c r="B1169" s="25"/>
      <c r="C1169" s="315"/>
      <c r="D1169" s="26"/>
      <c r="I1169" s="27"/>
      <c r="AB1169" s="25"/>
      <c r="AF1169" s="28"/>
      <c r="AG1169" s="195"/>
      <c r="AH1169" s="29"/>
    </row>
    <row r="1170" spans="2:34">
      <c r="B1170" s="25"/>
      <c r="C1170" s="315"/>
      <c r="D1170" s="26"/>
      <c r="I1170" s="27"/>
      <c r="AB1170" s="25"/>
      <c r="AF1170" s="28"/>
      <c r="AG1170" s="195"/>
      <c r="AH1170" s="29"/>
    </row>
    <row r="1171" spans="2:34">
      <c r="B1171" s="25"/>
      <c r="C1171" s="315"/>
      <c r="D1171" s="26"/>
      <c r="I1171" s="27"/>
      <c r="AB1171" s="25"/>
      <c r="AF1171" s="28"/>
      <c r="AG1171" s="195"/>
      <c r="AH1171" s="29"/>
    </row>
    <row r="1172" spans="2:34">
      <c r="C1172" s="315"/>
      <c r="D1172" s="26"/>
      <c r="I1172" s="27"/>
    </row>
    <row r="1173" spans="2:34">
      <c r="C1173" s="315"/>
      <c r="D1173" s="26"/>
      <c r="I1173" s="27"/>
    </row>
    <row r="1174" spans="2:34">
      <c r="C1174" s="315"/>
      <c r="D1174" s="26"/>
      <c r="I1174" s="27"/>
    </row>
    <row r="1175" spans="2:34">
      <c r="C1175" s="315"/>
      <c r="D1175" s="26"/>
      <c r="I1175" s="27"/>
    </row>
    <row r="1176" spans="2:34">
      <c r="C1176" s="315"/>
      <c r="D1176" s="26"/>
      <c r="I1176" s="27"/>
    </row>
    <row r="1177" spans="2:34">
      <c r="C1177" s="315"/>
      <c r="D1177" s="26"/>
      <c r="I1177" s="27"/>
    </row>
    <row r="1178" spans="2:34">
      <c r="C1178" s="315"/>
      <c r="D1178" s="26"/>
      <c r="I1178" s="27"/>
    </row>
    <row r="1179" spans="2:34">
      <c r="C1179" s="315"/>
      <c r="D1179" s="26"/>
      <c r="I1179" s="27"/>
    </row>
    <row r="1180" spans="2:34" ht="15" customHeight="1">
      <c r="C1180" s="315"/>
      <c r="D1180" s="26"/>
      <c r="I1180" s="27"/>
    </row>
    <row r="1181" spans="2:34">
      <c r="C1181" s="315"/>
      <c r="D1181" s="26"/>
      <c r="I1181" s="27"/>
    </row>
    <row r="1182" spans="2:34">
      <c r="C1182" s="315"/>
      <c r="D1182" s="26"/>
      <c r="I1182" s="27"/>
    </row>
    <row r="1183" spans="2:34">
      <c r="C1183" s="315"/>
      <c r="D1183" s="26"/>
      <c r="I1183" s="27"/>
    </row>
    <row r="1184" spans="2:34">
      <c r="C1184" s="315"/>
      <c r="D1184" s="26"/>
      <c r="I1184" s="27"/>
    </row>
    <row r="1185" spans="3:9">
      <c r="C1185" s="315"/>
      <c r="D1185" s="26"/>
      <c r="I1185" s="27"/>
    </row>
    <row r="1186" spans="3:9">
      <c r="C1186" s="315"/>
      <c r="D1186" s="26"/>
      <c r="I1186" s="27"/>
    </row>
    <row r="1187" spans="3:9">
      <c r="C1187" s="315"/>
      <c r="D1187" s="26"/>
      <c r="I1187" s="27"/>
    </row>
    <row r="1188" spans="3:9">
      <c r="C1188" s="315"/>
      <c r="D1188" s="26"/>
      <c r="I1188" s="27"/>
    </row>
    <row r="1189" spans="3:9">
      <c r="C1189" s="315"/>
      <c r="D1189" s="26"/>
      <c r="I1189" s="27"/>
    </row>
    <row r="1190" spans="3:9">
      <c r="C1190" s="315"/>
      <c r="D1190" s="26"/>
      <c r="I1190" s="27"/>
    </row>
    <row r="1191" spans="3:9">
      <c r="C1191" s="315"/>
      <c r="D1191" s="26"/>
      <c r="I1191" s="27"/>
    </row>
    <row r="1192" spans="3:9">
      <c r="C1192" s="315"/>
      <c r="D1192" s="26"/>
      <c r="I1192" s="27"/>
    </row>
    <row r="1193" spans="3:9">
      <c r="C1193" s="315"/>
      <c r="D1193" s="26"/>
      <c r="I1193" s="27"/>
    </row>
    <row r="1194" spans="3:9">
      <c r="C1194" s="315"/>
      <c r="D1194" s="26"/>
      <c r="I1194" s="27"/>
    </row>
    <row r="1195" spans="3:9">
      <c r="C1195" s="315"/>
      <c r="D1195" s="26"/>
      <c r="I1195" s="27"/>
    </row>
    <row r="1196" spans="3:9">
      <c r="C1196" s="315"/>
      <c r="D1196" s="26"/>
      <c r="I1196" s="27"/>
    </row>
    <row r="1197" spans="3:9">
      <c r="C1197" s="315"/>
      <c r="D1197" s="26"/>
      <c r="I1197" s="27"/>
    </row>
    <row r="1198" spans="3:9">
      <c r="C1198" s="315"/>
      <c r="D1198" s="26"/>
      <c r="I1198" s="27"/>
    </row>
    <row r="1199" spans="3:9">
      <c r="C1199" s="315"/>
      <c r="D1199" s="26"/>
      <c r="I1199" s="27"/>
    </row>
    <row r="1200" spans="3:9">
      <c r="C1200" s="315"/>
      <c r="D1200" s="26"/>
      <c r="I1200" s="27"/>
    </row>
    <row r="1201" spans="3:9">
      <c r="C1201" s="315"/>
      <c r="D1201" s="26"/>
      <c r="I1201" s="27"/>
    </row>
  </sheetData>
  <mergeCells count="15">
    <mergeCell ref="X54:Z54"/>
    <mergeCell ref="A78:B78"/>
    <mergeCell ref="AB2:AE2"/>
    <mergeCell ref="X3:AA3"/>
    <mergeCell ref="C80:O80"/>
    <mergeCell ref="B3:B4"/>
    <mergeCell ref="C3:C4"/>
    <mergeCell ref="D3:F3"/>
    <mergeCell ref="I3:N3"/>
    <mergeCell ref="C56:C67"/>
    <mergeCell ref="B54:B55"/>
    <mergeCell ref="C54:C55"/>
    <mergeCell ref="D54:F54"/>
    <mergeCell ref="I54:N54"/>
    <mergeCell ref="A71:B71"/>
  </mergeCells>
  <pageMargins left="0.7" right="0.7" top="0.75" bottom="0.75" header="0.3" footer="0.3"/>
  <pageSetup paperSize="17" scale="6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AO52"/>
  <sheetViews>
    <sheetView topLeftCell="J1" zoomScaleNormal="100" workbookViewId="0">
      <pane ySplit="2" topLeftCell="A21" activePane="bottomLeft" state="frozen"/>
      <selection activeCell="H16" sqref="H16"/>
      <selection pane="bottomLeft" activeCell="H16" sqref="H16"/>
    </sheetView>
  </sheetViews>
  <sheetFormatPr defaultColWidth="9.140625" defaultRowHeight="12.75"/>
  <cols>
    <col min="1" max="1" width="4.7109375" style="166" customWidth="1"/>
    <col min="2" max="2" width="3.42578125" style="166" customWidth="1"/>
    <col min="3" max="3" width="11.42578125" style="166" customWidth="1"/>
    <col min="4" max="4" width="13.7109375" style="169" customWidth="1"/>
    <col min="5" max="5" width="3.5703125" style="166" customWidth="1"/>
    <col min="6" max="6" width="6.5703125" style="166" customWidth="1"/>
    <col min="7" max="7" width="3" style="166" customWidth="1"/>
    <col min="8" max="8" width="8.28515625" style="170" customWidth="1"/>
    <col min="9" max="9" width="2.28515625" style="166" customWidth="1"/>
    <col min="10" max="10" width="8.28515625" style="170" customWidth="1"/>
    <col min="11" max="11" width="2.85546875" style="166" customWidth="1"/>
    <col min="12" max="12" width="8.28515625" style="169" customWidth="1"/>
    <col min="13" max="13" width="3.42578125" style="166" customWidth="1"/>
    <col min="14" max="14" width="8.28515625" style="169" customWidth="1"/>
    <col min="15" max="15" width="2.140625" style="166" customWidth="1"/>
    <col min="16" max="16" width="8.28515625" style="170" customWidth="1"/>
    <col min="17" max="17" width="2.7109375" style="166" customWidth="1"/>
    <col min="18" max="18" width="4.42578125" style="166" customWidth="1"/>
    <col min="19" max="19" width="2.85546875" style="166" customWidth="1"/>
    <col min="20" max="20" width="9.7109375" style="171" customWidth="1"/>
    <col min="21" max="21" width="2.5703125" style="166" customWidth="1"/>
    <col min="22" max="22" width="4.28515625" style="166" customWidth="1"/>
    <col min="23" max="23" width="3.140625" style="166" customWidth="1"/>
    <col min="24" max="24" width="9.85546875" style="171" customWidth="1"/>
    <col min="25" max="25" width="2.85546875" style="166" customWidth="1"/>
    <col min="26" max="26" width="3.85546875" style="166" customWidth="1"/>
    <col min="27" max="27" width="2.85546875" style="166" customWidth="1"/>
    <col min="28" max="28" width="3.85546875" style="166" customWidth="1"/>
    <col min="29" max="29" width="2.5703125" style="166" customWidth="1"/>
    <col min="30" max="30" width="9.7109375" style="171" customWidth="1"/>
    <col min="31" max="31" width="2.85546875" style="166" customWidth="1"/>
    <col min="32" max="32" width="9.7109375" style="171" customWidth="1"/>
    <col min="33" max="33" width="2.85546875" style="166" customWidth="1"/>
    <col min="34" max="34" width="9.7109375" style="171" customWidth="1"/>
    <col min="35" max="35" width="2.85546875" style="166" customWidth="1"/>
    <col min="36" max="36" width="9.7109375" style="171" customWidth="1"/>
    <col min="37" max="37" width="2.85546875" style="166" customWidth="1"/>
    <col min="38" max="38" width="9.7109375" style="171" customWidth="1"/>
    <col min="39" max="39" width="2.85546875" style="166" customWidth="1"/>
    <col min="40" max="40" width="9.7109375" style="171" customWidth="1"/>
    <col min="41" max="41" width="2.85546875" style="166" customWidth="1"/>
    <col min="42" max="16384" width="9.140625" style="166"/>
  </cols>
  <sheetData>
    <row r="1" spans="1:41">
      <c r="C1" s="198" t="s">
        <v>387</v>
      </c>
    </row>
    <row r="2" spans="1:41" s="198" customFormat="1">
      <c r="D2" s="269" t="s">
        <v>388</v>
      </c>
      <c r="F2" s="198" t="s">
        <v>42</v>
      </c>
      <c r="H2" s="266" t="s">
        <v>279</v>
      </c>
      <c r="I2" s="261"/>
      <c r="J2" s="266" t="s">
        <v>280</v>
      </c>
      <c r="K2" s="261"/>
      <c r="L2" s="265" t="s">
        <v>281</v>
      </c>
      <c r="M2" s="261"/>
      <c r="N2" s="265" t="s">
        <v>282</v>
      </c>
      <c r="O2" s="261"/>
      <c r="P2" s="266" t="s">
        <v>283</v>
      </c>
      <c r="Q2" s="261"/>
      <c r="R2" s="261" t="s">
        <v>284</v>
      </c>
      <c r="S2" s="261"/>
      <c r="T2" s="268" t="s">
        <v>285</v>
      </c>
      <c r="U2" s="261"/>
      <c r="V2" s="261" t="s">
        <v>286</v>
      </c>
      <c r="W2" s="261"/>
      <c r="X2" s="268" t="s">
        <v>287</v>
      </c>
      <c r="Y2" s="261"/>
      <c r="Z2" s="261" t="s">
        <v>288</v>
      </c>
      <c r="AA2" s="261"/>
      <c r="AB2" s="261" t="s">
        <v>289</v>
      </c>
      <c r="AC2" s="261"/>
      <c r="AD2" s="268" t="s">
        <v>290</v>
      </c>
      <c r="AE2" s="261"/>
      <c r="AF2" s="268" t="s">
        <v>291</v>
      </c>
      <c r="AG2" s="261"/>
      <c r="AH2" s="268" t="s">
        <v>292</v>
      </c>
      <c r="AI2" s="261"/>
      <c r="AJ2" s="268" t="s">
        <v>336</v>
      </c>
      <c r="AK2" s="261"/>
      <c r="AL2" s="268" t="s">
        <v>379</v>
      </c>
      <c r="AM2" s="261"/>
      <c r="AN2" s="268" t="s">
        <v>301</v>
      </c>
      <c r="AO2" s="261"/>
    </row>
    <row r="3" spans="1:41">
      <c r="A3" s="166">
        <v>1</v>
      </c>
      <c r="B3" s="166" t="s">
        <v>293</v>
      </c>
      <c r="C3" s="166" t="s">
        <v>294</v>
      </c>
      <c r="D3" s="169" t="str">
        <f>VLOOKUP($A3,Kenai_LNG_emis!$A$4:$AA$19,2,FALSE)</f>
        <v>COMP_151</v>
      </c>
      <c r="E3" s="166" t="s">
        <v>293</v>
      </c>
    </row>
    <row r="4" spans="1:41">
      <c r="A4" s="166">
        <v>1</v>
      </c>
      <c r="B4" s="166" t="s">
        <v>293</v>
      </c>
      <c r="C4" s="166" t="s">
        <v>295</v>
      </c>
      <c r="D4" s="169">
        <f>VLOOKUP($A4,Kenai_LNG_emis!$A$4:$AA$19,6,FALSE)</f>
        <v>-21.010064200799999</v>
      </c>
      <c r="E4" s="168" t="s">
        <v>296</v>
      </c>
      <c r="F4" s="166">
        <f>VLOOKUP($A4,Kenai_LNG_emis!$A$4:$AA$19,7,FALSE)</f>
        <v>186.85303796100001</v>
      </c>
      <c r="G4" s="168" t="s">
        <v>296</v>
      </c>
      <c r="H4" s="170">
        <f>VLOOKUP($A4,Kenai_LNG_emis!$A$4:$AA$19,23,FALSE)</f>
        <v>19.507200000000001</v>
      </c>
      <c r="I4" s="166" t="s">
        <v>296</v>
      </c>
      <c r="J4" s="170">
        <f>VLOOKUP($A4,Kenai_LNG_emis!$A$4:$AA$19,8,FALSE)</f>
        <v>34.9</v>
      </c>
      <c r="K4" s="166" t="s">
        <v>296</v>
      </c>
      <c r="L4" s="169">
        <f>VLOOKUP($A4,Kenai_LNG_emis!$A$4:$AA$19,27,FALSE)</f>
        <v>2.1335999999999999</v>
      </c>
      <c r="M4" s="166" t="s">
        <v>296</v>
      </c>
      <c r="N4" s="169">
        <f>VLOOKUP($A4,Kenai_LNG_emis!$A$4:$AA$19,26,FALSE)</f>
        <v>22.899623999999999</v>
      </c>
      <c r="O4" s="166" t="s">
        <v>296</v>
      </c>
      <c r="P4" s="170">
        <f>VLOOKUP($A4,Kenai_LNG_emis!$A$4:$AA$19,25,FALSE)</f>
        <v>588.71</v>
      </c>
      <c r="Q4" s="166" t="s">
        <v>296</v>
      </c>
      <c r="R4" s="170">
        <v>1</v>
      </c>
      <c r="S4" s="166" t="s">
        <v>296</v>
      </c>
      <c r="T4" s="171">
        <f>VLOOKUP($A4,Kenai_LNG_emis!$A$4:$AA$19,13,FALSE)</f>
        <v>5.7532978183663121E-4</v>
      </c>
      <c r="U4" s="166" t="s">
        <v>296</v>
      </c>
      <c r="V4" s="170">
        <v>0</v>
      </c>
      <c r="W4" s="171" t="s">
        <v>296</v>
      </c>
      <c r="X4" s="171">
        <f>VLOOKUP($A4,Kenai_LNG_emis!$A$4:$AA$19,9,FALSE)</f>
        <v>0.31700670979198375</v>
      </c>
      <c r="Y4" s="166" t="s">
        <v>296</v>
      </c>
      <c r="Z4" s="170">
        <v>0</v>
      </c>
      <c r="AA4" s="166" t="s">
        <v>296</v>
      </c>
      <c r="AB4" s="170">
        <v>0</v>
      </c>
      <c r="AC4" s="166" t="s">
        <v>296</v>
      </c>
      <c r="AD4" s="171">
        <f>VLOOKUP($A4,Kenai_LNG_emis!$A$4:$AA$19,18,FALSE)</f>
        <v>0</v>
      </c>
      <c r="AE4" s="166" t="s">
        <v>296</v>
      </c>
      <c r="AF4" s="171">
        <f>VLOOKUP($A4,Kenai_LNG_emis!$A$4:$AA$19,20,FALSE)</f>
        <v>2.4015659832726044E-3</v>
      </c>
      <c r="AG4" s="166" t="s">
        <v>296</v>
      </c>
      <c r="AH4" s="171">
        <f>VLOOKUP($A4,Kenai_LNG_emis!$A$4:$AA$19,22,FALSE)</f>
        <v>5.9407158533585479E-3</v>
      </c>
      <c r="AI4" s="166" t="s">
        <v>296</v>
      </c>
      <c r="AJ4" s="171">
        <f>VLOOKUP($A4,Kenai_LNG_emis!$A$4:$AA$19,11,FALSE)</f>
        <v>8.3422818366311515E-3</v>
      </c>
      <c r="AK4" s="166" t="s">
        <v>296</v>
      </c>
      <c r="AL4" s="171">
        <f>VLOOKUP($A4,Kenai_LNG_emis!$A$4:$AA$19,11,FALSE)</f>
        <v>8.3422818366311515E-3</v>
      </c>
      <c r="AM4" s="166" t="s">
        <v>296</v>
      </c>
      <c r="AN4" s="171">
        <f>VLOOKUP($A4,Kenai_LNG_emis!$A$4:$AA$19,15,FALSE)</f>
        <v>0.1032716958396753</v>
      </c>
      <c r="AO4" s="166" t="s">
        <v>293</v>
      </c>
    </row>
    <row r="5" spans="1:41">
      <c r="A5" s="166">
        <v>1</v>
      </c>
      <c r="B5" s="166" t="s">
        <v>293</v>
      </c>
      <c r="C5" s="166" t="s">
        <v>297</v>
      </c>
      <c r="I5" s="168"/>
      <c r="K5" s="168"/>
    </row>
    <row r="6" spans="1:41">
      <c r="A6" s="166">
        <f t="shared" ref="A6:A44" si="0">A3+1</f>
        <v>2</v>
      </c>
      <c r="B6" s="166" t="s">
        <v>293</v>
      </c>
      <c r="C6" s="166" t="s">
        <v>294</v>
      </c>
      <c r="D6" s="169" t="str">
        <f>VLOOKUP($A6,Kenai_LNG_emis!$A$4:$AA$19,2,FALSE)</f>
        <v>COMP_152</v>
      </c>
      <c r="E6" s="166" t="s">
        <v>293</v>
      </c>
    </row>
    <row r="7" spans="1:41">
      <c r="A7" s="166">
        <f t="shared" si="0"/>
        <v>2</v>
      </c>
      <c r="B7" s="166" t="s">
        <v>293</v>
      </c>
      <c r="C7" s="166" t="s">
        <v>295</v>
      </c>
      <c r="D7" s="169">
        <f>VLOOKUP($A7,Kenai_LNG_emis!$A$4:$AA$19,6,FALSE)</f>
        <v>-21.0173959346</v>
      </c>
      <c r="E7" s="168" t="s">
        <v>296</v>
      </c>
      <c r="F7" s="166">
        <f>VLOOKUP($A7,Kenai_LNG_emis!$A$4:$AA$19,7,FALSE)</f>
        <v>186.853052633</v>
      </c>
      <c r="G7" s="168" t="s">
        <v>296</v>
      </c>
      <c r="H7" s="170">
        <f>VLOOKUP($A7,Kenai_LNG_emis!$A$4:$AA$19,23,FALSE)</f>
        <v>19.507200000000001</v>
      </c>
      <c r="I7" s="166" t="s">
        <v>296</v>
      </c>
      <c r="J7" s="170">
        <f>VLOOKUP($A7,Kenai_LNG_emis!$A$4:$AA$19,8,FALSE)</f>
        <v>34.9</v>
      </c>
      <c r="K7" s="166" t="s">
        <v>296</v>
      </c>
      <c r="L7" s="169">
        <f>VLOOKUP($A7,Kenai_LNG_emis!$A$4:$AA$19,27,FALSE)</f>
        <v>2.1335999999999999</v>
      </c>
      <c r="M7" s="166" t="s">
        <v>296</v>
      </c>
      <c r="N7" s="169">
        <f>VLOOKUP($A7,Kenai_LNG_emis!$A$4:$AA$19,26,FALSE)</f>
        <v>22.899623999999999</v>
      </c>
      <c r="O7" s="166" t="s">
        <v>296</v>
      </c>
      <c r="P7" s="170">
        <f>VLOOKUP($A7,Kenai_LNG_emis!$A$4:$AA$19,25,FALSE)</f>
        <v>588.71</v>
      </c>
      <c r="Q7" s="166" t="s">
        <v>296</v>
      </c>
      <c r="R7" s="170">
        <v>1</v>
      </c>
      <c r="S7" s="166" t="s">
        <v>296</v>
      </c>
      <c r="T7" s="171">
        <f>VLOOKUP($A7,Kenai_LNG_emis!$A$4:$AA$19,13,FALSE)</f>
        <v>8.3422818366311515E-3</v>
      </c>
      <c r="U7" s="166" t="s">
        <v>296</v>
      </c>
      <c r="V7" s="170">
        <v>0</v>
      </c>
      <c r="W7" s="171" t="s">
        <v>296</v>
      </c>
      <c r="X7" s="171">
        <f>VLOOKUP($A7,Kenai_LNG_emis!$A$4:$AA$19,9,FALSE)</f>
        <v>5.1500645421106039</v>
      </c>
      <c r="Y7" s="166" t="s">
        <v>296</v>
      </c>
      <c r="Z7" s="170">
        <v>0</v>
      </c>
      <c r="AA7" s="166" t="s">
        <v>296</v>
      </c>
      <c r="AB7" s="170">
        <v>0</v>
      </c>
      <c r="AC7" s="166" t="s">
        <v>296</v>
      </c>
      <c r="AD7" s="171">
        <f>VLOOKUP($A7,Kenai_LNG_emis!$A$4:$AA$19,18,FALSE)</f>
        <v>0</v>
      </c>
      <c r="AE7" s="166" t="s">
        <v>296</v>
      </c>
      <c r="AF7" s="171">
        <f>VLOOKUP($A7,Kenai_LNG_emis!$A$4:$AA$19,20,FALSE)</f>
        <v>3.8839118832925922E-2</v>
      </c>
      <c r="AG7" s="166" t="s">
        <v>296</v>
      </c>
      <c r="AH7" s="171">
        <f>VLOOKUP($A7,Kenai_LNG_emis!$A$4:$AA$19,22,FALSE)</f>
        <v>9.6075715007764115E-2</v>
      </c>
      <c r="AI7" s="166" t="s">
        <v>296</v>
      </c>
      <c r="AJ7" s="171">
        <f>VLOOKUP($A7,Kenai_LNG_emis!$A$4:$AA$19,11,FALSE)</f>
        <v>0.13491483384069003</v>
      </c>
      <c r="AK7" s="166" t="s">
        <v>296</v>
      </c>
      <c r="AL7" s="171">
        <f>VLOOKUP($A7,Kenai_LNG_emis!$A$4:$AA$19,11,FALSE)</f>
        <v>0.13491483384069003</v>
      </c>
      <c r="AM7" s="166" t="s">
        <v>296</v>
      </c>
      <c r="AN7" s="171">
        <f>VLOOKUP($A7,Kenai_LNG_emis!$A$4:$AA$19,15,FALSE)</f>
        <v>1.6759356544901065</v>
      </c>
      <c r="AO7" s="166" t="s">
        <v>293</v>
      </c>
    </row>
    <row r="8" spans="1:41">
      <c r="A8" s="166">
        <f t="shared" si="0"/>
        <v>2</v>
      </c>
      <c r="B8" s="166" t="s">
        <v>293</v>
      </c>
      <c r="C8" s="166" t="s">
        <v>297</v>
      </c>
      <c r="I8" s="168"/>
      <c r="K8" s="168"/>
    </row>
    <row r="9" spans="1:41">
      <c r="A9" s="166">
        <f t="shared" si="0"/>
        <v>3</v>
      </c>
      <c r="B9" s="166" t="s">
        <v>293</v>
      </c>
      <c r="C9" s="166" t="s">
        <v>294</v>
      </c>
      <c r="D9" s="169" t="str">
        <f>VLOOKUP($A9,Kenai_LNG_emis!$A$4:$AA$19,2,FALSE)</f>
        <v>COMP_251</v>
      </c>
      <c r="E9" s="166" t="s">
        <v>293</v>
      </c>
    </row>
    <row r="10" spans="1:41">
      <c r="A10" s="166">
        <f t="shared" si="0"/>
        <v>3</v>
      </c>
      <c r="B10" s="166" t="s">
        <v>293</v>
      </c>
      <c r="C10" s="166" t="s">
        <v>295</v>
      </c>
      <c r="D10" s="169">
        <f>VLOOKUP($A10,Kenai_LNG_emis!$A$4:$AA$19,6,FALSE)</f>
        <v>-20.9806398632</v>
      </c>
      <c r="E10" s="168" t="s">
        <v>296</v>
      </c>
      <c r="F10" s="166">
        <f>VLOOKUP($A10,Kenai_LNG_emis!$A$4:$AA$19,7,FALSE)</f>
        <v>186.85287594299999</v>
      </c>
      <c r="G10" s="168" t="s">
        <v>296</v>
      </c>
      <c r="H10" s="170">
        <f>VLOOKUP($A10,Kenai_LNG_emis!$A$4:$AA$19,23,FALSE)</f>
        <v>19.507200000000001</v>
      </c>
      <c r="I10" s="166" t="s">
        <v>296</v>
      </c>
      <c r="J10" s="170">
        <f>VLOOKUP($A10,Kenai_LNG_emis!$A$4:$AA$19,8,FALSE)</f>
        <v>34.9</v>
      </c>
      <c r="K10" s="166" t="s">
        <v>296</v>
      </c>
      <c r="L10" s="169">
        <f>VLOOKUP($A10,Kenai_LNG_emis!$A$4:$AA$19,27,FALSE)</f>
        <v>2.1335999999999999</v>
      </c>
      <c r="M10" s="166" t="s">
        <v>296</v>
      </c>
      <c r="N10" s="169">
        <f>VLOOKUP($A10,Kenai_LNG_emis!$A$4:$AA$19,26,FALSE)</f>
        <v>22.899623999999999</v>
      </c>
      <c r="O10" s="166" t="s">
        <v>296</v>
      </c>
      <c r="P10" s="170">
        <f>VLOOKUP($A10,Kenai_LNG_emis!$A$4:$AA$19,25,FALSE)</f>
        <v>588.71</v>
      </c>
      <c r="Q10" s="166" t="s">
        <v>296</v>
      </c>
      <c r="R10" s="170">
        <v>1</v>
      </c>
      <c r="S10" s="166" t="s">
        <v>296</v>
      </c>
      <c r="T10" s="171">
        <f>VLOOKUP($A10,Kenai_LNG_emis!$A$4:$AA$19,13,FALSE)</f>
        <v>2.3013191273465248E-3</v>
      </c>
      <c r="U10" s="166" t="s">
        <v>296</v>
      </c>
      <c r="V10" s="170">
        <v>0</v>
      </c>
      <c r="W10" s="171" t="s">
        <v>296</v>
      </c>
      <c r="X10" s="171">
        <f>VLOOKUP($A10,Kenai_LNG_emis!$A$4:$AA$19,9,FALSE)</f>
        <v>1.7861113077118216</v>
      </c>
      <c r="Y10" s="166" t="s">
        <v>296</v>
      </c>
      <c r="Z10" s="170">
        <v>0</v>
      </c>
      <c r="AA10" s="166" t="s">
        <v>296</v>
      </c>
      <c r="AB10" s="170">
        <v>0</v>
      </c>
      <c r="AC10" s="166" t="s">
        <v>296</v>
      </c>
      <c r="AD10" s="171">
        <f>VLOOKUP($A10,Kenai_LNG_emis!$A$4:$AA$19,18,FALSE)</f>
        <v>0</v>
      </c>
      <c r="AE10" s="166" t="s">
        <v>296</v>
      </c>
      <c r="AF10" s="171">
        <f>VLOOKUP($A10,Kenai_LNG_emis!$A$4:$AA$19,20,FALSE)</f>
        <v>1.1262516335347387E-2</v>
      </c>
      <c r="AG10" s="166" t="s">
        <v>296</v>
      </c>
      <c r="AH10" s="171">
        <f>VLOOKUP($A10,Kenai_LNG_emis!$A$4:$AA$19,22,FALSE)</f>
        <v>2.7859908829543537E-2</v>
      </c>
      <c r="AI10" s="166" t="s">
        <v>296</v>
      </c>
      <c r="AJ10" s="171">
        <f>VLOOKUP($A10,Kenai_LNG_emis!$A$4:$AA$19,11,FALSE)</f>
        <v>3.9122425164890923E-2</v>
      </c>
      <c r="AK10" s="166" t="s">
        <v>296</v>
      </c>
      <c r="AL10" s="171">
        <f>VLOOKUP($A10,Kenai_LNG_emis!$A$4:$AA$19,11,FALSE)</f>
        <v>3.9122425164890923E-2</v>
      </c>
      <c r="AM10" s="166" t="s">
        <v>296</v>
      </c>
      <c r="AN10" s="171">
        <f>VLOOKUP($A10,Kenai_LNG_emis!$A$4:$AA$19,15,FALSE)</f>
        <v>0.48500300608828006</v>
      </c>
      <c r="AO10" s="166" t="s">
        <v>293</v>
      </c>
    </row>
    <row r="11" spans="1:41">
      <c r="A11" s="166">
        <f t="shared" si="0"/>
        <v>3</v>
      </c>
      <c r="B11" s="166" t="s">
        <v>293</v>
      </c>
      <c r="C11" s="166" t="s">
        <v>297</v>
      </c>
      <c r="I11" s="168"/>
      <c r="K11" s="168"/>
    </row>
    <row r="12" spans="1:41">
      <c r="A12" s="166">
        <f t="shared" si="0"/>
        <v>4</v>
      </c>
      <c r="B12" s="166" t="s">
        <v>293</v>
      </c>
      <c r="C12" s="166" t="s">
        <v>294</v>
      </c>
      <c r="D12" s="169" t="str">
        <f>VLOOKUP($A12,Kenai_LNG_emis!$A$4:$AA$19,2,FALSE)</f>
        <v>COMP_252</v>
      </c>
      <c r="E12" s="166" t="s">
        <v>293</v>
      </c>
    </row>
    <row r="13" spans="1:41">
      <c r="A13" s="166">
        <f t="shared" si="0"/>
        <v>4</v>
      </c>
      <c r="B13" s="166" t="s">
        <v>293</v>
      </c>
      <c r="C13" s="166" t="s">
        <v>295</v>
      </c>
      <c r="D13" s="169">
        <f>VLOOKUP($A13,Kenai_LNG_emis!$A$4:$AA$19,6,FALSE)</f>
        <v>-20.987971596600001</v>
      </c>
      <c r="E13" s="168" t="s">
        <v>296</v>
      </c>
      <c r="F13" s="166">
        <f>VLOOKUP($A13,Kenai_LNG_emis!$A$4:$AA$19,7,FALSE)</f>
        <v>186.85289062499999</v>
      </c>
      <c r="G13" s="168" t="s">
        <v>296</v>
      </c>
      <c r="H13" s="170">
        <f>VLOOKUP($A13,Kenai_LNG_emis!$A$4:$AA$19,23,FALSE)</f>
        <v>19.507200000000001</v>
      </c>
      <c r="I13" s="166" t="s">
        <v>296</v>
      </c>
      <c r="J13" s="170">
        <f>VLOOKUP($A13,Kenai_LNG_emis!$A$4:$AA$19,8,FALSE)</f>
        <v>34.9</v>
      </c>
      <c r="K13" s="166" t="s">
        <v>296</v>
      </c>
      <c r="L13" s="169">
        <f>VLOOKUP($A13,Kenai_LNG_emis!$A$4:$AA$19,27,FALSE)</f>
        <v>2.1335999999999999</v>
      </c>
      <c r="M13" s="166" t="s">
        <v>296</v>
      </c>
      <c r="N13" s="169">
        <f>VLOOKUP($A13,Kenai_LNG_emis!$A$4:$AA$19,26,FALSE)</f>
        <v>22.899623999999999</v>
      </c>
      <c r="O13" s="166" t="s">
        <v>296</v>
      </c>
      <c r="P13" s="170">
        <f>VLOOKUP($A13,Kenai_LNG_emis!$A$4:$AA$19,25,FALSE)</f>
        <v>588.71</v>
      </c>
      <c r="Q13" s="166" t="s">
        <v>296</v>
      </c>
      <c r="R13" s="170">
        <v>1</v>
      </c>
      <c r="S13" s="166" t="s">
        <v>296</v>
      </c>
      <c r="T13" s="171">
        <f>VLOOKUP($A13,Kenai_LNG_emis!$A$4:$AA$19,13,FALSE)</f>
        <v>5.7532978183663123E-3</v>
      </c>
      <c r="U13" s="166" t="s">
        <v>296</v>
      </c>
      <c r="V13" s="170">
        <v>0</v>
      </c>
      <c r="W13" s="171" t="s">
        <v>296</v>
      </c>
      <c r="X13" s="171">
        <f>VLOOKUP($A13,Kenai_LNG_emis!$A$4:$AA$19,9,FALSE)</f>
        <v>4.1679766045154745</v>
      </c>
      <c r="Y13" s="166" t="s">
        <v>296</v>
      </c>
      <c r="Z13" s="170">
        <v>0</v>
      </c>
      <c r="AA13" s="166" t="s">
        <v>296</v>
      </c>
      <c r="AB13" s="170">
        <v>0</v>
      </c>
      <c r="AC13" s="166" t="s">
        <v>296</v>
      </c>
      <c r="AD13" s="171">
        <f>VLOOKUP($A13,Kenai_LNG_emis!$A$4:$AA$19,18,FALSE)</f>
        <v>0</v>
      </c>
      <c r="AE13" s="166" t="s">
        <v>296</v>
      </c>
      <c r="AF13" s="171">
        <f>VLOOKUP($A13,Kenai_LNG_emis!$A$4:$AA$19,20,FALSE)</f>
        <v>2.6251600575772954E-2</v>
      </c>
      <c r="AG13" s="166" t="s">
        <v>296</v>
      </c>
      <c r="AH13" s="171">
        <f>VLOOKUP($A13,Kenai_LNG_emis!$A$4:$AA$19,22,FALSE)</f>
        <v>6.4938169845333099E-2</v>
      </c>
      <c r="AI13" s="166" t="s">
        <v>296</v>
      </c>
      <c r="AJ13" s="171">
        <f>VLOOKUP($A13,Kenai_LNG_emis!$A$4:$AA$19,11,FALSE)</f>
        <v>9.1189770421106042E-2</v>
      </c>
      <c r="AK13" s="166" t="s">
        <v>296</v>
      </c>
      <c r="AL13" s="171">
        <f>VLOOKUP($A13,Kenai_LNG_emis!$A$4:$AA$19,11,FALSE)</f>
        <v>9.1189770421106042E-2</v>
      </c>
      <c r="AM13" s="166" t="s">
        <v>296</v>
      </c>
      <c r="AN13" s="171">
        <f>VLOOKUP($A13,Kenai_LNG_emis!$A$4:$AA$19,15,FALSE)</f>
        <v>1.1316736808726535</v>
      </c>
      <c r="AO13" s="166" t="s">
        <v>293</v>
      </c>
    </row>
    <row r="14" spans="1:41">
      <c r="A14" s="166">
        <f t="shared" si="0"/>
        <v>4</v>
      </c>
      <c r="B14" s="166" t="s">
        <v>293</v>
      </c>
      <c r="C14" s="166" t="s">
        <v>297</v>
      </c>
      <c r="I14" s="168"/>
      <c r="K14" s="168"/>
    </row>
    <row r="15" spans="1:41">
      <c r="A15" s="166">
        <f t="shared" si="0"/>
        <v>5</v>
      </c>
      <c r="B15" s="166" t="s">
        <v>293</v>
      </c>
      <c r="C15" s="166" t="s">
        <v>294</v>
      </c>
      <c r="D15" s="169" t="str">
        <f>VLOOKUP($A15,Kenai_LNG_emis!$A$4:$AA$19,2,FALSE)</f>
        <v>COMP_701</v>
      </c>
      <c r="E15" s="166" t="s">
        <v>293</v>
      </c>
    </row>
    <row r="16" spans="1:41">
      <c r="A16" s="166">
        <f t="shared" si="0"/>
        <v>5</v>
      </c>
      <c r="B16" s="166" t="s">
        <v>293</v>
      </c>
      <c r="C16" s="166" t="s">
        <v>295</v>
      </c>
      <c r="D16" s="169">
        <f>VLOOKUP($A16,Kenai_LNG_emis!$A$4:$AA$19,6,FALSE)</f>
        <v>-21.024727668600001</v>
      </c>
      <c r="E16" s="168" t="s">
        <v>296</v>
      </c>
      <c r="F16" s="166">
        <f>VLOOKUP($A16,Kenai_LNG_emis!$A$4:$AA$19,7,FALSE)</f>
        <v>186.853067302</v>
      </c>
      <c r="G16" s="168" t="s">
        <v>296</v>
      </c>
      <c r="H16" s="170">
        <f>VLOOKUP($A16,Kenai_LNG_emis!$A$4:$AA$19,23,FALSE)</f>
        <v>19.507200000000001</v>
      </c>
      <c r="I16" s="166" t="s">
        <v>296</v>
      </c>
      <c r="J16" s="170">
        <f>VLOOKUP($A16,Kenai_LNG_emis!$A$4:$AA$19,8,FALSE)</f>
        <v>34.9</v>
      </c>
      <c r="K16" s="166" t="s">
        <v>296</v>
      </c>
      <c r="L16" s="169">
        <f>VLOOKUP($A16,Kenai_LNG_emis!$A$4:$AA$19,27,FALSE)</f>
        <v>0.81279999999999997</v>
      </c>
      <c r="M16" s="166" t="s">
        <v>296</v>
      </c>
      <c r="N16" s="169">
        <f>VLOOKUP($A16,Kenai_LNG_emis!$A$4:$AA$19,26,FALSE)</f>
        <v>98.410980222634834</v>
      </c>
      <c r="O16" s="166" t="s">
        <v>296</v>
      </c>
      <c r="P16" s="170">
        <f>VLOOKUP($A16,Kenai_LNG_emis!$A$4:$AA$19,25,FALSE)</f>
        <v>775.92777777777769</v>
      </c>
      <c r="Q16" s="166" t="s">
        <v>296</v>
      </c>
      <c r="R16" s="170">
        <v>1</v>
      </c>
      <c r="S16" s="166" t="s">
        <v>296</v>
      </c>
      <c r="T16" s="171">
        <f>VLOOKUP($A16,Kenai_LNG_emis!$A$4:$AA$19,13,FALSE)</f>
        <v>1.4383244545915781E-3</v>
      </c>
      <c r="U16" s="166" t="s">
        <v>296</v>
      </c>
      <c r="V16" s="170">
        <v>0</v>
      </c>
      <c r="W16" s="171" t="s">
        <v>296</v>
      </c>
      <c r="X16" s="171">
        <f>VLOOKUP($A16,Kenai_LNG_emis!$A$4:$AA$19,9,FALSE)</f>
        <v>0.11736727549467277</v>
      </c>
      <c r="Y16" s="166" t="s">
        <v>296</v>
      </c>
      <c r="Z16" s="170">
        <v>0</v>
      </c>
      <c r="AA16" s="166" t="s">
        <v>296</v>
      </c>
      <c r="AB16" s="170">
        <v>0</v>
      </c>
      <c r="AC16" s="166" t="s">
        <v>296</v>
      </c>
      <c r="AD16" s="171">
        <f>VLOOKUP($A16,Kenai_LNG_emis!$A$4:$AA$19,18,FALSE)</f>
        <v>0</v>
      </c>
      <c r="AE16" s="166" t="s">
        <v>296</v>
      </c>
      <c r="AF16" s="171">
        <f>VLOOKUP($A16,Kenai_LNG_emis!$A$4:$AA$19,20,FALSE)</f>
        <v>6.7906348492535705E-3</v>
      </c>
      <c r="AG16" s="166" t="s">
        <v>296</v>
      </c>
      <c r="AH16" s="171">
        <f>VLOOKUP($A16,Kenai_LNG_emis!$A$4:$AA$19,22,FALSE)</f>
        <v>1.6797886206048305E-2</v>
      </c>
      <c r="AI16" s="166" t="s">
        <v>296</v>
      </c>
      <c r="AJ16" s="171">
        <f>VLOOKUP($A16,Kenai_LNG_emis!$A$4:$AA$19,11,FALSE)</f>
        <v>2.3588521055301875E-2</v>
      </c>
      <c r="AK16" s="166" t="s">
        <v>296</v>
      </c>
      <c r="AL16" s="171">
        <f>VLOOKUP($A16,Kenai_LNG_emis!$A$4:$AA$19,11,FALSE)</f>
        <v>2.3588521055301875E-2</v>
      </c>
      <c r="AM16" s="166" t="s">
        <v>296</v>
      </c>
      <c r="AN16" s="171">
        <f>VLOOKUP($A16,Kenai_LNG_emis!$A$4:$AA$19,15,FALSE)</f>
        <v>1.7835223236935566E-2</v>
      </c>
      <c r="AO16" s="166" t="s">
        <v>293</v>
      </c>
    </row>
    <row r="17" spans="1:41">
      <c r="A17" s="166">
        <f t="shared" si="0"/>
        <v>5</v>
      </c>
      <c r="B17" s="166" t="s">
        <v>293</v>
      </c>
      <c r="C17" s="166" t="s">
        <v>297</v>
      </c>
      <c r="I17" s="168"/>
      <c r="K17" s="168"/>
    </row>
    <row r="18" spans="1:41">
      <c r="A18" s="166">
        <f t="shared" si="0"/>
        <v>6</v>
      </c>
      <c r="B18" s="166" t="s">
        <v>293</v>
      </c>
      <c r="C18" s="166" t="s">
        <v>294</v>
      </c>
      <c r="D18" s="169" t="str">
        <f>VLOOKUP($A18,Kenai_LNG_emis!$A$4:$AA$19,2,FALSE)</f>
        <v>BLR_501</v>
      </c>
      <c r="E18" s="166" t="s">
        <v>293</v>
      </c>
    </row>
    <row r="19" spans="1:41">
      <c r="A19" s="166">
        <f t="shared" si="0"/>
        <v>6</v>
      </c>
      <c r="B19" s="166" t="s">
        <v>293</v>
      </c>
      <c r="C19" s="166" t="s">
        <v>295</v>
      </c>
      <c r="D19" s="169">
        <f>VLOOKUP($A19,Kenai_LNG_emis!$A$4:$AA$19,6,FALSE)</f>
        <v>-20.931082816699998</v>
      </c>
      <c r="E19" s="168" t="s">
        <v>296</v>
      </c>
      <c r="F19" s="166">
        <f>VLOOKUP($A19,Kenai_LNG_emis!$A$4:$AA$19,7,FALSE)</f>
        <v>186.85764614000001</v>
      </c>
      <c r="G19" s="168" t="s">
        <v>296</v>
      </c>
      <c r="H19" s="170">
        <f>VLOOKUP($A19,Kenai_LNG_emis!$A$4:$AA$19,23,FALSE)</f>
        <v>19.812000000000001</v>
      </c>
      <c r="I19" s="166" t="s">
        <v>296</v>
      </c>
      <c r="J19" s="170">
        <f>VLOOKUP($A19,Kenai_LNG_emis!$A$4:$AA$19,8,FALSE)</f>
        <v>35.1</v>
      </c>
      <c r="K19" s="166" t="s">
        <v>296</v>
      </c>
      <c r="L19" s="169">
        <f>VLOOKUP($A19,Kenai_LNG_emis!$A$4:$AA$19,27,FALSE)</f>
        <v>0.97536000000000023</v>
      </c>
      <c r="M19" s="166" t="s">
        <v>296</v>
      </c>
      <c r="N19" s="169">
        <f>VLOOKUP($A19,Kenai_LNG_emis!$A$4:$AA$19,26,FALSE)</f>
        <v>9.1013280000000005</v>
      </c>
      <c r="O19" s="166" t="s">
        <v>296</v>
      </c>
      <c r="P19" s="170">
        <f>VLOOKUP($A19,Kenai_LNG_emis!$A$4:$AA$19,25,FALSE)</f>
        <v>588.71</v>
      </c>
      <c r="Q19" s="166" t="s">
        <v>296</v>
      </c>
      <c r="R19" s="170">
        <v>1</v>
      </c>
      <c r="S19" s="166" t="s">
        <v>296</v>
      </c>
      <c r="T19" s="171">
        <f>VLOOKUP($A19,Kenai_LNG_emis!$A$4:$AA$19,13,FALSE)</f>
        <v>2.876648909183156E-4</v>
      </c>
      <c r="U19" s="166" t="s">
        <v>296</v>
      </c>
      <c r="V19" s="170">
        <v>0</v>
      </c>
      <c r="W19" s="171" t="s">
        <v>296</v>
      </c>
      <c r="X19" s="171">
        <f>VLOOKUP($A19,Kenai_LNG_emis!$A$4:$AA$19,9,FALSE)</f>
        <v>8.3422818366311519E-2</v>
      </c>
      <c r="Y19" s="166" t="s">
        <v>296</v>
      </c>
      <c r="Z19" s="170">
        <v>0</v>
      </c>
      <c r="AA19" s="166" t="s">
        <v>296</v>
      </c>
      <c r="AB19" s="170">
        <v>0</v>
      </c>
      <c r="AC19" s="166" t="s">
        <v>296</v>
      </c>
      <c r="AD19" s="171">
        <f>VLOOKUP($A19,Kenai_LNG_emis!$A$4:$AA$19,18,FALSE)</f>
        <v>0</v>
      </c>
      <c r="AE19" s="166" t="s">
        <v>296</v>
      </c>
      <c r="AF19" s="171">
        <f>VLOOKUP($A19,Kenai_LNG_emis!$A$4:$AA$19,20,FALSE)</f>
        <v>1.5821569000507357E-3</v>
      </c>
      <c r="AG19" s="166" t="s">
        <v>296</v>
      </c>
      <c r="AH19" s="171">
        <f>VLOOKUP($A19,Kenai_LNG_emis!$A$4:$AA$19,22,FALSE)</f>
        <v>4.7464707001522079E-3</v>
      </c>
      <c r="AI19" s="166" t="s">
        <v>296</v>
      </c>
      <c r="AJ19" s="171">
        <f>VLOOKUP($A19,Kenai_LNG_emis!$A$4:$AA$19,11,FALSE)</f>
        <v>6.3286276002029428E-3</v>
      </c>
      <c r="AK19" s="166" t="s">
        <v>296</v>
      </c>
      <c r="AL19" s="171">
        <f>VLOOKUP($A19,Kenai_LNG_emis!$A$4:$AA$19,11,FALSE)</f>
        <v>6.3286276002029428E-3</v>
      </c>
      <c r="AM19" s="166" t="s">
        <v>296</v>
      </c>
      <c r="AN19" s="171">
        <f>VLOOKUP($A19,Kenai_LNG_emis!$A$4:$AA$19,15,FALSE)</f>
        <v>7.0190233384069003E-2</v>
      </c>
      <c r="AO19" s="166" t="s">
        <v>293</v>
      </c>
    </row>
    <row r="20" spans="1:41">
      <c r="A20" s="166">
        <f t="shared" si="0"/>
        <v>6</v>
      </c>
      <c r="B20" s="166" t="s">
        <v>293</v>
      </c>
      <c r="C20" s="166" t="s">
        <v>297</v>
      </c>
      <c r="I20" s="168"/>
      <c r="K20" s="168"/>
    </row>
    <row r="21" spans="1:41">
      <c r="A21" s="166">
        <f t="shared" si="0"/>
        <v>7</v>
      </c>
      <c r="B21" s="166" t="s">
        <v>293</v>
      </c>
      <c r="C21" s="166" t="s">
        <v>294</v>
      </c>
      <c r="D21" s="169" t="str">
        <f>VLOOKUP($A21,Kenai_LNG_emis!$A$4:$AA$19,2,FALSE)</f>
        <v>BLR_502</v>
      </c>
      <c r="E21" s="166" t="s">
        <v>293</v>
      </c>
    </row>
    <row r="22" spans="1:41">
      <c r="A22" s="166">
        <f t="shared" si="0"/>
        <v>7</v>
      </c>
      <c r="B22" s="166" t="s">
        <v>293</v>
      </c>
      <c r="C22" s="166" t="s">
        <v>295</v>
      </c>
      <c r="D22" s="169">
        <f>VLOOKUP($A22,Kenai_LNG_emis!$A$4:$AA$19,6,FALSE)</f>
        <v>-20.925861464600001</v>
      </c>
      <c r="E22" s="168" t="s">
        <v>296</v>
      </c>
      <c r="F22" s="166">
        <f>VLOOKUP($A22,Kenai_LNG_emis!$A$4:$AA$19,7,FALSE)</f>
        <v>186.85759305100001</v>
      </c>
      <c r="G22" s="168" t="s">
        <v>296</v>
      </c>
      <c r="H22" s="170">
        <f>VLOOKUP($A22,Kenai_LNG_emis!$A$4:$AA$19,23,FALSE)</f>
        <v>19.812000000000001</v>
      </c>
      <c r="I22" s="166" t="s">
        <v>296</v>
      </c>
      <c r="J22" s="170">
        <f>VLOOKUP($A22,Kenai_LNG_emis!$A$4:$AA$19,8,FALSE)</f>
        <v>35.1</v>
      </c>
      <c r="K22" s="166" t="s">
        <v>296</v>
      </c>
      <c r="L22" s="169">
        <f>VLOOKUP($A22,Kenai_LNG_emis!$A$4:$AA$19,27,FALSE)</f>
        <v>0.97536000000000023</v>
      </c>
      <c r="M22" s="166" t="s">
        <v>296</v>
      </c>
      <c r="N22" s="169">
        <f>VLOOKUP($A22,Kenai_LNG_emis!$A$4:$AA$19,26,FALSE)</f>
        <v>9.1013280000000005</v>
      </c>
      <c r="O22" s="166" t="s">
        <v>296</v>
      </c>
      <c r="P22" s="170">
        <f>VLOOKUP($A22,Kenai_LNG_emis!$A$4:$AA$19,25,FALSE)</f>
        <v>588.71</v>
      </c>
      <c r="Q22" s="166" t="s">
        <v>296</v>
      </c>
      <c r="R22" s="170">
        <v>1</v>
      </c>
      <c r="S22" s="166" t="s">
        <v>296</v>
      </c>
      <c r="T22" s="171">
        <f>VLOOKUP($A22,Kenai_LNG_emis!$A$4:$AA$19,13,FALSE)</f>
        <v>5.7532978183663121E-4</v>
      </c>
      <c r="U22" s="166" t="s">
        <v>296</v>
      </c>
      <c r="V22" s="170">
        <v>0</v>
      </c>
      <c r="W22" s="171" t="s">
        <v>296</v>
      </c>
      <c r="X22" s="171">
        <f>VLOOKUP($A22,Kenai_LNG_emis!$A$4:$AA$19,9,FALSE)</f>
        <v>0.12686021689497717</v>
      </c>
      <c r="Y22" s="166" t="s">
        <v>296</v>
      </c>
      <c r="Z22" s="170">
        <v>0</v>
      </c>
      <c r="AA22" s="166" t="s">
        <v>296</v>
      </c>
      <c r="AB22" s="170">
        <v>0</v>
      </c>
      <c r="AC22" s="166" t="s">
        <v>296</v>
      </c>
      <c r="AD22" s="171">
        <f>VLOOKUP($A22,Kenai_LNG_emis!$A$4:$AA$19,18,FALSE)</f>
        <v>0</v>
      </c>
      <c r="AE22" s="166" t="s">
        <v>296</v>
      </c>
      <c r="AF22" s="171">
        <f>VLOOKUP($A22,Kenai_LNG_emis!$A$4:$AA$19,20,FALSE)</f>
        <v>2.3732353500761035E-3</v>
      </c>
      <c r="AG22" s="166" t="s">
        <v>296</v>
      </c>
      <c r="AH22" s="171">
        <f>VLOOKUP($A22,Kenai_LNG_emis!$A$4:$AA$19,22,FALSE)</f>
        <v>7.1197060502283119E-3</v>
      </c>
      <c r="AI22" s="166" t="s">
        <v>296</v>
      </c>
      <c r="AJ22" s="171">
        <f>VLOOKUP($A22,Kenai_LNG_emis!$A$4:$AA$19,11,FALSE)</f>
        <v>9.4929414003044141E-3</v>
      </c>
      <c r="AK22" s="166" t="s">
        <v>296</v>
      </c>
      <c r="AL22" s="171">
        <f>VLOOKUP($A22,Kenai_LNG_emis!$A$4:$AA$19,11,FALSE)</f>
        <v>9.4929414003044141E-3</v>
      </c>
      <c r="AM22" s="166" t="s">
        <v>296</v>
      </c>
      <c r="AN22" s="171">
        <f>VLOOKUP($A22,Kenai_LNG_emis!$A$4:$AA$19,15,FALSE)</f>
        <v>0.10643600963977677</v>
      </c>
      <c r="AO22" s="166" t="s">
        <v>293</v>
      </c>
    </row>
    <row r="23" spans="1:41">
      <c r="A23" s="166">
        <f t="shared" si="0"/>
        <v>7</v>
      </c>
      <c r="B23" s="166" t="s">
        <v>293</v>
      </c>
      <c r="C23" s="166" t="s">
        <v>297</v>
      </c>
      <c r="I23" s="168"/>
      <c r="K23" s="168"/>
    </row>
    <row r="24" spans="1:41">
      <c r="A24" s="166">
        <f t="shared" si="0"/>
        <v>8</v>
      </c>
      <c r="B24" s="166" t="s">
        <v>293</v>
      </c>
      <c r="C24" s="166" t="s">
        <v>294</v>
      </c>
      <c r="D24" s="169" t="str">
        <f>VLOOKUP($A24,Kenai_LNG_emis!$A$4:$AA$19,2,FALSE)</f>
        <v>BLR_511</v>
      </c>
      <c r="E24" s="166" t="s">
        <v>293</v>
      </c>
    </row>
    <row r="25" spans="1:41">
      <c r="A25" s="166">
        <f t="shared" si="0"/>
        <v>8</v>
      </c>
      <c r="B25" s="166" t="s">
        <v>293</v>
      </c>
      <c r="C25" s="166" t="s">
        <v>295</v>
      </c>
      <c r="D25" s="169">
        <f>VLOOKUP($A25,Kenai_LNG_emis!$A$4:$AA$19,6,FALSE)</f>
        <v>-20.920637161599998</v>
      </c>
      <c r="E25" s="168" t="s">
        <v>296</v>
      </c>
      <c r="F25" s="166">
        <f>VLOOKUP($A25,Kenai_LNG_emis!$A$4:$AA$19,7,FALSE)</f>
        <v>186.85764031400001</v>
      </c>
      <c r="G25" s="168" t="s">
        <v>296</v>
      </c>
      <c r="H25" s="170">
        <f>VLOOKUP($A25,Kenai_LNG_emis!$A$4:$AA$19,23,FALSE)</f>
        <v>19.812000000000001</v>
      </c>
      <c r="I25" s="166" t="s">
        <v>296</v>
      </c>
      <c r="J25" s="170">
        <f>VLOOKUP($A25,Kenai_LNG_emis!$A$4:$AA$19,8,FALSE)</f>
        <v>35.1</v>
      </c>
      <c r="K25" s="166" t="s">
        <v>296</v>
      </c>
      <c r="L25" s="169">
        <f>VLOOKUP($A25,Kenai_LNG_emis!$A$4:$AA$19,27,FALSE)</f>
        <v>0.97536000000000023</v>
      </c>
      <c r="M25" s="166" t="s">
        <v>296</v>
      </c>
      <c r="N25" s="169">
        <f>VLOOKUP($A25,Kenai_LNG_emis!$A$4:$AA$19,26,FALSE)</f>
        <v>9.1013280000000005</v>
      </c>
      <c r="O25" s="166" t="s">
        <v>296</v>
      </c>
      <c r="P25" s="170">
        <f>VLOOKUP($A25,Kenai_LNG_emis!$A$4:$AA$19,25,FALSE)</f>
        <v>588.71</v>
      </c>
      <c r="Q25" s="166" t="s">
        <v>296</v>
      </c>
      <c r="R25" s="170">
        <v>1</v>
      </c>
      <c r="S25" s="166" t="s">
        <v>296</v>
      </c>
      <c r="T25" s="171">
        <f>VLOOKUP($A25,Kenai_LNG_emis!$A$4:$AA$19,13,FALSE)</f>
        <v>5.7532978183663121E-4</v>
      </c>
      <c r="U25" s="166" t="s">
        <v>296</v>
      </c>
      <c r="V25" s="170">
        <v>0</v>
      </c>
      <c r="W25" s="171" t="s">
        <v>296</v>
      </c>
      <c r="X25" s="171">
        <f>VLOOKUP($A25,Kenai_LNG_emis!$A$4:$AA$19,9,FALSE)</f>
        <v>0.14642142947742262</v>
      </c>
      <c r="Y25" s="166" t="s">
        <v>296</v>
      </c>
      <c r="Z25" s="170">
        <v>0</v>
      </c>
      <c r="AA25" s="166" t="s">
        <v>296</v>
      </c>
      <c r="AB25" s="170">
        <v>0</v>
      </c>
      <c r="AC25" s="166" t="s">
        <v>296</v>
      </c>
      <c r="AD25" s="171">
        <f>VLOOKUP($A25,Kenai_LNG_emis!$A$4:$AA$19,18,FALSE)</f>
        <v>0</v>
      </c>
      <c r="AE25" s="166" t="s">
        <v>296</v>
      </c>
      <c r="AF25" s="171">
        <f>VLOOKUP($A25,Kenai_LNG_emis!$A$4:$AA$19,20,FALSE)</f>
        <v>2.804732686453577E-3</v>
      </c>
      <c r="AG25" s="166" t="s">
        <v>296</v>
      </c>
      <c r="AH25" s="171">
        <f>VLOOKUP($A25,Kenai_LNG_emis!$A$4:$AA$19,22,FALSE)</f>
        <v>8.4141980593607328E-3</v>
      </c>
      <c r="AI25" s="166" t="s">
        <v>296</v>
      </c>
      <c r="AJ25" s="171">
        <f>VLOOKUP($A25,Kenai_LNG_emis!$A$4:$AA$19,11,FALSE)</f>
        <v>1.1218930745814308E-2</v>
      </c>
      <c r="AK25" s="166" t="s">
        <v>296</v>
      </c>
      <c r="AL25" s="171">
        <f>VLOOKUP($A25,Kenai_LNG_emis!$A$4:$AA$19,11,FALSE)</f>
        <v>1.1218930745814308E-2</v>
      </c>
      <c r="AM25" s="166" t="s">
        <v>296</v>
      </c>
      <c r="AN25" s="171">
        <f>VLOOKUP($A25,Kenai_LNG_emis!$A$4:$AA$19,15,FALSE)</f>
        <v>0.12283290842212075</v>
      </c>
      <c r="AO25" s="166" t="s">
        <v>293</v>
      </c>
    </row>
    <row r="26" spans="1:41">
      <c r="A26" s="166">
        <f t="shared" si="0"/>
        <v>8</v>
      </c>
      <c r="B26" s="166" t="s">
        <v>293</v>
      </c>
      <c r="C26" s="166" t="s">
        <v>297</v>
      </c>
      <c r="I26" s="168"/>
      <c r="K26" s="168"/>
    </row>
    <row r="27" spans="1:41">
      <c r="A27" s="166">
        <f t="shared" si="0"/>
        <v>9</v>
      </c>
      <c r="B27" s="166" t="s">
        <v>293</v>
      </c>
      <c r="C27" s="166" t="s">
        <v>294</v>
      </c>
      <c r="D27" s="169" t="str">
        <f>VLOOKUP($A27,Kenai_LNG_emis!$A$4:$AA$19,2,FALSE)</f>
        <v>E_GEN</v>
      </c>
      <c r="E27" s="166" t="s">
        <v>293</v>
      </c>
    </row>
    <row r="28" spans="1:41">
      <c r="A28" s="166">
        <f t="shared" si="0"/>
        <v>9</v>
      </c>
      <c r="B28" s="166" t="s">
        <v>293</v>
      </c>
      <c r="C28" s="166" t="s">
        <v>295</v>
      </c>
      <c r="D28" s="169">
        <f>VLOOKUP($A28,Kenai_LNG_emis!$A$4:$AA$19,6,FALSE)</f>
        <v>-20.936006004399999</v>
      </c>
      <c r="E28" s="168" t="s">
        <v>296</v>
      </c>
      <c r="F28" s="166">
        <f>VLOOKUP($A28,Kenai_LNG_emis!$A$4:$AA$19,7,FALSE)</f>
        <v>186.85076005799999</v>
      </c>
      <c r="G28" s="168" t="s">
        <v>296</v>
      </c>
      <c r="H28" s="170">
        <f>VLOOKUP($A28,Kenai_LNG_emis!$A$4:$AA$19,23,FALSE)</f>
        <v>6.2484000000000002</v>
      </c>
      <c r="I28" s="166" t="s">
        <v>296</v>
      </c>
      <c r="J28" s="170">
        <f>VLOOKUP($A28,Kenai_LNG_emis!$A$4:$AA$19,8,FALSE)</f>
        <v>35</v>
      </c>
      <c r="K28" s="166" t="s">
        <v>296</v>
      </c>
      <c r="L28" s="169">
        <f>VLOOKUP($A28,Kenai_LNG_emis!$A$4:$AA$19,27,FALSE)</f>
        <v>0.24384000000000006</v>
      </c>
      <c r="M28" s="166" t="s">
        <v>296</v>
      </c>
      <c r="N28" s="169">
        <f>VLOOKUP($A28,Kenai_LNG_emis!$A$4:$AA$19,26,FALSE)</f>
        <v>39.288719999999998</v>
      </c>
      <c r="O28" s="166" t="s">
        <v>296</v>
      </c>
      <c r="P28" s="170">
        <f>VLOOKUP($A28,Kenai_LNG_emis!$A$4:$AA$19,25,FALSE)</f>
        <v>600</v>
      </c>
      <c r="Q28" s="166" t="s">
        <v>296</v>
      </c>
      <c r="R28" s="170">
        <v>1</v>
      </c>
      <c r="S28" s="166" t="s">
        <v>296</v>
      </c>
      <c r="T28" s="171">
        <f>VLOOKUP($A28,Kenai_LNG_emis!$A$4:$AA$19,13,FALSE)</f>
        <v>0</v>
      </c>
      <c r="U28" s="166" t="s">
        <v>296</v>
      </c>
      <c r="V28" s="170">
        <v>0</v>
      </c>
      <c r="W28" s="171" t="s">
        <v>296</v>
      </c>
      <c r="X28" s="171">
        <f>VLOOKUP($A28,Kenai_LNG_emis!$A$4:$AA$19,9,FALSE)</f>
        <v>7.4792871638762054E-3</v>
      </c>
      <c r="Y28" s="166" t="s">
        <v>296</v>
      </c>
      <c r="Z28" s="170">
        <v>0</v>
      </c>
      <c r="AA28" s="166" t="s">
        <v>296</v>
      </c>
      <c r="AB28" s="170">
        <v>0</v>
      </c>
      <c r="AC28" s="166" t="s">
        <v>296</v>
      </c>
      <c r="AD28" s="171">
        <f>VLOOKUP($A28,Kenai_LNG_emis!$A$4:$AA$19,18,FALSE)</f>
        <v>0</v>
      </c>
      <c r="AE28" s="166" t="s">
        <v>296</v>
      </c>
      <c r="AF28" s="171">
        <f>VLOOKUP($A28,Kenai_LNG_emis!$A$4:$AA$19,20,FALSE)</f>
        <v>4.9801670469628114E-4</v>
      </c>
      <c r="AG28" s="166" t="s">
        <v>296</v>
      </c>
      <c r="AH28" s="171">
        <f>VLOOKUP($A28,Kenai_LNG_emis!$A$4:$AA$19,22,FALSE)</f>
        <v>7.7313077140350107E-5</v>
      </c>
      <c r="AI28" s="166" t="s">
        <v>296</v>
      </c>
      <c r="AJ28" s="171">
        <f>VLOOKUP($A28,Kenai_LNG_emis!$A$4:$AA$19,11,FALSE)</f>
        <v>5.7532978183663121E-4</v>
      </c>
      <c r="AK28" s="166" t="s">
        <v>296</v>
      </c>
      <c r="AL28" s="171">
        <f>VLOOKUP($A28,Kenai_LNG_emis!$A$4:$AA$19,11,FALSE)</f>
        <v>5.7532978183663121E-4</v>
      </c>
      <c r="AM28" s="166" t="s">
        <v>296</v>
      </c>
      <c r="AN28" s="171">
        <f>VLOOKUP($A28,Kenai_LNG_emis!$A$4:$AA$19,15,FALSE)</f>
        <v>1.7259893455098935E-3</v>
      </c>
      <c r="AO28" s="166" t="s">
        <v>293</v>
      </c>
    </row>
    <row r="29" spans="1:41">
      <c r="A29" s="166">
        <f t="shared" si="0"/>
        <v>9</v>
      </c>
      <c r="B29" s="166" t="s">
        <v>293</v>
      </c>
      <c r="C29" s="166" t="s">
        <v>297</v>
      </c>
      <c r="I29" s="168"/>
      <c r="K29" s="168"/>
    </row>
    <row r="30" spans="1:41">
      <c r="A30" s="166">
        <f t="shared" si="0"/>
        <v>10</v>
      </c>
      <c r="B30" s="166" t="s">
        <v>293</v>
      </c>
      <c r="C30" s="166" t="s">
        <v>294</v>
      </c>
      <c r="D30" s="169" t="str">
        <f>VLOOKUP($A30,Kenai_LNG_emis!$A$4:$AA$19,2,FALSE)</f>
        <v>FW_PUMP2</v>
      </c>
      <c r="E30" s="166" t="s">
        <v>293</v>
      </c>
    </row>
    <row r="31" spans="1:41">
      <c r="A31" s="166">
        <f t="shared" si="0"/>
        <v>10</v>
      </c>
      <c r="B31" s="166" t="s">
        <v>293</v>
      </c>
      <c r="C31" s="166" t="s">
        <v>295</v>
      </c>
      <c r="D31" s="169">
        <f>VLOOKUP($A31,Kenai_LNG_emis!$A$4:$AA$19,6,FALSE)</f>
        <v>-21.097752639599999</v>
      </c>
      <c r="E31" s="168" t="s">
        <v>296</v>
      </c>
      <c r="F31" s="166">
        <f>VLOOKUP($A31,Kenai_LNG_emis!$A$4:$AA$19,7,FALSE)</f>
        <v>186.84265898999999</v>
      </c>
      <c r="G31" s="168" t="s">
        <v>296</v>
      </c>
      <c r="H31" s="170">
        <f>VLOOKUP($A31,Kenai_LNG_emis!$A$4:$AA$19,23,FALSE)</f>
        <v>3.9624000000000001</v>
      </c>
      <c r="I31" s="166" t="s">
        <v>296</v>
      </c>
      <c r="J31" s="170">
        <f>VLOOKUP($A31,Kenai_LNG_emis!$A$4:$AA$19,8,FALSE)</f>
        <v>35</v>
      </c>
      <c r="K31" s="166" t="s">
        <v>296</v>
      </c>
      <c r="L31" s="169">
        <f>VLOOKUP($A31,Kenai_LNG_emis!$A$4:$AA$19,27,FALSE)</f>
        <v>0.24384000000000006</v>
      </c>
      <c r="M31" s="166" t="s">
        <v>296</v>
      </c>
      <c r="N31" s="169">
        <f>VLOOKUP($A31,Kenai_LNG_emis!$A$4:$AA$19,26,FALSE)</f>
        <v>39.288719999999998</v>
      </c>
      <c r="O31" s="166" t="s">
        <v>296</v>
      </c>
      <c r="P31" s="170">
        <f>VLOOKUP($A31,Kenai_LNG_emis!$A$4:$AA$19,25,FALSE)</f>
        <v>600</v>
      </c>
      <c r="Q31" s="166" t="s">
        <v>296</v>
      </c>
      <c r="R31" s="170">
        <v>1</v>
      </c>
      <c r="S31" s="166" t="s">
        <v>296</v>
      </c>
      <c r="T31" s="171">
        <v>2.3149999999999998E-3</v>
      </c>
      <c r="U31" s="166" t="s">
        <v>296</v>
      </c>
      <c r="V31" s="170">
        <v>0</v>
      </c>
      <c r="W31" s="171" t="s">
        <v>296</v>
      </c>
      <c r="X31" s="171">
        <v>2.0060000000000001E-2</v>
      </c>
      <c r="Y31" s="166" t="s">
        <v>296</v>
      </c>
      <c r="Z31" s="170">
        <v>0</v>
      </c>
      <c r="AA31" s="166" t="s">
        <v>296</v>
      </c>
      <c r="AB31" s="170">
        <v>0</v>
      </c>
      <c r="AC31" s="166" t="s">
        <v>296</v>
      </c>
      <c r="AD31" s="171">
        <f>VLOOKUP($A31,Kenai_LNG_emis!$A$4:$AA$19,18,FALSE)</f>
        <v>0</v>
      </c>
      <c r="AE31" s="166" t="s">
        <v>296</v>
      </c>
      <c r="AF31" s="171">
        <f>VLOOKUP($A31,Kenai_LNG_emis!$A$4:$AA$19,20,FALSE)</f>
        <v>2.4900835234814057E-4</v>
      </c>
      <c r="AG31" s="166" t="s">
        <v>296</v>
      </c>
      <c r="AH31" s="171">
        <f>VLOOKUP($A31,Kenai_LNG_emis!$A$4:$AA$19,22,FALSE)</f>
        <v>3.8656538570175054E-5</v>
      </c>
      <c r="AI31" s="166" t="s">
        <v>296</v>
      </c>
      <c r="AJ31" s="171">
        <f>VLOOKUP($A31,Kenai_LNG_emis!$A$4:$AA$19,11,FALSE)</f>
        <v>2.876648909183156E-4</v>
      </c>
      <c r="AK31" s="166" t="s">
        <v>296</v>
      </c>
      <c r="AL31" s="171">
        <f>VLOOKUP($A31,Kenai_LNG_emis!$A$4:$AA$19,11,FALSE)</f>
        <v>2.876648909183156E-4</v>
      </c>
      <c r="AM31" s="166" t="s">
        <v>296</v>
      </c>
      <c r="AN31" s="171">
        <f>VLOOKUP($A31,Kenai_LNG_emis!$A$4:$AA$19,15,FALSE)</f>
        <v>8.6299467275494676E-4</v>
      </c>
      <c r="AO31" s="166" t="s">
        <v>293</v>
      </c>
    </row>
    <row r="32" spans="1:41">
      <c r="A32" s="166">
        <f t="shared" si="0"/>
        <v>10</v>
      </c>
      <c r="B32" s="166" t="s">
        <v>293</v>
      </c>
      <c r="C32" s="166" t="s">
        <v>297</v>
      </c>
      <c r="I32" s="168"/>
      <c r="K32" s="168"/>
    </row>
    <row r="33" spans="1:41">
      <c r="A33" s="166">
        <f t="shared" si="0"/>
        <v>11</v>
      </c>
      <c r="B33" s="166" t="s">
        <v>293</v>
      </c>
      <c r="C33" s="166" t="s">
        <v>294</v>
      </c>
      <c r="D33" s="169" t="str">
        <f>VLOOKUP($A33,Kenai_LNG_emis!$A$4:$AA$19,2,FALSE)</f>
        <v>FW_PUMP3</v>
      </c>
      <c r="E33" s="166" t="s">
        <v>293</v>
      </c>
    </row>
    <row r="34" spans="1:41">
      <c r="A34" s="166">
        <f t="shared" si="0"/>
        <v>11</v>
      </c>
      <c r="B34" s="166" t="s">
        <v>293</v>
      </c>
      <c r="C34" s="166" t="s">
        <v>295</v>
      </c>
      <c r="D34" s="169">
        <f>VLOOKUP($A34,Kenai_LNG_emis!$A$4:$AA$19,6,FALSE)</f>
        <v>-21.097802843699998</v>
      </c>
      <c r="E34" s="168" t="s">
        <v>296</v>
      </c>
      <c r="F34" s="166">
        <f>VLOOKUP($A34,Kenai_LNG_emis!$A$4:$AA$19,7,FALSE)</f>
        <v>186.84436795600001</v>
      </c>
      <c r="G34" s="168" t="s">
        <v>296</v>
      </c>
      <c r="H34" s="170">
        <f>VLOOKUP($A34,Kenai_LNG_emis!$A$4:$AA$19,23,FALSE)</f>
        <v>3.9624000000000001</v>
      </c>
      <c r="I34" s="166" t="s">
        <v>296</v>
      </c>
      <c r="J34" s="170">
        <f>VLOOKUP($A34,Kenai_LNG_emis!$A$4:$AA$19,8,FALSE)</f>
        <v>35</v>
      </c>
      <c r="K34" s="166" t="s">
        <v>296</v>
      </c>
      <c r="L34" s="169">
        <f>VLOOKUP($A34,Kenai_LNG_emis!$A$4:$AA$19,27,FALSE)</f>
        <v>0.24384000000000006</v>
      </c>
      <c r="M34" s="166" t="s">
        <v>296</v>
      </c>
      <c r="N34" s="169">
        <f>VLOOKUP($A34,Kenai_LNG_emis!$A$4:$AA$19,26,FALSE)</f>
        <v>39.288719999999998</v>
      </c>
      <c r="O34" s="166" t="s">
        <v>296</v>
      </c>
      <c r="P34" s="170">
        <f>VLOOKUP($A34,Kenai_LNG_emis!$A$4:$AA$19,25,FALSE)</f>
        <v>600</v>
      </c>
      <c r="Q34" s="166" t="s">
        <v>296</v>
      </c>
      <c r="R34" s="170">
        <v>1</v>
      </c>
      <c r="S34" s="166" t="s">
        <v>296</v>
      </c>
      <c r="T34" s="171">
        <v>2.3149999999999998E-3</v>
      </c>
      <c r="U34" s="166" t="s">
        <v>296</v>
      </c>
      <c r="V34" s="170">
        <v>0</v>
      </c>
      <c r="W34" s="171" t="s">
        <v>296</v>
      </c>
      <c r="X34" s="171">
        <v>2.0060000000000001E-2</v>
      </c>
      <c r="Y34" s="166" t="s">
        <v>296</v>
      </c>
      <c r="Z34" s="170">
        <v>0</v>
      </c>
      <c r="AA34" s="166" t="s">
        <v>296</v>
      </c>
      <c r="AB34" s="170">
        <v>0</v>
      </c>
      <c r="AC34" s="166" t="s">
        <v>296</v>
      </c>
      <c r="AD34" s="171">
        <f>VLOOKUP($A34,Kenai_LNG_emis!$A$4:$AA$19,18,FALSE)</f>
        <v>0</v>
      </c>
      <c r="AE34" s="166" t="s">
        <v>296</v>
      </c>
      <c r="AF34" s="171">
        <f>VLOOKUP($A34,Kenai_LNG_emis!$A$4:$AA$19,20,FALSE)</f>
        <v>2.4900835234814057E-4</v>
      </c>
      <c r="AG34" s="166" t="s">
        <v>296</v>
      </c>
      <c r="AH34" s="171">
        <f>VLOOKUP($A34,Kenai_LNG_emis!$A$4:$AA$19,22,FALSE)</f>
        <v>3.8656538570175054E-5</v>
      </c>
      <c r="AI34" s="166" t="s">
        <v>296</v>
      </c>
      <c r="AJ34" s="171">
        <f>VLOOKUP($A34,Kenai_LNG_emis!$A$4:$AA$19,11,FALSE)</f>
        <v>2.876648909183156E-4</v>
      </c>
      <c r="AK34" s="166" t="s">
        <v>296</v>
      </c>
      <c r="AL34" s="171">
        <f>VLOOKUP($A34,Kenai_LNG_emis!$A$4:$AA$19,11,FALSE)</f>
        <v>2.876648909183156E-4</v>
      </c>
      <c r="AM34" s="166" t="s">
        <v>296</v>
      </c>
      <c r="AN34" s="171">
        <f>VLOOKUP($A34,Kenai_LNG_emis!$A$4:$AA$19,15,FALSE)</f>
        <v>8.6299467275494676E-4</v>
      </c>
      <c r="AO34" s="166" t="s">
        <v>293</v>
      </c>
    </row>
    <row r="35" spans="1:41">
      <c r="A35" s="166">
        <f t="shared" si="0"/>
        <v>11</v>
      </c>
      <c r="B35" s="166" t="s">
        <v>293</v>
      </c>
      <c r="C35" s="166" t="s">
        <v>297</v>
      </c>
      <c r="I35" s="168"/>
      <c r="K35" s="168"/>
    </row>
    <row r="36" spans="1:41">
      <c r="A36" s="166">
        <f t="shared" si="0"/>
        <v>12</v>
      </c>
      <c r="B36" s="166" t="s">
        <v>293</v>
      </c>
      <c r="C36" s="166" t="s">
        <v>294</v>
      </c>
      <c r="D36" s="169" t="str">
        <f>VLOOKUP($A36,Kenai_LNG_emis!$A$4:$AA$19,2,FALSE)</f>
        <v>FW_PUMP4</v>
      </c>
      <c r="E36" s="166" t="s">
        <v>293</v>
      </c>
    </row>
    <row r="37" spans="1:41">
      <c r="A37" s="166">
        <f t="shared" si="0"/>
        <v>12</v>
      </c>
      <c r="B37" s="166" t="s">
        <v>293</v>
      </c>
      <c r="C37" s="166" t="s">
        <v>295</v>
      </c>
      <c r="D37" s="169">
        <f>VLOOKUP($A37,Kenai_LNG_emis!$A$4:$AA$19,6,FALSE)</f>
        <v>-21.097740948399998</v>
      </c>
      <c r="E37" s="168" t="s">
        <v>296</v>
      </c>
      <c r="F37" s="166">
        <f>VLOOKUP($A37,Kenai_LNG_emis!$A$4:$AA$19,7,FALSE)</f>
        <v>186.84989036900001</v>
      </c>
      <c r="G37" s="168" t="s">
        <v>296</v>
      </c>
      <c r="H37" s="170">
        <f>VLOOKUP($A37,Kenai_LNG_emis!$A$4:$AA$19,23,FALSE)</f>
        <v>3.9624000000000001</v>
      </c>
      <c r="I37" s="166" t="s">
        <v>296</v>
      </c>
      <c r="J37" s="170">
        <f>VLOOKUP($A37,Kenai_LNG_emis!$A$4:$AA$19,8,FALSE)</f>
        <v>35</v>
      </c>
      <c r="K37" s="166" t="s">
        <v>296</v>
      </c>
      <c r="L37" s="169">
        <f>VLOOKUP($A37,Kenai_LNG_emis!$A$4:$AA$19,27,FALSE)</f>
        <v>0.24384000000000006</v>
      </c>
      <c r="M37" s="166" t="s">
        <v>296</v>
      </c>
      <c r="N37" s="169">
        <f>VLOOKUP($A37,Kenai_LNG_emis!$A$4:$AA$19,26,FALSE)</f>
        <v>39.288719999999998</v>
      </c>
      <c r="O37" s="166" t="s">
        <v>296</v>
      </c>
      <c r="P37" s="170">
        <f>VLOOKUP($A37,Kenai_LNG_emis!$A$4:$AA$19,25,FALSE)</f>
        <v>600</v>
      </c>
      <c r="Q37" s="166" t="s">
        <v>296</v>
      </c>
      <c r="R37" s="170">
        <v>1</v>
      </c>
      <c r="S37" s="166" t="s">
        <v>296</v>
      </c>
      <c r="T37" s="171">
        <v>1.426E-3</v>
      </c>
      <c r="U37" s="166" t="s">
        <v>296</v>
      </c>
      <c r="V37" s="170">
        <v>0</v>
      </c>
      <c r="W37" s="171" t="s">
        <v>296</v>
      </c>
      <c r="X37" s="171">
        <v>1.2359999999999999E-2</v>
      </c>
      <c r="Y37" s="166" t="s">
        <v>296</v>
      </c>
      <c r="Z37" s="170">
        <v>0</v>
      </c>
      <c r="AA37" s="166" t="s">
        <v>296</v>
      </c>
      <c r="AB37" s="170">
        <v>0</v>
      </c>
      <c r="AC37" s="166" t="s">
        <v>296</v>
      </c>
      <c r="AD37" s="171">
        <f>VLOOKUP($A37,Kenai_LNG_emis!$A$4:$AA$19,18,FALSE)</f>
        <v>0</v>
      </c>
      <c r="AE37" s="166" t="s">
        <v>296</v>
      </c>
      <c r="AF37" s="171">
        <f>VLOOKUP($A37,Kenai_LNG_emis!$A$4:$AA$19,20,FALSE)</f>
        <v>2.4900835234814057E-4</v>
      </c>
      <c r="AG37" s="166" t="s">
        <v>296</v>
      </c>
      <c r="AH37" s="171">
        <f>VLOOKUP($A37,Kenai_LNG_emis!$A$4:$AA$19,22,FALSE)</f>
        <v>3.8656538570175054E-5</v>
      </c>
      <c r="AI37" s="166" t="s">
        <v>296</v>
      </c>
      <c r="AJ37" s="171">
        <f>VLOOKUP($A37,Kenai_LNG_emis!$A$4:$AA$19,11,FALSE)</f>
        <v>2.876648909183156E-4</v>
      </c>
      <c r="AK37" s="166" t="s">
        <v>296</v>
      </c>
      <c r="AL37" s="171">
        <f>VLOOKUP($A37,Kenai_LNG_emis!$A$4:$AA$19,11,FALSE)</f>
        <v>2.876648909183156E-4</v>
      </c>
      <c r="AM37" s="166" t="s">
        <v>296</v>
      </c>
      <c r="AN37" s="171">
        <f>VLOOKUP($A37,Kenai_LNG_emis!$A$4:$AA$19,15,FALSE)</f>
        <v>5.7532978183663121E-4</v>
      </c>
      <c r="AO37" s="166" t="s">
        <v>293</v>
      </c>
    </row>
    <row r="38" spans="1:41">
      <c r="A38" s="166">
        <f t="shared" si="0"/>
        <v>12</v>
      </c>
      <c r="B38" s="166" t="s">
        <v>293</v>
      </c>
      <c r="C38" s="166" t="s">
        <v>297</v>
      </c>
      <c r="I38" s="168"/>
      <c r="K38" s="168"/>
    </row>
    <row r="39" spans="1:41">
      <c r="A39" s="166">
        <f t="shared" si="0"/>
        <v>13</v>
      </c>
      <c r="B39" s="166" t="s">
        <v>293</v>
      </c>
      <c r="C39" s="166" t="s">
        <v>294</v>
      </c>
      <c r="D39" s="169" t="str">
        <f>VLOOKUP($A39,Kenai_LNG_emis!$A$4:$AA$19,2,FALSE)</f>
        <v>FLARE</v>
      </c>
      <c r="E39" s="166" t="s">
        <v>293</v>
      </c>
    </row>
    <row r="40" spans="1:41">
      <c r="A40" s="166">
        <f t="shared" si="0"/>
        <v>13</v>
      </c>
      <c r="B40" s="166" t="s">
        <v>293</v>
      </c>
      <c r="C40" s="166" t="s">
        <v>295</v>
      </c>
      <c r="D40" s="169">
        <f>VLOOKUP($A40,Kenai_LNG_emis!$A$4:$AA$19,6,FALSE)</f>
        <v>-21.1474101357</v>
      </c>
      <c r="E40" s="168" t="s">
        <v>296</v>
      </c>
      <c r="F40" s="166">
        <f>VLOOKUP($A40,Kenai_LNG_emis!$A$4:$AA$19,7,FALSE)</f>
        <v>187.172762922</v>
      </c>
      <c r="G40" s="168" t="s">
        <v>296</v>
      </c>
      <c r="H40" s="170">
        <f>VLOOKUP($A40,Kenai_LNG_emis!$A$4:$AA$19,23,FALSE)</f>
        <v>2.33</v>
      </c>
      <c r="I40" s="166" t="s">
        <v>296</v>
      </c>
      <c r="J40" s="170">
        <f>VLOOKUP($A40,Kenai_LNG_emis!$A$4:$AA$19,8,FALSE)</f>
        <v>26.7</v>
      </c>
      <c r="K40" s="166" t="s">
        <v>296</v>
      </c>
      <c r="L40" s="169">
        <f>VLOOKUP($A40,Kenai_LNG_emis!$A$4:$AA$19,27,FALSE)</f>
        <v>0.45100000000000001</v>
      </c>
      <c r="M40" s="166" t="s">
        <v>296</v>
      </c>
      <c r="N40" s="169">
        <f>VLOOKUP($A40,Kenai_LNG_emis!$A$4:$AA$19,26,FALSE)</f>
        <v>20.000976000000001</v>
      </c>
      <c r="O40" s="166" t="s">
        <v>296</v>
      </c>
      <c r="P40" s="170">
        <f>VLOOKUP($A40,Kenai_LNG_emis!$A$4:$AA$19,25,FALSE)</f>
        <v>1273</v>
      </c>
      <c r="Q40" s="166" t="s">
        <v>296</v>
      </c>
      <c r="R40" s="170">
        <v>1</v>
      </c>
      <c r="S40" s="166" t="s">
        <v>296</v>
      </c>
      <c r="T40" s="171">
        <f>VLOOKUP($A40,Kenai_LNG_emis!$A$4:$AA$19,13,FALSE)</f>
        <v>5.7532978183663121E-4</v>
      </c>
      <c r="U40" s="166" t="s">
        <v>296</v>
      </c>
      <c r="V40" s="170">
        <v>0</v>
      </c>
      <c r="W40" s="171" t="s">
        <v>296</v>
      </c>
      <c r="X40" s="171">
        <f>VLOOKUP($A40,Kenai_LNG_emis!$A$4:$AA$19,9,FALSE)</f>
        <v>0.10758666920345003</v>
      </c>
      <c r="Y40" s="166" t="s">
        <v>296</v>
      </c>
      <c r="Z40" s="170">
        <v>0</v>
      </c>
      <c r="AA40" s="166" t="s">
        <v>296</v>
      </c>
      <c r="AB40" s="170">
        <v>0</v>
      </c>
      <c r="AC40" s="166" t="s">
        <v>296</v>
      </c>
      <c r="AD40" s="171">
        <f>VLOOKUP($A40,Kenai_LNG_emis!$A$4:$AA$19,18,FALSE)</f>
        <v>0</v>
      </c>
      <c r="AE40" s="166" t="s">
        <v>296</v>
      </c>
      <c r="AF40" s="171">
        <f>VLOOKUP($A40,Kenai_LNG_emis!$A$4:$AA$19,20,FALSE)</f>
        <v>1.042785229578894E-2</v>
      </c>
      <c r="AG40" s="166" t="s">
        <v>296</v>
      </c>
      <c r="AH40" s="171">
        <f>VLOOKUP($A40,Kenai_LNG_emis!$A$4:$AA$19,22,FALSE)</f>
        <v>3.1283556887366823E-2</v>
      </c>
      <c r="AI40" s="166" t="s">
        <v>296</v>
      </c>
      <c r="AJ40" s="171">
        <f>VLOOKUP($A40,Kenai_LNG_emis!$A$4:$AA$19,11,FALSE)</f>
        <v>4.1711409183155759E-2</v>
      </c>
      <c r="AK40" s="166" t="s">
        <v>296</v>
      </c>
      <c r="AL40" s="171">
        <f>VLOOKUP($A40,Kenai_LNG_emis!$A$4:$AA$19,11,FALSE)</f>
        <v>4.1711409183155759E-2</v>
      </c>
      <c r="AM40" s="166" t="s">
        <v>296</v>
      </c>
      <c r="AN40" s="171">
        <f>VLOOKUP($A40,Kenai_LNG_emis!$A$4:$AA$19,15,FALSE)</f>
        <v>0.58395972856418066</v>
      </c>
      <c r="AO40" s="166" t="s">
        <v>293</v>
      </c>
    </row>
    <row r="41" spans="1:41">
      <c r="A41" s="166">
        <f t="shared" si="0"/>
        <v>13</v>
      </c>
      <c r="B41" s="166" t="s">
        <v>293</v>
      </c>
      <c r="C41" s="166" t="s">
        <v>297</v>
      </c>
      <c r="I41" s="168"/>
      <c r="K41" s="168"/>
    </row>
    <row r="42" spans="1:41">
      <c r="A42" s="166">
        <f t="shared" si="0"/>
        <v>14</v>
      </c>
      <c r="B42" s="166" t="s">
        <v>293</v>
      </c>
      <c r="C42" s="166" t="s">
        <v>294</v>
      </c>
      <c r="D42" s="169" t="str">
        <f>VLOOKUP($A42,Kenai_LNG_emis!$A$4:$AA$19,2,FALSE)</f>
        <v>KSHP</v>
      </c>
      <c r="E42" s="166" t="s">
        <v>293</v>
      </c>
    </row>
    <row r="43" spans="1:41">
      <c r="A43" s="166">
        <f t="shared" si="0"/>
        <v>14</v>
      </c>
      <c r="B43" s="166" t="s">
        <v>293</v>
      </c>
      <c r="C43" s="166" t="s">
        <v>295</v>
      </c>
      <c r="D43" s="169">
        <f>VLOOKUP($A43,Kenai_LNG_emis!$A$4:$AA$19,6,FALSE)</f>
        <v>-21.835000000000001</v>
      </c>
      <c r="E43" s="168" t="s">
        <v>296</v>
      </c>
      <c r="F43" s="166">
        <f>VLOOKUP($A43,Kenai_LNG_emis!$A$4:$AA$19,7,FALSE)</f>
        <v>186.91</v>
      </c>
      <c r="G43" s="168" t="s">
        <v>296</v>
      </c>
      <c r="H43" s="170">
        <f>VLOOKUP($A43,Kenai_LNG_emis!$A$4:$AA$19,23,FALSE)</f>
        <v>45</v>
      </c>
      <c r="I43" s="166" t="s">
        <v>296</v>
      </c>
      <c r="J43" s="170">
        <f>VLOOKUP($A43,Kenai_LNG_emis!$A$4:$AA$19,8,FALSE)</f>
        <v>0</v>
      </c>
      <c r="K43" s="166" t="s">
        <v>296</v>
      </c>
      <c r="L43" s="169">
        <f>VLOOKUP($A43,Kenai_LNG_emis!$A$4:$AA$19,27,FALSE)</f>
        <v>1.68</v>
      </c>
      <c r="M43" s="166" t="s">
        <v>296</v>
      </c>
      <c r="N43" s="169">
        <f>VLOOKUP($A43,Kenai_LNG_emis!$A$4:$AA$19,26,FALSE)</f>
        <v>4.2</v>
      </c>
      <c r="O43" s="166" t="s">
        <v>296</v>
      </c>
      <c r="P43" s="170">
        <f>VLOOKUP($A43,Kenai_LNG_emis!$A$4:$AA$19,25,FALSE)</f>
        <v>589</v>
      </c>
      <c r="Q43" s="166" t="s">
        <v>296</v>
      </c>
      <c r="R43" s="170">
        <v>1</v>
      </c>
      <c r="S43" s="166" t="s">
        <v>296</v>
      </c>
      <c r="T43" s="171">
        <f>VLOOKUP($A43,Kenai_LNG_emis!$A$4:$AA$19,13,FALSE)</f>
        <v>0.90249999999999986</v>
      </c>
      <c r="U43" s="166" t="s">
        <v>296</v>
      </c>
      <c r="V43" s="170">
        <v>0</v>
      </c>
      <c r="W43" s="171" t="s">
        <v>296</v>
      </c>
      <c r="X43" s="171">
        <f>VLOOKUP($A43,Kenai_LNG_emis!$A$4:$AA$19,9,FALSE)</f>
        <v>5.2888888888888896</v>
      </c>
      <c r="Y43" s="166" t="s">
        <v>296</v>
      </c>
      <c r="Z43" s="170">
        <v>0</v>
      </c>
      <c r="AA43" s="166" t="s">
        <v>296</v>
      </c>
      <c r="AB43" s="170">
        <v>0</v>
      </c>
      <c r="AC43" s="166" t="s">
        <v>296</v>
      </c>
      <c r="AD43" s="171">
        <f>VLOOKUP($A43,Kenai_LNG_emis!$A$4:$AA$19,18,FALSE)</f>
        <v>0</v>
      </c>
      <c r="AE43" s="166" t="s">
        <v>296</v>
      </c>
      <c r="AF43" s="171">
        <f>VLOOKUP($A43,Kenai_LNG_emis!$A$4:$AA$19,20,FALSE)</f>
        <v>0.17227732531833756</v>
      </c>
      <c r="AG43" s="166" t="s">
        <v>296</v>
      </c>
      <c r="AH43" s="171">
        <f>VLOOKUP($A43,Kenai_LNG_emis!$A$4:$AA$19,22,FALSE)</f>
        <v>2.6744665422403214E-2</v>
      </c>
      <c r="AI43" s="166" t="s">
        <v>296</v>
      </c>
      <c r="AJ43" s="171">
        <f>VLOOKUP($A43,Kenai_LNG_emis!$A$4:$AA$19,11,FALSE)</f>
        <v>0.19902199074074076</v>
      </c>
      <c r="AK43" s="166" t="s">
        <v>296</v>
      </c>
      <c r="AL43" s="171">
        <f>VLOOKUP($A43,Kenai_LNG_emis!$A$4:$AA$19,11,FALSE)</f>
        <v>0.19902199074074076</v>
      </c>
      <c r="AM43" s="166" t="s">
        <v>296</v>
      </c>
      <c r="AN43" s="171">
        <f>VLOOKUP($A43,Kenai_LNG_emis!$A$4:$AA$19,15,FALSE)</f>
        <v>6.9444444444444446</v>
      </c>
      <c r="AO43" s="166" t="s">
        <v>293</v>
      </c>
    </row>
    <row r="44" spans="1:41">
      <c r="A44" s="166">
        <f t="shared" si="0"/>
        <v>14</v>
      </c>
      <c r="B44" s="166" t="s">
        <v>293</v>
      </c>
      <c r="C44" s="166" t="s">
        <v>297</v>
      </c>
      <c r="I44" s="168"/>
      <c r="K44" s="168"/>
    </row>
    <row r="49" spans="3:3" ht="19.5">
      <c r="C49" s="260"/>
    </row>
    <row r="50" spans="3:3" ht="19.5">
      <c r="C50" s="260"/>
    </row>
    <row r="51" spans="3:3" ht="19.5">
      <c r="C51" s="260"/>
    </row>
    <row r="52" spans="3:3" ht="19.5">
      <c r="C52" s="260"/>
    </row>
  </sheetData>
  <pageMargins left="0.7" right="0.7" top="0.75" bottom="0.75" header="0.3" footer="0.3"/>
  <pageSetup orientation="portrait" horizont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AG52"/>
  <sheetViews>
    <sheetView topLeftCell="E1" zoomScaleNormal="100" workbookViewId="0">
      <pane ySplit="2" topLeftCell="A3" activePane="bottomLeft" state="frozen"/>
      <selection activeCell="H16" sqref="H16"/>
      <selection pane="bottomLeft" activeCell="H16" sqref="H16"/>
    </sheetView>
  </sheetViews>
  <sheetFormatPr defaultColWidth="9.140625" defaultRowHeight="12.75"/>
  <cols>
    <col min="1" max="1" width="4.7109375" style="166" customWidth="1"/>
    <col min="2" max="2" width="3.42578125" style="166" customWidth="1"/>
    <col min="3" max="3" width="11.42578125" style="166" customWidth="1"/>
    <col min="4" max="4" width="13.7109375" style="169" customWidth="1"/>
    <col min="5" max="5" width="3.5703125" style="166" customWidth="1"/>
    <col min="6" max="6" width="6.5703125" style="166" customWidth="1"/>
    <col min="7" max="7" width="3" style="166" customWidth="1"/>
    <col min="8" max="8" width="8.28515625" style="170" customWidth="1"/>
    <col min="9" max="9" width="2.28515625" style="166" customWidth="1"/>
    <col min="10" max="10" width="8.28515625" style="170" customWidth="1"/>
    <col min="11" max="11" width="2.85546875" style="166" customWidth="1"/>
    <col min="12" max="12" width="8.28515625" style="169" customWidth="1"/>
    <col min="13" max="13" width="3.42578125" style="166" customWidth="1"/>
    <col min="14" max="14" width="8.28515625" style="169" customWidth="1"/>
    <col min="15" max="15" width="2.140625" style="166" customWidth="1"/>
    <col min="16" max="16" width="8.28515625" style="170" customWidth="1"/>
    <col min="17" max="17" width="2.7109375" style="166" customWidth="1"/>
    <col min="18" max="18" width="4.42578125" style="166" customWidth="1"/>
    <col min="19" max="19" width="2.85546875" style="166" customWidth="1"/>
    <col min="20" max="20" width="9.7109375" style="171" customWidth="1"/>
    <col min="21" max="21" width="2.5703125" style="166" customWidth="1"/>
    <col min="22" max="22" width="9.7109375" style="171" customWidth="1"/>
    <col min="23" max="23" width="2.5703125" style="166" customWidth="1"/>
    <col min="24" max="24" width="9.7109375" style="171" customWidth="1"/>
    <col min="25" max="25" width="2.5703125" style="166" customWidth="1"/>
    <col min="26" max="26" width="9.7109375" style="171" customWidth="1"/>
    <col min="27" max="27" width="2.5703125" style="166" customWidth="1"/>
    <col min="28" max="28" width="9.7109375" style="171" customWidth="1"/>
    <col min="29" max="29" width="2.5703125" style="166" customWidth="1"/>
    <col min="30" max="30" width="9.7109375" style="171" customWidth="1"/>
    <col min="31" max="31" width="2.5703125" style="166" customWidth="1"/>
    <col min="32" max="32" width="9.7109375" style="171" customWidth="1"/>
    <col min="33" max="33" width="2.5703125" style="166" customWidth="1"/>
    <col min="34" max="16384" width="9.140625" style="166"/>
  </cols>
  <sheetData>
    <row r="1" spans="1:33">
      <c r="C1" s="198" t="s">
        <v>389</v>
      </c>
    </row>
    <row r="2" spans="1:33" s="198" customFormat="1">
      <c r="D2" s="269" t="s">
        <v>388</v>
      </c>
      <c r="F2" s="198" t="s">
        <v>42</v>
      </c>
      <c r="H2" s="266" t="s">
        <v>279</v>
      </c>
      <c r="I2" s="261"/>
      <c r="J2" s="266" t="s">
        <v>280</v>
      </c>
      <c r="K2" s="261"/>
      <c r="L2" s="265" t="s">
        <v>281</v>
      </c>
      <c r="M2" s="261"/>
      <c r="N2" s="265" t="s">
        <v>282</v>
      </c>
      <c r="O2" s="261"/>
      <c r="P2" s="266" t="s">
        <v>283</v>
      </c>
      <c r="Q2" s="261"/>
      <c r="R2" s="261" t="s">
        <v>284</v>
      </c>
      <c r="S2" s="261"/>
      <c r="T2" s="268" t="s">
        <v>285</v>
      </c>
      <c r="U2" s="261"/>
      <c r="V2" s="268" t="s">
        <v>286</v>
      </c>
      <c r="W2" s="261"/>
      <c r="X2" s="268" t="s">
        <v>287</v>
      </c>
      <c r="Y2" s="261"/>
      <c r="Z2" s="268" t="s">
        <v>288</v>
      </c>
      <c r="AA2" s="261"/>
      <c r="AB2" s="268" t="s">
        <v>289</v>
      </c>
      <c r="AC2" s="261"/>
      <c r="AD2" s="268" t="s">
        <v>336</v>
      </c>
      <c r="AE2" s="261"/>
      <c r="AF2" s="268" t="s">
        <v>379</v>
      </c>
      <c r="AG2" s="261"/>
    </row>
    <row r="3" spans="1:33">
      <c r="A3" s="166">
        <v>1</v>
      </c>
      <c r="B3" s="166" t="s">
        <v>293</v>
      </c>
      <c r="C3" s="166" t="s">
        <v>294</v>
      </c>
      <c r="D3" s="169" t="str">
        <f>VLOOKUP($A3,Kenai_LNG_emis!$A$4:$AA$19,2,FALSE)</f>
        <v>COMP_151</v>
      </c>
      <c r="E3" s="166" t="s">
        <v>293</v>
      </c>
    </row>
    <row r="4" spans="1:33">
      <c r="A4" s="166">
        <v>1</v>
      </c>
      <c r="B4" s="166" t="s">
        <v>293</v>
      </c>
      <c r="C4" s="166" t="s">
        <v>295</v>
      </c>
      <c r="D4" s="169">
        <f>VLOOKUP($A4,Kenai_LNG_emis!$A$4:$AA$19,6,FALSE)</f>
        <v>-21.010064200799999</v>
      </c>
      <c r="E4" s="168" t="s">
        <v>296</v>
      </c>
      <c r="F4" s="166">
        <f>VLOOKUP($A4,Kenai_LNG_emis!$A$4:$AA$19,7,FALSE)</f>
        <v>186.85303796100001</v>
      </c>
      <c r="G4" s="168" t="s">
        <v>296</v>
      </c>
      <c r="H4" s="170">
        <f>VLOOKUP($A4,Kenai_LNG_emis!$A$4:$AA$19,23,FALSE)</f>
        <v>19.507200000000001</v>
      </c>
      <c r="I4" s="166" t="s">
        <v>296</v>
      </c>
      <c r="J4" s="170">
        <f>VLOOKUP($A4,Kenai_LNG_emis!$A$4:$AA$19,8,FALSE)</f>
        <v>34.9</v>
      </c>
      <c r="K4" s="166" t="s">
        <v>296</v>
      </c>
      <c r="L4" s="169">
        <f>VLOOKUP($A4,Kenai_LNG_emis!$A$4:$AA$19,27,FALSE)</f>
        <v>2.1335999999999999</v>
      </c>
      <c r="M4" s="166" t="s">
        <v>296</v>
      </c>
      <c r="N4" s="169">
        <f>VLOOKUP($A4,Kenai_LNG_emis!$A$4:$AA$19,26,FALSE)</f>
        <v>22.899623999999999</v>
      </c>
      <c r="O4" s="166" t="s">
        <v>296</v>
      </c>
      <c r="P4" s="170">
        <f>VLOOKUP($A4,Kenai_LNG_emis!$A$4:$AA$19,25,FALSE)</f>
        <v>588.71</v>
      </c>
      <c r="Q4" s="166" t="s">
        <v>296</v>
      </c>
      <c r="R4" s="170">
        <v>1</v>
      </c>
      <c r="S4" s="166" t="s">
        <v>296</v>
      </c>
      <c r="T4" s="171">
        <f>VLOOKUP($A4,Kenai_LNG_emis!$A$4:$AA$19,14,FALSE)</f>
        <v>5.7532978183663121E-4</v>
      </c>
      <c r="U4" s="166" t="s">
        <v>296</v>
      </c>
      <c r="V4" s="171">
        <v>0</v>
      </c>
      <c r="W4" s="166" t="s">
        <v>296</v>
      </c>
      <c r="X4" s="171">
        <f>VLOOKUP($A4,Kenai_LNG_emis!$A$4:$AA$19,10,FALSE)</f>
        <v>0.31700670979198375</v>
      </c>
      <c r="Y4" s="166" t="s">
        <v>296</v>
      </c>
      <c r="Z4" s="171">
        <v>0</v>
      </c>
      <c r="AA4" s="166" t="s">
        <v>296</v>
      </c>
      <c r="AB4" s="171">
        <v>0</v>
      </c>
      <c r="AC4" s="166" t="s">
        <v>296</v>
      </c>
      <c r="AD4" s="171">
        <f>VLOOKUP($A4,Kenai_LNG_emis!$A$4:$AA$19,12,FALSE)</f>
        <v>8.3422818366311515E-3</v>
      </c>
      <c r="AE4" s="166" t="s">
        <v>296</v>
      </c>
      <c r="AF4" s="171">
        <f>VLOOKUP($A4,Kenai_LNG_emis!$A$4:$AA$19,12,FALSE)</f>
        <v>8.3422818366311515E-3</v>
      </c>
      <c r="AG4" s="166" t="s">
        <v>293</v>
      </c>
    </row>
    <row r="5" spans="1:33">
      <c r="A5" s="166">
        <v>1</v>
      </c>
      <c r="B5" s="166" t="s">
        <v>293</v>
      </c>
      <c r="C5" s="166" t="s">
        <v>297</v>
      </c>
      <c r="I5" s="168"/>
      <c r="K5" s="168"/>
    </row>
    <row r="6" spans="1:33">
      <c r="A6" s="166">
        <f t="shared" ref="A6:A44" si="0">A3+1</f>
        <v>2</v>
      </c>
      <c r="B6" s="166" t="s">
        <v>293</v>
      </c>
      <c r="C6" s="166" t="s">
        <v>294</v>
      </c>
      <c r="D6" s="169" t="str">
        <f>VLOOKUP($A6,Kenai_LNG_emis!$A$4:$AA$19,2,FALSE)</f>
        <v>COMP_152</v>
      </c>
      <c r="E6" s="166" t="s">
        <v>293</v>
      </c>
    </row>
    <row r="7" spans="1:33">
      <c r="A7" s="166">
        <f t="shared" si="0"/>
        <v>2</v>
      </c>
      <c r="B7" s="166" t="s">
        <v>293</v>
      </c>
      <c r="C7" s="166" t="s">
        <v>295</v>
      </c>
      <c r="D7" s="169">
        <f>VLOOKUP($A7,Kenai_LNG_emis!$A$4:$AA$19,6,FALSE)</f>
        <v>-21.0173959346</v>
      </c>
      <c r="E7" s="168" t="s">
        <v>296</v>
      </c>
      <c r="F7" s="166">
        <f>VLOOKUP($A7,Kenai_LNG_emis!$A$4:$AA$19,7,FALSE)</f>
        <v>186.853052633</v>
      </c>
      <c r="G7" s="168" t="s">
        <v>296</v>
      </c>
      <c r="H7" s="170">
        <f>VLOOKUP($A7,Kenai_LNG_emis!$A$4:$AA$19,23,FALSE)</f>
        <v>19.507200000000001</v>
      </c>
      <c r="I7" s="166" t="s">
        <v>296</v>
      </c>
      <c r="J7" s="170">
        <f>VLOOKUP($A7,Kenai_LNG_emis!$A$4:$AA$19,8,FALSE)</f>
        <v>34.9</v>
      </c>
      <c r="K7" s="166" t="s">
        <v>296</v>
      </c>
      <c r="L7" s="169">
        <f>VLOOKUP($A7,Kenai_LNG_emis!$A$4:$AA$19,27,FALSE)</f>
        <v>2.1335999999999999</v>
      </c>
      <c r="M7" s="166" t="s">
        <v>296</v>
      </c>
      <c r="N7" s="169">
        <f>VLOOKUP($A7,Kenai_LNG_emis!$A$4:$AA$19,26,FALSE)</f>
        <v>22.899623999999999</v>
      </c>
      <c r="O7" s="166" t="s">
        <v>296</v>
      </c>
      <c r="P7" s="170">
        <f>VLOOKUP($A7,Kenai_LNG_emis!$A$4:$AA$19,25,FALSE)</f>
        <v>588.71</v>
      </c>
      <c r="Q7" s="166" t="s">
        <v>296</v>
      </c>
      <c r="R7" s="170">
        <v>1</v>
      </c>
      <c r="S7" s="166" t="s">
        <v>296</v>
      </c>
      <c r="T7" s="171">
        <f>VLOOKUP($A7,Kenai_LNG_emis!$A$4:$AA$19,14,FALSE)</f>
        <v>8.3422818366311515E-3</v>
      </c>
      <c r="U7" s="166" t="s">
        <v>296</v>
      </c>
      <c r="V7" s="171">
        <v>0</v>
      </c>
      <c r="W7" s="166" t="s">
        <v>296</v>
      </c>
      <c r="X7" s="171">
        <f>VLOOKUP($A7,Kenai_LNG_emis!$A$4:$AA$19,10,FALSE)</f>
        <v>5.1500645421106039</v>
      </c>
      <c r="Y7" s="166" t="s">
        <v>296</v>
      </c>
      <c r="Z7" s="171">
        <v>0</v>
      </c>
      <c r="AA7" s="166" t="s">
        <v>296</v>
      </c>
      <c r="AB7" s="171">
        <v>0</v>
      </c>
      <c r="AC7" s="166" t="s">
        <v>296</v>
      </c>
      <c r="AD7" s="171">
        <f>VLOOKUP($A7,Kenai_LNG_emis!$A$4:$AA$19,12,FALSE)</f>
        <v>0.13491483384069003</v>
      </c>
      <c r="AE7" s="166" t="s">
        <v>296</v>
      </c>
      <c r="AF7" s="171">
        <f>VLOOKUP($A7,Kenai_LNG_emis!$A$4:$AA$19,12,FALSE)</f>
        <v>0.13491483384069003</v>
      </c>
      <c r="AG7" s="166" t="s">
        <v>293</v>
      </c>
    </row>
    <row r="8" spans="1:33">
      <c r="A8" s="166">
        <f t="shared" si="0"/>
        <v>2</v>
      </c>
      <c r="B8" s="166" t="s">
        <v>293</v>
      </c>
      <c r="C8" s="166" t="s">
        <v>297</v>
      </c>
      <c r="I8" s="168"/>
      <c r="K8" s="168"/>
    </row>
    <row r="9" spans="1:33">
      <c r="A9" s="166">
        <f t="shared" si="0"/>
        <v>3</v>
      </c>
      <c r="B9" s="166" t="s">
        <v>293</v>
      </c>
      <c r="C9" s="166" t="s">
        <v>294</v>
      </c>
      <c r="D9" s="169" t="str">
        <f>VLOOKUP($A9,Kenai_LNG_emis!$A$4:$AA$19,2,FALSE)</f>
        <v>COMP_251</v>
      </c>
      <c r="E9" s="166" t="s">
        <v>293</v>
      </c>
    </row>
    <row r="10" spans="1:33">
      <c r="A10" s="166">
        <f t="shared" si="0"/>
        <v>3</v>
      </c>
      <c r="B10" s="166" t="s">
        <v>293</v>
      </c>
      <c r="C10" s="166" t="s">
        <v>295</v>
      </c>
      <c r="D10" s="169">
        <f>VLOOKUP($A10,Kenai_LNG_emis!$A$4:$AA$19,6,FALSE)</f>
        <v>-20.9806398632</v>
      </c>
      <c r="E10" s="168" t="s">
        <v>296</v>
      </c>
      <c r="F10" s="166">
        <f>VLOOKUP($A10,Kenai_LNG_emis!$A$4:$AA$19,7,FALSE)</f>
        <v>186.85287594299999</v>
      </c>
      <c r="G10" s="168" t="s">
        <v>296</v>
      </c>
      <c r="H10" s="170">
        <f>VLOOKUP($A10,Kenai_LNG_emis!$A$4:$AA$19,23,FALSE)</f>
        <v>19.507200000000001</v>
      </c>
      <c r="I10" s="166" t="s">
        <v>296</v>
      </c>
      <c r="J10" s="170">
        <f>VLOOKUP($A10,Kenai_LNG_emis!$A$4:$AA$19,8,FALSE)</f>
        <v>34.9</v>
      </c>
      <c r="K10" s="166" t="s">
        <v>296</v>
      </c>
      <c r="L10" s="169">
        <f>VLOOKUP($A10,Kenai_LNG_emis!$A$4:$AA$19,27,FALSE)</f>
        <v>2.1335999999999999</v>
      </c>
      <c r="M10" s="166" t="s">
        <v>296</v>
      </c>
      <c r="N10" s="169">
        <f>VLOOKUP($A10,Kenai_LNG_emis!$A$4:$AA$19,26,FALSE)</f>
        <v>22.899623999999999</v>
      </c>
      <c r="O10" s="166" t="s">
        <v>296</v>
      </c>
      <c r="P10" s="170">
        <f>VLOOKUP($A10,Kenai_LNG_emis!$A$4:$AA$19,25,FALSE)</f>
        <v>588.71</v>
      </c>
      <c r="Q10" s="166" t="s">
        <v>296</v>
      </c>
      <c r="R10" s="170">
        <v>1</v>
      </c>
      <c r="S10" s="166" t="s">
        <v>296</v>
      </c>
      <c r="T10" s="171">
        <f>VLOOKUP($A10,Kenai_LNG_emis!$A$4:$AA$19,14,FALSE)</f>
        <v>2.3013191273465248E-3</v>
      </c>
      <c r="U10" s="166" t="s">
        <v>296</v>
      </c>
      <c r="V10" s="171">
        <v>0</v>
      </c>
      <c r="W10" s="166" t="s">
        <v>296</v>
      </c>
      <c r="X10" s="171">
        <f>VLOOKUP($A10,Kenai_LNG_emis!$A$4:$AA$19,10,FALSE)</f>
        <v>1.7861113077118216</v>
      </c>
      <c r="Y10" s="166" t="s">
        <v>296</v>
      </c>
      <c r="Z10" s="171">
        <v>0</v>
      </c>
      <c r="AA10" s="166" t="s">
        <v>296</v>
      </c>
      <c r="AB10" s="171">
        <v>0</v>
      </c>
      <c r="AC10" s="166" t="s">
        <v>296</v>
      </c>
      <c r="AD10" s="171">
        <f>VLOOKUP($A10,Kenai_LNG_emis!$A$4:$AA$19,12,FALSE)</f>
        <v>3.9122425164890923E-2</v>
      </c>
      <c r="AE10" s="166" t="s">
        <v>296</v>
      </c>
      <c r="AF10" s="171">
        <f>VLOOKUP($A10,Kenai_LNG_emis!$A$4:$AA$19,12,FALSE)</f>
        <v>3.9122425164890923E-2</v>
      </c>
      <c r="AG10" s="166" t="s">
        <v>293</v>
      </c>
    </row>
    <row r="11" spans="1:33">
      <c r="A11" s="166">
        <f t="shared" si="0"/>
        <v>3</v>
      </c>
      <c r="B11" s="166" t="s">
        <v>293</v>
      </c>
      <c r="C11" s="166" t="s">
        <v>297</v>
      </c>
      <c r="I11" s="168"/>
      <c r="K11" s="168"/>
    </row>
    <row r="12" spans="1:33">
      <c r="A12" s="166">
        <f t="shared" si="0"/>
        <v>4</v>
      </c>
      <c r="B12" s="166" t="s">
        <v>293</v>
      </c>
      <c r="C12" s="166" t="s">
        <v>294</v>
      </c>
      <c r="D12" s="169" t="str">
        <f>VLOOKUP($A12,Kenai_LNG_emis!$A$4:$AA$19,2,FALSE)</f>
        <v>COMP_252</v>
      </c>
      <c r="E12" s="166" t="s">
        <v>293</v>
      </c>
    </row>
    <row r="13" spans="1:33">
      <c r="A13" s="166">
        <f t="shared" si="0"/>
        <v>4</v>
      </c>
      <c r="B13" s="166" t="s">
        <v>293</v>
      </c>
      <c r="C13" s="166" t="s">
        <v>295</v>
      </c>
      <c r="D13" s="169">
        <f>VLOOKUP($A13,Kenai_LNG_emis!$A$4:$AA$19,6,FALSE)</f>
        <v>-20.987971596600001</v>
      </c>
      <c r="E13" s="168" t="s">
        <v>296</v>
      </c>
      <c r="F13" s="166">
        <f>VLOOKUP($A13,Kenai_LNG_emis!$A$4:$AA$19,7,FALSE)</f>
        <v>186.85289062499999</v>
      </c>
      <c r="G13" s="168" t="s">
        <v>296</v>
      </c>
      <c r="H13" s="170">
        <f>VLOOKUP($A13,Kenai_LNG_emis!$A$4:$AA$19,23,FALSE)</f>
        <v>19.507200000000001</v>
      </c>
      <c r="I13" s="166" t="s">
        <v>296</v>
      </c>
      <c r="J13" s="170">
        <f>VLOOKUP($A13,Kenai_LNG_emis!$A$4:$AA$19,8,FALSE)</f>
        <v>34.9</v>
      </c>
      <c r="K13" s="166" t="s">
        <v>296</v>
      </c>
      <c r="L13" s="169">
        <f>VLOOKUP($A13,Kenai_LNG_emis!$A$4:$AA$19,27,FALSE)</f>
        <v>2.1335999999999999</v>
      </c>
      <c r="M13" s="166" t="s">
        <v>296</v>
      </c>
      <c r="N13" s="169">
        <f>VLOOKUP($A13,Kenai_LNG_emis!$A$4:$AA$19,26,FALSE)</f>
        <v>22.899623999999999</v>
      </c>
      <c r="O13" s="166" t="s">
        <v>296</v>
      </c>
      <c r="P13" s="170">
        <f>VLOOKUP($A13,Kenai_LNG_emis!$A$4:$AA$19,25,FALSE)</f>
        <v>588.71</v>
      </c>
      <c r="Q13" s="166" t="s">
        <v>296</v>
      </c>
      <c r="R13" s="170">
        <v>1</v>
      </c>
      <c r="S13" s="166" t="s">
        <v>296</v>
      </c>
      <c r="T13" s="171">
        <f>VLOOKUP($A13,Kenai_LNG_emis!$A$4:$AA$19,14,FALSE)</f>
        <v>5.7532978183663123E-3</v>
      </c>
      <c r="U13" s="166" t="s">
        <v>296</v>
      </c>
      <c r="V13" s="171">
        <v>0</v>
      </c>
      <c r="W13" s="166" t="s">
        <v>296</v>
      </c>
      <c r="X13" s="171">
        <f>VLOOKUP($A13,Kenai_LNG_emis!$A$4:$AA$19,10,FALSE)</f>
        <v>4.1679766045154745</v>
      </c>
      <c r="Y13" s="166" t="s">
        <v>296</v>
      </c>
      <c r="Z13" s="171">
        <v>0</v>
      </c>
      <c r="AA13" s="166" t="s">
        <v>296</v>
      </c>
      <c r="AB13" s="171">
        <v>0</v>
      </c>
      <c r="AC13" s="166" t="s">
        <v>296</v>
      </c>
      <c r="AD13" s="171">
        <f>VLOOKUP($A13,Kenai_LNG_emis!$A$4:$AA$19,12,FALSE)</f>
        <v>9.1189770421106042E-2</v>
      </c>
      <c r="AE13" s="166" t="s">
        <v>296</v>
      </c>
      <c r="AF13" s="171">
        <f>VLOOKUP($A13,Kenai_LNG_emis!$A$4:$AA$19,12,FALSE)</f>
        <v>9.1189770421106042E-2</v>
      </c>
      <c r="AG13" s="166" t="s">
        <v>293</v>
      </c>
    </row>
    <row r="14" spans="1:33">
      <c r="A14" s="166">
        <f t="shared" si="0"/>
        <v>4</v>
      </c>
      <c r="B14" s="166" t="s">
        <v>293</v>
      </c>
      <c r="C14" s="166" t="s">
        <v>297</v>
      </c>
      <c r="I14" s="168"/>
      <c r="K14" s="168"/>
    </row>
    <row r="15" spans="1:33">
      <c r="A15" s="166">
        <f t="shared" si="0"/>
        <v>5</v>
      </c>
      <c r="B15" s="166" t="s">
        <v>293</v>
      </c>
      <c r="C15" s="166" t="s">
        <v>294</v>
      </c>
      <c r="D15" s="169" t="str">
        <f>VLOOKUP($A15,Kenai_LNG_emis!$A$4:$AA$19,2,FALSE)</f>
        <v>COMP_701</v>
      </c>
      <c r="E15" s="166" t="s">
        <v>293</v>
      </c>
    </row>
    <row r="16" spans="1:33">
      <c r="A16" s="166">
        <f t="shared" si="0"/>
        <v>5</v>
      </c>
      <c r="B16" s="166" t="s">
        <v>293</v>
      </c>
      <c r="C16" s="166" t="s">
        <v>295</v>
      </c>
      <c r="D16" s="169">
        <f>VLOOKUP($A16,Kenai_LNG_emis!$A$4:$AA$19,6,FALSE)</f>
        <v>-21.024727668600001</v>
      </c>
      <c r="E16" s="168" t="s">
        <v>296</v>
      </c>
      <c r="F16" s="166">
        <f>VLOOKUP($A16,Kenai_LNG_emis!$A$4:$AA$19,7,FALSE)</f>
        <v>186.853067302</v>
      </c>
      <c r="G16" s="168" t="s">
        <v>296</v>
      </c>
      <c r="H16" s="170">
        <f>VLOOKUP($A16,Kenai_LNG_emis!$A$4:$AA$19,23,FALSE)</f>
        <v>19.507200000000001</v>
      </c>
      <c r="I16" s="166" t="s">
        <v>296</v>
      </c>
      <c r="J16" s="170">
        <f>VLOOKUP($A16,Kenai_LNG_emis!$A$4:$AA$19,8,FALSE)</f>
        <v>34.9</v>
      </c>
      <c r="K16" s="166" t="s">
        <v>296</v>
      </c>
      <c r="L16" s="169">
        <f>VLOOKUP($A16,Kenai_LNG_emis!$A$4:$AA$19,27,FALSE)</f>
        <v>0.81279999999999997</v>
      </c>
      <c r="M16" s="166" t="s">
        <v>296</v>
      </c>
      <c r="N16" s="169">
        <f>VLOOKUP($A16,Kenai_LNG_emis!$A$4:$AA$19,26,FALSE)</f>
        <v>98.410980222634834</v>
      </c>
      <c r="O16" s="166" t="s">
        <v>296</v>
      </c>
      <c r="P16" s="170">
        <f>VLOOKUP($A16,Kenai_LNG_emis!$A$4:$AA$19,25,FALSE)</f>
        <v>775.92777777777769</v>
      </c>
      <c r="Q16" s="166" t="s">
        <v>296</v>
      </c>
      <c r="R16" s="170">
        <v>1</v>
      </c>
      <c r="S16" s="166" t="s">
        <v>296</v>
      </c>
      <c r="T16" s="171">
        <f>VLOOKUP($A16,Kenai_LNG_emis!$A$4:$AA$19,14,FALSE)</f>
        <v>1.4383244545915781E-3</v>
      </c>
      <c r="U16" s="166" t="s">
        <v>296</v>
      </c>
      <c r="V16" s="171">
        <v>0</v>
      </c>
      <c r="W16" s="166" t="s">
        <v>296</v>
      </c>
      <c r="X16" s="171">
        <f>VLOOKUP($A16,Kenai_LNG_emis!$A$4:$AA$19,10,FALSE)</f>
        <v>0.11736727549467277</v>
      </c>
      <c r="Y16" s="166" t="s">
        <v>296</v>
      </c>
      <c r="Z16" s="171">
        <v>0</v>
      </c>
      <c r="AA16" s="166" t="s">
        <v>296</v>
      </c>
      <c r="AB16" s="171">
        <v>0</v>
      </c>
      <c r="AC16" s="166" t="s">
        <v>296</v>
      </c>
      <c r="AD16" s="171">
        <f>VLOOKUP($A16,Kenai_LNG_emis!$A$4:$AA$19,12,FALSE)</f>
        <v>2.3588521055301875E-2</v>
      </c>
      <c r="AE16" s="166" t="s">
        <v>296</v>
      </c>
      <c r="AF16" s="171">
        <f>VLOOKUP($A16,Kenai_LNG_emis!$A$4:$AA$19,12,FALSE)</f>
        <v>2.3588521055301875E-2</v>
      </c>
      <c r="AG16" s="166" t="s">
        <v>293</v>
      </c>
    </row>
    <row r="17" spans="1:33">
      <c r="A17" s="166">
        <f t="shared" si="0"/>
        <v>5</v>
      </c>
      <c r="B17" s="166" t="s">
        <v>293</v>
      </c>
      <c r="C17" s="166" t="s">
        <v>297</v>
      </c>
      <c r="I17" s="168"/>
      <c r="K17" s="168"/>
    </row>
    <row r="18" spans="1:33">
      <c r="A18" s="166">
        <f t="shared" si="0"/>
        <v>6</v>
      </c>
      <c r="B18" s="166" t="s">
        <v>293</v>
      </c>
      <c r="C18" s="166" t="s">
        <v>294</v>
      </c>
      <c r="D18" s="169" t="str">
        <f>VLOOKUP($A18,Kenai_LNG_emis!$A$4:$AA$19,2,FALSE)</f>
        <v>BLR_501</v>
      </c>
      <c r="E18" s="166" t="s">
        <v>293</v>
      </c>
    </row>
    <row r="19" spans="1:33">
      <c r="A19" s="166">
        <f t="shared" si="0"/>
        <v>6</v>
      </c>
      <c r="B19" s="166" t="s">
        <v>293</v>
      </c>
      <c r="C19" s="166" t="s">
        <v>295</v>
      </c>
      <c r="D19" s="169">
        <f>VLOOKUP($A19,Kenai_LNG_emis!$A$4:$AA$19,6,FALSE)</f>
        <v>-20.931082816699998</v>
      </c>
      <c r="E19" s="168" t="s">
        <v>296</v>
      </c>
      <c r="F19" s="166">
        <f>VLOOKUP($A19,Kenai_LNG_emis!$A$4:$AA$19,7,FALSE)</f>
        <v>186.85764614000001</v>
      </c>
      <c r="G19" s="168" t="s">
        <v>296</v>
      </c>
      <c r="H19" s="170">
        <f>VLOOKUP($A19,Kenai_LNG_emis!$A$4:$AA$19,23,FALSE)</f>
        <v>19.812000000000001</v>
      </c>
      <c r="I19" s="166" t="s">
        <v>296</v>
      </c>
      <c r="J19" s="170">
        <f>VLOOKUP($A19,Kenai_LNG_emis!$A$4:$AA$19,8,FALSE)</f>
        <v>35.1</v>
      </c>
      <c r="K19" s="166" t="s">
        <v>296</v>
      </c>
      <c r="L19" s="169">
        <f>VLOOKUP($A19,Kenai_LNG_emis!$A$4:$AA$19,27,FALSE)</f>
        <v>0.97536000000000023</v>
      </c>
      <c r="M19" s="166" t="s">
        <v>296</v>
      </c>
      <c r="N19" s="169">
        <f>VLOOKUP($A19,Kenai_LNG_emis!$A$4:$AA$19,26,FALSE)</f>
        <v>9.1013280000000005</v>
      </c>
      <c r="O19" s="166" t="s">
        <v>296</v>
      </c>
      <c r="P19" s="170">
        <f>VLOOKUP($A19,Kenai_LNG_emis!$A$4:$AA$19,25,FALSE)</f>
        <v>588.71</v>
      </c>
      <c r="Q19" s="166" t="s">
        <v>296</v>
      </c>
      <c r="R19" s="170">
        <v>1</v>
      </c>
      <c r="S19" s="166" t="s">
        <v>296</v>
      </c>
      <c r="T19" s="171">
        <f>VLOOKUP($A19,Kenai_LNG_emis!$A$4:$AA$19,14,FALSE)</f>
        <v>2.876648909183156E-4</v>
      </c>
      <c r="U19" s="166" t="s">
        <v>296</v>
      </c>
      <c r="V19" s="171">
        <v>0</v>
      </c>
      <c r="W19" s="166" t="s">
        <v>296</v>
      </c>
      <c r="X19" s="171">
        <f>VLOOKUP($A19,Kenai_LNG_emis!$A$4:$AA$19,10,FALSE)</f>
        <v>8.3422818366311519E-2</v>
      </c>
      <c r="Y19" s="166" t="s">
        <v>296</v>
      </c>
      <c r="Z19" s="171">
        <v>0</v>
      </c>
      <c r="AA19" s="166" t="s">
        <v>296</v>
      </c>
      <c r="AB19" s="171">
        <v>0</v>
      </c>
      <c r="AC19" s="166" t="s">
        <v>296</v>
      </c>
      <c r="AD19" s="171">
        <f>VLOOKUP($A19,Kenai_LNG_emis!$A$4:$AA$19,12,FALSE)</f>
        <v>6.3286276002029428E-3</v>
      </c>
      <c r="AE19" s="166" t="s">
        <v>296</v>
      </c>
      <c r="AF19" s="171">
        <f>VLOOKUP($A19,Kenai_LNG_emis!$A$4:$AA$19,12,FALSE)</f>
        <v>6.3286276002029428E-3</v>
      </c>
      <c r="AG19" s="166" t="s">
        <v>293</v>
      </c>
    </row>
    <row r="20" spans="1:33">
      <c r="A20" s="166">
        <f t="shared" si="0"/>
        <v>6</v>
      </c>
      <c r="B20" s="166" t="s">
        <v>293</v>
      </c>
      <c r="C20" s="166" t="s">
        <v>297</v>
      </c>
      <c r="I20" s="168"/>
      <c r="K20" s="168"/>
    </row>
    <row r="21" spans="1:33">
      <c r="A21" s="166">
        <f t="shared" si="0"/>
        <v>7</v>
      </c>
      <c r="B21" s="166" t="s">
        <v>293</v>
      </c>
      <c r="C21" s="166" t="s">
        <v>294</v>
      </c>
      <c r="D21" s="169" t="str">
        <f>VLOOKUP($A21,Kenai_LNG_emis!$A$4:$AA$19,2,FALSE)</f>
        <v>BLR_502</v>
      </c>
      <c r="E21" s="166" t="s">
        <v>293</v>
      </c>
    </row>
    <row r="22" spans="1:33">
      <c r="A22" s="166">
        <f t="shared" si="0"/>
        <v>7</v>
      </c>
      <c r="B22" s="166" t="s">
        <v>293</v>
      </c>
      <c r="C22" s="166" t="s">
        <v>295</v>
      </c>
      <c r="D22" s="169">
        <f>VLOOKUP($A22,Kenai_LNG_emis!$A$4:$AA$19,6,FALSE)</f>
        <v>-20.925861464600001</v>
      </c>
      <c r="E22" s="168" t="s">
        <v>296</v>
      </c>
      <c r="F22" s="166">
        <f>VLOOKUP($A22,Kenai_LNG_emis!$A$4:$AA$19,7,FALSE)</f>
        <v>186.85759305100001</v>
      </c>
      <c r="G22" s="168" t="s">
        <v>296</v>
      </c>
      <c r="H22" s="170">
        <f>VLOOKUP($A22,Kenai_LNG_emis!$A$4:$AA$19,23,FALSE)</f>
        <v>19.812000000000001</v>
      </c>
      <c r="I22" s="166" t="s">
        <v>296</v>
      </c>
      <c r="J22" s="170">
        <f>VLOOKUP($A22,Kenai_LNG_emis!$A$4:$AA$19,8,FALSE)</f>
        <v>35.1</v>
      </c>
      <c r="K22" s="166" t="s">
        <v>296</v>
      </c>
      <c r="L22" s="169">
        <f>VLOOKUP($A22,Kenai_LNG_emis!$A$4:$AA$19,27,FALSE)</f>
        <v>0.97536000000000023</v>
      </c>
      <c r="M22" s="166" t="s">
        <v>296</v>
      </c>
      <c r="N22" s="169">
        <f>VLOOKUP($A22,Kenai_LNG_emis!$A$4:$AA$19,26,FALSE)</f>
        <v>9.1013280000000005</v>
      </c>
      <c r="O22" s="166" t="s">
        <v>296</v>
      </c>
      <c r="P22" s="170">
        <f>VLOOKUP($A22,Kenai_LNG_emis!$A$4:$AA$19,25,FALSE)</f>
        <v>588.71</v>
      </c>
      <c r="Q22" s="166" t="s">
        <v>296</v>
      </c>
      <c r="R22" s="170">
        <v>1</v>
      </c>
      <c r="S22" s="166" t="s">
        <v>296</v>
      </c>
      <c r="T22" s="171">
        <f>VLOOKUP($A22,Kenai_LNG_emis!$A$4:$AA$19,14,FALSE)</f>
        <v>5.7532978183663121E-4</v>
      </c>
      <c r="U22" s="166" t="s">
        <v>296</v>
      </c>
      <c r="V22" s="171">
        <v>0</v>
      </c>
      <c r="W22" s="166" t="s">
        <v>296</v>
      </c>
      <c r="X22" s="171">
        <f>VLOOKUP($A22,Kenai_LNG_emis!$A$4:$AA$19,10,FALSE)</f>
        <v>0.12686021689497717</v>
      </c>
      <c r="Y22" s="166" t="s">
        <v>296</v>
      </c>
      <c r="Z22" s="171">
        <v>0</v>
      </c>
      <c r="AA22" s="166" t="s">
        <v>296</v>
      </c>
      <c r="AB22" s="171">
        <v>0</v>
      </c>
      <c r="AC22" s="166" t="s">
        <v>296</v>
      </c>
      <c r="AD22" s="171">
        <f>VLOOKUP($A22,Kenai_LNG_emis!$A$4:$AA$19,12,FALSE)</f>
        <v>9.4929414003044141E-3</v>
      </c>
      <c r="AE22" s="166" t="s">
        <v>296</v>
      </c>
      <c r="AF22" s="171">
        <f>VLOOKUP($A22,Kenai_LNG_emis!$A$4:$AA$19,12,FALSE)</f>
        <v>9.4929414003044141E-3</v>
      </c>
      <c r="AG22" s="166" t="s">
        <v>293</v>
      </c>
    </row>
    <row r="23" spans="1:33">
      <c r="A23" s="166">
        <f t="shared" si="0"/>
        <v>7</v>
      </c>
      <c r="B23" s="166" t="s">
        <v>293</v>
      </c>
      <c r="C23" s="166" t="s">
        <v>297</v>
      </c>
      <c r="I23" s="168"/>
      <c r="K23" s="168"/>
    </row>
    <row r="24" spans="1:33">
      <c r="A24" s="166">
        <f t="shared" si="0"/>
        <v>8</v>
      </c>
      <c r="B24" s="166" t="s">
        <v>293</v>
      </c>
      <c r="C24" s="166" t="s">
        <v>294</v>
      </c>
      <c r="D24" s="169" t="str">
        <f>VLOOKUP($A24,Kenai_LNG_emis!$A$4:$AA$19,2,FALSE)</f>
        <v>BLR_511</v>
      </c>
      <c r="E24" s="166" t="s">
        <v>293</v>
      </c>
    </row>
    <row r="25" spans="1:33">
      <c r="A25" s="166">
        <f t="shared" si="0"/>
        <v>8</v>
      </c>
      <c r="B25" s="166" t="s">
        <v>293</v>
      </c>
      <c r="C25" s="166" t="s">
        <v>295</v>
      </c>
      <c r="D25" s="169">
        <f>VLOOKUP($A25,Kenai_LNG_emis!$A$4:$AA$19,6,FALSE)</f>
        <v>-20.920637161599998</v>
      </c>
      <c r="E25" s="168" t="s">
        <v>296</v>
      </c>
      <c r="F25" s="166">
        <f>VLOOKUP($A25,Kenai_LNG_emis!$A$4:$AA$19,7,FALSE)</f>
        <v>186.85764031400001</v>
      </c>
      <c r="G25" s="168" t="s">
        <v>296</v>
      </c>
      <c r="H25" s="170">
        <f>VLOOKUP($A25,Kenai_LNG_emis!$A$4:$AA$19,23,FALSE)</f>
        <v>19.812000000000001</v>
      </c>
      <c r="I25" s="166" t="s">
        <v>296</v>
      </c>
      <c r="J25" s="170">
        <f>VLOOKUP($A25,Kenai_LNG_emis!$A$4:$AA$19,8,FALSE)</f>
        <v>35.1</v>
      </c>
      <c r="K25" s="166" t="s">
        <v>296</v>
      </c>
      <c r="L25" s="169">
        <f>VLOOKUP($A25,Kenai_LNG_emis!$A$4:$AA$19,27,FALSE)</f>
        <v>0.97536000000000023</v>
      </c>
      <c r="M25" s="166" t="s">
        <v>296</v>
      </c>
      <c r="N25" s="169">
        <f>VLOOKUP($A25,Kenai_LNG_emis!$A$4:$AA$19,26,FALSE)</f>
        <v>9.1013280000000005</v>
      </c>
      <c r="O25" s="166" t="s">
        <v>296</v>
      </c>
      <c r="P25" s="170">
        <f>VLOOKUP($A25,Kenai_LNG_emis!$A$4:$AA$19,25,FALSE)</f>
        <v>588.71</v>
      </c>
      <c r="Q25" s="166" t="s">
        <v>296</v>
      </c>
      <c r="R25" s="170">
        <v>1</v>
      </c>
      <c r="S25" s="166" t="s">
        <v>296</v>
      </c>
      <c r="T25" s="171">
        <f>VLOOKUP($A25,Kenai_LNG_emis!$A$4:$AA$19,14,FALSE)</f>
        <v>5.7532978183663121E-4</v>
      </c>
      <c r="U25" s="166" t="s">
        <v>296</v>
      </c>
      <c r="V25" s="171">
        <v>0</v>
      </c>
      <c r="W25" s="166" t="s">
        <v>296</v>
      </c>
      <c r="X25" s="171">
        <f>VLOOKUP($A25,Kenai_LNG_emis!$A$4:$AA$19,10,FALSE)</f>
        <v>0.14642142947742262</v>
      </c>
      <c r="Y25" s="166" t="s">
        <v>296</v>
      </c>
      <c r="Z25" s="171">
        <v>0</v>
      </c>
      <c r="AA25" s="166" t="s">
        <v>296</v>
      </c>
      <c r="AB25" s="171">
        <v>0</v>
      </c>
      <c r="AC25" s="166" t="s">
        <v>296</v>
      </c>
      <c r="AD25" s="171">
        <f>VLOOKUP($A25,Kenai_LNG_emis!$A$4:$AA$19,12,FALSE)</f>
        <v>1.1218930745814308E-2</v>
      </c>
      <c r="AE25" s="166" t="s">
        <v>296</v>
      </c>
      <c r="AF25" s="171">
        <f>VLOOKUP($A25,Kenai_LNG_emis!$A$4:$AA$19,12,FALSE)</f>
        <v>1.1218930745814308E-2</v>
      </c>
      <c r="AG25" s="166" t="s">
        <v>293</v>
      </c>
    </row>
    <row r="26" spans="1:33">
      <c r="A26" s="166">
        <f t="shared" si="0"/>
        <v>8</v>
      </c>
      <c r="B26" s="166" t="s">
        <v>293</v>
      </c>
      <c r="C26" s="166" t="s">
        <v>297</v>
      </c>
      <c r="I26" s="168"/>
      <c r="K26" s="168"/>
    </row>
    <row r="27" spans="1:33">
      <c r="A27" s="166">
        <f t="shared" si="0"/>
        <v>9</v>
      </c>
      <c r="B27" s="166" t="s">
        <v>293</v>
      </c>
      <c r="C27" s="166" t="s">
        <v>294</v>
      </c>
      <c r="D27" s="169" t="str">
        <f>VLOOKUP($A27,Kenai_LNG_emis!$A$4:$AA$19,2,FALSE)</f>
        <v>E_GEN</v>
      </c>
      <c r="E27" s="166" t="s">
        <v>293</v>
      </c>
    </row>
    <row r="28" spans="1:33">
      <c r="A28" s="166">
        <f t="shared" si="0"/>
        <v>9</v>
      </c>
      <c r="B28" s="166" t="s">
        <v>293</v>
      </c>
      <c r="C28" s="166" t="s">
        <v>295</v>
      </c>
      <c r="D28" s="169">
        <f>VLOOKUP($A28,Kenai_LNG_emis!$A$4:$AA$19,6,FALSE)</f>
        <v>-20.936006004399999</v>
      </c>
      <c r="E28" s="168" t="s">
        <v>296</v>
      </c>
      <c r="F28" s="166">
        <f>VLOOKUP($A28,Kenai_LNG_emis!$A$4:$AA$19,7,FALSE)</f>
        <v>186.85076005799999</v>
      </c>
      <c r="G28" s="168" t="s">
        <v>296</v>
      </c>
      <c r="H28" s="170">
        <f>VLOOKUP($A28,Kenai_LNG_emis!$A$4:$AA$19,23,FALSE)</f>
        <v>6.2484000000000002</v>
      </c>
      <c r="I28" s="166" t="s">
        <v>296</v>
      </c>
      <c r="J28" s="170">
        <f>VLOOKUP($A28,Kenai_LNG_emis!$A$4:$AA$19,8,FALSE)</f>
        <v>35</v>
      </c>
      <c r="K28" s="166" t="s">
        <v>296</v>
      </c>
      <c r="L28" s="169">
        <f>VLOOKUP($A28,Kenai_LNG_emis!$A$4:$AA$19,27,FALSE)</f>
        <v>0.24384000000000006</v>
      </c>
      <c r="M28" s="166" t="s">
        <v>296</v>
      </c>
      <c r="N28" s="169">
        <f>VLOOKUP($A28,Kenai_LNG_emis!$A$4:$AA$19,26,FALSE)</f>
        <v>39.288719999999998</v>
      </c>
      <c r="O28" s="166" t="s">
        <v>296</v>
      </c>
      <c r="P28" s="170">
        <f>VLOOKUP($A28,Kenai_LNG_emis!$A$4:$AA$19,25,FALSE)</f>
        <v>600</v>
      </c>
      <c r="Q28" s="166" t="s">
        <v>296</v>
      </c>
      <c r="R28" s="170">
        <v>1</v>
      </c>
      <c r="S28" s="166" t="s">
        <v>296</v>
      </c>
      <c r="T28" s="171">
        <f>VLOOKUP($A28,Kenai_LNG_emis!$A$4:$AA$19,14,FALSE)</f>
        <v>0</v>
      </c>
      <c r="U28" s="166" t="s">
        <v>296</v>
      </c>
      <c r="V28" s="171">
        <v>0</v>
      </c>
      <c r="W28" s="166" t="s">
        <v>296</v>
      </c>
      <c r="X28" s="171">
        <f>VLOOKUP($A28,Kenai_LNG_emis!$A$4:$AA$19,10,FALSE)</f>
        <v>7.4792871638762054E-3</v>
      </c>
      <c r="Y28" s="166" t="s">
        <v>296</v>
      </c>
      <c r="Z28" s="171">
        <v>0</v>
      </c>
      <c r="AA28" s="166" t="s">
        <v>296</v>
      </c>
      <c r="AB28" s="171">
        <v>0</v>
      </c>
      <c r="AC28" s="166" t="s">
        <v>296</v>
      </c>
      <c r="AD28" s="171">
        <f>VLOOKUP($A28,Kenai_LNG_emis!$A$4:$AA$19,12,FALSE)</f>
        <v>5.7532978183663121E-4</v>
      </c>
      <c r="AE28" s="166" t="s">
        <v>296</v>
      </c>
      <c r="AF28" s="171">
        <f>VLOOKUP($A28,Kenai_LNG_emis!$A$4:$AA$19,12,FALSE)</f>
        <v>5.7532978183663121E-4</v>
      </c>
      <c r="AG28" s="166" t="s">
        <v>293</v>
      </c>
    </row>
    <row r="29" spans="1:33">
      <c r="A29" s="166">
        <f t="shared" si="0"/>
        <v>9</v>
      </c>
      <c r="B29" s="166" t="s">
        <v>293</v>
      </c>
      <c r="C29" s="166" t="s">
        <v>297</v>
      </c>
      <c r="I29" s="168"/>
      <c r="K29" s="168"/>
    </row>
    <row r="30" spans="1:33">
      <c r="A30" s="166">
        <f t="shared" si="0"/>
        <v>10</v>
      </c>
      <c r="B30" s="166" t="s">
        <v>293</v>
      </c>
      <c r="C30" s="166" t="s">
        <v>294</v>
      </c>
      <c r="D30" s="169" t="str">
        <f>VLOOKUP($A30,Kenai_LNG_emis!$A$4:$AA$19,2,FALSE)</f>
        <v>FW_PUMP2</v>
      </c>
      <c r="E30" s="166" t="s">
        <v>293</v>
      </c>
    </row>
    <row r="31" spans="1:33">
      <c r="A31" s="166">
        <f t="shared" si="0"/>
        <v>10</v>
      </c>
      <c r="B31" s="166" t="s">
        <v>293</v>
      </c>
      <c r="C31" s="166" t="s">
        <v>295</v>
      </c>
      <c r="D31" s="169">
        <f>VLOOKUP($A31,Kenai_LNG_emis!$A$4:$AA$19,6,FALSE)</f>
        <v>-21.097752639599999</v>
      </c>
      <c r="E31" s="168" t="s">
        <v>296</v>
      </c>
      <c r="F31" s="166">
        <f>VLOOKUP($A31,Kenai_LNG_emis!$A$4:$AA$19,7,FALSE)</f>
        <v>186.84265898999999</v>
      </c>
      <c r="G31" s="168" t="s">
        <v>296</v>
      </c>
      <c r="H31" s="170">
        <f>VLOOKUP($A31,Kenai_LNG_emis!$A$4:$AA$19,23,FALSE)</f>
        <v>3.9624000000000001</v>
      </c>
      <c r="I31" s="166" t="s">
        <v>296</v>
      </c>
      <c r="J31" s="170">
        <f>VLOOKUP($A31,Kenai_LNG_emis!$A$4:$AA$19,8,FALSE)</f>
        <v>35</v>
      </c>
      <c r="K31" s="166" t="s">
        <v>296</v>
      </c>
      <c r="L31" s="169">
        <f>VLOOKUP($A31,Kenai_LNG_emis!$A$4:$AA$19,27,FALSE)</f>
        <v>0.24384000000000006</v>
      </c>
      <c r="M31" s="166" t="s">
        <v>296</v>
      </c>
      <c r="N31" s="169">
        <f>VLOOKUP($A31,Kenai_LNG_emis!$A$4:$AA$19,26,FALSE)</f>
        <v>39.288719999999998</v>
      </c>
      <c r="O31" s="166" t="s">
        <v>296</v>
      </c>
      <c r="P31" s="170">
        <f>VLOOKUP($A31,Kenai_LNG_emis!$A$4:$AA$19,25,FALSE)</f>
        <v>600</v>
      </c>
      <c r="Q31" s="166" t="s">
        <v>296</v>
      </c>
      <c r="R31" s="170">
        <v>1</v>
      </c>
      <c r="S31" s="166" t="s">
        <v>296</v>
      </c>
      <c r="T31" s="171">
        <f>VLOOKUP($A31,Kenai_LNG_emis!$A$4:$AA$19,14,FALSE)</f>
        <v>0</v>
      </c>
      <c r="U31" s="166" t="s">
        <v>296</v>
      </c>
      <c r="V31" s="171">
        <v>0</v>
      </c>
      <c r="W31" s="166" t="s">
        <v>296</v>
      </c>
      <c r="X31" s="171">
        <f>VLOOKUP($A31,Kenai_LNG_emis!$A$4:$AA$19,10,FALSE)</f>
        <v>4.314973363774734E-3</v>
      </c>
      <c r="Y31" s="166" t="s">
        <v>296</v>
      </c>
      <c r="Z31" s="171">
        <v>0</v>
      </c>
      <c r="AA31" s="166" t="s">
        <v>296</v>
      </c>
      <c r="AB31" s="171">
        <v>0</v>
      </c>
      <c r="AC31" s="166" t="s">
        <v>296</v>
      </c>
      <c r="AD31" s="171">
        <f>VLOOKUP($A31,Kenai_LNG_emis!$A$4:$AA$19,12,FALSE)</f>
        <v>2.876648909183156E-4</v>
      </c>
      <c r="AE31" s="166" t="s">
        <v>296</v>
      </c>
      <c r="AF31" s="171">
        <f>VLOOKUP($A31,Kenai_LNG_emis!$A$4:$AA$19,12,FALSE)</f>
        <v>2.876648909183156E-4</v>
      </c>
      <c r="AG31" s="166" t="s">
        <v>293</v>
      </c>
    </row>
    <row r="32" spans="1:33">
      <c r="A32" s="166">
        <f t="shared" si="0"/>
        <v>10</v>
      </c>
      <c r="B32" s="166" t="s">
        <v>293</v>
      </c>
      <c r="C32" s="166" t="s">
        <v>297</v>
      </c>
      <c r="I32" s="168"/>
      <c r="K32" s="168"/>
    </row>
    <row r="33" spans="1:33">
      <c r="A33" s="166">
        <f t="shared" si="0"/>
        <v>11</v>
      </c>
      <c r="B33" s="166" t="s">
        <v>293</v>
      </c>
      <c r="C33" s="166" t="s">
        <v>294</v>
      </c>
      <c r="D33" s="169" t="str">
        <f>VLOOKUP($A33,Kenai_LNG_emis!$A$4:$AA$19,2,FALSE)</f>
        <v>FW_PUMP3</v>
      </c>
      <c r="E33" s="166" t="s">
        <v>293</v>
      </c>
    </row>
    <row r="34" spans="1:33">
      <c r="A34" s="166">
        <f t="shared" si="0"/>
        <v>11</v>
      </c>
      <c r="B34" s="166" t="s">
        <v>293</v>
      </c>
      <c r="C34" s="166" t="s">
        <v>295</v>
      </c>
      <c r="D34" s="169">
        <f>VLOOKUP($A34,Kenai_LNG_emis!$A$4:$AA$19,6,FALSE)</f>
        <v>-21.097802843699998</v>
      </c>
      <c r="E34" s="168" t="s">
        <v>296</v>
      </c>
      <c r="F34" s="166">
        <f>VLOOKUP($A34,Kenai_LNG_emis!$A$4:$AA$19,7,FALSE)</f>
        <v>186.84436795600001</v>
      </c>
      <c r="G34" s="168" t="s">
        <v>296</v>
      </c>
      <c r="H34" s="170">
        <f>VLOOKUP($A34,Kenai_LNG_emis!$A$4:$AA$19,23,FALSE)</f>
        <v>3.9624000000000001</v>
      </c>
      <c r="I34" s="166" t="s">
        <v>296</v>
      </c>
      <c r="J34" s="170">
        <f>VLOOKUP($A34,Kenai_LNG_emis!$A$4:$AA$19,8,FALSE)</f>
        <v>35</v>
      </c>
      <c r="K34" s="166" t="s">
        <v>296</v>
      </c>
      <c r="L34" s="169">
        <f>VLOOKUP($A34,Kenai_LNG_emis!$A$4:$AA$19,27,FALSE)</f>
        <v>0.24384000000000006</v>
      </c>
      <c r="M34" s="166" t="s">
        <v>296</v>
      </c>
      <c r="N34" s="169">
        <f>VLOOKUP($A34,Kenai_LNG_emis!$A$4:$AA$19,26,FALSE)</f>
        <v>39.288719999999998</v>
      </c>
      <c r="O34" s="166" t="s">
        <v>296</v>
      </c>
      <c r="P34" s="170">
        <f>VLOOKUP($A34,Kenai_LNG_emis!$A$4:$AA$19,25,FALSE)</f>
        <v>600</v>
      </c>
      <c r="Q34" s="166" t="s">
        <v>296</v>
      </c>
      <c r="R34" s="170">
        <v>1</v>
      </c>
      <c r="S34" s="166" t="s">
        <v>296</v>
      </c>
      <c r="T34" s="171">
        <f>VLOOKUP($A34,Kenai_LNG_emis!$A$4:$AA$19,14,FALSE)</f>
        <v>0</v>
      </c>
      <c r="U34" s="166" t="s">
        <v>296</v>
      </c>
      <c r="V34" s="171">
        <v>0</v>
      </c>
      <c r="W34" s="166" t="s">
        <v>296</v>
      </c>
      <c r="X34" s="171">
        <f>VLOOKUP($A34,Kenai_LNG_emis!$A$4:$AA$19,10,FALSE)</f>
        <v>4.0273084728564184E-3</v>
      </c>
      <c r="Y34" s="166" t="s">
        <v>296</v>
      </c>
      <c r="Z34" s="171">
        <v>0</v>
      </c>
      <c r="AA34" s="166" t="s">
        <v>296</v>
      </c>
      <c r="AB34" s="171">
        <v>0</v>
      </c>
      <c r="AC34" s="166" t="s">
        <v>296</v>
      </c>
      <c r="AD34" s="171">
        <f>VLOOKUP($A34,Kenai_LNG_emis!$A$4:$AA$19,12,FALSE)</f>
        <v>2.876648909183156E-4</v>
      </c>
      <c r="AE34" s="166" t="s">
        <v>296</v>
      </c>
      <c r="AF34" s="171">
        <f>VLOOKUP($A34,Kenai_LNG_emis!$A$4:$AA$19,12,FALSE)</f>
        <v>2.876648909183156E-4</v>
      </c>
      <c r="AG34" s="166" t="s">
        <v>293</v>
      </c>
    </row>
    <row r="35" spans="1:33">
      <c r="A35" s="166">
        <f t="shared" si="0"/>
        <v>11</v>
      </c>
      <c r="B35" s="166" t="s">
        <v>293</v>
      </c>
      <c r="C35" s="166" t="s">
        <v>297</v>
      </c>
      <c r="I35" s="168"/>
      <c r="K35" s="168"/>
    </row>
    <row r="36" spans="1:33">
      <c r="A36" s="166">
        <f t="shared" si="0"/>
        <v>12</v>
      </c>
      <c r="B36" s="166" t="s">
        <v>293</v>
      </c>
      <c r="C36" s="166" t="s">
        <v>294</v>
      </c>
      <c r="D36" s="169" t="str">
        <f>VLOOKUP($A36,Kenai_LNG_emis!$A$4:$AA$19,2,FALSE)</f>
        <v>FW_PUMP4</v>
      </c>
      <c r="E36" s="166" t="s">
        <v>293</v>
      </c>
    </row>
    <row r="37" spans="1:33">
      <c r="A37" s="166">
        <f t="shared" si="0"/>
        <v>12</v>
      </c>
      <c r="B37" s="166" t="s">
        <v>293</v>
      </c>
      <c r="C37" s="166" t="s">
        <v>295</v>
      </c>
      <c r="D37" s="169">
        <f>VLOOKUP($A37,Kenai_LNG_emis!$A$4:$AA$19,6,FALSE)</f>
        <v>-21.097740948399998</v>
      </c>
      <c r="E37" s="168" t="s">
        <v>296</v>
      </c>
      <c r="F37" s="166">
        <f>VLOOKUP($A37,Kenai_LNG_emis!$A$4:$AA$19,7,FALSE)</f>
        <v>186.84989036900001</v>
      </c>
      <c r="G37" s="168" t="s">
        <v>296</v>
      </c>
      <c r="H37" s="170">
        <f>VLOOKUP($A37,Kenai_LNG_emis!$A$4:$AA$19,23,FALSE)</f>
        <v>3.9624000000000001</v>
      </c>
      <c r="I37" s="166" t="s">
        <v>296</v>
      </c>
      <c r="J37" s="170">
        <f>VLOOKUP($A37,Kenai_LNG_emis!$A$4:$AA$19,8,FALSE)</f>
        <v>35</v>
      </c>
      <c r="K37" s="166" t="s">
        <v>296</v>
      </c>
      <c r="L37" s="169">
        <f>VLOOKUP($A37,Kenai_LNG_emis!$A$4:$AA$19,27,FALSE)</f>
        <v>0.24384000000000006</v>
      </c>
      <c r="M37" s="166" t="s">
        <v>296</v>
      </c>
      <c r="N37" s="169">
        <f>VLOOKUP($A37,Kenai_LNG_emis!$A$4:$AA$19,26,FALSE)</f>
        <v>39.288719999999998</v>
      </c>
      <c r="O37" s="166" t="s">
        <v>296</v>
      </c>
      <c r="P37" s="170">
        <f>VLOOKUP($A37,Kenai_LNG_emis!$A$4:$AA$19,25,FALSE)</f>
        <v>600</v>
      </c>
      <c r="Q37" s="166" t="s">
        <v>296</v>
      </c>
      <c r="R37" s="170">
        <v>1</v>
      </c>
      <c r="S37" s="166" t="s">
        <v>296</v>
      </c>
      <c r="T37" s="171">
        <f>VLOOKUP($A37,Kenai_LNG_emis!$A$4:$AA$19,14,FALSE)</f>
        <v>0</v>
      </c>
      <c r="U37" s="166" t="s">
        <v>296</v>
      </c>
      <c r="V37" s="171">
        <v>0</v>
      </c>
      <c r="W37" s="166" t="s">
        <v>296</v>
      </c>
      <c r="X37" s="171">
        <f>VLOOKUP($A37,Kenai_LNG_emis!$A$4:$AA$19,10,FALSE)</f>
        <v>3.1643138001014714E-3</v>
      </c>
      <c r="Y37" s="166" t="s">
        <v>296</v>
      </c>
      <c r="Z37" s="171">
        <v>0</v>
      </c>
      <c r="AA37" s="166" t="s">
        <v>296</v>
      </c>
      <c r="AB37" s="171">
        <v>0</v>
      </c>
      <c r="AC37" s="166" t="s">
        <v>296</v>
      </c>
      <c r="AD37" s="171">
        <f>VLOOKUP($A37,Kenai_LNG_emis!$A$4:$AA$19,12,FALSE)</f>
        <v>2.876648909183156E-4</v>
      </c>
      <c r="AE37" s="166" t="s">
        <v>296</v>
      </c>
      <c r="AF37" s="171">
        <f>VLOOKUP($A37,Kenai_LNG_emis!$A$4:$AA$19,12,FALSE)</f>
        <v>2.876648909183156E-4</v>
      </c>
      <c r="AG37" s="166" t="s">
        <v>293</v>
      </c>
    </row>
    <row r="38" spans="1:33">
      <c r="A38" s="166">
        <f t="shared" si="0"/>
        <v>12</v>
      </c>
      <c r="B38" s="166" t="s">
        <v>293</v>
      </c>
      <c r="C38" s="166" t="s">
        <v>297</v>
      </c>
      <c r="I38" s="168"/>
      <c r="K38" s="168"/>
    </row>
    <row r="39" spans="1:33">
      <c r="A39" s="166">
        <f t="shared" si="0"/>
        <v>13</v>
      </c>
      <c r="B39" s="166" t="s">
        <v>293</v>
      </c>
      <c r="C39" s="166" t="s">
        <v>294</v>
      </c>
      <c r="D39" s="169" t="str">
        <f>VLOOKUP($A39,Kenai_LNG_emis!$A$4:$AA$19,2,FALSE)</f>
        <v>FLARE</v>
      </c>
      <c r="E39" s="166" t="s">
        <v>293</v>
      </c>
    </row>
    <row r="40" spans="1:33">
      <c r="A40" s="166">
        <f t="shared" si="0"/>
        <v>13</v>
      </c>
      <c r="B40" s="166" t="s">
        <v>293</v>
      </c>
      <c r="C40" s="166" t="s">
        <v>295</v>
      </c>
      <c r="D40" s="169">
        <f>VLOOKUP($A40,Kenai_LNG_emis!$A$4:$AA$19,6,FALSE)</f>
        <v>-21.1474101357</v>
      </c>
      <c r="E40" s="168" t="s">
        <v>296</v>
      </c>
      <c r="F40" s="166">
        <f>VLOOKUP($A40,Kenai_LNG_emis!$A$4:$AA$19,7,FALSE)</f>
        <v>187.172762922</v>
      </c>
      <c r="G40" s="168" t="s">
        <v>296</v>
      </c>
      <c r="H40" s="170">
        <f>VLOOKUP($A40,Kenai_LNG_emis!$A$4:$AA$19,23,FALSE)</f>
        <v>2.33</v>
      </c>
      <c r="I40" s="166" t="s">
        <v>296</v>
      </c>
      <c r="J40" s="170">
        <f>VLOOKUP($A40,Kenai_LNG_emis!$A$4:$AA$19,8,FALSE)</f>
        <v>26.7</v>
      </c>
      <c r="K40" s="166" t="s">
        <v>296</v>
      </c>
      <c r="L40" s="169">
        <f>VLOOKUP($A40,Kenai_LNG_emis!$A$4:$AA$19,27,FALSE)</f>
        <v>0.45100000000000001</v>
      </c>
      <c r="M40" s="166" t="s">
        <v>296</v>
      </c>
      <c r="N40" s="169">
        <f>VLOOKUP($A40,Kenai_LNG_emis!$A$4:$AA$19,26,FALSE)</f>
        <v>20.000976000000001</v>
      </c>
      <c r="O40" s="166" t="s">
        <v>296</v>
      </c>
      <c r="P40" s="170">
        <f>VLOOKUP($A40,Kenai_LNG_emis!$A$4:$AA$19,25,FALSE)</f>
        <v>1273</v>
      </c>
      <c r="Q40" s="166" t="s">
        <v>296</v>
      </c>
      <c r="R40" s="170">
        <v>1</v>
      </c>
      <c r="S40" s="166" t="s">
        <v>296</v>
      </c>
      <c r="T40" s="171">
        <f>VLOOKUP($A40,Kenai_LNG_emis!$A$4:$AA$19,14,FALSE)</f>
        <v>5.7532978183663121E-4</v>
      </c>
      <c r="U40" s="166" t="s">
        <v>296</v>
      </c>
      <c r="V40" s="171">
        <v>0</v>
      </c>
      <c r="W40" s="166" t="s">
        <v>296</v>
      </c>
      <c r="X40" s="171">
        <f>VLOOKUP($A40,Kenai_LNG_emis!$A$4:$AA$19,10,FALSE)</f>
        <v>0.10758666920345003</v>
      </c>
      <c r="Y40" s="166" t="s">
        <v>296</v>
      </c>
      <c r="Z40" s="171">
        <v>0</v>
      </c>
      <c r="AA40" s="166" t="s">
        <v>296</v>
      </c>
      <c r="AB40" s="171">
        <v>0</v>
      </c>
      <c r="AC40" s="166" t="s">
        <v>296</v>
      </c>
      <c r="AD40" s="171">
        <f>VLOOKUP($A40,Kenai_LNG_emis!$A$4:$AA$19,12,FALSE)</f>
        <v>4.1711409183155759E-2</v>
      </c>
      <c r="AE40" s="166" t="s">
        <v>296</v>
      </c>
      <c r="AF40" s="171">
        <f>VLOOKUP($A40,Kenai_LNG_emis!$A$4:$AA$19,12,FALSE)</f>
        <v>4.1711409183155759E-2</v>
      </c>
      <c r="AG40" s="166" t="s">
        <v>293</v>
      </c>
    </row>
    <row r="41" spans="1:33">
      <c r="A41" s="166">
        <f t="shared" si="0"/>
        <v>13</v>
      </c>
      <c r="B41" s="166" t="s">
        <v>293</v>
      </c>
      <c r="C41" s="166" t="s">
        <v>297</v>
      </c>
      <c r="I41" s="168"/>
      <c r="K41" s="168"/>
    </row>
    <row r="42" spans="1:33">
      <c r="A42" s="166">
        <f t="shared" si="0"/>
        <v>14</v>
      </c>
      <c r="B42" s="166" t="s">
        <v>293</v>
      </c>
      <c r="C42" s="166" t="s">
        <v>294</v>
      </c>
      <c r="D42" s="169" t="str">
        <f>VLOOKUP($A42,Kenai_LNG_emis!$A$4:$AA$19,2,FALSE)</f>
        <v>KSHP</v>
      </c>
      <c r="E42" s="166" t="s">
        <v>293</v>
      </c>
    </row>
    <row r="43" spans="1:33">
      <c r="A43" s="166">
        <f t="shared" si="0"/>
        <v>14</v>
      </c>
      <c r="B43" s="166" t="s">
        <v>293</v>
      </c>
      <c r="C43" s="166" t="s">
        <v>295</v>
      </c>
      <c r="D43" s="169">
        <f>VLOOKUP($A43,Kenai_LNG_emis!$A$4:$AA$19,6,FALSE)</f>
        <v>-21.835000000000001</v>
      </c>
      <c r="E43" s="168" t="s">
        <v>296</v>
      </c>
      <c r="F43" s="166">
        <f>VLOOKUP($A43,Kenai_LNG_emis!$A$4:$AA$19,7,FALSE)</f>
        <v>186.91</v>
      </c>
      <c r="G43" s="168" t="s">
        <v>296</v>
      </c>
      <c r="H43" s="170">
        <f>VLOOKUP($A43,Kenai_LNG_emis!$A$4:$AA$19,23,FALSE)</f>
        <v>45</v>
      </c>
      <c r="I43" s="166" t="s">
        <v>296</v>
      </c>
      <c r="J43" s="170">
        <f>VLOOKUP($A43,Kenai_LNG_emis!$A$4:$AA$19,8,FALSE)</f>
        <v>0</v>
      </c>
      <c r="K43" s="166" t="s">
        <v>296</v>
      </c>
      <c r="L43" s="169">
        <f>VLOOKUP($A43,Kenai_LNG_emis!$A$4:$AA$19,27,FALSE)</f>
        <v>1.68</v>
      </c>
      <c r="M43" s="166" t="s">
        <v>296</v>
      </c>
      <c r="N43" s="169">
        <f>VLOOKUP($A43,Kenai_LNG_emis!$A$4:$AA$19,26,FALSE)</f>
        <v>4.2</v>
      </c>
      <c r="O43" s="166" t="s">
        <v>296</v>
      </c>
      <c r="P43" s="170">
        <f>VLOOKUP($A43,Kenai_LNG_emis!$A$4:$AA$19,25,FALSE)</f>
        <v>589</v>
      </c>
      <c r="Q43" s="166" t="s">
        <v>296</v>
      </c>
      <c r="R43" s="170">
        <v>1</v>
      </c>
      <c r="S43" s="166" t="s">
        <v>296</v>
      </c>
      <c r="T43" s="171">
        <f>VLOOKUP($A43,Kenai_LNG_emis!$A$4:$AA$19,14,FALSE)</f>
        <v>2.6982069723919568E-2</v>
      </c>
      <c r="U43" s="166" t="s">
        <v>296</v>
      </c>
      <c r="V43" s="171">
        <v>0</v>
      </c>
      <c r="W43" s="166" t="s">
        <v>296</v>
      </c>
      <c r="X43" s="171">
        <f>VLOOKUP($A43,Kenai_LNG_emis!$A$4:$AA$19,10,FALSE)</f>
        <v>1.0404520025418402</v>
      </c>
      <c r="Y43" s="166" t="s">
        <v>296</v>
      </c>
      <c r="Z43" s="171">
        <v>0</v>
      </c>
      <c r="AA43" s="166" t="s">
        <v>296</v>
      </c>
      <c r="AB43" s="171">
        <v>0</v>
      </c>
      <c r="AC43" s="166" t="s">
        <v>296</v>
      </c>
      <c r="AD43" s="171">
        <f>VLOOKUP($A43,Kenai_LNG_emis!$A$4:$AA$19,12,FALSE)</f>
        <v>4.3642203725032656E-2</v>
      </c>
      <c r="AE43" s="166" t="s">
        <v>296</v>
      </c>
      <c r="AF43" s="171">
        <f>VLOOKUP($A43,Kenai_LNG_emis!$A$4:$AA$19,12,FALSE)</f>
        <v>4.3642203725032656E-2</v>
      </c>
      <c r="AG43" s="166" t="s">
        <v>293</v>
      </c>
    </row>
    <row r="44" spans="1:33">
      <c r="A44" s="166">
        <f t="shared" si="0"/>
        <v>14</v>
      </c>
      <c r="B44" s="166" t="s">
        <v>293</v>
      </c>
      <c r="C44" s="166" t="s">
        <v>297</v>
      </c>
      <c r="I44" s="168"/>
      <c r="K44" s="168"/>
    </row>
    <row r="49" spans="3:3" ht="19.5">
      <c r="C49" s="260"/>
    </row>
    <row r="50" spans="3:3" ht="19.5">
      <c r="C50" s="260"/>
    </row>
    <row r="51" spans="3:3" ht="19.5">
      <c r="C51" s="260"/>
    </row>
    <row r="52" spans="3:3" ht="19.5">
      <c r="C52" s="260"/>
    </row>
  </sheetData>
  <pageMargins left="0.7" right="0.7" top="0.75" bottom="0.75" header="0.3" footer="0.3"/>
  <pageSetup orientation="portrait" horizont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AO52"/>
  <sheetViews>
    <sheetView zoomScaleNormal="100" workbookViewId="0">
      <pane ySplit="2" topLeftCell="A3" activePane="bottomLeft" state="frozen"/>
      <selection activeCell="H16" sqref="H16"/>
      <selection pane="bottomLeft" activeCell="H16" sqref="H16"/>
    </sheetView>
  </sheetViews>
  <sheetFormatPr defaultColWidth="9.140625" defaultRowHeight="12.75"/>
  <cols>
    <col min="1" max="1" width="4.7109375" style="166" customWidth="1"/>
    <col min="2" max="2" width="3.42578125" style="166" customWidth="1"/>
    <col min="3" max="3" width="11.42578125" style="166" customWidth="1"/>
    <col min="4" max="4" width="13.7109375" style="169" customWidth="1"/>
    <col min="5" max="5" width="3.5703125" style="166" customWidth="1"/>
    <col min="6" max="6" width="6.5703125" style="166" customWidth="1"/>
    <col min="7" max="7" width="3" style="166" customWidth="1"/>
    <col min="8" max="8" width="8.28515625" style="170" customWidth="1"/>
    <col min="9" max="9" width="2.28515625" style="166" customWidth="1"/>
    <col min="10" max="10" width="8.28515625" style="170" customWidth="1"/>
    <col min="11" max="11" width="2.85546875" style="166" customWidth="1"/>
    <col min="12" max="12" width="8.28515625" style="169" customWidth="1"/>
    <col min="13" max="13" width="3.42578125" style="166" customWidth="1"/>
    <col min="14" max="14" width="8.28515625" style="169" customWidth="1"/>
    <col min="15" max="15" width="2.140625" style="166" customWidth="1"/>
    <col min="16" max="16" width="8.28515625" style="170" customWidth="1"/>
    <col min="17" max="17" width="2.7109375" style="166" customWidth="1"/>
    <col min="18" max="18" width="4.42578125" style="166" customWidth="1"/>
    <col min="19" max="19" width="2.85546875" style="166" customWidth="1"/>
    <col min="20" max="20" width="9.7109375" style="171" customWidth="1"/>
    <col min="21" max="21" width="2.5703125" style="166" customWidth="1"/>
    <col min="22" max="22" width="9.7109375" style="171" customWidth="1"/>
    <col min="23" max="23" width="2.5703125" style="166" customWidth="1"/>
    <col min="24" max="24" width="9.7109375" style="171" customWidth="1"/>
    <col min="25" max="25" width="2.5703125" style="166" customWidth="1"/>
    <col min="26" max="26" width="9.7109375" style="171" customWidth="1"/>
    <col min="27" max="27" width="2.5703125" style="166" customWidth="1"/>
    <col min="28" max="28" width="9.7109375" style="171" customWidth="1"/>
    <col min="29" max="29" width="2.5703125" style="166" customWidth="1"/>
    <col min="30" max="30" width="9.7109375" style="171" customWidth="1"/>
    <col min="31" max="31" width="2.5703125" style="166" customWidth="1"/>
    <col min="32" max="32" width="9.7109375" style="171" customWidth="1"/>
    <col min="33" max="33" width="2.5703125" style="166" customWidth="1"/>
    <col min="34" max="34" width="9.7109375" style="171" customWidth="1"/>
    <col min="35" max="35" width="2.5703125" style="166" customWidth="1"/>
    <col min="36" max="36" width="9.7109375" style="171" customWidth="1"/>
    <col min="37" max="37" width="2.5703125" style="166" customWidth="1"/>
    <col min="38" max="38" width="9.7109375" style="171" customWidth="1"/>
    <col min="39" max="39" width="2.5703125" style="166" customWidth="1"/>
    <col min="40" max="40" width="9.7109375" style="171" customWidth="1"/>
    <col min="41" max="41" width="2.5703125" style="166" customWidth="1"/>
    <col min="42" max="16384" width="9.140625" style="166"/>
  </cols>
  <sheetData>
    <row r="1" spans="1:41">
      <c r="C1" s="198" t="s">
        <v>390</v>
      </c>
    </row>
    <row r="2" spans="1:41" s="198" customFormat="1">
      <c r="D2" s="269" t="s">
        <v>388</v>
      </c>
      <c r="F2" s="198" t="s">
        <v>42</v>
      </c>
      <c r="H2" s="266" t="s">
        <v>279</v>
      </c>
      <c r="I2" s="261"/>
      <c r="J2" s="266" t="s">
        <v>280</v>
      </c>
      <c r="K2" s="261"/>
      <c r="L2" s="265" t="s">
        <v>281</v>
      </c>
      <c r="M2" s="261"/>
      <c r="N2" s="265" t="s">
        <v>282</v>
      </c>
      <c r="O2" s="261"/>
      <c r="P2" s="266" t="s">
        <v>283</v>
      </c>
      <c r="Q2" s="261"/>
      <c r="R2" s="261" t="s">
        <v>284</v>
      </c>
      <c r="S2" s="261"/>
      <c r="T2" s="268" t="s">
        <v>285</v>
      </c>
      <c r="U2" s="261"/>
      <c r="V2" s="268" t="s">
        <v>286</v>
      </c>
      <c r="W2" s="261"/>
      <c r="X2" s="268" t="s">
        <v>287</v>
      </c>
      <c r="Y2" s="261"/>
      <c r="Z2" s="268" t="s">
        <v>288</v>
      </c>
      <c r="AA2" s="261"/>
      <c r="AB2" s="268" t="s">
        <v>289</v>
      </c>
      <c r="AC2" s="261"/>
      <c r="AD2" s="268" t="s">
        <v>290</v>
      </c>
      <c r="AE2" s="261"/>
      <c r="AF2" s="268" t="s">
        <v>291</v>
      </c>
      <c r="AG2" s="261"/>
      <c r="AH2" s="268" t="s">
        <v>292</v>
      </c>
      <c r="AI2" s="261"/>
      <c r="AJ2" s="268" t="s">
        <v>336</v>
      </c>
      <c r="AK2" s="261"/>
      <c r="AL2" s="268" t="s">
        <v>379</v>
      </c>
      <c r="AM2" s="261"/>
      <c r="AN2" s="268" t="s">
        <v>301</v>
      </c>
      <c r="AO2" s="261"/>
    </row>
    <row r="3" spans="1:41">
      <c r="A3" s="166">
        <v>1</v>
      </c>
      <c r="B3" s="166" t="s">
        <v>293</v>
      </c>
      <c r="C3" s="166" t="s">
        <v>294</v>
      </c>
      <c r="D3" s="264">
        <f>VLOOKUP($A3,'Other Offsite_emis'!$A$3:$U$10,2,FALSE)</f>
        <v>13001</v>
      </c>
      <c r="E3" s="166" t="s">
        <v>293</v>
      </c>
    </row>
    <row r="4" spans="1:41">
      <c r="A4" s="166">
        <v>1</v>
      </c>
      <c r="B4" s="166" t="s">
        <v>293</v>
      </c>
      <c r="C4" s="166" t="s">
        <v>295</v>
      </c>
      <c r="D4" s="169">
        <f>VLOOKUP($A4,'Other Offsite_emis'!$A$3:$U$10,4,FALSE)</f>
        <v>-19.611645674799998</v>
      </c>
      <c r="E4" s="168" t="s">
        <v>296</v>
      </c>
      <c r="F4" s="169">
        <f>VLOOKUP($A4,'Other Offsite_emis'!$A$3:$U$10,5,FALSE)</f>
        <v>193.21195181100001</v>
      </c>
      <c r="G4" s="168" t="s">
        <v>296</v>
      </c>
      <c r="H4" s="169">
        <f>VLOOKUP($A4,'Other Offsite_emis'!$A$3:$U$10,18,FALSE)</f>
        <v>5</v>
      </c>
      <c r="I4" s="166" t="s">
        <v>296</v>
      </c>
      <c r="J4" s="169">
        <f>VLOOKUP($A4,'Other Offsite_emis'!$A$3:$U$10,6,FALSE)</f>
        <v>50</v>
      </c>
      <c r="K4" s="166" t="s">
        <v>296</v>
      </c>
      <c r="L4" s="169">
        <f>VLOOKUP($A4,'Other Offsite_emis'!$A$3:$U$10,21,FALSE)</f>
        <v>1</v>
      </c>
      <c r="M4" s="166" t="s">
        <v>296</v>
      </c>
      <c r="N4" s="169">
        <f>VLOOKUP($A4,'Other Offsite_emis'!$A$3:$U$10,20,FALSE)</f>
        <v>20</v>
      </c>
      <c r="O4" s="166" t="s">
        <v>296</v>
      </c>
      <c r="P4" s="169">
        <f>VLOOKUP($A4,'Other Offsite_emis'!$A$3:$U$10,19,FALSE)</f>
        <v>500</v>
      </c>
      <c r="Q4" s="166" t="s">
        <v>296</v>
      </c>
      <c r="R4" s="170">
        <v>1</v>
      </c>
      <c r="S4" s="166" t="s">
        <v>296</v>
      </c>
      <c r="T4" s="171">
        <f>VLOOKUP($A4,'Other Offsite_emis'!$A$3:$U$10,9,FALSE)</f>
        <v>5.1999999999999998E-3</v>
      </c>
      <c r="U4" s="166" t="s">
        <v>296</v>
      </c>
      <c r="V4" s="171">
        <v>0</v>
      </c>
      <c r="W4" s="166" t="s">
        <v>296</v>
      </c>
      <c r="X4" s="171">
        <f>VLOOKUP($A4,'Other Offsite_emis'!$A$3:$U$10,7,FALSE)</f>
        <v>0.4788</v>
      </c>
      <c r="Y4" s="166" t="s">
        <v>296</v>
      </c>
      <c r="Z4" s="171">
        <v>0</v>
      </c>
      <c r="AA4" s="166" t="s">
        <v>296</v>
      </c>
      <c r="AB4" s="171">
        <v>0</v>
      </c>
      <c r="AC4" s="166" t="s">
        <v>296</v>
      </c>
      <c r="AD4" s="171">
        <f>VLOOKUP($A4,'Other Offsite_emis'!$A$3:$U$10,13,FALSE)</f>
        <v>0</v>
      </c>
      <c r="AE4" s="166" t="s">
        <v>296</v>
      </c>
      <c r="AF4" s="171">
        <f>VLOOKUP($A4,'Other Offsite_emis'!$A$3:$U$10,15,FALSE)</f>
        <v>9.5287878787878796E-3</v>
      </c>
      <c r="AG4" s="166" t="s">
        <v>296</v>
      </c>
      <c r="AH4" s="171">
        <f>VLOOKUP($A4,'Other Offsite_emis'!$A$3:$U$10,17,FALSE)</f>
        <v>2.3571212121212121E-2</v>
      </c>
      <c r="AI4" s="166" t="s">
        <v>296</v>
      </c>
      <c r="AJ4" s="171">
        <f>VLOOKUP($A4,'Other Offsite_emis'!$A$3:$U$10,8,FALSE)</f>
        <v>3.3099999999999997E-2</v>
      </c>
      <c r="AK4" s="166" t="s">
        <v>296</v>
      </c>
      <c r="AL4" s="171">
        <f>VLOOKUP($A4,'Other Offsite_emis'!$A$3:$U$10,8,FALSE)</f>
        <v>3.3099999999999997E-2</v>
      </c>
      <c r="AM4" s="166" t="s">
        <v>296</v>
      </c>
      <c r="AN4" s="171">
        <f>VLOOKUP($A4,'Other Offsite_emis'!$A$3:$U$10,10,FALSE)</f>
        <v>0.1399</v>
      </c>
      <c r="AO4" s="166" t="s">
        <v>293</v>
      </c>
    </row>
    <row r="5" spans="1:41">
      <c r="A5" s="166">
        <v>1</v>
      </c>
      <c r="B5" s="166" t="s">
        <v>293</v>
      </c>
      <c r="C5" s="166" t="s">
        <v>297</v>
      </c>
      <c r="I5" s="168"/>
      <c r="K5" s="168"/>
    </row>
    <row r="6" spans="1:41">
      <c r="A6" s="166">
        <f t="shared" ref="A6:A23" si="0">A3+1</f>
        <v>2</v>
      </c>
      <c r="B6" s="166" t="s">
        <v>293</v>
      </c>
      <c r="C6" s="166" t="s">
        <v>294</v>
      </c>
      <c r="D6" s="264">
        <f>VLOOKUP($A6,'Other Offsite_emis'!$A$3:$U$10,2,FALSE)</f>
        <v>15001</v>
      </c>
      <c r="E6" s="166" t="s">
        <v>293</v>
      </c>
    </row>
    <row r="7" spans="1:41">
      <c r="A7" s="166">
        <f t="shared" si="0"/>
        <v>2</v>
      </c>
      <c r="B7" s="166" t="s">
        <v>293</v>
      </c>
      <c r="C7" s="166" t="s">
        <v>295</v>
      </c>
      <c r="D7" s="169">
        <f>VLOOKUP($A7,'Other Offsite_emis'!$A$3:$U$10,4,FALSE)</f>
        <v>-27.883704021300002</v>
      </c>
      <c r="E7" s="168" t="s">
        <v>296</v>
      </c>
      <c r="F7" s="169">
        <f>VLOOKUP($A7,'Other Offsite_emis'!$A$3:$U$10,5,FALSE)</f>
        <v>196.07565925599999</v>
      </c>
      <c r="G7" s="168" t="s">
        <v>296</v>
      </c>
      <c r="H7" s="169">
        <f>VLOOKUP($A7,'Other Offsite_emis'!$A$3:$U$10,18,FALSE)</f>
        <v>27.5</v>
      </c>
      <c r="I7" s="166" t="s">
        <v>296</v>
      </c>
      <c r="J7" s="169">
        <f>VLOOKUP($A7,'Other Offsite_emis'!$A$3:$U$10,6,FALSE)</f>
        <v>0</v>
      </c>
      <c r="K7" s="166" t="s">
        <v>296</v>
      </c>
      <c r="L7" s="169">
        <f>VLOOKUP($A7,'Other Offsite_emis'!$A$3:$U$10,21,FALSE)</f>
        <v>1</v>
      </c>
      <c r="M7" s="166" t="s">
        <v>296</v>
      </c>
      <c r="N7" s="169">
        <f>VLOOKUP($A7,'Other Offsite_emis'!$A$3:$U$10,20,FALSE)</f>
        <v>25</v>
      </c>
      <c r="O7" s="166" t="s">
        <v>296</v>
      </c>
      <c r="P7" s="169">
        <f>VLOOKUP($A7,'Other Offsite_emis'!$A$3:$U$10,19,FALSE)</f>
        <v>850</v>
      </c>
      <c r="Q7" s="166" t="s">
        <v>296</v>
      </c>
      <c r="R7" s="170">
        <v>1</v>
      </c>
      <c r="S7" s="166" t="s">
        <v>296</v>
      </c>
      <c r="T7" s="171">
        <f>VLOOKUP($A7,'Other Offsite_emis'!$A$3:$U$10,9,FALSE)</f>
        <v>0.24681647640791474</v>
      </c>
      <c r="U7" s="166" t="s">
        <v>296</v>
      </c>
      <c r="V7" s="171">
        <v>0</v>
      </c>
      <c r="W7" s="166" t="s">
        <v>296</v>
      </c>
      <c r="X7" s="171">
        <f>VLOOKUP($A7,'Other Offsite_emis'!$A$3:$U$10,7,FALSE)</f>
        <v>9.8807136732623029</v>
      </c>
      <c r="Y7" s="166" t="s">
        <v>296</v>
      </c>
      <c r="Z7" s="171">
        <v>0</v>
      </c>
      <c r="AA7" s="166" t="s">
        <v>296</v>
      </c>
      <c r="AB7" s="171">
        <v>0</v>
      </c>
      <c r="AC7" s="166" t="s">
        <v>296</v>
      </c>
      <c r="AD7" s="171">
        <f>VLOOKUP($A7,'Other Offsite_emis'!$A$3:$U$10,13,FALSE)</f>
        <v>0</v>
      </c>
      <c r="AE7" s="166" t="s">
        <v>296</v>
      </c>
      <c r="AF7" s="171">
        <f>VLOOKUP($A7,'Other Offsite_emis'!$A$3:$U$10,15,FALSE)</f>
        <v>3.4781300447396343E-2</v>
      </c>
      <c r="AG7" s="166" t="s">
        <v>296</v>
      </c>
      <c r="AH7" s="171">
        <f>VLOOKUP($A7,'Other Offsite_emis'!$A$3:$U$10,17,FALSE)</f>
        <v>8.6037953738296216E-2</v>
      </c>
      <c r="AI7" s="166" t="s">
        <v>296</v>
      </c>
      <c r="AJ7" s="171">
        <f>VLOOKUP($A7,'Other Offsite_emis'!$A$3:$U$10,8,FALSE)</f>
        <v>0.12081925418569256</v>
      </c>
      <c r="AK7" s="166" t="s">
        <v>296</v>
      </c>
      <c r="AL7" s="171">
        <f>VLOOKUP($A7,'Other Offsite_emis'!$A$3:$U$10,8,FALSE)</f>
        <v>0.12081925418569256</v>
      </c>
      <c r="AM7" s="166" t="s">
        <v>296</v>
      </c>
      <c r="AN7" s="171">
        <f>VLOOKUP($A7,'Other Offsite_emis'!$A$3:$U$10,10,FALSE)</f>
        <v>10.055038597158802</v>
      </c>
      <c r="AO7" s="166" t="s">
        <v>293</v>
      </c>
    </row>
    <row r="8" spans="1:41">
      <c r="A8" s="166">
        <f t="shared" si="0"/>
        <v>2</v>
      </c>
      <c r="B8" s="166" t="s">
        <v>293</v>
      </c>
      <c r="C8" s="166" t="s">
        <v>297</v>
      </c>
      <c r="I8" s="168"/>
      <c r="K8" s="168"/>
    </row>
    <row r="9" spans="1:41">
      <c r="A9" s="166">
        <f t="shared" si="0"/>
        <v>3</v>
      </c>
      <c r="B9" s="166" t="s">
        <v>293</v>
      </c>
      <c r="C9" s="166" t="s">
        <v>294</v>
      </c>
      <c r="D9" s="264">
        <f>VLOOKUP($A9,'Other Offsite_emis'!$A$3:$U$10,2,FALSE)</f>
        <v>18002</v>
      </c>
      <c r="E9" s="166" t="s">
        <v>293</v>
      </c>
    </row>
    <row r="10" spans="1:41">
      <c r="A10" s="166">
        <f t="shared" si="0"/>
        <v>3</v>
      </c>
      <c r="B10" s="166" t="s">
        <v>293</v>
      </c>
      <c r="C10" s="166" t="s">
        <v>295</v>
      </c>
      <c r="D10" s="169">
        <f>VLOOKUP($A10,'Other Offsite_emis'!$A$3:$U$10,4,FALSE)</f>
        <v>-21.306303247599999</v>
      </c>
      <c r="E10" s="168" t="s">
        <v>296</v>
      </c>
      <c r="F10" s="169">
        <f>VLOOKUP($A10,'Other Offsite_emis'!$A$3:$U$10,5,FALSE)</f>
        <v>188.54017916500001</v>
      </c>
      <c r="G10" s="168" t="s">
        <v>296</v>
      </c>
      <c r="H10" s="169">
        <f>VLOOKUP($A10,'Other Offsite_emis'!$A$3:$U$10,18,FALSE)</f>
        <v>15.2</v>
      </c>
      <c r="I10" s="166" t="s">
        <v>296</v>
      </c>
      <c r="J10" s="169">
        <f>VLOOKUP($A10,'Other Offsite_emis'!$A$3:$U$10,6,FALSE)</f>
        <v>35</v>
      </c>
      <c r="K10" s="166" t="s">
        <v>296</v>
      </c>
      <c r="L10" s="169">
        <f>VLOOKUP($A10,'Other Offsite_emis'!$A$3:$U$10,21,FALSE)</f>
        <v>2.2999999999999998</v>
      </c>
      <c r="M10" s="166" t="s">
        <v>296</v>
      </c>
      <c r="N10" s="169">
        <f>VLOOKUP($A10,'Other Offsite_emis'!$A$3:$U$10,20,FALSE)</f>
        <v>18.5</v>
      </c>
      <c r="O10" s="166" t="s">
        <v>296</v>
      </c>
      <c r="P10" s="169">
        <f>VLOOKUP($A10,'Other Offsite_emis'!$A$3:$U$10,19,FALSE)</f>
        <v>428</v>
      </c>
      <c r="Q10" s="166" t="s">
        <v>296</v>
      </c>
      <c r="R10" s="170">
        <v>1</v>
      </c>
      <c r="S10" s="166" t="s">
        <v>296</v>
      </c>
      <c r="T10" s="171">
        <f>VLOOKUP($A10,'Other Offsite_emis'!$A$3:$U$10,9,FALSE)</f>
        <v>2.876648909183156E-4</v>
      </c>
      <c r="U10" s="166" t="s">
        <v>296</v>
      </c>
      <c r="V10" s="171">
        <v>0</v>
      </c>
      <c r="W10" s="166" t="s">
        <v>296</v>
      </c>
      <c r="X10" s="171">
        <f>VLOOKUP($A10,'Other Offsite_emis'!$A$3:$U$10,7,FALSE)</f>
        <v>0.69902568493150685</v>
      </c>
      <c r="Y10" s="166" t="s">
        <v>296</v>
      </c>
      <c r="Z10" s="171">
        <v>0</v>
      </c>
      <c r="AA10" s="166" t="s">
        <v>296</v>
      </c>
      <c r="AB10" s="171">
        <v>0</v>
      </c>
      <c r="AC10" s="166" t="s">
        <v>296</v>
      </c>
      <c r="AD10" s="171">
        <f>VLOOKUP($A10,'Other Offsite_emis'!$A$3:$U$10,13,FALSE)</f>
        <v>0</v>
      </c>
      <c r="AE10" s="166" t="s">
        <v>296</v>
      </c>
      <c r="AF10" s="171">
        <f>VLOOKUP($A10,'Other Offsite_emis'!$A$3:$U$10,15,FALSE)</f>
        <v>4.1406310056424219E-3</v>
      </c>
      <c r="AG10" s="166" t="s">
        <v>296</v>
      </c>
      <c r="AH10" s="171">
        <f>VLOOKUP($A10,'Other Offsite_emis'!$A$3:$U$10,17,FALSE)</f>
        <v>1.0242613540273358E-2</v>
      </c>
      <c r="AI10" s="166" t="s">
        <v>296</v>
      </c>
      <c r="AJ10" s="171">
        <f>VLOOKUP($A10,'Other Offsite_emis'!$A$3:$U$10,8,FALSE)</f>
        <v>1.4383244545915779E-2</v>
      </c>
      <c r="AK10" s="166" t="s">
        <v>296</v>
      </c>
      <c r="AL10" s="171">
        <f>VLOOKUP($A10,'Other Offsite_emis'!$A$3:$U$10,8,FALSE)</f>
        <v>1.4383244545915779E-2</v>
      </c>
      <c r="AM10" s="166" t="s">
        <v>296</v>
      </c>
      <c r="AN10" s="171">
        <f>VLOOKUP($A10,'Other Offsite_emis'!$A$3:$U$10,10,FALSE)</f>
        <v>0.17835223236935568</v>
      </c>
      <c r="AO10" s="166" t="s">
        <v>293</v>
      </c>
    </row>
    <row r="11" spans="1:41">
      <c r="A11" s="166">
        <f t="shared" si="0"/>
        <v>3</v>
      </c>
      <c r="B11" s="166" t="s">
        <v>293</v>
      </c>
      <c r="C11" s="166" t="s">
        <v>297</v>
      </c>
      <c r="I11" s="168"/>
      <c r="K11" s="168"/>
    </row>
    <row r="12" spans="1:41">
      <c r="A12" s="166">
        <f t="shared" si="0"/>
        <v>4</v>
      </c>
      <c r="B12" s="166" t="s">
        <v>293</v>
      </c>
      <c r="C12" s="166" t="s">
        <v>294</v>
      </c>
      <c r="D12" s="264">
        <f>VLOOKUP($A12,'Other Offsite_emis'!$A$3:$U$10,2,FALSE)</f>
        <v>18003</v>
      </c>
      <c r="E12" s="166" t="s">
        <v>293</v>
      </c>
    </row>
    <row r="13" spans="1:41">
      <c r="A13" s="166">
        <f t="shared" si="0"/>
        <v>4</v>
      </c>
      <c r="B13" s="166" t="s">
        <v>293</v>
      </c>
      <c r="C13" s="166" t="s">
        <v>295</v>
      </c>
      <c r="D13" s="169">
        <f>VLOOKUP($A13,'Other Offsite_emis'!$A$3:$U$10,4,FALSE)</f>
        <v>-21.306303247599999</v>
      </c>
      <c r="E13" s="168" t="s">
        <v>296</v>
      </c>
      <c r="F13" s="169">
        <f>VLOOKUP($A13,'Other Offsite_emis'!$A$3:$U$10,5,FALSE)</f>
        <v>188.54017916500001</v>
      </c>
      <c r="G13" s="168" t="s">
        <v>296</v>
      </c>
      <c r="H13" s="169">
        <f>VLOOKUP($A13,'Other Offsite_emis'!$A$3:$U$10,18,FALSE)</f>
        <v>10.8</v>
      </c>
      <c r="I13" s="166" t="s">
        <v>296</v>
      </c>
      <c r="J13" s="169">
        <f>VLOOKUP($A13,'Other Offsite_emis'!$A$3:$U$10,6,FALSE)</f>
        <v>35</v>
      </c>
      <c r="K13" s="166" t="s">
        <v>296</v>
      </c>
      <c r="L13" s="169">
        <f>VLOOKUP($A13,'Other Offsite_emis'!$A$3:$U$10,21,FALSE)</f>
        <v>3.9</v>
      </c>
      <c r="M13" s="166" t="s">
        <v>296</v>
      </c>
      <c r="N13" s="169">
        <f>VLOOKUP($A13,'Other Offsite_emis'!$A$3:$U$10,20,FALSE)</f>
        <v>21.1</v>
      </c>
      <c r="O13" s="166" t="s">
        <v>296</v>
      </c>
      <c r="P13" s="169">
        <f>VLOOKUP($A13,'Other Offsite_emis'!$A$3:$U$10,19,FALSE)</f>
        <v>759.67</v>
      </c>
      <c r="Q13" s="166" t="s">
        <v>296</v>
      </c>
      <c r="R13" s="170">
        <v>1</v>
      </c>
      <c r="S13" s="166" t="s">
        <v>296</v>
      </c>
      <c r="T13" s="171">
        <f>VLOOKUP($A13,'Other Offsite_emis'!$A$3:$U$10,9,FALSE)</f>
        <v>0</v>
      </c>
      <c r="U13" s="166" t="s">
        <v>296</v>
      </c>
      <c r="V13" s="171">
        <v>0</v>
      </c>
      <c r="W13" s="166" t="s">
        <v>296</v>
      </c>
      <c r="X13" s="171">
        <f>VLOOKUP($A13,'Other Offsite_emis'!$A$3:$U$10,7,FALSE)</f>
        <v>0.19561212582445459</v>
      </c>
      <c r="Y13" s="166" t="s">
        <v>296</v>
      </c>
      <c r="Z13" s="171">
        <v>0</v>
      </c>
      <c r="AA13" s="166" t="s">
        <v>296</v>
      </c>
      <c r="AB13" s="171">
        <v>0</v>
      </c>
      <c r="AC13" s="166" t="s">
        <v>296</v>
      </c>
      <c r="AD13" s="171">
        <f>VLOOKUP($A13,'Other Offsite_emis'!$A$3:$U$10,13,FALSE)</f>
        <v>0</v>
      </c>
      <c r="AE13" s="166" t="s">
        <v>296</v>
      </c>
      <c r="AF13" s="171">
        <f>VLOOKUP($A13,'Other Offsite_emis'!$A$3:$U$10,15,FALSE)</f>
        <v>1.5734397821441203E-3</v>
      </c>
      <c r="AG13" s="166" t="s">
        <v>296</v>
      </c>
      <c r="AH13" s="171">
        <f>VLOOKUP($A13,'Other Offsite_emis'!$A$3:$U$10,17,FALSE)</f>
        <v>3.8921931453038765E-3</v>
      </c>
      <c r="AI13" s="166" t="s">
        <v>296</v>
      </c>
      <c r="AJ13" s="171">
        <f>VLOOKUP($A13,'Other Offsite_emis'!$A$3:$U$10,8,FALSE)</f>
        <v>5.4656329274479967E-3</v>
      </c>
      <c r="AK13" s="166" t="s">
        <v>296</v>
      </c>
      <c r="AL13" s="171">
        <f>VLOOKUP($A13,'Other Offsite_emis'!$A$3:$U$10,8,FALSE)</f>
        <v>5.4656329274479967E-3</v>
      </c>
      <c r="AM13" s="166" t="s">
        <v>296</v>
      </c>
      <c r="AN13" s="171">
        <f>VLOOKUP($A13,'Other Offsite_emis'!$A$3:$U$10,10,FALSE)</f>
        <v>0.23013191273465247</v>
      </c>
      <c r="AO13" s="166" t="s">
        <v>293</v>
      </c>
    </row>
    <row r="14" spans="1:41">
      <c r="A14" s="166">
        <f t="shared" si="0"/>
        <v>4</v>
      </c>
      <c r="B14" s="166" t="s">
        <v>293</v>
      </c>
      <c r="C14" s="166" t="s">
        <v>297</v>
      </c>
      <c r="I14" s="168"/>
      <c r="K14" s="168"/>
    </row>
    <row r="15" spans="1:41">
      <c r="A15" s="166">
        <f t="shared" si="0"/>
        <v>5</v>
      </c>
      <c r="B15" s="166" t="s">
        <v>293</v>
      </c>
      <c r="C15" s="166" t="s">
        <v>294</v>
      </c>
      <c r="D15" s="264">
        <f>VLOOKUP($A15,'Other Offsite_emis'!$A$3:$U$10,2,FALSE)</f>
        <v>18004</v>
      </c>
      <c r="E15" s="166" t="s">
        <v>293</v>
      </c>
    </row>
    <row r="16" spans="1:41">
      <c r="A16" s="166">
        <f t="shared" si="0"/>
        <v>5</v>
      </c>
      <c r="B16" s="166" t="s">
        <v>293</v>
      </c>
      <c r="C16" s="166" t="s">
        <v>295</v>
      </c>
      <c r="D16" s="169">
        <f>VLOOKUP($A16,'Other Offsite_emis'!$A$3:$U$10,4,FALSE)</f>
        <v>-21.306303247599999</v>
      </c>
      <c r="E16" s="168" t="s">
        <v>296</v>
      </c>
      <c r="F16" s="169">
        <f>VLOOKUP($A16,'Other Offsite_emis'!$A$3:$U$10,5,FALSE)</f>
        <v>188.54017916500001</v>
      </c>
      <c r="G16" s="168" t="s">
        <v>296</v>
      </c>
      <c r="H16" s="169">
        <f>VLOOKUP($A16,'Other Offsite_emis'!$A$3:$U$10,18,FALSE)</f>
        <v>10.8</v>
      </c>
      <c r="I16" s="166" t="s">
        <v>296</v>
      </c>
      <c r="J16" s="169">
        <f>VLOOKUP($A16,'Other Offsite_emis'!$A$3:$U$10,6,FALSE)</f>
        <v>35</v>
      </c>
      <c r="K16" s="166" t="s">
        <v>296</v>
      </c>
      <c r="L16" s="169">
        <f>VLOOKUP($A16,'Other Offsite_emis'!$A$3:$U$10,21,FALSE)</f>
        <v>3.9</v>
      </c>
      <c r="M16" s="166" t="s">
        <v>296</v>
      </c>
      <c r="N16" s="169">
        <f>VLOOKUP($A16,'Other Offsite_emis'!$A$3:$U$10,20,FALSE)</f>
        <v>21.1</v>
      </c>
      <c r="O16" s="166" t="s">
        <v>296</v>
      </c>
      <c r="P16" s="169">
        <f>VLOOKUP($A16,'Other Offsite_emis'!$A$3:$U$10,19,FALSE)</f>
        <v>759.67</v>
      </c>
      <c r="Q16" s="166" t="s">
        <v>296</v>
      </c>
      <c r="R16" s="170">
        <v>1</v>
      </c>
      <c r="S16" s="166" t="s">
        <v>296</v>
      </c>
      <c r="T16" s="171">
        <f>VLOOKUP($A16,'Other Offsite_emis'!$A$3:$U$10,9,FALSE)</f>
        <v>8.6299467275494676E-4</v>
      </c>
      <c r="U16" s="166" t="s">
        <v>296</v>
      </c>
      <c r="V16" s="171">
        <v>0</v>
      </c>
      <c r="W16" s="166" t="s">
        <v>296</v>
      </c>
      <c r="X16" s="171">
        <f>VLOOKUP($A16,'Other Offsite_emis'!$A$3:$U$10,7,FALSE)</f>
        <v>1.6339365804160324</v>
      </c>
      <c r="Y16" s="166" t="s">
        <v>296</v>
      </c>
      <c r="Z16" s="171">
        <v>0</v>
      </c>
      <c r="AA16" s="166" t="s">
        <v>296</v>
      </c>
      <c r="AB16" s="171">
        <v>0</v>
      </c>
      <c r="AC16" s="166" t="s">
        <v>296</v>
      </c>
      <c r="AD16" s="171">
        <f>VLOOKUP($A16,'Other Offsite_emis'!$A$3:$U$10,13,FALSE)</f>
        <v>0</v>
      </c>
      <c r="AE16" s="166" t="s">
        <v>296</v>
      </c>
      <c r="AF16" s="171">
        <f>VLOOKUP($A16,'Other Offsite_emis'!$A$3:$U$10,15,FALSE)</f>
        <v>1.0765640614670297E-2</v>
      </c>
      <c r="AG16" s="166" t="s">
        <v>296</v>
      </c>
      <c r="AH16" s="171">
        <f>VLOOKUP($A16,'Other Offsite_emis'!$A$3:$U$10,17,FALSE)</f>
        <v>2.6630795204710733E-2</v>
      </c>
      <c r="AI16" s="166" t="s">
        <v>296</v>
      </c>
      <c r="AJ16" s="171">
        <f>VLOOKUP($A16,'Other Offsite_emis'!$A$3:$U$10,8,FALSE)</f>
        <v>3.7396435819381027E-2</v>
      </c>
      <c r="AK16" s="166" t="s">
        <v>296</v>
      </c>
      <c r="AL16" s="171">
        <f>VLOOKUP($A16,'Other Offsite_emis'!$A$3:$U$10,8,FALSE)</f>
        <v>3.7396435819381027E-2</v>
      </c>
      <c r="AM16" s="166" t="s">
        <v>296</v>
      </c>
      <c r="AN16" s="171">
        <f>VLOOKUP($A16,'Other Offsite_emis'!$A$3:$U$10,10,FALSE)</f>
        <v>1.1190164256722477</v>
      </c>
      <c r="AO16" s="166" t="s">
        <v>293</v>
      </c>
    </row>
    <row r="17" spans="1:41">
      <c r="A17" s="166">
        <f t="shared" si="0"/>
        <v>5</v>
      </c>
      <c r="B17" s="166" t="s">
        <v>293</v>
      </c>
      <c r="C17" s="166" t="s">
        <v>297</v>
      </c>
      <c r="I17" s="168"/>
      <c r="K17" s="168"/>
    </row>
    <row r="18" spans="1:41">
      <c r="A18" s="166">
        <f t="shared" si="0"/>
        <v>6</v>
      </c>
      <c r="B18" s="166" t="s">
        <v>293</v>
      </c>
      <c r="C18" s="166" t="s">
        <v>294</v>
      </c>
      <c r="D18" s="264">
        <f>VLOOKUP($A18,'Other Offsite_emis'!$A$3:$U$10,2,FALSE)</f>
        <v>50001</v>
      </c>
      <c r="E18" s="166" t="s">
        <v>293</v>
      </c>
    </row>
    <row r="19" spans="1:41">
      <c r="A19" s="166">
        <f t="shared" si="0"/>
        <v>6</v>
      </c>
      <c r="B19" s="166" t="s">
        <v>293</v>
      </c>
      <c r="C19" s="166" t="s">
        <v>295</v>
      </c>
      <c r="D19" s="169">
        <f>VLOOKUP($A19,'Other Offsite_emis'!$A$3:$U$10,4,FALSE)</f>
        <v>-21.223841489800002</v>
      </c>
      <c r="E19" s="168" t="s">
        <v>296</v>
      </c>
      <c r="F19" s="169">
        <f>VLOOKUP($A19,'Other Offsite_emis'!$A$3:$U$10,5,FALSE)</f>
        <v>187.82226963299999</v>
      </c>
      <c r="G19" s="168" t="s">
        <v>296</v>
      </c>
      <c r="H19" s="169">
        <f>VLOOKUP($A19,'Other Offsite_emis'!$A$3:$U$10,18,FALSE)</f>
        <v>3.7</v>
      </c>
      <c r="I19" s="166" t="s">
        <v>296</v>
      </c>
      <c r="J19" s="169">
        <f>VLOOKUP($A19,'Other Offsite_emis'!$A$3:$U$10,6,FALSE)</f>
        <v>30</v>
      </c>
      <c r="K19" s="166" t="s">
        <v>296</v>
      </c>
      <c r="L19" s="169">
        <f>VLOOKUP($A19,'Other Offsite_emis'!$A$3:$U$10,21,FALSE)</f>
        <v>0.1</v>
      </c>
      <c r="M19" s="166" t="s">
        <v>296</v>
      </c>
      <c r="N19" s="169">
        <f>VLOOKUP($A19,'Other Offsite_emis'!$A$3:$U$10,20,FALSE)</f>
        <v>67</v>
      </c>
      <c r="O19" s="166" t="s">
        <v>296</v>
      </c>
      <c r="P19" s="169">
        <f>VLOOKUP($A19,'Other Offsite_emis'!$A$3:$U$10,19,FALSE)</f>
        <v>600</v>
      </c>
      <c r="Q19" s="166" t="s">
        <v>296</v>
      </c>
      <c r="R19" s="170">
        <v>1</v>
      </c>
      <c r="S19" s="166" t="s">
        <v>296</v>
      </c>
      <c r="T19" s="171">
        <f>VLOOKUP($A19,'Other Offsite_emis'!$A$3:$U$10,9,FALSE)</f>
        <v>0</v>
      </c>
      <c r="U19" s="166" t="s">
        <v>296</v>
      </c>
      <c r="V19" s="171">
        <v>0</v>
      </c>
      <c r="W19" s="166" t="s">
        <v>296</v>
      </c>
      <c r="X19" s="171">
        <f>VLOOKUP($A19,'Other Offsite_emis'!$A$3:$U$10,7,FALSE)</f>
        <v>4.0273084728564184E-3</v>
      </c>
      <c r="Y19" s="166" t="s">
        <v>296</v>
      </c>
      <c r="Z19" s="171">
        <v>0</v>
      </c>
      <c r="AA19" s="166" t="s">
        <v>296</v>
      </c>
      <c r="AB19" s="171">
        <v>0</v>
      </c>
      <c r="AC19" s="166" t="s">
        <v>296</v>
      </c>
      <c r="AD19" s="171">
        <f>VLOOKUP($A19,'Other Offsite_emis'!$A$3:$U$10,13,FALSE)</f>
        <v>0</v>
      </c>
      <c r="AE19" s="166" t="s">
        <v>296</v>
      </c>
      <c r="AF19" s="171">
        <f>VLOOKUP($A19,'Other Offsite_emis'!$A$3:$U$10,15,FALSE)</f>
        <v>0</v>
      </c>
      <c r="AG19" s="166" t="s">
        <v>296</v>
      </c>
      <c r="AH19" s="171">
        <f>VLOOKUP($A19,'Other Offsite_emis'!$A$3:$U$10,17,FALSE)</f>
        <v>0</v>
      </c>
      <c r="AI19" s="166" t="s">
        <v>296</v>
      </c>
      <c r="AJ19" s="171">
        <f>VLOOKUP($A19,'Other Offsite_emis'!$A$3:$U$10,8,FALSE)</f>
        <v>0</v>
      </c>
      <c r="AK19" s="166" t="s">
        <v>296</v>
      </c>
      <c r="AL19" s="171">
        <f>VLOOKUP($A19,'Other Offsite_emis'!$A$3:$U$10,8,FALSE)</f>
        <v>0</v>
      </c>
      <c r="AM19" s="166" t="s">
        <v>296</v>
      </c>
      <c r="AN19" s="171">
        <f>VLOOKUP($A19,'Other Offsite_emis'!$A$3:$U$10,10,FALSE)</f>
        <v>5.7532978183663121E-4</v>
      </c>
      <c r="AO19" s="166" t="s">
        <v>293</v>
      </c>
    </row>
    <row r="20" spans="1:41">
      <c r="A20" s="166">
        <f t="shared" si="0"/>
        <v>6</v>
      </c>
      <c r="B20" s="166" t="s">
        <v>293</v>
      </c>
      <c r="C20" s="166" t="s">
        <v>297</v>
      </c>
      <c r="I20" s="168"/>
      <c r="K20" s="168"/>
    </row>
    <row r="21" spans="1:41">
      <c r="A21" s="166">
        <f t="shared" si="0"/>
        <v>7</v>
      </c>
      <c r="B21" s="166" t="s">
        <v>293</v>
      </c>
      <c r="C21" s="166" t="s">
        <v>294</v>
      </c>
      <c r="D21" s="264">
        <f>VLOOKUP($A21,'Other Offsite_emis'!$A$3:$U$10,2,FALSE)</f>
        <v>50002</v>
      </c>
      <c r="E21" s="166" t="s">
        <v>293</v>
      </c>
    </row>
    <row r="22" spans="1:41">
      <c r="A22" s="166">
        <f t="shared" si="0"/>
        <v>7</v>
      </c>
      <c r="B22" s="166" t="s">
        <v>293</v>
      </c>
      <c r="C22" s="166" t="s">
        <v>295</v>
      </c>
      <c r="D22" s="169">
        <f>VLOOKUP($A22,'Other Offsite_emis'!$A$3:$U$10,4,FALSE)</f>
        <v>-21.223959477200001</v>
      </c>
      <c r="E22" s="168" t="s">
        <v>296</v>
      </c>
      <c r="F22" s="169">
        <f>VLOOKUP($A22,'Other Offsite_emis'!$A$3:$U$10,5,FALSE)</f>
        <v>187.818255282</v>
      </c>
      <c r="G22" s="168" t="s">
        <v>296</v>
      </c>
      <c r="H22" s="169">
        <f>VLOOKUP($A22,'Other Offsite_emis'!$A$3:$U$10,18,FALSE)</f>
        <v>3.7</v>
      </c>
      <c r="I22" s="166" t="s">
        <v>296</v>
      </c>
      <c r="J22" s="169">
        <f>VLOOKUP($A22,'Other Offsite_emis'!$A$3:$U$10,6,FALSE)</f>
        <v>30</v>
      </c>
      <c r="K22" s="166" t="s">
        <v>296</v>
      </c>
      <c r="L22" s="169">
        <f>VLOOKUP($A22,'Other Offsite_emis'!$A$3:$U$10,21,FALSE)</f>
        <v>0.1</v>
      </c>
      <c r="M22" s="166" t="s">
        <v>296</v>
      </c>
      <c r="N22" s="169">
        <f>VLOOKUP($A22,'Other Offsite_emis'!$A$3:$U$10,20,FALSE)</f>
        <v>67</v>
      </c>
      <c r="O22" s="166" t="s">
        <v>296</v>
      </c>
      <c r="P22" s="169">
        <f>VLOOKUP($A22,'Other Offsite_emis'!$A$3:$U$10,19,FALSE)</f>
        <v>600</v>
      </c>
      <c r="Q22" s="166" t="s">
        <v>296</v>
      </c>
      <c r="R22" s="170">
        <v>1</v>
      </c>
      <c r="S22" s="166" t="s">
        <v>296</v>
      </c>
      <c r="T22" s="171">
        <f>VLOOKUP($A22,'Other Offsite_emis'!$A$3:$U$10,9,FALSE)</f>
        <v>0</v>
      </c>
      <c r="U22" s="166" t="s">
        <v>296</v>
      </c>
      <c r="V22" s="171">
        <v>0</v>
      </c>
      <c r="W22" s="166" t="s">
        <v>296</v>
      </c>
      <c r="X22" s="171">
        <f>VLOOKUP($A22,'Other Offsite_emis'!$A$3:$U$10,7,FALSE)</f>
        <v>3.1643138001014714E-3</v>
      </c>
      <c r="Y22" s="166" t="s">
        <v>296</v>
      </c>
      <c r="Z22" s="171">
        <v>0</v>
      </c>
      <c r="AA22" s="166" t="s">
        <v>296</v>
      </c>
      <c r="AB22" s="171">
        <v>0</v>
      </c>
      <c r="AC22" s="166" t="s">
        <v>296</v>
      </c>
      <c r="AD22" s="171">
        <f>VLOOKUP($A22,'Other Offsite_emis'!$A$3:$U$10,13,FALSE)</f>
        <v>0</v>
      </c>
      <c r="AE22" s="166" t="s">
        <v>296</v>
      </c>
      <c r="AF22" s="171">
        <f>VLOOKUP($A22,'Other Offsite_emis'!$A$3:$U$10,15,FALSE)</f>
        <v>2.4900835234814057E-4</v>
      </c>
      <c r="AG22" s="166" t="s">
        <v>296</v>
      </c>
      <c r="AH22" s="171">
        <f>VLOOKUP($A22,'Other Offsite_emis'!$A$3:$U$10,17,FALSE)</f>
        <v>3.8656538570175054E-5</v>
      </c>
      <c r="AI22" s="166" t="s">
        <v>296</v>
      </c>
      <c r="AJ22" s="171">
        <f>VLOOKUP($A22,'Other Offsite_emis'!$A$3:$U$10,8,FALSE)</f>
        <v>2.876648909183156E-4</v>
      </c>
      <c r="AK22" s="166" t="s">
        <v>296</v>
      </c>
      <c r="AL22" s="171">
        <f>VLOOKUP($A22,'Other Offsite_emis'!$A$3:$U$10,8,FALSE)</f>
        <v>2.876648909183156E-4</v>
      </c>
      <c r="AM22" s="166" t="s">
        <v>296</v>
      </c>
      <c r="AN22" s="171">
        <f>VLOOKUP($A22,'Other Offsite_emis'!$A$3:$U$10,10,FALSE)</f>
        <v>2.876648909183156E-4</v>
      </c>
      <c r="AO22" s="166" t="s">
        <v>293</v>
      </c>
    </row>
    <row r="23" spans="1:41">
      <c r="A23" s="166">
        <f t="shared" si="0"/>
        <v>7</v>
      </c>
      <c r="B23" s="166" t="s">
        <v>293</v>
      </c>
      <c r="C23" s="166" t="s">
        <v>297</v>
      </c>
      <c r="I23" s="168"/>
      <c r="K23" s="168"/>
    </row>
    <row r="25" spans="1:41">
      <c r="E25" s="168"/>
      <c r="G25" s="168"/>
      <c r="R25" s="170"/>
    </row>
    <row r="26" spans="1:41">
      <c r="I26" s="168"/>
      <c r="K26" s="168"/>
    </row>
    <row r="28" spans="1:41">
      <c r="E28" s="168"/>
      <c r="G28" s="168"/>
      <c r="R28" s="170"/>
    </row>
    <row r="29" spans="1:41">
      <c r="I29" s="168"/>
      <c r="K29" s="168"/>
    </row>
    <row r="31" spans="1:41">
      <c r="E31" s="168"/>
      <c r="G31" s="168"/>
      <c r="R31" s="170"/>
    </row>
    <row r="32" spans="1:41">
      <c r="I32" s="168"/>
      <c r="K32" s="168"/>
    </row>
    <row r="34" spans="5:18">
      <c r="E34" s="168"/>
      <c r="G34" s="168"/>
      <c r="R34" s="170"/>
    </row>
    <row r="35" spans="5:18">
      <c r="I35" s="168"/>
      <c r="K35" s="168"/>
    </row>
    <row r="37" spans="5:18">
      <c r="E37" s="168"/>
      <c r="G37" s="168"/>
      <c r="R37" s="170"/>
    </row>
    <row r="38" spans="5:18">
      <c r="I38" s="168"/>
      <c r="K38" s="168"/>
    </row>
    <row r="40" spans="5:18">
      <c r="E40" s="168"/>
      <c r="G40" s="168"/>
      <c r="R40" s="170"/>
    </row>
    <row r="41" spans="5:18">
      <c r="I41" s="168"/>
      <c r="K41" s="168"/>
    </row>
    <row r="43" spans="5:18">
      <c r="E43" s="168"/>
      <c r="G43" s="168"/>
      <c r="R43" s="170"/>
    </row>
    <row r="44" spans="5:18">
      <c r="I44" s="168"/>
      <c r="K44" s="168"/>
    </row>
    <row r="49" spans="3:3" ht="19.5">
      <c r="C49" s="260"/>
    </row>
    <row r="50" spans="3:3" ht="19.5">
      <c r="C50" s="260"/>
    </row>
    <row r="51" spans="3:3" ht="19.5">
      <c r="C51" s="260"/>
    </row>
    <row r="52" spans="3:3" ht="19.5">
      <c r="C52" s="260"/>
    </row>
  </sheetData>
  <pageMargins left="0.7" right="0.7" top="0.75" bottom="0.75" header="0.3" footer="0.3"/>
  <pageSetup orientation="portrait" horizont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9:C26"/>
  <sheetViews>
    <sheetView zoomScale="80" zoomScaleNormal="80" workbookViewId="0">
      <selection activeCell="I31" sqref="I31"/>
    </sheetView>
  </sheetViews>
  <sheetFormatPr defaultRowHeight="15"/>
  <cols>
    <col min="2" max="2" width="25" customWidth="1"/>
    <col min="3" max="3" width="24.7109375" customWidth="1"/>
  </cols>
  <sheetData>
    <row r="19" spans="2:3" ht="15.75" thickBot="1"/>
    <row r="20" spans="2:3" ht="15.75" thickBot="1">
      <c r="B20" s="419" t="s">
        <v>587</v>
      </c>
      <c r="C20" s="420" t="s">
        <v>588</v>
      </c>
    </row>
    <row r="21" spans="2:3" ht="16.5" thickBot="1">
      <c r="B21" s="421" t="s">
        <v>589</v>
      </c>
      <c r="C21" s="422">
        <v>32181</v>
      </c>
    </row>
    <row r="22" spans="2:3" ht="16.5" thickBot="1">
      <c r="B22" s="421" t="s">
        <v>590</v>
      </c>
      <c r="C22" s="422">
        <v>29140</v>
      </c>
    </row>
    <row r="23" spans="2:3" ht="16.5" thickBot="1">
      <c r="B23" s="421" t="s">
        <v>591</v>
      </c>
      <c r="C23" s="422">
        <v>30030</v>
      </c>
    </row>
    <row r="24" spans="2:3" ht="16.5" thickBot="1">
      <c r="B24" s="421" t="s">
        <v>592</v>
      </c>
      <c r="C24" s="423" t="s">
        <v>593</v>
      </c>
    </row>
    <row r="25" spans="2:3" ht="33.75" customHeight="1">
      <c r="B25" s="495" t="s">
        <v>594</v>
      </c>
      <c r="C25" s="495"/>
    </row>
    <row r="26" spans="2:3" ht="33.75" customHeight="1">
      <c r="B26" s="494" t="s">
        <v>595</v>
      </c>
      <c r="C26" s="494"/>
    </row>
  </sheetData>
  <mergeCells count="2">
    <mergeCell ref="B26:C26"/>
    <mergeCell ref="B25:C25"/>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O23"/>
  <sheetViews>
    <sheetView workbookViewId="0">
      <selection activeCell="D8" sqref="D8:G8"/>
    </sheetView>
  </sheetViews>
  <sheetFormatPr defaultColWidth="9.140625" defaultRowHeight="15"/>
  <cols>
    <col min="1" max="1" width="9.140625" style="199"/>
    <col min="2" max="2" width="23.85546875" style="199" customWidth="1"/>
    <col min="3" max="3" width="9.85546875" style="199" customWidth="1"/>
    <col min="4" max="4" width="10" style="199" customWidth="1"/>
    <col min="5" max="5" width="8.140625" style="199" customWidth="1"/>
    <col min="6" max="6" width="9.7109375" style="199" bestFit="1" customWidth="1"/>
    <col min="7" max="7" width="9.140625" style="199"/>
    <col min="8" max="8" width="73.42578125" style="199" bestFit="1" customWidth="1"/>
    <col min="9" max="9" width="15.7109375" style="199" customWidth="1"/>
    <col min="10" max="10" width="9.5703125" style="199" bestFit="1" customWidth="1"/>
    <col min="11" max="16384" width="9.140625" style="199"/>
  </cols>
  <sheetData>
    <row r="3" spans="2:15">
      <c r="B3" s="200" t="s">
        <v>316</v>
      </c>
    </row>
    <row r="5" spans="2:15" ht="29.25" customHeight="1">
      <c r="B5" s="217" t="s">
        <v>317</v>
      </c>
      <c r="C5" s="218" t="s">
        <v>318</v>
      </c>
      <c r="D5" s="496" t="s">
        <v>332</v>
      </c>
      <c r="E5" s="497"/>
      <c r="F5" s="496" t="s">
        <v>333</v>
      </c>
      <c r="G5" s="497"/>
      <c r="H5" s="218" t="s">
        <v>334</v>
      </c>
    </row>
    <row r="6" spans="2:15">
      <c r="B6" s="201"/>
      <c r="C6" s="202"/>
      <c r="D6" s="219" t="s">
        <v>335</v>
      </c>
      <c r="E6" s="220" t="s">
        <v>336</v>
      </c>
      <c r="F6" s="219" t="s">
        <v>335</v>
      </c>
      <c r="G6" s="220" t="s">
        <v>336</v>
      </c>
      <c r="H6" s="203"/>
    </row>
    <row r="7" spans="2:15" ht="30">
      <c r="B7" s="358" t="s">
        <v>533</v>
      </c>
      <c r="C7" s="226">
        <v>0</v>
      </c>
      <c r="D7" s="223">
        <v>9.98E-2</v>
      </c>
      <c r="E7" s="223">
        <f>D7*1.087</f>
        <v>0.1084826</v>
      </c>
      <c r="F7" s="223">
        <f>100%-D7</f>
        <v>0.9002</v>
      </c>
      <c r="G7" s="223">
        <f>100%-E7</f>
        <v>0.89151740000000002</v>
      </c>
      <c r="H7" s="229" t="s">
        <v>534</v>
      </c>
    </row>
    <row r="8" spans="2:15">
      <c r="B8" s="225" t="str">
        <f>"Turbine" &amp;"|"&amp; "Gas"</f>
        <v>Turbine|Gas</v>
      </c>
      <c r="C8" s="226">
        <v>0</v>
      </c>
      <c r="D8" s="223">
        <f>0.0019/(0.0019+0.0047)</f>
        <v>0.2878787878787879</v>
      </c>
      <c r="E8" s="223">
        <f>0.0019/(0.0019+0.0047)</f>
        <v>0.2878787878787879</v>
      </c>
      <c r="F8" s="223">
        <f>0.0047/(0.0019+0.0047)</f>
        <v>0.71212121212121215</v>
      </c>
      <c r="G8" s="223">
        <f>0.0047/(0.0019+0.0047)</f>
        <v>0.71212121212121215</v>
      </c>
      <c r="H8" s="224" t="s">
        <v>348</v>
      </c>
      <c r="I8" s="200"/>
      <c r="J8" s="200"/>
      <c r="K8" s="204"/>
      <c r="L8" s="204"/>
      <c r="M8" s="204"/>
      <c r="N8" s="204"/>
      <c r="O8" s="204"/>
    </row>
    <row r="9" spans="2:15">
      <c r="B9" s="225" t="str">
        <f>"Turbine" &amp;"|"&amp; "Diesel"</f>
        <v>Turbine|Diesel</v>
      </c>
      <c r="C9" s="226">
        <v>0</v>
      </c>
      <c r="D9" s="223">
        <f>0.0043/(0.0043+0.0072)</f>
        <v>0.37391304347826088</v>
      </c>
      <c r="E9" s="223">
        <f t="shared" ref="E9" si="0">0.0043/(0.0043+0.0072)</f>
        <v>0.37391304347826088</v>
      </c>
      <c r="F9" s="223">
        <f>0.0072/(0.0043+0.0072)</f>
        <v>0.62608695652173907</v>
      </c>
      <c r="G9" s="223">
        <f>0.0072/(0.0043+0.0072)</f>
        <v>0.62608695652173907</v>
      </c>
      <c r="H9" s="224" t="s">
        <v>348</v>
      </c>
      <c r="K9" s="204"/>
      <c r="L9" s="204"/>
      <c r="M9" s="204"/>
      <c r="N9" s="204"/>
      <c r="O9" s="204"/>
    </row>
    <row r="10" spans="2:15">
      <c r="B10" s="225" t="str">
        <f>"Generator" &amp;"|"&amp; "Gas"</f>
        <v>Generator|Gas</v>
      </c>
      <c r="C10" s="226">
        <v>0</v>
      </c>
      <c r="D10" s="223">
        <f>0.0095/(0.0095+0.00991)</f>
        <v>0.48943843379701185</v>
      </c>
      <c r="E10" s="223">
        <f>0.0095/(0.0095+0.00991)</f>
        <v>0.48943843379701185</v>
      </c>
      <c r="F10" s="223">
        <f>0.00991/(0.0095+0.00991)</f>
        <v>0.5105615662029882</v>
      </c>
      <c r="G10" s="223">
        <f>0.00991/(0.0095+0.00991)</f>
        <v>0.5105615662029882</v>
      </c>
      <c r="H10" s="224" t="s">
        <v>337</v>
      </c>
    </row>
    <row r="11" spans="2:15">
      <c r="B11" s="225" t="str">
        <f>"Generator" &amp;"|"&amp; "Diesel"</f>
        <v>Generator|Diesel</v>
      </c>
      <c r="C11" s="226">
        <v>0</v>
      </c>
      <c r="D11" s="223">
        <f>0.0479/(0.0479+0.0077)</f>
        <v>0.86151079136690645</v>
      </c>
      <c r="E11" s="223">
        <f>0.0496/(0.0496+0.0077)</f>
        <v>0.86561954624781856</v>
      </c>
      <c r="F11" s="223">
        <f>0.0077/(0.0479+0.0077)</f>
        <v>0.13848920863309352</v>
      </c>
      <c r="G11" s="223">
        <f>0.0077/(0.0496+0.0077)</f>
        <v>0.13438045375218152</v>
      </c>
      <c r="H11" s="224" t="s">
        <v>338</v>
      </c>
    </row>
    <row r="12" spans="2:15">
      <c r="B12" s="225" t="str">
        <f>"Compressor" &amp;"|"&amp; "Gas"</f>
        <v>Compressor|Gas</v>
      </c>
      <c r="C12" s="226">
        <v>0</v>
      </c>
      <c r="D12" s="223">
        <f>0.0095/(0.0095+0.00991)</f>
        <v>0.48943843379701185</v>
      </c>
      <c r="E12" s="223">
        <f>0.0095/(0.0095+0.00991)</f>
        <v>0.48943843379701185</v>
      </c>
      <c r="F12" s="223">
        <f>0.00991/(0.0095+0.00991)</f>
        <v>0.5105615662029882</v>
      </c>
      <c r="G12" s="223">
        <f>0.00991/(0.0095+0.00991)</f>
        <v>0.5105615662029882</v>
      </c>
      <c r="H12" s="224" t="s">
        <v>337</v>
      </c>
    </row>
    <row r="13" spans="2:15">
      <c r="B13" s="225" t="str">
        <f>"Compressor" &amp;"|"&amp; "Diesel"</f>
        <v>Compressor|Diesel</v>
      </c>
      <c r="C13" s="226">
        <v>0</v>
      </c>
      <c r="D13" s="223">
        <f>0.0479/(0.0479+0.0077)</f>
        <v>0.86151079136690645</v>
      </c>
      <c r="E13" s="223">
        <f>0.0496/(0.0496+0.0077)</f>
        <v>0.86561954624781856</v>
      </c>
      <c r="F13" s="223">
        <f>0.0077/(0.0479+0.0077)</f>
        <v>0.13848920863309352</v>
      </c>
      <c r="G13" s="223">
        <f>0.0077/(0.0496+0.0077)</f>
        <v>0.13438045375218152</v>
      </c>
      <c r="H13" s="224" t="s">
        <v>339</v>
      </c>
    </row>
    <row r="14" spans="2:15">
      <c r="B14" s="225" t="str">
        <f>"Heater" &amp;"|"&amp; "Gas"</f>
        <v>Heater|Gas</v>
      </c>
      <c r="C14" s="226">
        <v>0</v>
      </c>
      <c r="D14" s="223">
        <f>1.9/(1.9+5.7)</f>
        <v>0.25</v>
      </c>
      <c r="E14" s="223">
        <f>1.9/(1.9+5.7)</f>
        <v>0.25</v>
      </c>
      <c r="F14" s="223">
        <f>5.7/(1.9+5.7)</f>
        <v>0.75000000000000011</v>
      </c>
      <c r="G14" s="223">
        <f>5.7/(1.9+5.7)</f>
        <v>0.75000000000000011</v>
      </c>
      <c r="H14" s="224" t="s">
        <v>340</v>
      </c>
    </row>
    <row r="15" spans="2:15">
      <c r="B15" s="225" t="str">
        <f>"Heater" &amp;"|"&amp; "Diesel"</f>
        <v>Heater|Diesel</v>
      </c>
      <c r="C15" s="226">
        <v>0</v>
      </c>
      <c r="D15" s="223">
        <f>0.83/(1.3+0.83)</f>
        <v>0.38967136150234744</v>
      </c>
      <c r="E15" s="223">
        <f>1.08/(1.3+1.08)</f>
        <v>0.45378151260504207</v>
      </c>
      <c r="F15" s="223">
        <f>1.3/(1.3+0.83)</f>
        <v>0.61032863849765262</v>
      </c>
      <c r="G15" s="223">
        <f>1.3/(1.3+1.08)</f>
        <v>0.54621848739495804</v>
      </c>
      <c r="H15" s="224" t="s">
        <v>341</v>
      </c>
    </row>
    <row r="16" spans="2:15">
      <c r="B16" s="225" t="str">
        <f>"Boiler" &amp;"|"&amp; "Gas"</f>
        <v>Boiler|Gas</v>
      </c>
      <c r="C16" s="226">
        <v>0</v>
      </c>
      <c r="D16" s="223">
        <f>1.9/(1.9+5.7)</f>
        <v>0.25</v>
      </c>
      <c r="E16" s="223">
        <f>1.9/(1.9+5.7)</f>
        <v>0.25</v>
      </c>
      <c r="F16" s="223">
        <f>5.7/(1.9+5.7)</f>
        <v>0.75000000000000011</v>
      </c>
      <c r="G16" s="223">
        <f>5.7/(1.9+5.7)</f>
        <v>0.75000000000000011</v>
      </c>
      <c r="H16" s="224" t="s">
        <v>340</v>
      </c>
    </row>
    <row r="17" spans="2:8">
      <c r="B17" s="225" t="str">
        <f>"Boiler" &amp;"|"&amp; "Diesel"</f>
        <v>Boiler|Diesel</v>
      </c>
      <c r="C17" s="226">
        <v>0</v>
      </c>
      <c r="D17" s="223">
        <f>0.83/(1.3+0.83)</f>
        <v>0.38967136150234744</v>
      </c>
      <c r="E17" s="223">
        <f>1.08/(1.3+1.08)</f>
        <v>0.45378151260504207</v>
      </c>
      <c r="F17" s="223">
        <f>1.3/(1.3+0.83)</f>
        <v>0.61032863849765262</v>
      </c>
      <c r="G17" s="223">
        <f>1.3/(1.3+1.08)</f>
        <v>0.54621848739495804</v>
      </c>
      <c r="H17" s="224" t="s">
        <v>341</v>
      </c>
    </row>
    <row r="18" spans="2:8">
      <c r="B18" s="225" t="str">
        <f>"Pump" &amp;"|"&amp; "Gas"</f>
        <v>Pump|Gas</v>
      </c>
      <c r="C18" s="226">
        <v>0</v>
      </c>
      <c r="D18" s="223">
        <f>0.0095/(0.0095+0.00991)</f>
        <v>0.48943843379701185</v>
      </c>
      <c r="E18" s="223">
        <f>0.0095/(0.0095+0.00991)</f>
        <v>0.48943843379701185</v>
      </c>
      <c r="F18" s="223">
        <f>0.00991/(0.0095+0.00991)</f>
        <v>0.5105615662029882</v>
      </c>
      <c r="G18" s="223">
        <f>0.00991/(0.0095+0.00991)</f>
        <v>0.5105615662029882</v>
      </c>
      <c r="H18" s="224" t="s">
        <v>337</v>
      </c>
    </row>
    <row r="19" spans="2:8">
      <c r="B19" s="225" t="str">
        <f>"Pump" &amp;"|"&amp; "Diesel"</f>
        <v>Pump|Diesel</v>
      </c>
      <c r="C19" s="226">
        <v>0</v>
      </c>
      <c r="D19" s="223">
        <f>0.0479/(0.0479+0.0077)</f>
        <v>0.86151079136690645</v>
      </c>
      <c r="E19" s="223">
        <f>0.0496/(0.0496+0.0077)</f>
        <v>0.86561954624781856</v>
      </c>
      <c r="F19" s="223">
        <f>0.0077/(0.0479+0.0077)</f>
        <v>0.13848920863309352</v>
      </c>
      <c r="G19" s="223">
        <f>0.0077/(0.0496+0.0077)</f>
        <v>0.13438045375218152</v>
      </c>
      <c r="H19" s="224" t="s">
        <v>339</v>
      </c>
    </row>
    <row r="20" spans="2:8">
      <c r="B20" s="225" t="str">
        <f>"Flare" &amp;"|"&amp; "Gas"</f>
        <v>Flare|Gas</v>
      </c>
      <c r="C20" s="226">
        <v>0</v>
      </c>
      <c r="D20" s="223">
        <f>1.9/(1.9+5.7)</f>
        <v>0.25</v>
      </c>
      <c r="E20" s="223">
        <f>1.9/(1.9+5.7)</f>
        <v>0.25</v>
      </c>
      <c r="F20" s="223">
        <f>5.7/(1.9+5.7)</f>
        <v>0.75000000000000011</v>
      </c>
      <c r="G20" s="223">
        <f>5.7/(1.9+5.7)</f>
        <v>0.75000000000000011</v>
      </c>
      <c r="H20" s="224" t="s">
        <v>342</v>
      </c>
    </row>
    <row r="21" spans="2:8" ht="30">
      <c r="B21" s="228" t="str">
        <f>"Cooling Tower" &amp;"|"&amp; "N/A"</f>
        <v>Cooling Tower|N/A</v>
      </c>
      <c r="C21" s="227">
        <v>0</v>
      </c>
      <c r="D21" s="223">
        <v>0</v>
      </c>
      <c r="E21" s="223">
        <v>0</v>
      </c>
      <c r="F21" s="223">
        <v>1</v>
      </c>
      <c r="G21" s="223">
        <v>1</v>
      </c>
      <c r="H21" s="229" t="s">
        <v>350</v>
      </c>
    </row>
    <row r="22" spans="2:8">
      <c r="B22" s="225" t="str">
        <f>"Tank" &amp;"|"&amp; "N/A"</f>
        <v>Tank|N/A</v>
      </c>
      <c r="C22" s="226">
        <v>0</v>
      </c>
      <c r="D22" s="223">
        <v>0</v>
      </c>
      <c r="E22" s="223">
        <v>0</v>
      </c>
      <c r="F22" s="223">
        <v>0</v>
      </c>
      <c r="G22" s="223">
        <v>0</v>
      </c>
      <c r="H22" s="224" t="s">
        <v>349</v>
      </c>
    </row>
    <row r="23" spans="2:8">
      <c r="B23" s="205"/>
    </row>
  </sheetData>
  <mergeCells count="2">
    <mergeCell ref="D5:E5"/>
    <mergeCell ref="F5:G5"/>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election activeCell="B24" sqref="B24"/>
    </sheetView>
  </sheetViews>
  <sheetFormatPr defaultRowHeight="15"/>
  <sheetData>
    <row r="1" spans="1:2">
      <c r="A1" t="s">
        <v>602</v>
      </c>
      <c r="B1" t="s">
        <v>603</v>
      </c>
    </row>
    <row r="2" spans="1:2">
      <c r="A2" t="s">
        <v>540</v>
      </c>
      <c r="B2" s="137" t="s">
        <v>540</v>
      </c>
    </row>
    <row r="3" spans="1:2">
      <c r="A3" t="s">
        <v>541</v>
      </c>
      <c r="B3" s="137" t="s">
        <v>541</v>
      </c>
    </row>
    <row r="4" spans="1:2">
      <c r="A4" t="s">
        <v>542</v>
      </c>
      <c r="B4" s="137" t="s">
        <v>542</v>
      </c>
    </row>
    <row r="5" spans="1:2">
      <c r="A5" t="s">
        <v>543</v>
      </c>
      <c r="B5" s="137" t="s">
        <v>543</v>
      </c>
    </row>
    <row r="6" spans="1:2">
      <c r="A6" t="s">
        <v>544</v>
      </c>
      <c r="B6" s="382" t="s">
        <v>544</v>
      </c>
    </row>
    <row r="7" spans="1:2">
      <c r="A7" t="s">
        <v>545</v>
      </c>
      <c r="B7" s="137" t="s">
        <v>545</v>
      </c>
    </row>
    <row r="8" spans="1:2">
      <c r="A8" t="s">
        <v>546</v>
      </c>
      <c r="B8" s="137" t="s">
        <v>546</v>
      </c>
    </row>
    <row r="9" spans="1:2">
      <c r="A9" t="s">
        <v>547</v>
      </c>
      <c r="B9" s="382" t="s">
        <v>547</v>
      </c>
    </row>
    <row r="10" spans="1:2">
      <c r="A10" t="s">
        <v>601</v>
      </c>
      <c r="B10" s="382" t="s">
        <v>601</v>
      </c>
    </row>
    <row r="11" spans="1:2">
      <c r="A11" t="s">
        <v>548</v>
      </c>
      <c r="B11" s="434" t="s">
        <v>548</v>
      </c>
    </row>
    <row r="12" spans="1:2">
      <c r="A12" t="s">
        <v>549</v>
      </c>
      <c r="B12" s="137" t="s">
        <v>549</v>
      </c>
    </row>
    <row r="13" spans="1:2">
      <c r="A13" t="s">
        <v>550</v>
      </c>
      <c r="B13" s="137" t="s">
        <v>550</v>
      </c>
    </row>
    <row r="14" spans="1:2">
      <c r="A14" t="s">
        <v>551</v>
      </c>
      <c r="B14" s="137" t="s">
        <v>551</v>
      </c>
    </row>
    <row r="15" spans="1:2">
      <c r="A15" t="s">
        <v>552</v>
      </c>
      <c r="B15" s="137" t="s">
        <v>552</v>
      </c>
    </row>
    <row r="16" spans="1:2">
      <c r="A16" t="s">
        <v>553</v>
      </c>
      <c r="B16" s="137" t="s">
        <v>553</v>
      </c>
    </row>
    <row r="17" spans="1:2">
      <c r="A17" t="s">
        <v>554</v>
      </c>
      <c r="B17" s="137" t="s">
        <v>554</v>
      </c>
    </row>
    <row r="18" spans="1:2">
      <c r="A18" t="s">
        <v>555</v>
      </c>
      <c r="B18" s="137" t="s">
        <v>555</v>
      </c>
    </row>
    <row r="19" spans="1:2">
      <c r="A19" t="s">
        <v>600</v>
      </c>
      <c r="B19" s="382" t="s">
        <v>600</v>
      </c>
    </row>
    <row r="20" spans="1:2">
      <c r="A20" t="s">
        <v>556</v>
      </c>
      <c r="B20" s="137" t="s">
        <v>556</v>
      </c>
    </row>
    <row r="21" spans="1:2">
      <c r="A21" t="s">
        <v>557</v>
      </c>
      <c r="B21" s="137" t="s">
        <v>557</v>
      </c>
    </row>
    <row r="22" spans="1:2">
      <c r="A22" t="s">
        <v>560</v>
      </c>
      <c r="B22" s="137" t="s">
        <v>560</v>
      </c>
    </row>
    <row r="23" spans="1:2">
      <c r="A23" t="s">
        <v>558</v>
      </c>
      <c r="B23" s="137" t="s">
        <v>558</v>
      </c>
    </row>
    <row r="24" spans="1:2">
      <c r="B24" s="388" t="s">
        <v>559</v>
      </c>
    </row>
    <row r="25" spans="1:2">
      <c r="B25" s="137"/>
    </row>
    <row r="26" spans="1:2">
      <c r="B26" s="137"/>
    </row>
  </sheetData>
  <sortState ref="A2:A28">
    <sortCondition ref="A2:A28"/>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J821"/>
  <sheetViews>
    <sheetView topLeftCell="A19" zoomScale="90" zoomScaleNormal="90" workbookViewId="0">
      <selection activeCell="C86" sqref="C86"/>
    </sheetView>
  </sheetViews>
  <sheetFormatPr defaultColWidth="9.140625" defaultRowHeight="15"/>
  <cols>
    <col min="1" max="1" width="4.5703125" style="11" customWidth="1"/>
    <col min="2" max="2" width="8.5703125" style="11" customWidth="1"/>
    <col min="3" max="3" width="34.28515625" style="11" customWidth="1"/>
    <col min="4" max="4" width="13.28515625" style="11" hidden="1" customWidth="1"/>
    <col min="5" max="5" width="12.7109375" style="11" hidden="1" customWidth="1"/>
    <col min="6" max="7" width="9.28515625" style="11" hidden="1" customWidth="1"/>
    <col min="8" max="8" width="6.5703125" style="7" customWidth="1"/>
    <col min="9" max="9" width="9.42578125" style="7" customWidth="1"/>
    <col min="10" max="10" width="9.85546875" style="7" customWidth="1"/>
    <col min="11" max="11" width="9.42578125" style="7" customWidth="1"/>
    <col min="12" max="12" width="11.5703125" style="7" customWidth="1"/>
    <col min="13" max="13" width="7.5703125" style="7" customWidth="1"/>
    <col min="14" max="14" width="11.5703125" style="7" customWidth="1"/>
    <col min="15" max="15" width="10.5703125" style="7" customWidth="1"/>
    <col min="16" max="16" width="10.140625" style="7" customWidth="1"/>
    <col min="17" max="18" width="8.85546875" style="7" customWidth="1"/>
    <col min="19" max="19" width="9.42578125" style="7" customWidth="1"/>
    <col min="20" max="20" width="8.85546875" style="7" customWidth="1"/>
    <col min="21" max="21" width="10.28515625" style="7" customWidth="1"/>
    <col min="22" max="25" width="8.85546875" style="7" customWidth="1"/>
    <col min="26" max="26" width="10.28515625" style="7" customWidth="1"/>
    <col min="27" max="27" width="7.85546875" style="7" customWidth="1"/>
    <col min="28" max="28" width="7.5703125" style="7" customWidth="1"/>
    <col min="29" max="29" width="7.140625" style="7" customWidth="1"/>
    <col min="30" max="30" width="9.5703125" style="7" customWidth="1"/>
    <col min="31" max="31" width="9.28515625" style="7" customWidth="1"/>
    <col min="32" max="32" width="9.7109375" style="7" customWidth="1"/>
    <col min="33" max="33" width="7.5703125" style="11" customWidth="1"/>
    <col min="34" max="34" width="9.140625" style="12" customWidth="1"/>
    <col min="35" max="35" width="95.28515625" style="11" customWidth="1"/>
    <col min="36" max="16384" width="9.140625" style="11"/>
  </cols>
  <sheetData>
    <row r="1" spans="1:35" s="109" customFormat="1" ht="16.5" customHeight="1">
      <c r="C1" s="110"/>
      <c r="D1" s="111" t="s">
        <v>418</v>
      </c>
      <c r="E1" s="112" t="s">
        <v>127</v>
      </c>
      <c r="F1" s="112"/>
      <c r="G1" s="112"/>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row>
    <row r="2" spans="1:35" s="72" customFormat="1" ht="15.75" customHeight="1">
      <c r="C2" s="114" t="s">
        <v>414</v>
      </c>
      <c r="D2" s="110" t="s">
        <v>126</v>
      </c>
      <c r="E2" s="115">
        <v>41957</v>
      </c>
      <c r="F2" s="115"/>
      <c r="G2" s="115"/>
      <c r="H2" s="81"/>
      <c r="I2" s="116"/>
      <c r="J2" s="116"/>
      <c r="K2" s="116"/>
      <c r="L2" s="116"/>
      <c r="M2" s="116"/>
      <c r="N2" s="116"/>
      <c r="O2" s="116"/>
      <c r="P2" s="116"/>
      <c r="Q2" s="116"/>
      <c r="R2" s="116"/>
      <c r="S2" s="116"/>
      <c r="T2" s="116"/>
      <c r="U2" s="116"/>
      <c r="V2" s="116"/>
      <c r="W2" s="116"/>
      <c r="X2" s="116"/>
      <c r="Y2" s="116"/>
      <c r="Z2" s="81"/>
      <c r="AA2" s="81"/>
      <c r="AB2" s="81"/>
      <c r="AC2" s="81"/>
      <c r="AD2" s="81"/>
      <c r="AE2" s="81"/>
      <c r="AF2" s="81"/>
    </row>
    <row r="3" spans="1:35" s="72" customFormat="1" ht="12.75" customHeight="1">
      <c r="C3" s="114" t="s">
        <v>415</v>
      </c>
      <c r="D3" s="110" t="s">
        <v>416</v>
      </c>
      <c r="E3" s="115">
        <v>41863</v>
      </c>
      <c r="F3" s="115"/>
      <c r="G3" s="115"/>
      <c r="H3" s="81"/>
      <c r="I3" s="116"/>
      <c r="J3" s="116"/>
      <c r="K3" s="116"/>
      <c r="L3" s="116"/>
      <c r="M3" s="116"/>
      <c r="N3" s="295"/>
      <c r="O3" s="116"/>
      <c r="P3" s="116"/>
      <c r="Q3" s="116"/>
      <c r="R3" s="116"/>
      <c r="S3" s="116"/>
      <c r="T3" s="116"/>
      <c r="U3" s="116"/>
      <c r="V3" s="116"/>
      <c r="W3" s="116"/>
      <c r="X3" s="116"/>
      <c r="Y3" s="116"/>
      <c r="Z3" s="81"/>
      <c r="AA3" s="81"/>
      <c r="AB3" s="81"/>
      <c r="AC3" s="81"/>
      <c r="AD3" s="81"/>
      <c r="AE3" s="81"/>
      <c r="AF3" s="81"/>
    </row>
    <row r="4" spans="1:35" s="72" customFormat="1" ht="11.25">
      <c r="C4" s="114" t="s">
        <v>351</v>
      </c>
      <c r="D4" s="110" t="s">
        <v>278</v>
      </c>
      <c r="E4" s="115">
        <v>41964</v>
      </c>
      <c r="F4" s="115"/>
      <c r="G4" s="115"/>
      <c r="H4" s="113"/>
      <c r="I4" s="116"/>
      <c r="J4" s="116"/>
      <c r="K4" s="116"/>
      <c r="L4" s="116"/>
      <c r="M4" s="116"/>
      <c r="N4" s="116"/>
      <c r="O4" s="116"/>
      <c r="P4" s="295"/>
      <c r="Q4" s="116"/>
      <c r="R4" s="116"/>
      <c r="S4" s="116"/>
      <c r="T4" s="116"/>
      <c r="U4" s="116"/>
      <c r="V4" s="116"/>
      <c r="W4" s="116"/>
      <c r="X4" s="116"/>
      <c r="Y4" s="116"/>
      <c r="Z4" s="81"/>
      <c r="AA4" s="81"/>
      <c r="AB4" s="81"/>
      <c r="AC4" s="81"/>
      <c r="AD4" s="81"/>
      <c r="AE4" s="81"/>
      <c r="AF4" s="81"/>
    </row>
    <row r="5" spans="1:35" s="72" customFormat="1" ht="11.25">
      <c r="C5" s="114" t="s">
        <v>352</v>
      </c>
      <c r="D5" s="110" t="s">
        <v>353</v>
      </c>
      <c r="E5" s="115">
        <v>41865</v>
      </c>
      <c r="F5" s="115"/>
      <c r="G5" s="115"/>
      <c r="H5" s="113"/>
      <c r="I5" s="116"/>
      <c r="J5" s="116"/>
      <c r="K5" s="116"/>
      <c r="L5" s="116"/>
      <c r="M5" s="116"/>
      <c r="N5" s="116"/>
      <c r="O5" s="116"/>
      <c r="P5" s="295"/>
      <c r="Q5" s="116"/>
      <c r="R5" s="116"/>
      <c r="S5" s="116"/>
      <c r="T5" s="116"/>
      <c r="U5" s="116"/>
      <c r="V5" s="116"/>
      <c r="W5" s="116"/>
      <c r="X5" s="116"/>
      <c r="Y5" s="116"/>
      <c r="Z5" s="81"/>
      <c r="AA5" s="81"/>
      <c r="AB5" s="81"/>
      <c r="AC5" s="81"/>
      <c r="AD5" s="81"/>
      <c r="AE5" s="81"/>
      <c r="AF5" s="81"/>
    </row>
    <row r="6" spans="1:35" s="72" customFormat="1" ht="11.25">
      <c r="C6" s="114" t="s">
        <v>443</v>
      </c>
      <c r="D6" s="110" t="s">
        <v>446</v>
      </c>
      <c r="E6" s="115">
        <v>41871</v>
      </c>
      <c r="F6" s="115"/>
      <c r="G6" s="115"/>
      <c r="H6" s="113"/>
      <c r="I6" s="116"/>
      <c r="J6" s="116"/>
      <c r="K6" s="116"/>
      <c r="L6" s="116"/>
      <c r="M6" s="116"/>
      <c r="N6" s="116"/>
      <c r="O6" s="116"/>
      <c r="P6" s="295"/>
      <c r="Q6" s="116"/>
      <c r="R6" s="116"/>
      <c r="S6" s="116"/>
      <c r="T6" s="116"/>
      <c r="U6" s="116"/>
      <c r="V6" s="116"/>
      <c r="W6" s="116"/>
      <c r="X6" s="116"/>
      <c r="Y6" s="116"/>
      <c r="Z6" s="81"/>
      <c r="AA6" s="81"/>
      <c r="AB6" s="81"/>
      <c r="AC6" s="81"/>
      <c r="AD6" s="81"/>
      <c r="AE6" s="81"/>
      <c r="AF6" s="81"/>
    </row>
    <row r="7" spans="1:35" s="72" customFormat="1" ht="11.25">
      <c r="C7" s="114" t="s">
        <v>444</v>
      </c>
      <c r="D7" s="110" t="s">
        <v>445</v>
      </c>
      <c r="E7" s="115">
        <v>41863</v>
      </c>
      <c r="F7" s="115"/>
      <c r="G7" s="115"/>
      <c r="H7" s="113"/>
      <c r="I7" s="116"/>
      <c r="J7" s="116"/>
      <c r="K7" s="116"/>
      <c r="L7" s="116"/>
      <c r="M7" s="116"/>
      <c r="N7" s="116"/>
      <c r="O7" s="116"/>
      <c r="P7" s="295"/>
      <c r="Q7" s="116"/>
      <c r="R7" s="116"/>
      <c r="S7" s="116"/>
      <c r="T7" s="116"/>
      <c r="U7" s="116"/>
      <c r="V7" s="116"/>
      <c r="W7" s="116"/>
      <c r="X7" s="116"/>
      <c r="Y7" s="116"/>
      <c r="Z7" s="81"/>
      <c r="AA7" s="81"/>
      <c r="AB7" s="81"/>
      <c r="AC7" s="81"/>
      <c r="AD7" s="81"/>
      <c r="AE7" s="81"/>
      <c r="AF7" s="81"/>
    </row>
    <row r="8" spans="1:35" s="72" customFormat="1" ht="15.75" customHeight="1">
      <c r="C8" s="114" t="s">
        <v>354</v>
      </c>
      <c r="D8" s="110" t="s">
        <v>413</v>
      </c>
      <c r="E8" s="115"/>
      <c r="F8" s="115"/>
      <c r="G8" s="115"/>
      <c r="H8" s="113"/>
      <c r="I8" s="116"/>
      <c r="J8" s="116"/>
      <c r="K8" s="116"/>
      <c r="L8" s="116"/>
      <c r="M8" s="116"/>
      <c r="N8" s="116"/>
      <c r="O8" s="97"/>
      <c r="P8" s="295"/>
      <c r="Q8" s="116"/>
      <c r="R8" s="116"/>
      <c r="S8" s="116"/>
      <c r="T8" s="116"/>
      <c r="U8" s="116"/>
      <c r="V8" s="116"/>
      <c r="W8" s="116"/>
      <c r="X8" s="116"/>
      <c r="Y8" s="116"/>
      <c r="Z8" s="81"/>
      <c r="AA8" s="81"/>
      <c r="AB8" s="81"/>
      <c r="AC8" s="81"/>
      <c r="AD8" s="364"/>
      <c r="AE8" s="364"/>
      <c r="AF8" s="81"/>
    </row>
    <row r="9" spans="1:35" s="72" customFormat="1" ht="11.25">
      <c r="C9" s="282" t="s">
        <v>358</v>
      </c>
      <c r="D9" s="113"/>
      <c r="E9" s="117"/>
      <c r="F9" s="117"/>
      <c r="G9" s="117"/>
      <c r="H9" s="113"/>
      <c r="I9" s="116"/>
      <c r="J9" s="116"/>
      <c r="K9" s="116"/>
      <c r="L9" s="116"/>
      <c r="M9" s="116"/>
      <c r="N9" s="116"/>
      <c r="O9" s="116"/>
      <c r="P9" s="116"/>
      <c r="Q9" s="116"/>
      <c r="R9" s="116"/>
      <c r="S9" s="116"/>
      <c r="T9" s="116"/>
      <c r="U9" s="116"/>
      <c r="V9" s="116"/>
      <c r="W9" s="116"/>
      <c r="X9" s="116"/>
      <c r="Y9" s="116"/>
      <c r="Z9" s="81"/>
      <c r="AA9" s="81"/>
      <c r="AB9" s="81"/>
      <c r="AC9" s="81"/>
      <c r="AD9" s="364"/>
      <c r="AE9" s="364"/>
      <c r="AF9" s="81"/>
    </row>
    <row r="10" spans="1:35" s="72" customFormat="1" ht="11.25">
      <c r="C10" s="415" t="s">
        <v>586</v>
      </c>
      <c r="D10" s="416"/>
      <c r="E10" s="417"/>
      <c r="F10" s="417"/>
      <c r="G10" s="417"/>
      <c r="H10" s="416"/>
      <c r="I10" s="418"/>
      <c r="J10" s="418"/>
      <c r="K10" s="418"/>
      <c r="L10" s="418"/>
      <c r="M10" s="418"/>
      <c r="N10" s="418"/>
      <c r="O10" s="116"/>
      <c r="P10" s="116"/>
      <c r="Q10" s="116"/>
      <c r="R10" s="116"/>
      <c r="S10" s="116"/>
      <c r="T10" s="116"/>
      <c r="U10" s="116"/>
      <c r="V10" s="116"/>
      <c r="W10" s="116"/>
      <c r="X10" s="116"/>
      <c r="Y10" s="116"/>
      <c r="Z10" s="81"/>
      <c r="AA10" s="81"/>
      <c r="AB10" s="81"/>
      <c r="AC10" s="81"/>
      <c r="AD10" s="364"/>
      <c r="AE10" s="364"/>
      <c r="AF10" s="81"/>
    </row>
    <row r="11" spans="1:35" s="81" customFormat="1" ht="11.25">
      <c r="A11" s="81">
        <v>1</v>
      </c>
      <c r="B11" s="81">
        <f>A11+1</f>
        <v>2</v>
      </c>
      <c r="C11" s="81">
        <f t="shared" ref="C11:N11" si="0">B11+1</f>
        <v>3</v>
      </c>
      <c r="D11" s="81">
        <f t="shared" si="0"/>
        <v>4</v>
      </c>
      <c r="E11" s="81">
        <f t="shared" si="0"/>
        <v>5</v>
      </c>
      <c r="F11" s="81">
        <f t="shared" si="0"/>
        <v>6</v>
      </c>
      <c r="G11" s="81">
        <f t="shared" si="0"/>
        <v>7</v>
      </c>
      <c r="H11" s="81">
        <f t="shared" si="0"/>
        <v>8</v>
      </c>
      <c r="I11" s="81">
        <f t="shared" si="0"/>
        <v>9</v>
      </c>
      <c r="J11" s="81">
        <f t="shared" si="0"/>
        <v>10</v>
      </c>
      <c r="K11" s="81">
        <f t="shared" si="0"/>
        <v>11</v>
      </c>
      <c r="L11" s="81">
        <f t="shared" si="0"/>
        <v>12</v>
      </c>
      <c r="M11" s="81">
        <f t="shared" si="0"/>
        <v>13</v>
      </c>
      <c r="N11" s="81">
        <f t="shared" si="0"/>
        <v>14</v>
      </c>
      <c r="O11" s="81">
        <f t="shared" ref="O11" si="1">N11+1</f>
        <v>15</v>
      </c>
      <c r="P11" s="81">
        <f t="shared" ref="P11" si="2">O11+1</f>
        <v>16</v>
      </c>
      <c r="Q11" s="81">
        <f t="shared" ref="Q11" si="3">P11+1</f>
        <v>17</v>
      </c>
      <c r="R11" s="81">
        <f t="shared" ref="R11" si="4">Q11+1</f>
        <v>18</v>
      </c>
      <c r="S11" s="81">
        <f t="shared" ref="S11" si="5">R11+1</f>
        <v>19</v>
      </c>
      <c r="T11" s="81">
        <f t="shared" ref="T11" si="6">S11+1</f>
        <v>20</v>
      </c>
      <c r="U11" s="81">
        <f t="shared" ref="U11:V11" si="7">T11+1</f>
        <v>21</v>
      </c>
      <c r="V11" s="81">
        <f t="shared" si="7"/>
        <v>22</v>
      </c>
      <c r="W11" s="81">
        <v>23</v>
      </c>
      <c r="X11" s="81">
        <f t="shared" ref="X11" si="8">W11+1</f>
        <v>24</v>
      </c>
      <c r="Y11" s="81">
        <v>25</v>
      </c>
      <c r="Z11" s="81">
        <f t="shared" ref="Z11" si="9">Y11+1</f>
        <v>26</v>
      </c>
      <c r="AA11" s="81">
        <f t="shared" ref="AA11" si="10">Z11+1</f>
        <v>27</v>
      </c>
      <c r="AB11" s="81">
        <f t="shared" ref="AB11" si="11">AA11+1</f>
        <v>28</v>
      </c>
      <c r="AC11" s="81">
        <f t="shared" ref="AC11" si="12">AB11+1</f>
        <v>29</v>
      </c>
      <c r="AD11" s="81">
        <f t="shared" ref="AD11" si="13">AC11+1</f>
        <v>30</v>
      </c>
      <c r="AE11" s="81">
        <f t="shared" ref="AE11" si="14">AD11+1</f>
        <v>31</v>
      </c>
    </row>
    <row r="12" spans="1:35">
      <c r="B12" s="463" t="s">
        <v>249</v>
      </c>
      <c r="C12" s="463" t="s">
        <v>128</v>
      </c>
      <c r="D12" s="465" t="s">
        <v>24</v>
      </c>
      <c r="E12" s="466"/>
      <c r="F12" s="466"/>
      <c r="G12" s="466"/>
      <c r="H12" s="467"/>
      <c r="I12" s="465" t="s">
        <v>8</v>
      </c>
      <c r="J12" s="468"/>
      <c r="K12" s="468"/>
      <c r="L12" s="468"/>
      <c r="M12" s="468"/>
      <c r="N12" s="468"/>
      <c r="O12" s="468"/>
      <c r="P12" s="468"/>
      <c r="Q12" s="468"/>
      <c r="R12" s="468"/>
      <c r="S12" s="466"/>
      <c r="T12" s="466"/>
      <c r="U12" s="468"/>
      <c r="V12" s="468"/>
      <c r="W12" s="468"/>
      <c r="X12" s="467"/>
      <c r="Y12" s="216"/>
      <c r="Z12" s="465" t="s">
        <v>11</v>
      </c>
      <c r="AA12" s="466"/>
      <c r="AB12" s="466"/>
      <c r="AC12" s="467"/>
      <c r="AD12" s="293"/>
      <c r="AE12" s="293"/>
      <c r="AF12" s="105"/>
      <c r="AG12" s="105"/>
      <c r="AH12" s="14" t="s">
        <v>45</v>
      </c>
    </row>
    <row r="13" spans="1:35" s="119" customFormat="1" ht="39" customHeight="1">
      <c r="B13" s="464"/>
      <c r="C13" s="464"/>
      <c r="D13" s="92" t="s">
        <v>13</v>
      </c>
      <c r="E13" s="92" t="s">
        <v>25</v>
      </c>
      <c r="F13" s="92" t="s">
        <v>307</v>
      </c>
      <c r="G13" s="92" t="s">
        <v>308</v>
      </c>
      <c r="H13" s="92" t="s">
        <v>256</v>
      </c>
      <c r="I13" s="92" t="s">
        <v>258</v>
      </c>
      <c r="J13" s="92" t="s">
        <v>304</v>
      </c>
      <c r="K13" s="92" t="s">
        <v>257</v>
      </c>
      <c r="L13" s="92" t="s">
        <v>305</v>
      </c>
      <c r="M13" s="92" t="s">
        <v>309</v>
      </c>
      <c r="N13" s="92" t="s">
        <v>259</v>
      </c>
      <c r="O13" s="92" t="s">
        <v>584</v>
      </c>
      <c r="P13" s="92" t="s">
        <v>356</v>
      </c>
      <c r="Q13" s="92" t="s">
        <v>306</v>
      </c>
      <c r="R13" s="92" t="s">
        <v>301</v>
      </c>
      <c r="S13" s="92" t="s">
        <v>301</v>
      </c>
      <c r="T13" s="469" t="s">
        <v>322</v>
      </c>
      <c r="U13" s="469" t="s">
        <v>319</v>
      </c>
      <c r="V13" s="206" t="s">
        <v>343</v>
      </c>
      <c r="W13" s="206" t="s">
        <v>344</v>
      </c>
      <c r="X13" s="206" t="s">
        <v>345</v>
      </c>
      <c r="Y13" s="206" t="s">
        <v>346</v>
      </c>
      <c r="Z13" s="206" t="s">
        <v>347</v>
      </c>
      <c r="AA13" s="92" t="s">
        <v>252</v>
      </c>
      <c r="AB13" s="92" t="s">
        <v>253</v>
      </c>
      <c r="AC13" s="92" t="s">
        <v>254</v>
      </c>
      <c r="AD13" s="92" t="s">
        <v>255</v>
      </c>
      <c r="AE13" s="92" t="s">
        <v>441</v>
      </c>
      <c r="AF13" s="92" t="s">
        <v>442</v>
      </c>
      <c r="AG13" s="92" t="s">
        <v>186</v>
      </c>
      <c r="AH13" s="118" t="s">
        <v>173</v>
      </c>
      <c r="AI13" s="15"/>
    </row>
    <row r="14" spans="1:35" s="7" customFormat="1" ht="39.75" customHeight="1" thickBot="1">
      <c r="B14" s="93" t="s">
        <v>91</v>
      </c>
      <c r="C14" s="93" t="s">
        <v>133</v>
      </c>
      <c r="D14" s="94" t="s">
        <v>7</v>
      </c>
      <c r="E14" s="94" t="s">
        <v>7</v>
      </c>
      <c r="F14" s="94"/>
      <c r="G14" s="94"/>
      <c r="H14" s="94" t="s">
        <v>7</v>
      </c>
      <c r="I14" s="94" t="s">
        <v>171</v>
      </c>
      <c r="J14" s="94" t="s">
        <v>171</v>
      </c>
      <c r="K14" s="94" t="s">
        <v>171</v>
      </c>
      <c r="L14" s="94" t="s">
        <v>171</v>
      </c>
      <c r="M14" s="248" t="s">
        <v>355</v>
      </c>
      <c r="N14" s="94" t="s">
        <v>171</v>
      </c>
      <c r="O14" s="94"/>
      <c r="P14" s="248" t="s">
        <v>357</v>
      </c>
      <c r="Q14" s="94" t="s">
        <v>171</v>
      </c>
      <c r="R14" s="248" t="s">
        <v>355</v>
      </c>
      <c r="S14" s="248" t="s">
        <v>171</v>
      </c>
      <c r="T14" s="470"/>
      <c r="U14" s="470"/>
      <c r="V14" s="208" t="s">
        <v>171</v>
      </c>
      <c r="W14" s="208" t="s">
        <v>171</v>
      </c>
      <c r="X14" s="208" t="s">
        <v>171</v>
      </c>
      <c r="Y14" s="208" t="s">
        <v>171</v>
      </c>
      <c r="Z14" s="208" t="s">
        <v>171</v>
      </c>
      <c r="AA14" s="94" t="s">
        <v>7</v>
      </c>
      <c r="AB14" s="94" t="s">
        <v>263</v>
      </c>
      <c r="AC14" s="94" t="s">
        <v>172</v>
      </c>
      <c r="AD14" s="94" t="s">
        <v>7</v>
      </c>
      <c r="AE14" s="94" t="s">
        <v>171</v>
      </c>
      <c r="AF14" s="94" t="s">
        <v>171</v>
      </c>
      <c r="AG14" s="94" t="s">
        <v>187</v>
      </c>
      <c r="AH14" s="94" t="s">
        <v>174</v>
      </c>
      <c r="AI14" s="91"/>
    </row>
    <row r="15" spans="1:35" ht="14.25" customHeight="1">
      <c r="A15" s="11">
        <v>1</v>
      </c>
      <c r="B15" s="95" t="s">
        <v>164</v>
      </c>
      <c r="C15" s="95" t="s">
        <v>50</v>
      </c>
      <c r="D15" s="100">
        <v>588456.4</v>
      </c>
      <c r="E15" s="100">
        <v>6727482.0999999996</v>
      </c>
      <c r="F15" s="194">
        <v>-20.902587548300001</v>
      </c>
      <c r="G15" s="194">
        <v>186.31694709800001</v>
      </c>
      <c r="H15" s="96">
        <v>39.6</v>
      </c>
      <c r="I15" s="97">
        <v>1.26E-2</v>
      </c>
      <c r="J15" s="97">
        <v>1.0644000000000001E-2</v>
      </c>
      <c r="K15" s="98">
        <v>1.134E-3</v>
      </c>
      <c r="L15" s="98">
        <v>1.1506999999999999E-3</v>
      </c>
      <c r="M15" s="99">
        <v>0</v>
      </c>
      <c r="N15" s="414">
        <f>Q15</f>
        <v>9.2639400000000006E-5</v>
      </c>
      <c r="O15" s="414">
        <f>N15</f>
        <v>9.2639400000000006E-5</v>
      </c>
      <c r="P15" s="97">
        <v>3.2200000000000002E-3</v>
      </c>
      <c r="Q15" s="97">
        <f>P15*0.02877</f>
        <v>9.2639400000000006E-5</v>
      </c>
      <c r="R15" s="97">
        <v>0.05</v>
      </c>
      <c r="S15" s="97">
        <f>R15*0.125997</f>
        <v>6.2998500000000001E-3</v>
      </c>
      <c r="T15" s="207" t="s">
        <v>323</v>
      </c>
      <c r="U15" s="207" t="s">
        <v>321</v>
      </c>
      <c r="V15" s="207">
        <f>$K15*(VLOOKUP($T15 &amp;"|"&amp; $U15,'AQRV Speciation'!$B$8:$G$22,2,FALSE))</f>
        <v>0</v>
      </c>
      <c r="W15" s="207">
        <f>$K15*(VLOOKUP($T15 &amp;"|"&amp; $U15,'AQRV Speciation'!$B$8:$G$22,3,FALSE))</f>
        <v>2.8350000000000001E-4</v>
      </c>
      <c r="X15" s="207">
        <f>$K15*(VLOOKUP($T15 &amp;"|"&amp; $U15,'AQRV Speciation'!$B$8:$G$22,4,FALSE))</f>
        <v>2.8350000000000001E-4</v>
      </c>
      <c r="Y15" s="207">
        <f>$K15*(VLOOKUP($T15 &amp;"|"&amp; $U15,'AQRV Speciation'!$B$8:$G$22,5,FALSE))</f>
        <v>8.5050000000000013E-4</v>
      </c>
      <c r="Z15" s="207">
        <f>$K15*(VLOOKUP($T15 &amp;"|"&amp; $U15,'AQRV Speciation'!$B$8:$G$22,6,FALSE))</f>
        <v>8.5050000000000013E-4</v>
      </c>
      <c r="AA15" s="100">
        <v>9.14</v>
      </c>
      <c r="AB15" s="100">
        <v>394.26</v>
      </c>
      <c r="AC15" s="100">
        <v>45.72</v>
      </c>
      <c r="AD15" s="100">
        <v>0.4</v>
      </c>
      <c r="AE15" s="98">
        <v>1.134E-3</v>
      </c>
      <c r="AF15" s="98">
        <v>1.1506999999999999E-3</v>
      </c>
      <c r="AG15" s="100">
        <v>0.5</v>
      </c>
      <c r="AH15" s="106" t="s">
        <v>129</v>
      </c>
      <c r="AI15" s="16"/>
    </row>
    <row r="16" spans="1:35" ht="14.25" customHeight="1">
      <c r="A16" s="11">
        <f>A15+1</f>
        <v>2</v>
      </c>
      <c r="B16" s="101" t="s">
        <v>165</v>
      </c>
      <c r="C16" s="101" t="s">
        <v>51</v>
      </c>
      <c r="D16" s="34">
        <v>588465.80000000005</v>
      </c>
      <c r="E16" s="34">
        <v>6727743.2000000002</v>
      </c>
      <c r="F16" s="194">
        <v>-20.885449767899999</v>
      </c>
      <c r="G16" s="194">
        <v>186.57868830699999</v>
      </c>
      <c r="H16" s="102">
        <v>39.6</v>
      </c>
      <c r="I16" s="98">
        <v>3.4018999999999999</v>
      </c>
      <c r="J16" s="98">
        <v>3.4030999999999998</v>
      </c>
      <c r="K16" s="98">
        <v>1.2726</v>
      </c>
      <c r="L16" s="98">
        <v>1.2685999999999999</v>
      </c>
      <c r="M16" s="102">
        <v>0.8</v>
      </c>
      <c r="N16" s="414">
        <f t="shared" ref="N16" si="15">M16*0.125997</f>
        <v>0.1007976</v>
      </c>
      <c r="O16" s="414">
        <f t="shared" ref="O16:O42" si="16">N16</f>
        <v>0.1007976</v>
      </c>
      <c r="P16" s="97">
        <v>3.5</v>
      </c>
      <c r="Q16" s="97">
        <f t="shared" ref="Q16:Q42" si="17">P16*0.02877</f>
        <v>0.10069500000000001</v>
      </c>
      <c r="R16" s="97">
        <v>57.5</v>
      </c>
      <c r="S16" s="97">
        <f t="shared" ref="S16:S42" si="18">R16*0.125997</f>
        <v>7.2448274999999995</v>
      </c>
      <c r="T16" s="209" t="s">
        <v>327</v>
      </c>
      <c r="U16" s="209" t="s">
        <v>321</v>
      </c>
      <c r="V16" s="209">
        <f>$K16*(VLOOKUP($T16 &amp;"|"&amp; $U16,'AQRV Speciation'!$B$8:$G$22,2,FALSE))</f>
        <v>0</v>
      </c>
      <c r="W16" s="209">
        <f>$K16*(VLOOKUP($T16 &amp;"|"&amp; $U16,'AQRV Speciation'!$B$8:$G$22,3,FALSE))</f>
        <v>0.31814999999999999</v>
      </c>
      <c r="X16" s="209">
        <f>$K16*(VLOOKUP($T16 &amp;"|"&amp; $U16,'AQRV Speciation'!$B$8:$G$22,4,FALSE))</f>
        <v>0.31814999999999999</v>
      </c>
      <c r="Y16" s="209">
        <f>$K16*(VLOOKUP($T16 &amp;"|"&amp; $U16,'AQRV Speciation'!$B$8:$G$22,5,FALSE))</f>
        <v>0.95445000000000013</v>
      </c>
      <c r="Z16" s="209">
        <f>$K16*(VLOOKUP($T16 &amp;"|"&amp; $U16,'AQRV Speciation'!$B$8:$G$22,6,FALSE))</f>
        <v>0.95445000000000013</v>
      </c>
      <c r="AA16" s="34">
        <v>30.48</v>
      </c>
      <c r="AB16" s="34">
        <v>526.48</v>
      </c>
      <c r="AC16" s="34">
        <v>24.4</v>
      </c>
      <c r="AD16" s="34">
        <v>3.66</v>
      </c>
      <c r="AE16" s="98">
        <v>0.63629000000000002</v>
      </c>
      <c r="AF16" s="98">
        <v>1.2685999999999999</v>
      </c>
      <c r="AG16" s="34">
        <v>0.5</v>
      </c>
      <c r="AH16" s="56" t="s">
        <v>129</v>
      </c>
      <c r="AI16" s="14"/>
    </row>
    <row r="17" spans="1:35" s="235" customFormat="1" ht="14.25" customHeight="1">
      <c r="A17" s="235">
        <f t="shared" ref="A17:A42" si="19">A16+1</f>
        <v>3</v>
      </c>
      <c r="B17" s="236" t="s">
        <v>190</v>
      </c>
      <c r="C17" s="236" t="s">
        <v>52</v>
      </c>
      <c r="D17" s="237">
        <v>588477.30000000005</v>
      </c>
      <c r="E17" s="237">
        <v>6727765.7999999998</v>
      </c>
      <c r="F17" s="238">
        <v>-20.873242305200002</v>
      </c>
      <c r="G17" s="238">
        <v>186.60102861300001</v>
      </c>
      <c r="H17" s="239">
        <v>39.6</v>
      </c>
      <c r="I17" s="240">
        <v>0</v>
      </c>
      <c r="J17" s="240">
        <v>2.8479000000000001E-2</v>
      </c>
      <c r="K17" s="240">
        <v>0.1008</v>
      </c>
      <c r="L17" s="240">
        <v>2.1575000000000001E-3</v>
      </c>
      <c r="M17" s="239">
        <v>0</v>
      </c>
      <c r="N17" s="389">
        <v>0</v>
      </c>
      <c r="O17" s="389">
        <f>P17*0.02877</f>
        <v>1.7262000000000001E-4</v>
      </c>
      <c r="P17" s="242">
        <v>6.0000000000000001E-3</v>
      </c>
      <c r="Q17" s="242">
        <f t="shared" si="17"/>
        <v>1.7262000000000001E-4</v>
      </c>
      <c r="R17" s="242">
        <v>0.8</v>
      </c>
      <c r="S17" s="242">
        <f t="shared" si="18"/>
        <v>0.1007976</v>
      </c>
      <c r="T17" s="242" t="s">
        <v>320</v>
      </c>
      <c r="U17" s="242" t="s">
        <v>321</v>
      </c>
      <c r="V17" s="242">
        <f>$K17*(VLOOKUP($T17 &amp;"|"&amp; $U17,'AQRV Speciation'!$B$8:$G$22,2,FALSE))</f>
        <v>0</v>
      </c>
      <c r="W17" s="242">
        <f>$K17*(VLOOKUP($T17 &amp;"|"&amp; $U17,'AQRV Speciation'!$B$8:$G$22,3,FALSE))</f>
        <v>2.52E-2</v>
      </c>
      <c r="X17" s="242">
        <f>$K17*(VLOOKUP($T17 &amp;"|"&amp; $U17,'AQRV Speciation'!$B$8:$G$22,4,FALSE))</f>
        <v>2.52E-2</v>
      </c>
      <c r="Y17" s="242">
        <f>$K17*(VLOOKUP($T17 &amp;"|"&amp; $U17,'AQRV Speciation'!$B$8:$G$22,5,FALSE))</f>
        <v>7.5600000000000014E-2</v>
      </c>
      <c r="Z17" s="242">
        <f>$K17*(VLOOKUP($T17 &amp;"|"&amp; $U17,'AQRV Speciation'!$B$8:$G$22,6,FALSE))</f>
        <v>7.5600000000000014E-2</v>
      </c>
      <c r="AA17" s="237">
        <v>27.43</v>
      </c>
      <c r="AB17" s="237">
        <v>1033.1500000000001</v>
      </c>
      <c r="AC17" s="237">
        <v>13.53</v>
      </c>
      <c r="AD17" s="237">
        <v>1.83</v>
      </c>
      <c r="AE17" s="240">
        <v>0.1008</v>
      </c>
      <c r="AF17" s="240">
        <v>2.1575000000000001E-3</v>
      </c>
      <c r="AG17" s="237"/>
      <c r="AH17" s="236" t="s">
        <v>274</v>
      </c>
      <c r="AI17" s="244"/>
    </row>
    <row r="18" spans="1:35" s="296" customFormat="1" ht="14.25" customHeight="1">
      <c r="A18" s="296">
        <f>A17+1</f>
        <v>4</v>
      </c>
      <c r="B18" s="56" t="s">
        <v>362</v>
      </c>
      <c r="C18" s="56" t="s">
        <v>363</v>
      </c>
      <c r="D18" s="297">
        <v>588547.96</v>
      </c>
      <c r="E18" s="297">
        <v>6727730.4800000004</v>
      </c>
      <c r="F18" s="194">
        <v>-20.803375611900002</v>
      </c>
      <c r="G18" s="194">
        <v>186.56349881099999</v>
      </c>
      <c r="H18" s="102">
        <v>39.6</v>
      </c>
      <c r="I18" s="98">
        <v>0</v>
      </c>
      <c r="J18" s="98">
        <v>0</v>
      </c>
      <c r="K18" s="98">
        <v>0</v>
      </c>
      <c r="L18" s="98">
        <v>0</v>
      </c>
      <c r="M18" s="104" t="s">
        <v>53</v>
      </c>
      <c r="N18" s="97">
        <v>0</v>
      </c>
      <c r="O18" s="97">
        <f t="shared" si="16"/>
        <v>0</v>
      </c>
      <c r="P18" s="104" t="s">
        <v>53</v>
      </c>
      <c r="Q18" s="97">
        <v>0</v>
      </c>
      <c r="R18" s="97">
        <v>12.7</v>
      </c>
      <c r="S18" s="97">
        <f t="shared" si="18"/>
        <v>1.6001618999999998</v>
      </c>
      <c r="T18" s="250"/>
      <c r="U18" s="250"/>
      <c r="V18" s="250"/>
      <c r="W18" s="250"/>
      <c r="X18" s="250"/>
      <c r="Y18" s="250"/>
      <c r="Z18" s="250"/>
      <c r="AA18" s="249">
        <v>46.9392</v>
      </c>
      <c r="AB18" s="298">
        <v>348.15</v>
      </c>
      <c r="AC18" s="249">
        <v>26.91384</v>
      </c>
      <c r="AD18" s="249">
        <v>0.53339999999999999</v>
      </c>
      <c r="AE18" s="98">
        <v>0</v>
      </c>
      <c r="AF18" s="98">
        <v>0</v>
      </c>
      <c r="AG18" s="34"/>
      <c r="AH18" s="56"/>
      <c r="AI18" s="299" t="s">
        <v>469</v>
      </c>
    </row>
    <row r="19" spans="1:35" s="296" customFormat="1" ht="14.25" customHeight="1">
      <c r="A19" s="296">
        <f t="shared" ref="A19:A20" si="20">A18+1</f>
        <v>5</v>
      </c>
      <c r="B19" s="56" t="s">
        <v>365</v>
      </c>
      <c r="C19" s="56" t="s">
        <v>367</v>
      </c>
      <c r="D19" s="297">
        <v>588552.85</v>
      </c>
      <c r="E19" s="297">
        <v>6727719.1500000004</v>
      </c>
      <c r="F19" s="194">
        <v>-20.7988027727</v>
      </c>
      <c r="G19" s="194">
        <v>186.55198457</v>
      </c>
      <c r="H19" s="102">
        <v>39.6</v>
      </c>
      <c r="I19" s="98">
        <v>0</v>
      </c>
      <c r="J19" s="98">
        <v>0</v>
      </c>
      <c r="K19" s="98">
        <v>0</v>
      </c>
      <c r="L19" s="98">
        <v>0</v>
      </c>
      <c r="M19" s="104" t="s">
        <v>53</v>
      </c>
      <c r="N19" s="97">
        <v>0</v>
      </c>
      <c r="O19" s="97">
        <f t="shared" si="16"/>
        <v>0</v>
      </c>
      <c r="P19" s="104" t="s">
        <v>53</v>
      </c>
      <c r="Q19" s="97">
        <v>0</v>
      </c>
      <c r="R19" s="97">
        <v>4.5999999999999996</v>
      </c>
      <c r="S19" s="97">
        <f t="shared" si="18"/>
        <v>0.57958619999999994</v>
      </c>
      <c r="T19" s="250"/>
      <c r="U19" s="250"/>
      <c r="V19" s="250"/>
      <c r="W19" s="250"/>
      <c r="X19" s="250"/>
      <c r="Y19" s="250"/>
      <c r="Z19" s="250"/>
      <c r="AA19" s="297">
        <v>70</v>
      </c>
      <c r="AB19" s="297">
        <v>366.5</v>
      </c>
      <c r="AC19" s="297">
        <v>12.3</v>
      </c>
      <c r="AD19" s="297">
        <v>22.5</v>
      </c>
      <c r="AE19" s="98">
        <v>0</v>
      </c>
      <c r="AF19" s="98">
        <v>0</v>
      </c>
      <c r="AG19" s="34"/>
      <c r="AH19" s="56"/>
      <c r="AI19" s="299" t="s">
        <v>364</v>
      </c>
    </row>
    <row r="20" spans="1:35" s="296" customFormat="1" ht="14.25" customHeight="1">
      <c r="A20" s="296">
        <f t="shared" si="20"/>
        <v>6</v>
      </c>
      <c r="B20" s="56" t="s">
        <v>366</v>
      </c>
      <c r="C20" s="56" t="s">
        <v>368</v>
      </c>
      <c r="D20" s="297">
        <v>588496.43000000005</v>
      </c>
      <c r="E20" s="297">
        <v>6727742.1699999999</v>
      </c>
      <c r="F20" s="194">
        <v>-20.854742206499999</v>
      </c>
      <c r="G20" s="194">
        <v>186.576750777</v>
      </c>
      <c r="H20" s="102">
        <v>39.6</v>
      </c>
      <c r="I20" s="98">
        <v>0</v>
      </c>
      <c r="J20" s="98">
        <v>0</v>
      </c>
      <c r="K20" s="98">
        <v>0</v>
      </c>
      <c r="L20" s="98">
        <v>0</v>
      </c>
      <c r="M20" s="104" t="s">
        <v>53</v>
      </c>
      <c r="N20" s="97">
        <v>0</v>
      </c>
      <c r="O20" s="97">
        <f t="shared" si="16"/>
        <v>0</v>
      </c>
      <c r="P20" s="104" t="s">
        <v>53</v>
      </c>
      <c r="Q20" s="97">
        <v>0</v>
      </c>
      <c r="R20" s="97">
        <v>126.9</v>
      </c>
      <c r="S20" s="97">
        <f t="shared" si="18"/>
        <v>15.989019300000001</v>
      </c>
      <c r="T20" s="250"/>
      <c r="U20" s="250"/>
      <c r="V20" s="250"/>
      <c r="W20" s="250"/>
      <c r="X20" s="250"/>
      <c r="Y20" s="250"/>
      <c r="Z20" s="250"/>
      <c r="AA20" s="297">
        <v>46</v>
      </c>
      <c r="AB20" s="297">
        <v>373.15</v>
      </c>
      <c r="AC20" s="297">
        <v>20</v>
      </c>
      <c r="AD20" s="297">
        <v>8.0400000000000009</v>
      </c>
      <c r="AE20" s="98">
        <v>0</v>
      </c>
      <c r="AF20" s="98">
        <v>0</v>
      </c>
      <c r="AG20" s="34"/>
      <c r="AH20" s="56"/>
      <c r="AI20" s="299" t="s">
        <v>364</v>
      </c>
    </row>
    <row r="21" spans="1:35" ht="14.25" customHeight="1">
      <c r="A21" s="11">
        <f>A20+1</f>
        <v>7</v>
      </c>
      <c r="B21" s="101" t="s">
        <v>166</v>
      </c>
      <c r="C21" s="101" t="s">
        <v>48</v>
      </c>
      <c r="D21" s="34">
        <v>588470.1</v>
      </c>
      <c r="E21" s="34">
        <v>6727812</v>
      </c>
      <c r="F21" s="194">
        <v>-20.879104330200001</v>
      </c>
      <c r="G21" s="194">
        <v>186.64760402799999</v>
      </c>
      <c r="H21" s="102">
        <v>39.6</v>
      </c>
      <c r="I21" s="98">
        <v>1.0710000000000001E-2</v>
      </c>
      <c r="J21" s="98">
        <v>1.0701E-2</v>
      </c>
      <c r="K21" s="98">
        <v>1.1718E-3</v>
      </c>
      <c r="L21" s="98">
        <v>1.1793999999999999E-3</v>
      </c>
      <c r="M21" s="102">
        <v>0</v>
      </c>
      <c r="N21" s="414">
        <f>Q21</f>
        <v>9.2639400000000006E-5</v>
      </c>
      <c r="O21" s="414">
        <f t="shared" si="16"/>
        <v>9.2639400000000006E-5</v>
      </c>
      <c r="P21" s="97">
        <v>3.2200000000000002E-3</v>
      </c>
      <c r="Q21" s="97">
        <f t="shared" si="17"/>
        <v>9.2639400000000006E-5</v>
      </c>
      <c r="R21" s="97">
        <v>2</v>
      </c>
      <c r="S21" s="97">
        <f t="shared" si="18"/>
        <v>0.251994</v>
      </c>
      <c r="T21" s="209" t="s">
        <v>323</v>
      </c>
      <c r="U21" s="209" t="s">
        <v>321</v>
      </c>
      <c r="V21" s="209">
        <f>$K21*(VLOOKUP($T21 &amp;"|"&amp; $U21,'AQRV Speciation'!$B$8:$G$22,2,FALSE))</f>
        <v>0</v>
      </c>
      <c r="W21" s="209">
        <f>$K21*(VLOOKUP($T21 &amp;"|"&amp; $U21,'AQRV Speciation'!$B$8:$G$22,3,FALSE))</f>
        <v>2.9294999999999999E-4</v>
      </c>
      <c r="X21" s="209">
        <f>$K21*(VLOOKUP($T21 &amp;"|"&amp; $U21,'AQRV Speciation'!$B$8:$G$22,4,FALSE))</f>
        <v>2.9294999999999999E-4</v>
      </c>
      <c r="Y21" s="209">
        <f>$K21*(VLOOKUP($T21 &amp;"|"&amp; $U21,'AQRV Speciation'!$B$8:$G$22,5,FALSE))</f>
        <v>8.7885000000000014E-4</v>
      </c>
      <c r="Z21" s="209">
        <f>$K21*(VLOOKUP($T21 &amp;"|"&amp; $U21,'AQRV Speciation'!$B$8:$G$22,6,FALSE))</f>
        <v>8.7885000000000014E-4</v>
      </c>
      <c r="AA21" s="34">
        <v>74.98</v>
      </c>
      <c r="AB21" s="34">
        <v>922.04</v>
      </c>
      <c r="AC21" s="34">
        <v>1.0900000000000001</v>
      </c>
      <c r="AD21" s="34">
        <v>0.61</v>
      </c>
      <c r="AE21" s="98">
        <v>1.1718E-3</v>
      </c>
      <c r="AF21" s="98">
        <v>1.1793999999999999E-3</v>
      </c>
      <c r="AG21" s="34">
        <v>0.5</v>
      </c>
      <c r="AH21" s="56" t="s">
        <v>129</v>
      </c>
      <c r="AI21" s="14"/>
    </row>
    <row r="22" spans="1:35" ht="14.25" customHeight="1">
      <c r="A22" s="11">
        <f t="shared" si="19"/>
        <v>8</v>
      </c>
      <c r="B22" s="101" t="s">
        <v>167</v>
      </c>
      <c r="C22" s="101" t="s">
        <v>49</v>
      </c>
      <c r="D22" s="34">
        <v>588470.1</v>
      </c>
      <c r="E22" s="34">
        <v>6727812</v>
      </c>
      <c r="F22" s="194">
        <v>-20.879104330200001</v>
      </c>
      <c r="G22" s="194">
        <v>186.64760402799999</v>
      </c>
      <c r="H22" s="102">
        <v>39.6</v>
      </c>
      <c r="I22" s="98">
        <v>3.4018999999999998E-3</v>
      </c>
      <c r="J22" s="98">
        <v>5.7533000000000003E-3</v>
      </c>
      <c r="K22" s="98">
        <v>3.7798999999999998E-4</v>
      </c>
      <c r="L22" s="98">
        <v>3.7683999999999998E-4</v>
      </c>
      <c r="M22" s="102">
        <v>0</v>
      </c>
      <c r="N22" s="414">
        <f>Q22</f>
        <v>2.9633100000000003E-5</v>
      </c>
      <c r="O22" s="414">
        <f t="shared" si="16"/>
        <v>2.9633100000000003E-5</v>
      </c>
      <c r="P22" s="97">
        <v>1.0300000000000001E-3</v>
      </c>
      <c r="Q22" s="97">
        <f t="shared" si="17"/>
        <v>2.9633100000000003E-5</v>
      </c>
      <c r="R22" s="97">
        <v>0.6</v>
      </c>
      <c r="S22" s="97">
        <f t="shared" si="18"/>
        <v>7.559819999999999E-2</v>
      </c>
      <c r="T22" s="209" t="s">
        <v>323</v>
      </c>
      <c r="U22" s="209" t="s">
        <v>321</v>
      </c>
      <c r="V22" s="209">
        <f>$K22*(VLOOKUP($T22 &amp;"|"&amp; $U22,'AQRV Speciation'!$B$8:$G$22,2,FALSE))</f>
        <v>0</v>
      </c>
      <c r="W22" s="209">
        <f>$K22*(VLOOKUP($T22 &amp;"|"&amp; $U22,'AQRV Speciation'!$B$8:$G$22,3,FALSE))</f>
        <v>9.4497499999999994E-5</v>
      </c>
      <c r="X22" s="209">
        <f>$K22*(VLOOKUP($T22 &amp;"|"&amp; $U22,'AQRV Speciation'!$B$8:$G$22,4,FALSE))</f>
        <v>9.4497499999999994E-5</v>
      </c>
      <c r="Y22" s="209">
        <f>$K22*(VLOOKUP($T22 &amp;"|"&amp; $U22,'AQRV Speciation'!$B$8:$G$22,5,FALSE))</f>
        <v>2.8349250000000005E-4</v>
      </c>
      <c r="Z22" s="209">
        <f>$K22*(VLOOKUP($T22 &amp;"|"&amp; $U22,'AQRV Speciation'!$B$8:$G$22,6,FALSE))</f>
        <v>2.8349250000000005E-4</v>
      </c>
      <c r="AA22" s="34">
        <v>74.98</v>
      </c>
      <c r="AB22" s="34">
        <v>922.04</v>
      </c>
      <c r="AC22" s="34">
        <v>121.92</v>
      </c>
      <c r="AD22" s="34">
        <v>1.68</v>
      </c>
      <c r="AE22" s="98">
        <v>3.7798999999999998E-4</v>
      </c>
      <c r="AF22" s="98">
        <v>3.7683999999999998E-4</v>
      </c>
      <c r="AG22" s="34">
        <v>0.5</v>
      </c>
      <c r="AH22" s="56" t="s">
        <v>129</v>
      </c>
      <c r="AI22" s="14"/>
    </row>
    <row r="23" spans="1:35" ht="14.25" customHeight="1">
      <c r="A23" s="11">
        <f t="shared" si="19"/>
        <v>9</v>
      </c>
      <c r="B23" s="101" t="s">
        <v>175</v>
      </c>
      <c r="C23" s="101" t="s">
        <v>179</v>
      </c>
      <c r="D23" s="34">
        <v>588426.1</v>
      </c>
      <c r="E23" s="34">
        <v>6727873</v>
      </c>
      <c r="F23" s="194">
        <v>-20.921459580200001</v>
      </c>
      <c r="G23" s="194">
        <v>186.71011774199999</v>
      </c>
      <c r="H23" s="102">
        <v>39.6</v>
      </c>
      <c r="I23" s="103">
        <v>0</v>
      </c>
      <c r="J23" s="103">
        <v>0</v>
      </c>
      <c r="K23" s="98">
        <v>1.26</v>
      </c>
      <c r="L23" s="98">
        <v>1.26</v>
      </c>
      <c r="M23" s="104" t="s">
        <v>53</v>
      </c>
      <c r="N23" s="103">
        <v>0</v>
      </c>
      <c r="O23" s="97">
        <f t="shared" si="16"/>
        <v>0</v>
      </c>
      <c r="P23" s="103" t="s">
        <v>53</v>
      </c>
      <c r="Q23" s="103" t="s">
        <v>53</v>
      </c>
      <c r="R23" s="103" t="s">
        <v>53</v>
      </c>
      <c r="S23" s="103">
        <v>0</v>
      </c>
      <c r="T23" s="213" t="s">
        <v>124</v>
      </c>
      <c r="U23" s="213" t="s">
        <v>329</v>
      </c>
      <c r="V23" s="213">
        <f>$K23*(VLOOKUP($T23 &amp;"|"&amp; $U23,'AQRV Speciation'!$B$8:$G$22,2,FALSE))</f>
        <v>0</v>
      </c>
      <c r="W23" s="213">
        <f>$K23*(VLOOKUP($T23 &amp;"|"&amp; $U23,'AQRV Speciation'!$B$8:$G$22,3,FALSE))</f>
        <v>0</v>
      </c>
      <c r="X23" s="213">
        <f>$K23*(VLOOKUP($T23 &amp;"|"&amp; $U23,'AQRV Speciation'!$B$8:$G$22,4,FALSE))</f>
        <v>0</v>
      </c>
      <c r="Y23" s="213">
        <f>$K23*(VLOOKUP($T23 &amp;"|"&amp; $U23,'AQRV Speciation'!$B$8:$G$22,5,FALSE))</f>
        <v>1.26</v>
      </c>
      <c r="Z23" s="213">
        <f>$K23*(VLOOKUP($T23 &amp;"|"&amp; $U23,'AQRV Speciation'!$B$8:$G$22,6,FALSE))</f>
        <v>1.26</v>
      </c>
      <c r="AA23" s="34">
        <v>42.67</v>
      </c>
      <c r="AB23" s="34">
        <v>449.82</v>
      </c>
      <c r="AC23" s="34">
        <v>11.5</v>
      </c>
      <c r="AD23" s="34">
        <v>2.29</v>
      </c>
      <c r="AE23" s="98">
        <v>1.26</v>
      </c>
      <c r="AF23" s="98">
        <v>1.26</v>
      </c>
      <c r="AG23" s="34"/>
      <c r="AH23" s="56" t="s">
        <v>129</v>
      </c>
      <c r="AI23" s="14"/>
    </row>
    <row r="24" spans="1:35" ht="14.25" customHeight="1">
      <c r="A24" s="11">
        <f t="shared" si="19"/>
        <v>10</v>
      </c>
      <c r="B24" s="101" t="s">
        <v>176</v>
      </c>
      <c r="C24" s="101" t="s">
        <v>180</v>
      </c>
      <c r="D24" s="34">
        <v>588442.6</v>
      </c>
      <c r="E24" s="34">
        <v>6727879.7999999998</v>
      </c>
      <c r="F24" s="194">
        <v>-20.904700652599999</v>
      </c>
      <c r="G24" s="194">
        <v>186.71645486400001</v>
      </c>
      <c r="H24" s="102">
        <v>39.6</v>
      </c>
      <c r="I24" s="103">
        <v>0</v>
      </c>
      <c r="J24" s="103">
        <v>0</v>
      </c>
      <c r="K24" s="98">
        <v>1.26</v>
      </c>
      <c r="L24" s="98">
        <v>1.26</v>
      </c>
      <c r="M24" s="104" t="s">
        <v>53</v>
      </c>
      <c r="N24" s="103">
        <v>0</v>
      </c>
      <c r="O24" s="97">
        <f t="shared" si="16"/>
        <v>0</v>
      </c>
      <c r="P24" s="103" t="s">
        <v>53</v>
      </c>
      <c r="Q24" s="103" t="s">
        <v>53</v>
      </c>
      <c r="R24" s="103" t="s">
        <v>53</v>
      </c>
      <c r="S24" s="103">
        <v>0</v>
      </c>
      <c r="T24" s="213" t="s">
        <v>124</v>
      </c>
      <c r="U24" s="213" t="s">
        <v>329</v>
      </c>
      <c r="V24" s="213">
        <f>$K24*(VLOOKUP($T24 &amp;"|"&amp; $U24,'AQRV Speciation'!$B$8:$G$22,2,FALSE))</f>
        <v>0</v>
      </c>
      <c r="W24" s="213">
        <f>$K24*(VLOOKUP($T24 &amp;"|"&amp; $U24,'AQRV Speciation'!$B$8:$G$22,3,FALSE))</f>
        <v>0</v>
      </c>
      <c r="X24" s="213">
        <f>$K24*(VLOOKUP($T24 &amp;"|"&amp; $U24,'AQRV Speciation'!$B$8:$G$22,4,FALSE))</f>
        <v>0</v>
      </c>
      <c r="Y24" s="213">
        <f>$K24*(VLOOKUP($T24 &amp;"|"&amp; $U24,'AQRV Speciation'!$B$8:$G$22,5,FALSE))</f>
        <v>1.26</v>
      </c>
      <c r="Z24" s="213">
        <f>$K24*(VLOOKUP($T24 &amp;"|"&amp; $U24,'AQRV Speciation'!$B$8:$G$22,6,FALSE))</f>
        <v>1.26</v>
      </c>
      <c r="AA24" s="34">
        <v>42.67</v>
      </c>
      <c r="AB24" s="34">
        <v>449.82</v>
      </c>
      <c r="AC24" s="34">
        <v>11.5</v>
      </c>
      <c r="AD24" s="34">
        <v>2.29</v>
      </c>
      <c r="AE24" s="98">
        <v>1.26</v>
      </c>
      <c r="AF24" s="98">
        <v>1.26</v>
      </c>
      <c r="AG24" s="34"/>
      <c r="AH24" s="56" t="s">
        <v>129</v>
      </c>
      <c r="AI24" s="14"/>
    </row>
    <row r="25" spans="1:35" ht="14.25" customHeight="1">
      <c r="A25" s="11">
        <f t="shared" si="19"/>
        <v>11</v>
      </c>
      <c r="B25" s="101" t="s">
        <v>177</v>
      </c>
      <c r="C25" s="101" t="s">
        <v>181</v>
      </c>
      <c r="D25" s="34">
        <v>588420.5</v>
      </c>
      <c r="E25" s="34">
        <v>6727894.7999999998</v>
      </c>
      <c r="F25" s="194">
        <v>-20.926436082399999</v>
      </c>
      <c r="G25" s="194">
        <v>186.73215998200001</v>
      </c>
      <c r="H25" s="102">
        <v>39.6</v>
      </c>
      <c r="I25" s="103">
        <v>0</v>
      </c>
      <c r="J25" s="103">
        <v>0</v>
      </c>
      <c r="K25" s="98">
        <v>8.8199E-5</v>
      </c>
      <c r="L25" s="98">
        <v>8.3423000000000004E-5</v>
      </c>
      <c r="M25" s="104" t="s">
        <v>53</v>
      </c>
      <c r="N25" s="103">
        <v>0</v>
      </c>
      <c r="O25" s="97">
        <f t="shared" si="16"/>
        <v>0</v>
      </c>
      <c r="P25" s="103" t="s">
        <v>53</v>
      </c>
      <c r="Q25" s="103" t="s">
        <v>53</v>
      </c>
      <c r="R25" s="103" t="s">
        <v>53</v>
      </c>
      <c r="S25" s="103">
        <v>0</v>
      </c>
      <c r="T25" s="213" t="s">
        <v>124</v>
      </c>
      <c r="U25" s="213" t="s">
        <v>329</v>
      </c>
      <c r="V25" s="213">
        <f>$K25*(VLOOKUP($T25 &amp;"|"&amp; $U25,'AQRV Speciation'!$B$8:$G$22,2,FALSE))</f>
        <v>0</v>
      </c>
      <c r="W25" s="213">
        <f>$K25*(VLOOKUP($T25 &amp;"|"&amp; $U25,'AQRV Speciation'!$B$8:$G$22,3,FALSE))</f>
        <v>0</v>
      </c>
      <c r="X25" s="213">
        <f>$K25*(VLOOKUP($T25 &amp;"|"&amp; $U25,'AQRV Speciation'!$B$8:$G$22,4,FALSE))</f>
        <v>0</v>
      </c>
      <c r="Y25" s="213">
        <f>$K25*(VLOOKUP($T25 &amp;"|"&amp; $U25,'AQRV Speciation'!$B$8:$G$22,5,FALSE))</f>
        <v>8.8199E-5</v>
      </c>
      <c r="Z25" s="213">
        <f>$K25*(VLOOKUP($T25 &amp;"|"&amp; $U25,'AQRV Speciation'!$B$8:$G$22,6,FALSE))</f>
        <v>8.8199E-5</v>
      </c>
      <c r="AA25" s="34">
        <v>20.57</v>
      </c>
      <c r="AB25" s="34">
        <v>288.70999999999998</v>
      </c>
      <c r="AC25" s="34">
        <v>2.8</v>
      </c>
      <c r="AD25" s="34">
        <v>10.36</v>
      </c>
      <c r="AE25" s="98">
        <v>1.4489999999999999E-2</v>
      </c>
      <c r="AF25" s="98">
        <v>1.4239E-2</v>
      </c>
      <c r="AG25" s="34"/>
      <c r="AH25" s="56" t="s">
        <v>129</v>
      </c>
      <c r="AI25" s="14"/>
    </row>
    <row r="26" spans="1:35" ht="14.25" customHeight="1">
      <c r="A26" s="11">
        <f t="shared" si="19"/>
        <v>12</v>
      </c>
      <c r="B26" s="101" t="s">
        <v>178</v>
      </c>
      <c r="C26" s="101" t="s">
        <v>182</v>
      </c>
      <c r="D26" s="34">
        <v>588429.5</v>
      </c>
      <c r="E26" s="34">
        <v>6727898.4000000004</v>
      </c>
      <c r="F26" s="194">
        <v>-20.917298060099998</v>
      </c>
      <c r="G26" s="194">
        <v>186.735507125</v>
      </c>
      <c r="H26" s="102">
        <v>39.6</v>
      </c>
      <c r="I26" s="103">
        <v>0</v>
      </c>
      <c r="J26" s="103">
        <v>0</v>
      </c>
      <c r="K26" s="98">
        <v>8.8199E-5</v>
      </c>
      <c r="L26" s="98">
        <v>8.3423000000000004E-5</v>
      </c>
      <c r="M26" s="104" t="s">
        <v>53</v>
      </c>
      <c r="N26" s="103">
        <v>0</v>
      </c>
      <c r="O26" s="97">
        <f t="shared" si="16"/>
        <v>0</v>
      </c>
      <c r="P26" s="103" t="s">
        <v>53</v>
      </c>
      <c r="Q26" s="103" t="s">
        <v>53</v>
      </c>
      <c r="R26" s="103" t="s">
        <v>53</v>
      </c>
      <c r="S26" s="103">
        <v>0</v>
      </c>
      <c r="T26" s="213" t="s">
        <v>124</v>
      </c>
      <c r="U26" s="213" t="s">
        <v>329</v>
      </c>
      <c r="V26" s="213">
        <f>$K26*(VLOOKUP($T26 &amp;"|"&amp; $U26,'AQRV Speciation'!$B$8:$G$22,2,FALSE))</f>
        <v>0</v>
      </c>
      <c r="W26" s="213">
        <f>$K26*(VLOOKUP($T26 &amp;"|"&amp; $U26,'AQRV Speciation'!$B$8:$G$22,3,FALSE))</f>
        <v>0</v>
      </c>
      <c r="X26" s="213">
        <f>$K26*(VLOOKUP($T26 &amp;"|"&amp; $U26,'AQRV Speciation'!$B$8:$G$22,4,FALSE))</f>
        <v>0</v>
      </c>
      <c r="Y26" s="213">
        <f>$K26*(VLOOKUP($T26 &amp;"|"&amp; $U26,'AQRV Speciation'!$B$8:$G$22,5,FALSE))</f>
        <v>8.8199E-5</v>
      </c>
      <c r="Z26" s="213">
        <f>$K26*(VLOOKUP($T26 &amp;"|"&amp; $U26,'AQRV Speciation'!$B$8:$G$22,6,FALSE))</f>
        <v>8.8199E-5</v>
      </c>
      <c r="AA26" s="34">
        <v>20.57</v>
      </c>
      <c r="AB26" s="34">
        <v>288.70999999999998</v>
      </c>
      <c r="AC26" s="34">
        <v>2.8</v>
      </c>
      <c r="AD26" s="34">
        <v>10.36</v>
      </c>
      <c r="AE26" s="98">
        <v>1.4489999999999999E-2</v>
      </c>
      <c r="AF26" s="98">
        <v>1.4239E-2</v>
      </c>
      <c r="AG26" s="34"/>
      <c r="AH26" s="56" t="s">
        <v>129</v>
      </c>
      <c r="AI26" s="14"/>
    </row>
    <row r="27" spans="1:35" ht="14.25" customHeight="1">
      <c r="A27" s="11">
        <f t="shared" si="19"/>
        <v>13</v>
      </c>
      <c r="B27" s="101" t="s">
        <v>168</v>
      </c>
      <c r="C27" s="101" t="s">
        <v>54</v>
      </c>
      <c r="D27" s="34">
        <v>588574</v>
      </c>
      <c r="E27" s="34">
        <v>6727639.2000000002</v>
      </c>
      <c r="F27" s="194">
        <v>-20.779937955499999</v>
      </c>
      <c r="G27" s="194">
        <v>186.47112884500001</v>
      </c>
      <c r="H27" s="102">
        <v>39.6</v>
      </c>
      <c r="I27" s="98">
        <v>0.30238999999999999</v>
      </c>
      <c r="J27" s="98">
        <v>0.30492999999999998</v>
      </c>
      <c r="K27" s="98">
        <v>0.2268</v>
      </c>
      <c r="L27" s="98">
        <v>0.22725999999999999</v>
      </c>
      <c r="M27" s="102">
        <v>0.1</v>
      </c>
      <c r="N27" s="414">
        <f>Q27</f>
        <v>1.7262E-2</v>
      </c>
      <c r="O27" s="414">
        <f t="shared" si="16"/>
        <v>1.7262E-2</v>
      </c>
      <c r="P27" s="97">
        <v>0.6</v>
      </c>
      <c r="Q27" s="97">
        <f t="shared" si="17"/>
        <v>1.7262E-2</v>
      </c>
      <c r="R27" s="97">
        <v>9</v>
      </c>
      <c r="S27" s="97">
        <f t="shared" si="18"/>
        <v>1.1339729999999999</v>
      </c>
      <c r="T27" s="209" t="s">
        <v>327</v>
      </c>
      <c r="U27" s="209" t="s">
        <v>321</v>
      </c>
      <c r="V27" s="209">
        <f>$K27*(VLOOKUP($T27 &amp;"|"&amp; $U27,'AQRV Speciation'!$B$8:$G$22,2,FALSE))</f>
        <v>0</v>
      </c>
      <c r="W27" s="209">
        <f>$K27*(VLOOKUP($T27 &amp;"|"&amp; $U27,'AQRV Speciation'!$B$8:$G$22,3,FALSE))</f>
        <v>5.67E-2</v>
      </c>
      <c r="X27" s="209">
        <f>$K27*(VLOOKUP($T27 &amp;"|"&amp; $U27,'AQRV Speciation'!$B$8:$G$22,4,FALSE))</f>
        <v>5.67E-2</v>
      </c>
      <c r="Y27" s="209">
        <f>$K27*(VLOOKUP($T27 &amp;"|"&amp; $U27,'AQRV Speciation'!$B$8:$G$22,5,FALSE))</f>
        <v>0.17010000000000003</v>
      </c>
      <c r="Z27" s="209">
        <f>$K27*(VLOOKUP($T27 &amp;"|"&amp; $U27,'AQRV Speciation'!$B$8:$G$22,6,FALSE))</f>
        <v>0.17010000000000003</v>
      </c>
      <c r="AA27" s="34">
        <v>30.48</v>
      </c>
      <c r="AB27" s="34">
        <v>422.04</v>
      </c>
      <c r="AC27" s="34">
        <v>12.61</v>
      </c>
      <c r="AD27" s="34">
        <v>1.83</v>
      </c>
      <c r="AE27" s="98">
        <v>0.2268</v>
      </c>
      <c r="AF27" s="98">
        <v>0.22725999999999999</v>
      </c>
      <c r="AG27" s="34">
        <v>0.1</v>
      </c>
      <c r="AH27" s="56" t="s">
        <v>129</v>
      </c>
      <c r="AI27" s="14"/>
    </row>
    <row r="28" spans="1:35" s="235" customFormat="1" ht="14.25" customHeight="1">
      <c r="A28" s="235">
        <f t="shared" si="19"/>
        <v>14</v>
      </c>
      <c r="B28" s="236" t="s">
        <v>183</v>
      </c>
      <c r="C28" s="236" t="s">
        <v>265</v>
      </c>
      <c r="D28" s="237">
        <v>588381.1</v>
      </c>
      <c r="E28" s="237">
        <v>6727556.7000000002</v>
      </c>
      <c r="F28" s="238">
        <v>-20.975950976299998</v>
      </c>
      <c r="G28" s="238">
        <v>186.39403102899999</v>
      </c>
      <c r="H28" s="239">
        <v>39.6</v>
      </c>
      <c r="I28" s="245">
        <v>0</v>
      </c>
      <c r="J28" s="245">
        <v>0</v>
      </c>
      <c r="K28" s="240">
        <v>3.6538999999999999E-3</v>
      </c>
      <c r="L28" s="240">
        <v>3.4519999999999999E-4</v>
      </c>
      <c r="M28" s="246" t="s">
        <v>53</v>
      </c>
      <c r="N28" s="245">
        <v>0</v>
      </c>
      <c r="O28" s="245">
        <f t="shared" si="16"/>
        <v>0</v>
      </c>
      <c r="P28" s="245" t="s">
        <v>53</v>
      </c>
      <c r="Q28" s="245" t="s">
        <v>53</v>
      </c>
      <c r="R28" s="245" t="s">
        <v>53</v>
      </c>
      <c r="S28" s="245">
        <v>0</v>
      </c>
      <c r="T28" s="242" t="s">
        <v>124</v>
      </c>
      <c r="U28" s="242" t="s">
        <v>329</v>
      </c>
      <c r="V28" s="239">
        <f>$K28*(VLOOKUP($T28 &amp;"|"&amp; $U28,'AQRV Speciation'!$B$8:$G$22,2,FALSE))</f>
        <v>0</v>
      </c>
      <c r="W28" s="239">
        <f>$K28*(VLOOKUP($T28 &amp;"|"&amp; $U28,'AQRV Speciation'!$B$8:$G$22,3,FALSE))</f>
        <v>0</v>
      </c>
      <c r="X28" s="239">
        <f>$K28*(VLOOKUP($T28 &amp;"|"&amp; $U28,'AQRV Speciation'!$B$8:$G$22,4,FALSE))</f>
        <v>0</v>
      </c>
      <c r="Y28" s="239">
        <f>$K28*(VLOOKUP($T28 &amp;"|"&amp; $U28,'AQRV Speciation'!$B$8:$G$22,5,FALSE))</f>
        <v>3.6538999999999999E-3</v>
      </c>
      <c r="Z28" s="239">
        <f>$K28*(VLOOKUP($T28 &amp;"|"&amp; $U28,'AQRV Speciation'!$B$8:$G$22,6,FALSE))</f>
        <v>3.6538999999999999E-3</v>
      </c>
      <c r="AA28" s="237">
        <v>9.91</v>
      </c>
      <c r="AB28" s="237">
        <v>-0.1</v>
      </c>
      <c r="AC28" s="237">
        <v>11.48</v>
      </c>
      <c r="AD28" s="237">
        <v>0.61</v>
      </c>
      <c r="AE28" s="240">
        <v>1.008E-2</v>
      </c>
      <c r="AF28" s="240">
        <v>1.0068E-3</v>
      </c>
      <c r="AG28" s="237"/>
      <c r="AH28" s="243" t="s">
        <v>130</v>
      </c>
      <c r="AI28" s="244" t="s">
        <v>196</v>
      </c>
    </row>
    <row r="29" spans="1:35" s="235" customFormat="1" ht="14.25" customHeight="1">
      <c r="A29" s="235">
        <f t="shared" si="19"/>
        <v>15</v>
      </c>
      <c r="B29" s="236" t="s">
        <v>184</v>
      </c>
      <c r="C29" s="236" t="s">
        <v>266</v>
      </c>
      <c r="D29" s="237">
        <v>587885.5</v>
      </c>
      <c r="E29" s="237">
        <v>6727243.4000000004</v>
      </c>
      <c r="F29" s="238">
        <v>-21.482529711800002</v>
      </c>
      <c r="G29" s="238">
        <v>186.09424748000001</v>
      </c>
      <c r="H29" s="239">
        <v>0</v>
      </c>
      <c r="I29" s="245">
        <v>0</v>
      </c>
      <c r="J29" s="245">
        <v>0</v>
      </c>
      <c r="K29" s="240">
        <v>3.7799000000000001E-3</v>
      </c>
      <c r="L29" s="240">
        <v>3.7397E-4</v>
      </c>
      <c r="M29" s="246" t="s">
        <v>53</v>
      </c>
      <c r="N29" s="245">
        <v>0</v>
      </c>
      <c r="O29" s="245">
        <f t="shared" si="16"/>
        <v>0</v>
      </c>
      <c r="P29" s="245" t="s">
        <v>53</v>
      </c>
      <c r="Q29" s="245" t="s">
        <v>53</v>
      </c>
      <c r="R29" s="245" t="s">
        <v>53</v>
      </c>
      <c r="S29" s="245">
        <v>0</v>
      </c>
      <c r="T29" s="242" t="s">
        <v>124</v>
      </c>
      <c r="U29" s="242" t="s">
        <v>329</v>
      </c>
      <c r="V29" s="239">
        <f>$K29*(VLOOKUP($T29 &amp;"|"&amp; $U29,'AQRV Speciation'!$B$8:$G$22,2,FALSE))</f>
        <v>0</v>
      </c>
      <c r="W29" s="239">
        <f>$K29*(VLOOKUP($T29 &amp;"|"&amp; $U29,'AQRV Speciation'!$B$8:$G$22,3,FALSE))</f>
        <v>0</v>
      </c>
      <c r="X29" s="239">
        <f>$K29*(VLOOKUP($T29 &amp;"|"&amp; $U29,'AQRV Speciation'!$B$8:$G$22,4,FALSE))</f>
        <v>0</v>
      </c>
      <c r="Y29" s="239">
        <f>$K29*(VLOOKUP($T29 &amp;"|"&amp; $U29,'AQRV Speciation'!$B$8:$G$22,5,FALSE))</f>
        <v>3.7799000000000001E-3</v>
      </c>
      <c r="Z29" s="239">
        <f>$K29*(VLOOKUP($T29 &amp;"|"&amp; $U29,'AQRV Speciation'!$B$8:$G$22,6,FALSE))</f>
        <v>3.7799000000000001E-3</v>
      </c>
      <c r="AA29" s="237">
        <v>24.38</v>
      </c>
      <c r="AB29" s="237">
        <v>-0.1</v>
      </c>
      <c r="AC29" s="237">
        <v>4.8499999999999996</v>
      </c>
      <c r="AD29" s="237">
        <v>0.61</v>
      </c>
      <c r="AE29" s="240">
        <v>1.0710000000000001E-2</v>
      </c>
      <c r="AF29" s="240">
        <v>1.0644000000000001E-3</v>
      </c>
      <c r="AG29" s="237"/>
      <c r="AH29" s="243" t="s">
        <v>130</v>
      </c>
      <c r="AI29" s="244" t="s">
        <v>188</v>
      </c>
    </row>
    <row r="30" spans="1:35" ht="14.25" customHeight="1">
      <c r="A30" s="11">
        <f t="shared" si="19"/>
        <v>16</v>
      </c>
      <c r="B30" s="101" t="s">
        <v>169</v>
      </c>
      <c r="C30" s="101" t="s">
        <v>54</v>
      </c>
      <c r="D30" s="34">
        <v>588564.4</v>
      </c>
      <c r="E30" s="34">
        <v>6727661.2999999998</v>
      </c>
      <c r="F30" s="194">
        <v>-20.788919478099999</v>
      </c>
      <c r="G30" s="194">
        <v>186.49358996300001</v>
      </c>
      <c r="H30" s="102">
        <v>39.6</v>
      </c>
      <c r="I30" s="98">
        <v>0.30238999999999999</v>
      </c>
      <c r="J30" s="98">
        <v>0.30492999999999998</v>
      </c>
      <c r="K30" s="98">
        <v>0.2268</v>
      </c>
      <c r="L30" s="98">
        <v>0.22725999999999999</v>
      </c>
      <c r="M30" s="102">
        <v>0.1</v>
      </c>
      <c r="N30" s="414">
        <f t="shared" ref="N30:N31" si="21">Q30</f>
        <v>1.7262E-2</v>
      </c>
      <c r="O30" s="414">
        <f t="shared" ref="O30:O31" si="22">N30</f>
        <v>1.7262E-2</v>
      </c>
      <c r="P30" s="97">
        <v>0.6</v>
      </c>
      <c r="Q30" s="97">
        <f t="shared" si="17"/>
        <v>1.7262E-2</v>
      </c>
      <c r="R30" s="97">
        <v>9</v>
      </c>
      <c r="S30" s="97">
        <f t="shared" si="18"/>
        <v>1.1339729999999999</v>
      </c>
      <c r="T30" s="209" t="s">
        <v>327</v>
      </c>
      <c r="U30" s="209" t="s">
        <v>321</v>
      </c>
      <c r="V30" s="209">
        <f>$K30*(VLOOKUP($T30 &amp;"|"&amp; $U30,'AQRV Speciation'!$B$8:$G$22,2,FALSE))</f>
        <v>0</v>
      </c>
      <c r="W30" s="209">
        <f>$K30*(VLOOKUP($T30 &amp;"|"&amp; $U30,'AQRV Speciation'!$B$8:$G$22,3,FALSE))</f>
        <v>5.67E-2</v>
      </c>
      <c r="X30" s="209">
        <f>$K30*(VLOOKUP($T30 &amp;"|"&amp; $U30,'AQRV Speciation'!$B$8:$G$22,4,FALSE))</f>
        <v>5.67E-2</v>
      </c>
      <c r="Y30" s="209">
        <f>$K30*(VLOOKUP($T30 &amp;"|"&amp; $U30,'AQRV Speciation'!$B$8:$G$22,5,FALSE))</f>
        <v>0.17010000000000003</v>
      </c>
      <c r="Z30" s="209">
        <f>$K30*(VLOOKUP($T30 &amp;"|"&amp; $U30,'AQRV Speciation'!$B$8:$G$22,6,FALSE))</f>
        <v>0.17010000000000003</v>
      </c>
      <c r="AA30" s="34">
        <v>30.48</v>
      </c>
      <c r="AB30" s="34">
        <v>422.04</v>
      </c>
      <c r="AC30" s="34">
        <v>10.75</v>
      </c>
      <c r="AD30" s="34">
        <v>1.98</v>
      </c>
      <c r="AE30" s="98">
        <v>0.2268</v>
      </c>
      <c r="AF30" s="98">
        <v>0.22725999999999999</v>
      </c>
      <c r="AG30" s="34">
        <v>0.1</v>
      </c>
      <c r="AH30" s="32" t="s">
        <v>129</v>
      </c>
      <c r="AI30" s="14"/>
    </row>
    <row r="31" spans="1:35" ht="14.25" customHeight="1">
      <c r="A31" s="11">
        <f t="shared" si="19"/>
        <v>17</v>
      </c>
      <c r="B31" s="101" t="s">
        <v>170</v>
      </c>
      <c r="C31" s="101" t="s">
        <v>54</v>
      </c>
      <c r="D31" s="34">
        <v>588560.4</v>
      </c>
      <c r="E31" s="34">
        <v>6727672.7000000002</v>
      </c>
      <c r="F31" s="194">
        <v>-20.7925971003</v>
      </c>
      <c r="G31" s="194">
        <v>186.50514815099999</v>
      </c>
      <c r="H31" s="102">
        <v>39.6</v>
      </c>
      <c r="I31" s="98">
        <v>0.30238999999999999</v>
      </c>
      <c r="J31" s="98">
        <v>0.30492999999999998</v>
      </c>
      <c r="K31" s="98">
        <v>0.2268</v>
      </c>
      <c r="L31" s="98">
        <v>0.22725999999999999</v>
      </c>
      <c r="M31" s="102">
        <v>0.1</v>
      </c>
      <c r="N31" s="414">
        <f t="shared" si="21"/>
        <v>1.7262E-2</v>
      </c>
      <c r="O31" s="414">
        <f t="shared" si="22"/>
        <v>1.7262E-2</v>
      </c>
      <c r="P31" s="97">
        <v>0.6</v>
      </c>
      <c r="Q31" s="97">
        <f t="shared" si="17"/>
        <v>1.7262E-2</v>
      </c>
      <c r="R31" s="97">
        <v>9</v>
      </c>
      <c r="S31" s="97">
        <f t="shared" si="18"/>
        <v>1.1339729999999999</v>
      </c>
      <c r="T31" s="209" t="s">
        <v>327</v>
      </c>
      <c r="U31" s="209" t="s">
        <v>321</v>
      </c>
      <c r="V31" s="209">
        <f>$K31*(VLOOKUP($T31 &amp;"|"&amp; $U31,'AQRV Speciation'!$B$8:$G$22,2,FALSE))</f>
        <v>0</v>
      </c>
      <c r="W31" s="209">
        <f>$K31*(VLOOKUP($T31 &amp;"|"&amp; $U31,'AQRV Speciation'!$B$8:$G$22,3,FALSE))</f>
        <v>5.67E-2</v>
      </c>
      <c r="X31" s="209">
        <f>$K31*(VLOOKUP($T31 &amp;"|"&amp; $U31,'AQRV Speciation'!$B$8:$G$22,4,FALSE))</f>
        <v>5.67E-2</v>
      </c>
      <c r="Y31" s="209">
        <f>$K31*(VLOOKUP($T31 &amp;"|"&amp; $U31,'AQRV Speciation'!$B$8:$G$22,5,FALSE))</f>
        <v>0.17010000000000003</v>
      </c>
      <c r="Z31" s="209">
        <f>$K31*(VLOOKUP($T31 &amp;"|"&amp; $U31,'AQRV Speciation'!$B$8:$G$22,6,FALSE))</f>
        <v>0.17010000000000003</v>
      </c>
      <c r="AA31" s="34">
        <v>30.48</v>
      </c>
      <c r="AB31" s="34">
        <v>422.04</v>
      </c>
      <c r="AC31" s="34">
        <v>10.75</v>
      </c>
      <c r="AD31" s="34">
        <v>1.98</v>
      </c>
      <c r="AE31" s="98">
        <v>0.2268</v>
      </c>
      <c r="AF31" s="98">
        <v>0.22725999999999999</v>
      </c>
      <c r="AG31" s="34">
        <v>0.1</v>
      </c>
      <c r="AH31" s="32" t="s">
        <v>129</v>
      </c>
      <c r="AI31" s="14"/>
    </row>
    <row r="32" spans="1:35" ht="14.25" customHeight="1">
      <c r="A32" s="11">
        <f t="shared" si="19"/>
        <v>18</v>
      </c>
      <c r="B32" s="101" t="s">
        <v>185</v>
      </c>
      <c r="C32" s="101" t="s">
        <v>55</v>
      </c>
      <c r="D32" s="34">
        <v>588603</v>
      </c>
      <c r="E32" s="34">
        <v>6727699</v>
      </c>
      <c r="F32" s="194">
        <v>-20.749070850799999</v>
      </c>
      <c r="G32" s="194">
        <v>186.530283419</v>
      </c>
      <c r="H32" s="102">
        <v>39.6</v>
      </c>
      <c r="I32" s="103">
        <v>0</v>
      </c>
      <c r="J32" s="103">
        <v>0.27328000000000002</v>
      </c>
      <c r="K32" s="98">
        <v>7.8118999999999994E-2</v>
      </c>
      <c r="L32" s="98">
        <v>7.6231999999999994E-2</v>
      </c>
      <c r="M32" s="34">
        <v>0.03</v>
      </c>
      <c r="N32" s="97">
        <f t="shared" ref="N32:N42" si="23">M32*0.125997</f>
        <v>3.7799099999999996E-3</v>
      </c>
      <c r="O32" s="97">
        <f t="shared" si="16"/>
        <v>3.7799099999999996E-3</v>
      </c>
      <c r="P32" s="97">
        <v>0.13</v>
      </c>
      <c r="Q32" s="97">
        <f t="shared" si="17"/>
        <v>3.7401000000000001E-3</v>
      </c>
      <c r="R32" s="97">
        <v>5.5</v>
      </c>
      <c r="S32" s="97">
        <f t="shared" si="18"/>
        <v>0.69298349999999997</v>
      </c>
      <c r="T32" s="209" t="s">
        <v>327</v>
      </c>
      <c r="U32" s="209" t="s">
        <v>321</v>
      </c>
      <c r="V32" s="209">
        <f>$K32*(VLOOKUP($T32 &amp;"|"&amp; $U32,'AQRV Speciation'!$B$8:$G$22,2,FALSE))</f>
        <v>0</v>
      </c>
      <c r="W32" s="209">
        <f>$K32*(VLOOKUP($T32 &amp;"|"&amp; $U32,'AQRV Speciation'!$B$8:$G$22,3,FALSE))</f>
        <v>1.9529749999999998E-2</v>
      </c>
      <c r="X32" s="209">
        <f>$K32*(VLOOKUP($T32 &amp;"|"&amp; $U32,'AQRV Speciation'!$B$8:$G$22,4,FALSE))</f>
        <v>1.9529749999999998E-2</v>
      </c>
      <c r="Y32" s="209">
        <f>$K32*(VLOOKUP($T32 &amp;"|"&amp; $U32,'AQRV Speciation'!$B$8:$G$22,5,FALSE))</f>
        <v>5.8589250000000002E-2</v>
      </c>
      <c r="Z32" s="209">
        <f>$K32*(VLOOKUP($T32 &amp;"|"&amp; $U32,'AQRV Speciation'!$B$8:$G$22,6,FALSE))</f>
        <v>5.8589250000000002E-2</v>
      </c>
      <c r="AA32" s="34">
        <v>30.48</v>
      </c>
      <c r="AB32" s="34">
        <v>416.48</v>
      </c>
      <c r="AC32" s="34">
        <v>17.88</v>
      </c>
      <c r="AD32" s="34">
        <v>1.22</v>
      </c>
      <c r="AE32" s="98">
        <v>7.8118999999999994E-2</v>
      </c>
      <c r="AF32" s="98">
        <v>7.6231999999999994E-2</v>
      </c>
      <c r="AG32" s="34"/>
      <c r="AH32" s="32" t="s">
        <v>129</v>
      </c>
      <c r="AI32" s="14"/>
    </row>
    <row r="33" spans="1:36" ht="14.25" customHeight="1">
      <c r="A33" s="11">
        <f t="shared" si="19"/>
        <v>19</v>
      </c>
      <c r="B33" s="101" t="s">
        <v>158</v>
      </c>
      <c r="C33" s="101" t="s">
        <v>55</v>
      </c>
      <c r="D33" s="34">
        <v>588607.4</v>
      </c>
      <c r="E33" s="34">
        <v>6727700.5</v>
      </c>
      <c r="F33" s="194">
        <v>-20.744611080399999</v>
      </c>
      <c r="G33" s="194">
        <v>186.53165883</v>
      </c>
      <c r="H33" s="102">
        <v>39.6</v>
      </c>
      <c r="I33" s="98">
        <v>0.27972000000000002</v>
      </c>
      <c r="J33" s="98">
        <v>0.27961000000000003</v>
      </c>
      <c r="K33" s="98">
        <v>7.8118999999999994E-2</v>
      </c>
      <c r="L33" s="98">
        <v>7.8244999999999995E-2</v>
      </c>
      <c r="M33" s="34">
        <v>0.03</v>
      </c>
      <c r="N33" s="97">
        <f t="shared" si="23"/>
        <v>3.7799099999999996E-3</v>
      </c>
      <c r="O33" s="97">
        <f t="shared" si="16"/>
        <v>3.7799099999999996E-3</v>
      </c>
      <c r="P33" s="97">
        <v>0.13</v>
      </c>
      <c r="Q33" s="97">
        <f t="shared" si="17"/>
        <v>3.7401000000000001E-3</v>
      </c>
      <c r="R33" s="97">
        <v>5.5</v>
      </c>
      <c r="S33" s="97">
        <f t="shared" si="18"/>
        <v>0.69298349999999997</v>
      </c>
      <c r="T33" s="209" t="s">
        <v>327</v>
      </c>
      <c r="U33" s="209" t="s">
        <v>321</v>
      </c>
      <c r="V33" s="209">
        <f>$K33*(VLOOKUP($T33 &amp;"|"&amp; $U33,'AQRV Speciation'!$B$8:$G$22,2,FALSE))</f>
        <v>0</v>
      </c>
      <c r="W33" s="209">
        <f>$K33*(VLOOKUP($T33 &amp;"|"&amp; $U33,'AQRV Speciation'!$B$8:$G$22,3,FALSE))</f>
        <v>1.9529749999999998E-2</v>
      </c>
      <c r="X33" s="209">
        <f>$K33*(VLOOKUP($T33 &amp;"|"&amp; $U33,'AQRV Speciation'!$B$8:$G$22,4,FALSE))</f>
        <v>1.9529749999999998E-2</v>
      </c>
      <c r="Y33" s="209">
        <f>$K33*(VLOOKUP($T33 &amp;"|"&amp; $U33,'AQRV Speciation'!$B$8:$G$22,5,FALSE))</f>
        <v>5.8589250000000002E-2</v>
      </c>
      <c r="Z33" s="209">
        <f>$K33*(VLOOKUP($T33 &amp;"|"&amp; $U33,'AQRV Speciation'!$B$8:$G$22,6,FALSE))</f>
        <v>5.8589250000000002E-2</v>
      </c>
      <c r="AA33" s="34">
        <v>30.48</v>
      </c>
      <c r="AB33" s="34">
        <v>416.48</v>
      </c>
      <c r="AC33" s="34">
        <v>17.88</v>
      </c>
      <c r="AD33" s="34">
        <v>1.22</v>
      </c>
      <c r="AE33" s="98">
        <v>7.8118999999999994E-2</v>
      </c>
      <c r="AF33" s="98">
        <v>7.8244999999999995E-2</v>
      </c>
      <c r="AG33" s="34">
        <v>0.3</v>
      </c>
      <c r="AH33" s="32" t="s">
        <v>129</v>
      </c>
      <c r="AI33" s="14"/>
    </row>
    <row r="34" spans="1:36" ht="14.25" customHeight="1">
      <c r="A34" s="11">
        <f t="shared" si="19"/>
        <v>20</v>
      </c>
      <c r="B34" s="101" t="s">
        <v>159</v>
      </c>
      <c r="C34" s="101" t="s">
        <v>55</v>
      </c>
      <c r="D34" s="34">
        <v>588611.69999999995</v>
      </c>
      <c r="E34" s="34">
        <v>6727702.4000000004</v>
      </c>
      <c r="F34" s="194">
        <v>-20.7402398551</v>
      </c>
      <c r="G34" s="194">
        <v>186.53343860000001</v>
      </c>
      <c r="H34" s="102">
        <v>39.6</v>
      </c>
      <c r="I34" s="98">
        <v>0.27972000000000002</v>
      </c>
      <c r="J34" s="98">
        <v>0.27961000000000003</v>
      </c>
      <c r="K34" s="98">
        <v>7.8118999999999994E-2</v>
      </c>
      <c r="L34" s="98">
        <v>7.8244999999999995E-2</v>
      </c>
      <c r="M34" s="34">
        <v>0.03</v>
      </c>
      <c r="N34" s="97">
        <f t="shared" si="23"/>
        <v>3.7799099999999996E-3</v>
      </c>
      <c r="O34" s="97">
        <f t="shared" si="16"/>
        <v>3.7799099999999996E-3</v>
      </c>
      <c r="P34" s="97">
        <v>0.13</v>
      </c>
      <c r="Q34" s="97">
        <f t="shared" si="17"/>
        <v>3.7401000000000001E-3</v>
      </c>
      <c r="R34" s="97">
        <v>5.5</v>
      </c>
      <c r="S34" s="97">
        <f t="shared" si="18"/>
        <v>0.69298349999999997</v>
      </c>
      <c r="T34" s="209" t="s">
        <v>327</v>
      </c>
      <c r="U34" s="209" t="s">
        <v>321</v>
      </c>
      <c r="V34" s="209">
        <f>$K34*(VLOOKUP($T34 &amp;"|"&amp; $U34,'AQRV Speciation'!$B$8:$G$22,2,FALSE))</f>
        <v>0</v>
      </c>
      <c r="W34" s="209">
        <f>$K34*(VLOOKUP($T34 &amp;"|"&amp; $U34,'AQRV Speciation'!$B$8:$G$22,3,FALSE))</f>
        <v>1.9529749999999998E-2</v>
      </c>
      <c r="X34" s="209">
        <f>$K34*(VLOOKUP($T34 &amp;"|"&amp; $U34,'AQRV Speciation'!$B$8:$G$22,4,FALSE))</f>
        <v>1.9529749999999998E-2</v>
      </c>
      <c r="Y34" s="209">
        <f>$K34*(VLOOKUP($T34 &amp;"|"&amp; $U34,'AQRV Speciation'!$B$8:$G$22,5,FALSE))</f>
        <v>5.8589250000000002E-2</v>
      </c>
      <c r="Z34" s="209">
        <f>$K34*(VLOOKUP($T34 &amp;"|"&amp; $U34,'AQRV Speciation'!$B$8:$G$22,6,FALSE))</f>
        <v>5.8589250000000002E-2</v>
      </c>
      <c r="AA34" s="34">
        <v>30.48</v>
      </c>
      <c r="AB34" s="34">
        <v>416.48</v>
      </c>
      <c r="AC34" s="34">
        <v>17.88</v>
      </c>
      <c r="AD34" s="34">
        <v>1.22</v>
      </c>
      <c r="AE34" s="98">
        <v>7.8118999999999994E-2</v>
      </c>
      <c r="AF34" s="98">
        <v>7.8244999999999995E-2</v>
      </c>
      <c r="AG34" s="34">
        <v>0.3</v>
      </c>
      <c r="AH34" s="32" t="s">
        <v>129</v>
      </c>
      <c r="AI34" s="14"/>
    </row>
    <row r="35" spans="1:36" ht="14.25" customHeight="1">
      <c r="A35" s="11">
        <f t="shared" si="19"/>
        <v>21</v>
      </c>
      <c r="B35" s="101" t="s">
        <v>160</v>
      </c>
      <c r="C35" s="101" t="s">
        <v>55</v>
      </c>
      <c r="D35" s="34">
        <v>588616</v>
      </c>
      <c r="E35" s="34">
        <v>6727703.9000000004</v>
      </c>
      <c r="F35" s="194">
        <v>-20.7358804357</v>
      </c>
      <c r="G35" s="194">
        <v>186.53481696099999</v>
      </c>
      <c r="H35" s="102">
        <v>39.6</v>
      </c>
      <c r="I35" s="98">
        <v>0.27972000000000002</v>
      </c>
      <c r="J35" s="98">
        <v>0.27961000000000003</v>
      </c>
      <c r="K35" s="98">
        <v>7.8118999999999994E-2</v>
      </c>
      <c r="L35" s="98">
        <v>7.8244999999999995E-2</v>
      </c>
      <c r="M35" s="34">
        <v>0.03</v>
      </c>
      <c r="N35" s="97">
        <f t="shared" si="23"/>
        <v>3.7799099999999996E-3</v>
      </c>
      <c r="O35" s="97">
        <f t="shared" si="16"/>
        <v>3.7799099999999996E-3</v>
      </c>
      <c r="P35" s="97">
        <v>0.13</v>
      </c>
      <c r="Q35" s="97">
        <f t="shared" si="17"/>
        <v>3.7401000000000001E-3</v>
      </c>
      <c r="R35" s="97">
        <v>5.5</v>
      </c>
      <c r="S35" s="97">
        <f t="shared" si="18"/>
        <v>0.69298349999999997</v>
      </c>
      <c r="T35" s="209" t="s">
        <v>327</v>
      </c>
      <c r="U35" s="209" t="s">
        <v>321</v>
      </c>
      <c r="V35" s="209">
        <f>$K35*(VLOOKUP($T35 &amp;"|"&amp; $U35,'AQRV Speciation'!$B$8:$G$22,2,FALSE))</f>
        <v>0</v>
      </c>
      <c r="W35" s="209">
        <f>$K35*(VLOOKUP($T35 &amp;"|"&amp; $U35,'AQRV Speciation'!$B$8:$G$22,3,FALSE))</f>
        <v>1.9529749999999998E-2</v>
      </c>
      <c r="X35" s="209">
        <f>$K35*(VLOOKUP($T35 &amp;"|"&amp; $U35,'AQRV Speciation'!$B$8:$G$22,4,FALSE))</f>
        <v>1.9529749999999998E-2</v>
      </c>
      <c r="Y35" s="209">
        <f>$K35*(VLOOKUP($T35 &amp;"|"&amp; $U35,'AQRV Speciation'!$B$8:$G$22,5,FALSE))</f>
        <v>5.8589250000000002E-2</v>
      </c>
      <c r="Z35" s="209">
        <f>$K35*(VLOOKUP($T35 &amp;"|"&amp; $U35,'AQRV Speciation'!$B$8:$G$22,6,FALSE))</f>
        <v>5.8589250000000002E-2</v>
      </c>
      <c r="AA35" s="34">
        <v>30.48</v>
      </c>
      <c r="AB35" s="34">
        <v>416.48</v>
      </c>
      <c r="AC35" s="34">
        <v>17.88</v>
      </c>
      <c r="AD35" s="34">
        <v>1.22</v>
      </c>
      <c r="AE35" s="98">
        <v>7.8118999999999994E-2</v>
      </c>
      <c r="AF35" s="98">
        <v>7.8244999999999995E-2</v>
      </c>
      <c r="AG35" s="34">
        <v>0.3</v>
      </c>
      <c r="AH35" s="32" t="s">
        <v>129</v>
      </c>
      <c r="AI35" s="14"/>
    </row>
    <row r="36" spans="1:36" ht="14.25" customHeight="1">
      <c r="A36" s="11">
        <f t="shared" si="19"/>
        <v>22</v>
      </c>
      <c r="B36" s="101" t="s">
        <v>161</v>
      </c>
      <c r="C36" s="101" t="s">
        <v>55</v>
      </c>
      <c r="D36" s="34">
        <v>588620</v>
      </c>
      <c r="E36" s="34">
        <v>6727705.2999999998</v>
      </c>
      <c r="F36" s="194">
        <v>-20.731825023999999</v>
      </c>
      <c r="G36" s="194">
        <v>186.53610382400001</v>
      </c>
      <c r="H36" s="102">
        <v>39.6</v>
      </c>
      <c r="I36" s="98">
        <v>0.27972000000000002</v>
      </c>
      <c r="J36" s="98">
        <v>0.27961000000000003</v>
      </c>
      <c r="K36" s="98">
        <v>7.8118999999999994E-2</v>
      </c>
      <c r="L36" s="98">
        <v>7.8244999999999995E-2</v>
      </c>
      <c r="M36" s="34">
        <v>0.03</v>
      </c>
      <c r="N36" s="97">
        <f t="shared" si="23"/>
        <v>3.7799099999999996E-3</v>
      </c>
      <c r="O36" s="97">
        <f t="shared" si="16"/>
        <v>3.7799099999999996E-3</v>
      </c>
      <c r="P36" s="97">
        <v>0.13</v>
      </c>
      <c r="Q36" s="97">
        <f t="shared" si="17"/>
        <v>3.7401000000000001E-3</v>
      </c>
      <c r="R36" s="97">
        <v>5.5</v>
      </c>
      <c r="S36" s="97">
        <f t="shared" si="18"/>
        <v>0.69298349999999997</v>
      </c>
      <c r="T36" s="209" t="s">
        <v>327</v>
      </c>
      <c r="U36" s="209" t="s">
        <v>321</v>
      </c>
      <c r="V36" s="209">
        <f>$K36*(VLOOKUP($T36 &amp;"|"&amp; $U36,'AQRV Speciation'!$B$8:$G$22,2,FALSE))</f>
        <v>0</v>
      </c>
      <c r="W36" s="209">
        <f>$K36*(VLOOKUP($T36 &amp;"|"&amp; $U36,'AQRV Speciation'!$B$8:$G$22,3,FALSE))</f>
        <v>1.9529749999999998E-2</v>
      </c>
      <c r="X36" s="209">
        <f>$K36*(VLOOKUP($T36 &amp;"|"&amp; $U36,'AQRV Speciation'!$B$8:$G$22,4,FALSE))</f>
        <v>1.9529749999999998E-2</v>
      </c>
      <c r="Y36" s="209">
        <f>$K36*(VLOOKUP($T36 &amp;"|"&amp; $U36,'AQRV Speciation'!$B$8:$G$22,5,FALSE))</f>
        <v>5.8589250000000002E-2</v>
      </c>
      <c r="Z36" s="209">
        <f>$K36*(VLOOKUP($T36 &amp;"|"&amp; $U36,'AQRV Speciation'!$B$8:$G$22,6,FALSE))</f>
        <v>5.8589250000000002E-2</v>
      </c>
      <c r="AA36" s="34">
        <v>30.48</v>
      </c>
      <c r="AB36" s="34">
        <v>416.48</v>
      </c>
      <c r="AC36" s="34">
        <v>17.88</v>
      </c>
      <c r="AD36" s="34">
        <v>1.22</v>
      </c>
      <c r="AE36" s="98">
        <v>7.8118999999999994E-2</v>
      </c>
      <c r="AF36" s="98">
        <v>7.8244999999999995E-2</v>
      </c>
      <c r="AG36" s="34">
        <v>0.3</v>
      </c>
      <c r="AH36" s="32" t="s">
        <v>129</v>
      </c>
      <c r="AI36" s="14"/>
    </row>
    <row r="37" spans="1:36" ht="14.25" customHeight="1">
      <c r="A37" s="11">
        <f t="shared" si="19"/>
        <v>23</v>
      </c>
      <c r="B37" s="101" t="s">
        <v>162</v>
      </c>
      <c r="C37" s="101" t="s">
        <v>56</v>
      </c>
      <c r="D37" s="34">
        <v>588607.9</v>
      </c>
      <c r="E37" s="34">
        <v>6727687.9000000004</v>
      </c>
      <c r="F37" s="194">
        <v>-20.744481226000001</v>
      </c>
      <c r="G37" s="194">
        <v>186.51899969999999</v>
      </c>
      <c r="H37" s="102">
        <v>39.6</v>
      </c>
      <c r="I37" s="98">
        <v>2.4822000000000002</v>
      </c>
      <c r="J37" s="98">
        <v>5.7820999999999997E-2</v>
      </c>
      <c r="K37" s="103">
        <v>0</v>
      </c>
      <c r="L37" s="103">
        <v>7.3355000000000002E-4</v>
      </c>
      <c r="M37" s="34">
        <f>0.13*5</f>
        <v>0.65</v>
      </c>
      <c r="N37" s="414">
        <f>Q37</f>
        <v>8.6309999999999998E-2</v>
      </c>
      <c r="O37" s="414">
        <f t="shared" si="16"/>
        <v>8.6309999999999998E-2</v>
      </c>
      <c r="P37" s="97">
        <f>0.6*5</f>
        <v>3</v>
      </c>
      <c r="Q37" s="97">
        <f t="shared" si="17"/>
        <v>8.6309999999999998E-2</v>
      </c>
      <c r="R37" s="97">
        <f>4.1*5</f>
        <v>20.5</v>
      </c>
      <c r="S37" s="97">
        <f t="shared" si="18"/>
        <v>2.5829385</v>
      </c>
      <c r="T37" s="209" t="s">
        <v>324</v>
      </c>
      <c r="U37" s="209" t="s">
        <v>321</v>
      </c>
      <c r="V37" s="209">
        <f>$K37*(VLOOKUP($T37 &amp;"|"&amp; $U37,'AQRV Speciation'!$B$8:$G$22,2,FALSE))</f>
        <v>0</v>
      </c>
      <c r="W37" s="209">
        <f>$K37*(VLOOKUP($T37 &amp;"|"&amp; $U37,'AQRV Speciation'!$B$8:$G$22,3,FALSE))</f>
        <v>0</v>
      </c>
      <c r="X37" s="209">
        <f>$K37*(VLOOKUP($T37 &amp;"|"&amp; $U37,'AQRV Speciation'!$B$8:$G$22,4,FALSE))</f>
        <v>0</v>
      </c>
      <c r="Y37" s="209">
        <f>$K37*(VLOOKUP($T37 &amp;"|"&amp; $U37,'AQRV Speciation'!$B$8:$G$22,5,FALSE))</f>
        <v>0</v>
      </c>
      <c r="Z37" s="209">
        <f>$K37*(VLOOKUP($T37 &amp;"|"&amp; $U37,'AQRV Speciation'!$B$8:$G$22,6,FALSE))</f>
        <v>0</v>
      </c>
      <c r="AA37" s="34">
        <v>18.29</v>
      </c>
      <c r="AB37" s="34">
        <v>608.15</v>
      </c>
      <c r="AC37" s="34">
        <v>40.21</v>
      </c>
      <c r="AD37" s="34">
        <v>1.01</v>
      </c>
      <c r="AE37" s="103">
        <v>0</v>
      </c>
      <c r="AF37" s="103">
        <v>7.3355000000000002E-4</v>
      </c>
      <c r="AG37" s="34">
        <v>0.3</v>
      </c>
      <c r="AH37" s="32" t="s">
        <v>129</v>
      </c>
      <c r="AI37" s="15"/>
    </row>
    <row r="38" spans="1:36" s="235" customFormat="1" ht="14.25" customHeight="1">
      <c r="A38" s="235">
        <f t="shared" si="19"/>
        <v>24</v>
      </c>
      <c r="B38" s="236" t="s">
        <v>163</v>
      </c>
      <c r="C38" s="236" t="s">
        <v>57</v>
      </c>
      <c r="D38" s="237">
        <v>590889.30000000005</v>
      </c>
      <c r="E38" s="237">
        <v>6727758</v>
      </c>
      <c r="F38" s="238">
        <v>-18.452983672799999</v>
      </c>
      <c r="G38" s="238">
        <v>186.521877284</v>
      </c>
      <c r="H38" s="239">
        <v>39.6</v>
      </c>
      <c r="I38" s="240">
        <v>2.8728E-2</v>
      </c>
      <c r="J38" s="397">
        <v>2.8728E-2</v>
      </c>
      <c r="K38" s="240">
        <v>0.1008</v>
      </c>
      <c r="L38" s="397">
        <v>2.0225E-3</v>
      </c>
      <c r="M38" s="241">
        <v>0.8</v>
      </c>
      <c r="N38" s="389">
        <f>Q38</f>
        <v>2.0138999999999999E-3</v>
      </c>
      <c r="O38" s="389">
        <f>N38</f>
        <v>2.0138999999999999E-3</v>
      </c>
      <c r="P38" s="242">
        <f>0.005*168/12</f>
        <v>6.9999999999999993E-2</v>
      </c>
      <c r="Q38" s="389">
        <f t="shared" si="17"/>
        <v>2.0138999999999999E-3</v>
      </c>
      <c r="R38" s="242">
        <v>2.6</v>
      </c>
      <c r="S38" s="242">
        <f t="shared" si="18"/>
        <v>0.3275922</v>
      </c>
      <c r="T38" s="242" t="s">
        <v>325</v>
      </c>
      <c r="U38" s="242" t="s">
        <v>326</v>
      </c>
      <c r="V38" s="242">
        <f>$K38*(VLOOKUP($T38 &amp;"|"&amp; $U38,'AQRV Speciation'!$B$8:$G$22,2,FALSE))</f>
        <v>0</v>
      </c>
      <c r="W38" s="242">
        <f>$K38*(VLOOKUP($T38 &amp;"|"&amp; $U38,'AQRV Speciation'!$B$8:$G$22,3,FALSE))</f>
        <v>8.6840287769784169E-2</v>
      </c>
      <c r="X38" s="242">
        <f>$K38*(VLOOKUP($T38 &amp;"|"&amp; $U38,'AQRV Speciation'!$B$8:$G$22,4,FALSE))</f>
        <v>8.7254450261780109E-2</v>
      </c>
      <c r="Y38" s="242">
        <f>$K38*(VLOOKUP($T38 &amp;"|"&amp; $U38,'AQRV Speciation'!$B$8:$G$22,5,FALSE))</f>
        <v>1.3959712230215828E-2</v>
      </c>
      <c r="Z38" s="242">
        <f>$K38*(VLOOKUP($T38 &amp;"|"&amp; $U38,'AQRV Speciation'!$B$8:$G$22,6,FALSE))</f>
        <v>1.3545549738219897E-2</v>
      </c>
      <c r="AA38" s="237">
        <v>9.14</v>
      </c>
      <c r="AB38" s="237">
        <v>533.15</v>
      </c>
      <c r="AC38" s="237">
        <v>16.170000000000002</v>
      </c>
      <c r="AD38" s="237">
        <v>0.3</v>
      </c>
      <c r="AE38" s="240">
        <v>0.1008</v>
      </c>
      <c r="AF38" s="397">
        <v>2.0225E-3</v>
      </c>
      <c r="AG38" s="237">
        <v>0.221</v>
      </c>
      <c r="AH38" s="243" t="s">
        <v>130</v>
      </c>
      <c r="AI38" s="244" t="s">
        <v>468</v>
      </c>
    </row>
    <row r="39" spans="1:36" s="235" customFormat="1" ht="14.25" customHeight="1">
      <c r="A39" s="235">
        <f t="shared" si="19"/>
        <v>25</v>
      </c>
      <c r="B39" s="236" t="s">
        <v>466</v>
      </c>
      <c r="C39" s="236" t="s">
        <v>268</v>
      </c>
      <c r="D39" s="237">
        <v>588641.30000000005</v>
      </c>
      <c r="E39" s="237">
        <v>6727410.7999999998</v>
      </c>
      <c r="F39" s="238">
        <v>-20.719142877100001</v>
      </c>
      <c r="G39" s="238">
        <v>186.239940066</v>
      </c>
      <c r="H39" s="239">
        <v>34.1</v>
      </c>
      <c r="I39" s="240">
        <v>4.1326999999999996E-3</v>
      </c>
      <c r="J39" s="397">
        <v>4.1326999999999996E-3</v>
      </c>
      <c r="K39" s="240">
        <v>2.2049999999999999E-3</v>
      </c>
      <c r="L39" s="397">
        <v>2.5371999999999998E-4</v>
      </c>
      <c r="M39" s="237">
        <f>0.18/2</f>
        <v>0.09</v>
      </c>
      <c r="N39" s="389">
        <f>Q39</f>
        <v>2.1347339999999999E-4</v>
      </c>
      <c r="O39" s="389">
        <f t="shared" ref="O39:O40" si="24">M39*0.125997</f>
        <v>1.1339729999999999E-2</v>
      </c>
      <c r="P39" s="242">
        <f>0.0053/2*168/60</f>
        <v>7.4199999999999995E-3</v>
      </c>
      <c r="Q39" s="389">
        <f t="shared" si="17"/>
        <v>2.1347339999999999E-4</v>
      </c>
      <c r="R39" s="242">
        <v>2.1</v>
      </c>
      <c r="S39" s="242">
        <f t="shared" si="18"/>
        <v>0.26459369999999999</v>
      </c>
      <c r="T39" s="242" t="s">
        <v>325</v>
      </c>
      <c r="U39" s="242" t="s">
        <v>321</v>
      </c>
      <c r="V39" s="242">
        <f>$K39*(VLOOKUP($T39 &amp;"|"&amp; $U39,'AQRV Speciation'!$B$8:$G$22,2,FALSE))</f>
        <v>0</v>
      </c>
      <c r="W39" s="242">
        <f>$K39*(VLOOKUP($T39 &amp;"|"&amp; $U39,'AQRV Speciation'!$B$8:$G$22,3,FALSE))</f>
        <v>1.079211746522411E-3</v>
      </c>
      <c r="X39" s="242">
        <f>$K39*(VLOOKUP($T39 &amp;"|"&amp; $U39,'AQRV Speciation'!$B$8:$G$22,4,FALSE))</f>
        <v>1.079211746522411E-3</v>
      </c>
      <c r="Y39" s="242">
        <f>$K39*(VLOOKUP($T39 &amp;"|"&amp; $U39,'AQRV Speciation'!$B$8:$G$22,5,FALSE))</f>
        <v>1.1257882534775889E-3</v>
      </c>
      <c r="Z39" s="242">
        <f>$K39*(VLOOKUP($T39 &amp;"|"&amp; $U39,'AQRV Speciation'!$B$8:$G$22,6,FALSE))</f>
        <v>1.1257882534775889E-3</v>
      </c>
      <c r="AA39" s="237">
        <v>2.08</v>
      </c>
      <c r="AB39" s="237">
        <v>699.82</v>
      </c>
      <c r="AC39" s="237">
        <v>29.11</v>
      </c>
      <c r="AD39" s="237">
        <v>0.1</v>
      </c>
      <c r="AE39" s="240">
        <v>2.2049999999999999E-3</v>
      </c>
      <c r="AF39" s="397">
        <v>2.5371999999999998E-4</v>
      </c>
      <c r="AG39" s="237">
        <v>0.221</v>
      </c>
      <c r="AH39" s="243" t="s">
        <v>130</v>
      </c>
      <c r="AI39" s="244" t="s">
        <v>585</v>
      </c>
    </row>
    <row r="40" spans="1:36" s="235" customFormat="1" ht="14.25" customHeight="1">
      <c r="A40" s="235">
        <f t="shared" si="19"/>
        <v>26</v>
      </c>
      <c r="B40" s="236" t="s">
        <v>467</v>
      </c>
      <c r="C40" s="236" t="s">
        <v>268</v>
      </c>
      <c r="D40" s="237">
        <v>588641.30000000005</v>
      </c>
      <c r="E40" s="237">
        <v>6727410.7999999998</v>
      </c>
      <c r="F40" s="238">
        <v>-20.719142877100001</v>
      </c>
      <c r="G40" s="238">
        <v>186.239940066</v>
      </c>
      <c r="H40" s="239">
        <v>34.1</v>
      </c>
      <c r="I40" s="240">
        <v>4.1326999999999996E-3</v>
      </c>
      <c r="J40" s="397">
        <v>4.1326999999999996E-3</v>
      </c>
      <c r="K40" s="240">
        <v>2.2049999999999999E-3</v>
      </c>
      <c r="L40" s="397">
        <v>2.5371999999999998E-4</v>
      </c>
      <c r="M40" s="237">
        <f>0.18/2</f>
        <v>0.09</v>
      </c>
      <c r="N40" s="389">
        <f>Q40</f>
        <v>2.1347339999999999E-4</v>
      </c>
      <c r="O40" s="389">
        <f t="shared" si="24"/>
        <v>1.1339729999999999E-2</v>
      </c>
      <c r="P40" s="242">
        <f>0.0053/2*168/60</f>
        <v>7.4199999999999995E-3</v>
      </c>
      <c r="Q40" s="389">
        <f t="shared" si="17"/>
        <v>2.1347339999999999E-4</v>
      </c>
      <c r="R40" s="242">
        <v>2.21</v>
      </c>
      <c r="S40" s="242">
        <f t="shared" si="18"/>
        <v>0.27845336999999998</v>
      </c>
      <c r="T40" s="242" t="s">
        <v>325</v>
      </c>
      <c r="U40" s="242" t="s">
        <v>321</v>
      </c>
      <c r="V40" s="242">
        <f>$K40*(VLOOKUP($T40 &amp;"|"&amp; $U40,'AQRV Speciation'!$B$8:$G$22,2,FALSE))</f>
        <v>0</v>
      </c>
      <c r="W40" s="242">
        <f>$K40*(VLOOKUP($T40 &amp;"|"&amp; $U40,'AQRV Speciation'!$B$8:$G$22,3,FALSE))</f>
        <v>1.079211746522411E-3</v>
      </c>
      <c r="X40" s="242">
        <f>$K40*(VLOOKUP($T40 &amp;"|"&amp; $U40,'AQRV Speciation'!$B$8:$G$22,4,FALSE))</f>
        <v>1.079211746522411E-3</v>
      </c>
      <c r="Y40" s="242">
        <f>$K40*(VLOOKUP($T40 &amp;"|"&amp; $U40,'AQRV Speciation'!$B$8:$G$22,5,FALSE))</f>
        <v>1.1257882534775889E-3</v>
      </c>
      <c r="Z40" s="242">
        <f>$K40*(VLOOKUP($T40 &amp;"|"&amp; $U40,'AQRV Speciation'!$B$8:$G$22,6,FALSE))</f>
        <v>1.1257882534775889E-3</v>
      </c>
      <c r="AA40" s="237">
        <v>2.08</v>
      </c>
      <c r="AB40" s="237">
        <v>699.82</v>
      </c>
      <c r="AC40" s="237">
        <v>29.11</v>
      </c>
      <c r="AD40" s="237">
        <v>0.1</v>
      </c>
      <c r="AE40" s="240">
        <v>2.2049999999999999E-3</v>
      </c>
      <c r="AF40" s="397">
        <v>2.5371999999999998E-4</v>
      </c>
      <c r="AG40" s="237">
        <v>0.221</v>
      </c>
      <c r="AH40" s="243" t="s">
        <v>130</v>
      </c>
      <c r="AI40" s="244" t="s">
        <v>188</v>
      </c>
    </row>
    <row r="41" spans="1:36" ht="14.25" customHeight="1">
      <c r="A41" s="11">
        <f t="shared" si="19"/>
        <v>27</v>
      </c>
      <c r="B41" s="101" t="s">
        <v>47</v>
      </c>
      <c r="C41" s="101" t="s">
        <v>250</v>
      </c>
      <c r="D41" s="34">
        <v>587833.59999999998</v>
      </c>
      <c r="E41" s="34">
        <v>6727288.2999999998</v>
      </c>
      <c r="F41" s="194">
        <v>-21.533288043199999</v>
      </c>
      <c r="G41" s="194">
        <v>186.14083465100001</v>
      </c>
      <c r="H41" s="102">
        <v>0</v>
      </c>
      <c r="I41" s="98">
        <v>7.2991000000000001</v>
      </c>
      <c r="J41" s="98">
        <v>0.51980999999999999</v>
      </c>
      <c r="K41" s="98">
        <v>0.12726000000000001</v>
      </c>
      <c r="L41" s="98">
        <v>8.9177000000000006E-3</v>
      </c>
      <c r="M41" s="34">
        <f>C67*900*C68</f>
        <v>0.97638210000000003</v>
      </c>
      <c r="N41" s="97">
        <f>M41*0.125997</f>
        <v>0.1230212154537</v>
      </c>
      <c r="O41" s="97">
        <f t="shared" si="16"/>
        <v>0.1230212154537</v>
      </c>
      <c r="P41" s="97">
        <f>M41*624/2000</f>
        <v>0.30463121519999997</v>
      </c>
      <c r="Q41" s="97">
        <f t="shared" si="17"/>
        <v>8.7642400613039996E-3</v>
      </c>
      <c r="R41" s="97">
        <v>6.64</v>
      </c>
      <c r="S41" s="97">
        <f t="shared" si="18"/>
        <v>0.83662007999999999</v>
      </c>
      <c r="T41" s="209" t="s">
        <v>328</v>
      </c>
      <c r="U41" s="209" t="s">
        <v>326</v>
      </c>
      <c r="V41" s="209">
        <f>$K41*(VLOOKUP($T41 &amp;"|"&amp; $U41,'AQRV Speciation'!$B$8:$G$22,2,FALSE))</f>
        <v>0</v>
      </c>
      <c r="W41" s="209">
        <f>$K41*(VLOOKUP($T41 &amp;"|"&amp; $U41,'AQRV Speciation'!$B$8:$G$22,3,FALSE))</f>
        <v>0.10963586330935253</v>
      </c>
      <c r="X41" s="209">
        <f>$K41*(VLOOKUP($T41 &amp;"|"&amp; $U41,'AQRV Speciation'!$B$8:$G$22,4,FALSE))</f>
        <v>0.11015874345549741</v>
      </c>
      <c r="Y41" s="209">
        <f>$K41*(VLOOKUP($T41 &amp;"|"&amp; $U41,'AQRV Speciation'!$B$8:$G$22,5,FALSE))</f>
        <v>1.7624136690647482E-2</v>
      </c>
      <c r="Z41" s="209">
        <f>$K41*(VLOOKUP($T41 &amp;"|"&amp; $U41,'AQRV Speciation'!$B$8:$G$22,6,FALSE))</f>
        <v>1.7101256544502622E-2</v>
      </c>
      <c r="AA41" s="34">
        <v>39</v>
      </c>
      <c r="AB41" s="34">
        <v>613.15</v>
      </c>
      <c r="AC41" s="34">
        <v>69.72</v>
      </c>
      <c r="AD41" s="34">
        <v>0.25</v>
      </c>
      <c r="AE41" s="98">
        <v>1.3066</v>
      </c>
      <c r="AF41" s="98">
        <v>9.3203999999999995E-2</v>
      </c>
      <c r="AG41" s="34">
        <v>0.221</v>
      </c>
      <c r="AH41" s="32" t="s">
        <v>129</v>
      </c>
      <c r="AI41" s="14"/>
    </row>
    <row r="42" spans="1:36" ht="14.25" customHeight="1">
      <c r="A42" s="11">
        <f t="shared" si="19"/>
        <v>28</v>
      </c>
      <c r="B42" s="101" t="s">
        <v>46</v>
      </c>
      <c r="C42" s="101" t="s">
        <v>251</v>
      </c>
      <c r="D42" s="34">
        <v>587835.1</v>
      </c>
      <c r="E42" s="34">
        <v>6727288.7999999998</v>
      </c>
      <c r="F42" s="194">
        <v>-21.5317680478</v>
      </c>
      <c r="G42" s="194">
        <v>186.14129219</v>
      </c>
      <c r="H42" s="102">
        <v>0</v>
      </c>
      <c r="I42" s="98">
        <v>0.97270000000000001</v>
      </c>
      <c r="J42" s="98">
        <v>0.28220000000000001</v>
      </c>
      <c r="K42" s="98">
        <v>1.6379999999999999E-2</v>
      </c>
      <c r="L42" s="98">
        <v>4.8903000000000002E-3</v>
      </c>
      <c r="M42" s="34">
        <f>C67*240*C68</f>
        <v>0.26036855999999997</v>
      </c>
      <c r="N42" s="97">
        <f t="shared" si="23"/>
        <v>3.2805657454319993E-2</v>
      </c>
      <c r="O42" s="97">
        <f t="shared" si="16"/>
        <v>3.2805657454319993E-2</v>
      </c>
      <c r="P42" s="97">
        <f>M42*3132/2000</f>
        <v>0.40773716495999995</v>
      </c>
      <c r="Q42" s="97">
        <f t="shared" si="17"/>
        <v>1.17305982358992E-2</v>
      </c>
      <c r="R42" s="97">
        <v>1.77</v>
      </c>
      <c r="S42" s="97">
        <f t="shared" si="18"/>
        <v>0.22301468999999999</v>
      </c>
      <c r="T42" s="209" t="s">
        <v>328</v>
      </c>
      <c r="U42" s="209" t="s">
        <v>326</v>
      </c>
      <c r="V42" s="209">
        <f>$K42*(VLOOKUP($T42 &amp;"|"&amp; $U42,'AQRV Speciation'!$B$8:$G$22,2,FALSE))</f>
        <v>0</v>
      </c>
      <c r="W42" s="209">
        <f>$K42*(VLOOKUP($T42 &amp;"|"&amp; $U42,'AQRV Speciation'!$B$8:$G$22,3,FALSE))</f>
        <v>1.4111546762589926E-2</v>
      </c>
      <c r="X42" s="209">
        <f>$K42*(VLOOKUP($T42 &amp;"|"&amp; $U42,'AQRV Speciation'!$B$8:$G$22,4,FALSE))</f>
        <v>1.4178848167539266E-2</v>
      </c>
      <c r="Y42" s="209">
        <f>$K42*(VLOOKUP($T42 &amp;"|"&amp; $U42,'AQRV Speciation'!$B$8:$G$22,5,FALSE))</f>
        <v>2.2684532374100718E-3</v>
      </c>
      <c r="Z42" s="209">
        <f>$K42*(VLOOKUP($T42 &amp;"|"&amp; $U42,'AQRV Speciation'!$B$8:$G$22,6,FALSE))</f>
        <v>2.2011518324607333E-3</v>
      </c>
      <c r="AA42" s="34">
        <v>29</v>
      </c>
      <c r="AB42" s="34">
        <v>358.15</v>
      </c>
      <c r="AC42" s="34">
        <v>6.14</v>
      </c>
      <c r="AD42" s="34">
        <v>0.3</v>
      </c>
      <c r="AE42" s="98">
        <v>0.17388000000000001</v>
      </c>
      <c r="AF42" s="98">
        <v>5.0629E-2</v>
      </c>
      <c r="AG42" s="34">
        <v>0.221</v>
      </c>
      <c r="AH42" s="56" t="s">
        <v>129</v>
      </c>
      <c r="AI42" s="14"/>
    </row>
    <row r="43" spans="1:36">
      <c r="C43" s="283" t="s">
        <v>277</v>
      </c>
      <c r="D43" s="101"/>
      <c r="E43" s="101"/>
      <c r="F43" s="194"/>
      <c r="G43" s="194"/>
      <c r="H43" s="69"/>
      <c r="I43" s="108"/>
      <c r="J43" s="108"/>
      <c r="K43" s="108"/>
      <c r="M43" s="68"/>
      <c r="N43" s="108"/>
      <c r="O43" s="108"/>
      <c r="P43" s="108"/>
      <c r="Q43" s="108"/>
      <c r="R43" s="108"/>
      <c r="S43" s="108"/>
      <c r="T43" s="210"/>
      <c r="U43" s="210"/>
      <c r="V43" s="207"/>
      <c r="W43" s="207"/>
      <c r="X43" s="207"/>
      <c r="Y43" s="207"/>
      <c r="Z43" s="207"/>
      <c r="AA43" s="69"/>
      <c r="AB43" s="69"/>
      <c r="AC43" s="69"/>
      <c r="AD43" s="69"/>
      <c r="AE43" s="69"/>
      <c r="AF43" s="69"/>
      <c r="AG43" s="52"/>
      <c r="AH43" s="101"/>
      <c r="AI43" s="14"/>
    </row>
    <row r="44" spans="1:36">
      <c r="A44" s="11">
        <f>A42+1</f>
        <v>29</v>
      </c>
      <c r="B44" s="107" t="s">
        <v>131</v>
      </c>
      <c r="C44" s="101" t="s">
        <v>524</v>
      </c>
      <c r="D44" s="101">
        <v>588628.30000000005</v>
      </c>
      <c r="E44" s="101">
        <v>6727819.5</v>
      </c>
      <c r="F44" s="194"/>
      <c r="G44" s="194"/>
      <c r="H44" s="69">
        <v>39.6</v>
      </c>
      <c r="I44" s="346">
        <f>J44</f>
        <v>13.088752536783359</v>
      </c>
      <c r="J44" s="346">
        <f>'[27]2011Original Data Other Sources'!$N$1925*(2000*453.59/(8760*3600))</f>
        <v>13.088752536783359</v>
      </c>
      <c r="K44" s="346">
        <f>L44</f>
        <v>0.34519786910197869</v>
      </c>
      <c r="L44" s="347">
        <f>'[27]2011Original Data Other Sources'!$N$4666*(2000*453.59/(8760*3600))</f>
        <v>0.34519786910197869</v>
      </c>
      <c r="M44" s="68"/>
      <c r="N44" s="346">
        <f>Q44</f>
        <v>0.17259893455098935</v>
      </c>
      <c r="O44" s="346">
        <f>N44</f>
        <v>0.17259893455098935</v>
      </c>
      <c r="P44" s="347">
        <f>'[27]2011Original Data Other Sources'!$N$6071</f>
        <v>6</v>
      </c>
      <c r="Q44" s="346">
        <f>'[27]2011Original Data Other Sources'!$N$6071*(2000*453.59/(8760*3600))</f>
        <v>0.17259893455098935</v>
      </c>
      <c r="R44" s="98"/>
      <c r="S44" s="347">
        <f>'[27]2011Original Data Other Sources'!$N$693*(2000*453.59/(8760*3600))</f>
        <v>5.7532978183663118E-2</v>
      </c>
      <c r="T44" s="355" t="s">
        <v>324</v>
      </c>
      <c r="U44" s="355" t="s">
        <v>321</v>
      </c>
      <c r="V44" s="355">
        <f>$K44*(VLOOKUP($T44 &amp;"|"&amp; $U44,'AQRV Speciation'!$B$8:$G$22,2,FALSE))</f>
        <v>0</v>
      </c>
      <c r="W44" s="355">
        <f>$K44*(VLOOKUP($T44 &amp;"|"&amp; $U44,'AQRV Speciation'!$B$8:$G$22,3,FALSE))</f>
        <v>9.937514413541812E-2</v>
      </c>
      <c r="X44" s="355">
        <f>$K44*(VLOOKUP($T44 &amp;"|"&amp; $U44,'AQRV Speciation'!$B$8:$G$22,4,FALSE))</f>
        <v>9.937514413541812E-2</v>
      </c>
      <c r="Y44" s="355">
        <f>$K44*(VLOOKUP($T44 &amp;"|"&amp; $U44,'AQRV Speciation'!$B$8:$G$22,5,FALSE))</f>
        <v>0.2458227249665606</v>
      </c>
      <c r="Z44" s="355">
        <f>$K44*(VLOOKUP($T44 &amp;"|"&amp; $U44,'AQRV Speciation'!$B$8:$G$22,6,FALSE))</f>
        <v>0.2458227249665606</v>
      </c>
      <c r="AA44" s="51">
        <v>30.78</v>
      </c>
      <c r="AB44" s="69">
        <v>403.15</v>
      </c>
      <c r="AC44" s="69">
        <v>19.809999999999999</v>
      </c>
      <c r="AD44" s="69">
        <v>3.35</v>
      </c>
      <c r="AE44" s="346">
        <f>AF44</f>
        <v>0.34519786910197869</v>
      </c>
      <c r="AF44" s="347">
        <f>'[27]2011Original Data Other Sources'!$N$3341*(2000*453.59/(8760*3600))</f>
        <v>0.34519786910197869</v>
      </c>
      <c r="AG44" s="310">
        <v>0.3</v>
      </c>
      <c r="AH44" s="101" t="s">
        <v>129</v>
      </c>
      <c r="AI44" s="15" t="s">
        <v>532</v>
      </c>
    </row>
    <row r="45" spans="1:36" hidden="1">
      <c r="B45" s="107"/>
      <c r="C45" s="101" t="s">
        <v>525</v>
      </c>
      <c r="D45" s="101"/>
      <c r="E45" s="101"/>
      <c r="F45" s="194"/>
      <c r="G45" s="194"/>
      <c r="H45" s="69"/>
      <c r="I45" s="346">
        <f t="shared" ref="I45:I46" si="25">J45</f>
        <v>0</v>
      </c>
      <c r="J45" s="347">
        <f>'[27]2011Original Data Other Sources'!$N$1926*(2000*453.59/(8760*3600))</f>
        <v>0</v>
      </c>
      <c r="K45" s="346">
        <f t="shared" ref="K45:K46" si="26">L45</f>
        <v>0</v>
      </c>
      <c r="L45" s="347">
        <f>'[27]2011Original Data Other Sources'!$N$4667*(2000*453.59/(8760*3600))</f>
        <v>0</v>
      </c>
      <c r="M45" s="68"/>
      <c r="N45" s="346">
        <f t="shared" ref="N45:N46" si="27">P45</f>
        <v>0</v>
      </c>
      <c r="O45" s="347">
        <f>'[27]2011Original Data Other Sources'!$N$6072</f>
        <v>0</v>
      </c>
      <c r="P45" s="347">
        <f>'[27]2011Original Data Other Sources'!$N$6072*(2000*453.59/(8760*3600))</f>
        <v>0</v>
      </c>
      <c r="Q45" s="98"/>
      <c r="R45" s="347">
        <f>'[27]2011Original Data Other Sources'!$N$694*(2000*453.59/(8760*3600))</f>
        <v>0</v>
      </c>
      <c r="S45" s="355"/>
      <c r="T45" s="355"/>
      <c r="U45" s="355"/>
      <c r="V45" s="355"/>
      <c r="W45" s="355"/>
      <c r="X45" s="355"/>
      <c r="Y45" s="355"/>
      <c r="Z45" s="34"/>
      <c r="AA45" s="34"/>
      <c r="AB45" s="34"/>
      <c r="AC45" s="34"/>
      <c r="AD45" s="346">
        <f t="shared" ref="AD45:AD46" si="28">AE45</f>
        <v>0</v>
      </c>
      <c r="AE45" s="347">
        <f>'[27]2011Original Data Other Sources'!$N$3342*(2000*453.59/(8760*3600))</f>
        <v>0</v>
      </c>
      <c r="AF45" s="310"/>
      <c r="AG45" s="101"/>
      <c r="AH45" s="15"/>
    </row>
    <row r="46" spans="1:36" hidden="1">
      <c r="B46" s="107"/>
      <c r="C46" s="101" t="s">
        <v>526</v>
      </c>
      <c r="D46" s="101"/>
      <c r="E46" s="101"/>
      <c r="F46" s="194"/>
      <c r="G46" s="194"/>
      <c r="H46" s="69"/>
      <c r="I46" s="346">
        <f t="shared" si="25"/>
        <v>0</v>
      </c>
      <c r="J46" s="347">
        <f>'[27]2011Original Data Other Sources'!$N$1927*(2000*453.59/(8760*3600))</f>
        <v>0</v>
      </c>
      <c r="K46" s="346">
        <f t="shared" si="26"/>
        <v>0</v>
      </c>
      <c r="L46" s="347">
        <f>'[27]2011Original Data Other Sources'!$N$4668*(2000*453.59/(8760*3600))</f>
        <v>0</v>
      </c>
      <c r="M46" s="68"/>
      <c r="N46" s="346">
        <f t="shared" si="27"/>
        <v>0</v>
      </c>
      <c r="O46" s="347">
        <f>'[27]2011Original Data Other Sources'!$N$6073</f>
        <v>0</v>
      </c>
      <c r="P46" s="347">
        <f>'[27]2011Original Data Other Sources'!$N$6073*(2000*453.59/(8760*3600))</f>
        <v>0</v>
      </c>
      <c r="Q46" s="98"/>
      <c r="R46" s="347">
        <f>'[27]2011Original Data Other Sources'!$N$695*(2000*453.59/(8760*3600))</f>
        <v>0</v>
      </c>
      <c r="S46" s="355"/>
      <c r="T46" s="355"/>
      <c r="U46" s="355"/>
      <c r="V46" s="355"/>
      <c r="W46" s="355"/>
      <c r="X46" s="355"/>
      <c r="Y46" s="355"/>
      <c r="Z46" s="34"/>
      <c r="AA46" s="34"/>
      <c r="AB46" s="34"/>
      <c r="AC46" s="34"/>
      <c r="AD46" s="346">
        <f t="shared" si="28"/>
        <v>0</v>
      </c>
      <c r="AE46" s="347">
        <f>'[27]2011Original Data Other Sources'!$N$3343*(2000*453.59/(8760*3600))</f>
        <v>0</v>
      </c>
      <c r="AF46" s="310"/>
      <c r="AG46" s="101"/>
      <c r="AH46" s="15"/>
    </row>
    <row r="47" spans="1:36">
      <c r="B47" s="129" t="s">
        <v>248</v>
      </c>
      <c r="C47" s="330"/>
      <c r="D47" s="330"/>
      <c r="E47" s="330"/>
      <c r="F47" s="330"/>
      <c r="G47" s="330"/>
      <c r="H47" s="82"/>
      <c r="I47" s="361"/>
      <c r="J47" s="164"/>
      <c r="K47" s="352"/>
      <c r="L47" s="34">
        <f>I39/J39</f>
        <v>1</v>
      </c>
      <c r="M47" s="353"/>
      <c r="N47" s="164"/>
      <c r="O47" s="164"/>
      <c r="P47" s="164"/>
      <c r="Q47" s="164"/>
      <c r="R47" s="164"/>
      <c r="S47" s="164"/>
      <c r="T47" s="164"/>
      <c r="U47" s="164"/>
      <c r="V47" s="164"/>
      <c r="W47" s="164"/>
      <c r="X47" s="164"/>
      <c r="Y47" s="164"/>
      <c r="Z47" s="276"/>
      <c r="AA47" s="82"/>
      <c r="AB47" s="82"/>
      <c r="AC47" s="354"/>
      <c r="AD47" s="82"/>
      <c r="AE47" s="82"/>
      <c r="AF47" s="125"/>
      <c r="AG47" s="157"/>
      <c r="AH47" s="126"/>
    </row>
    <row r="48" spans="1:36" s="122" customFormat="1" ht="18.75" customHeight="1">
      <c r="B48" s="127" t="s">
        <v>235</v>
      </c>
      <c r="C48" s="471" t="s">
        <v>264</v>
      </c>
      <c r="D48" s="471"/>
      <c r="E48" s="471"/>
      <c r="F48" s="471"/>
      <c r="G48" s="471"/>
      <c r="H48" s="471"/>
      <c r="I48" s="471"/>
      <c r="J48" s="471"/>
      <c r="K48" s="471"/>
      <c r="L48" s="471"/>
      <c r="M48" s="471"/>
      <c r="N48" s="471"/>
      <c r="O48" s="471"/>
      <c r="P48" s="471"/>
      <c r="Q48" s="471"/>
      <c r="R48" s="471"/>
      <c r="S48" s="471"/>
      <c r="T48" s="471"/>
      <c r="U48" s="471"/>
      <c r="V48" s="471"/>
      <c r="W48" s="471"/>
      <c r="X48" s="471"/>
      <c r="Y48" s="471"/>
      <c r="Z48" s="471"/>
      <c r="AA48" s="471"/>
      <c r="AB48" s="471"/>
      <c r="AC48" s="472"/>
      <c r="AD48" s="285"/>
      <c r="AE48" s="285"/>
      <c r="AF48" s="121"/>
      <c r="AJ48" s="123"/>
    </row>
    <row r="49" spans="1:34" ht="15" customHeight="1">
      <c r="B49" s="127" t="s">
        <v>236</v>
      </c>
      <c r="C49" s="471" t="s">
        <v>361</v>
      </c>
      <c r="D49" s="471"/>
      <c r="E49" s="471"/>
      <c r="F49" s="471"/>
      <c r="G49" s="471"/>
      <c r="H49" s="471"/>
      <c r="I49" s="471"/>
      <c r="J49" s="471"/>
      <c r="K49" s="471"/>
      <c r="L49" s="471"/>
      <c r="M49" s="471"/>
      <c r="N49" s="471"/>
      <c r="O49" s="471"/>
      <c r="P49" s="471"/>
      <c r="Q49" s="471"/>
      <c r="R49" s="471"/>
      <c r="S49" s="471"/>
      <c r="T49" s="471"/>
      <c r="U49" s="471"/>
      <c r="V49" s="471"/>
      <c r="W49" s="471"/>
      <c r="X49" s="471"/>
      <c r="Y49" s="471"/>
      <c r="Z49" s="471"/>
      <c r="AA49" s="471"/>
      <c r="AB49" s="471"/>
      <c r="AC49" s="472"/>
      <c r="AD49" s="285"/>
      <c r="AE49" s="285"/>
    </row>
    <row r="50" spans="1:34" ht="15" customHeight="1">
      <c r="B50" s="127" t="s">
        <v>237</v>
      </c>
      <c r="C50" s="471" t="s">
        <v>267</v>
      </c>
      <c r="D50" s="471"/>
      <c r="E50" s="471"/>
      <c r="F50" s="471"/>
      <c r="G50" s="471"/>
      <c r="H50" s="471"/>
      <c r="I50" s="471"/>
      <c r="J50" s="471"/>
      <c r="K50" s="471"/>
      <c r="L50" s="471"/>
      <c r="M50" s="471"/>
      <c r="N50" s="471"/>
      <c r="O50" s="471"/>
      <c r="P50" s="471"/>
      <c r="Q50" s="471"/>
      <c r="R50" s="471"/>
      <c r="S50" s="471"/>
      <c r="T50" s="471"/>
      <c r="U50" s="471"/>
      <c r="V50" s="471"/>
      <c r="W50" s="471"/>
      <c r="X50" s="471"/>
      <c r="Y50" s="471"/>
      <c r="Z50" s="471"/>
      <c r="AA50" s="471"/>
      <c r="AB50" s="471"/>
      <c r="AC50" s="472"/>
      <c r="AD50" s="373"/>
      <c r="AE50" s="373"/>
    </row>
    <row r="51" spans="1:34" ht="15" customHeight="1">
      <c r="B51" s="130"/>
      <c r="C51" s="473"/>
      <c r="D51" s="473"/>
      <c r="E51" s="473"/>
      <c r="F51" s="473"/>
      <c r="G51" s="473"/>
      <c r="H51" s="473"/>
      <c r="I51" s="473"/>
      <c r="J51" s="473"/>
      <c r="K51" s="473"/>
      <c r="L51" s="473"/>
      <c r="M51" s="473"/>
      <c r="N51" s="473"/>
      <c r="O51" s="473"/>
      <c r="P51" s="473"/>
      <c r="Q51" s="473"/>
      <c r="R51" s="473"/>
      <c r="S51" s="473"/>
      <c r="T51" s="473"/>
      <c r="U51" s="473"/>
      <c r="V51" s="473"/>
      <c r="W51" s="473"/>
      <c r="X51" s="473"/>
      <c r="Y51" s="473"/>
      <c r="Z51" s="473"/>
      <c r="AA51" s="473"/>
      <c r="AB51" s="473"/>
      <c r="AC51" s="474"/>
      <c r="AD51" s="373"/>
      <c r="AE51" s="373"/>
    </row>
    <row r="52" spans="1:34">
      <c r="B52" s="72" t="s">
        <v>276</v>
      </c>
      <c r="C52" s="12"/>
    </row>
    <row r="53" spans="1:34">
      <c r="B53" s="463" t="s">
        <v>249</v>
      </c>
      <c r="C53" s="463" t="s">
        <v>128</v>
      </c>
      <c r="D53" s="465" t="s">
        <v>261</v>
      </c>
      <c r="E53" s="466"/>
      <c r="F53" s="466"/>
      <c r="G53" s="466"/>
      <c r="H53" s="467"/>
      <c r="I53" s="465" t="s">
        <v>260</v>
      </c>
      <c r="J53" s="466"/>
      <c r="K53" s="466"/>
      <c r="L53" s="466"/>
      <c r="M53" s="466"/>
      <c r="N53" s="467"/>
      <c r="O53" s="231"/>
      <c r="P53" s="155"/>
      <c r="Q53" s="231"/>
      <c r="R53" s="155"/>
      <c r="S53" s="188"/>
      <c r="T53" s="188"/>
      <c r="U53" s="189"/>
      <c r="V53" s="216"/>
      <c r="W53" s="189"/>
      <c r="X53" s="189"/>
      <c r="Y53" s="216"/>
      <c r="Z53" s="465" t="s">
        <v>262</v>
      </c>
      <c r="AA53" s="466"/>
      <c r="AB53" s="466"/>
      <c r="AC53" s="165"/>
      <c r="AD53" s="294"/>
      <c r="AE53" s="294"/>
      <c r="AF53" s="105"/>
      <c r="AG53" s="105"/>
      <c r="AH53" s="14" t="s">
        <v>45</v>
      </c>
    </row>
    <row r="54" spans="1:34" s="119" customFormat="1" ht="23.25">
      <c r="B54" s="464"/>
      <c r="C54" s="464"/>
      <c r="D54" s="92" t="s">
        <v>13</v>
      </c>
      <c r="E54" s="92" t="s">
        <v>25</v>
      </c>
      <c r="F54" s="92" t="s">
        <v>307</v>
      </c>
      <c r="G54" s="92" t="s">
        <v>308</v>
      </c>
      <c r="H54" s="92" t="s">
        <v>256</v>
      </c>
      <c r="I54" s="92" t="s">
        <v>258</v>
      </c>
      <c r="J54" s="92" t="s">
        <v>191</v>
      </c>
      <c r="K54" s="92" t="s">
        <v>257</v>
      </c>
      <c r="L54" s="92" t="s">
        <v>0</v>
      </c>
      <c r="M54" s="92" t="s">
        <v>189</v>
      </c>
      <c r="N54" s="92" t="s">
        <v>259</v>
      </c>
      <c r="O54" s="92"/>
      <c r="P54" s="92" t="s">
        <v>306</v>
      </c>
      <c r="Q54" s="92"/>
      <c r="R54" s="92" t="s">
        <v>301</v>
      </c>
      <c r="S54" s="469" t="s">
        <v>322</v>
      </c>
      <c r="T54" s="469" t="s">
        <v>319</v>
      </c>
      <c r="U54" s="206" t="s">
        <v>343</v>
      </c>
      <c r="V54" s="206" t="s">
        <v>344</v>
      </c>
      <c r="W54" s="206" t="s">
        <v>345</v>
      </c>
      <c r="X54" s="206" t="s">
        <v>346</v>
      </c>
      <c r="Y54" s="206" t="s">
        <v>347</v>
      </c>
      <c r="Z54" s="153" t="s">
        <v>245</v>
      </c>
      <c r="AA54" s="153" t="s">
        <v>246</v>
      </c>
      <c r="AB54" s="153" t="s">
        <v>247</v>
      </c>
      <c r="AC54" s="92"/>
      <c r="AD54" s="92" t="s">
        <v>441</v>
      </c>
      <c r="AE54" s="92" t="s">
        <v>442</v>
      </c>
      <c r="AF54" s="92"/>
      <c r="AG54" s="118"/>
      <c r="AH54" s="15"/>
    </row>
    <row r="55" spans="1:34" s="7" customFormat="1" ht="12" customHeight="1" thickBot="1">
      <c r="B55" s="156" t="s">
        <v>91</v>
      </c>
      <c r="C55" s="156" t="s">
        <v>133</v>
      </c>
      <c r="D55" s="159" t="s">
        <v>7</v>
      </c>
      <c r="E55" s="159" t="s">
        <v>7</v>
      </c>
      <c r="F55" s="159"/>
      <c r="G55" s="159"/>
      <c r="H55" s="159" t="s">
        <v>7</v>
      </c>
      <c r="I55" s="159" t="s">
        <v>171</v>
      </c>
      <c r="J55" s="159" t="s">
        <v>171</v>
      </c>
      <c r="K55" s="159" t="s">
        <v>171</v>
      </c>
      <c r="L55" s="159" t="s">
        <v>171</v>
      </c>
      <c r="M55" s="159" t="s">
        <v>220</v>
      </c>
      <c r="N55" s="159" t="s">
        <v>171</v>
      </c>
      <c r="O55" s="159"/>
      <c r="P55" s="159"/>
      <c r="Q55" s="159"/>
      <c r="R55" s="159"/>
      <c r="S55" s="470"/>
      <c r="T55" s="470"/>
      <c r="U55" s="208" t="s">
        <v>171</v>
      </c>
      <c r="V55" s="208" t="s">
        <v>171</v>
      </c>
      <c r="W55" s="208" t="s">
        <v>171</v>
      </c>
      <c r="X55" s="208" t="s">
        <v>171</v>
      </c>
      <c r="Y55" s="208" t="s">
        <v>171</v>
      </c>
      <c r="Z55" s="159"/>
      <c r="AA55" s="159"/>
      <c r="AB55" s="159"/>
      <c r="AC55" s="159"/>
      <c r="AD55" s="94" t="s">
        <v>171</v>
      </c>
      <c r="AE55" s="94" t="s">
        <v>171</v>
      </c>
      <c r="AF55" s="159"/>
      <c r="AG55" s="159"/>
      <c r="AH55" s="160"/>
    </row>
    <row r="56" spans="1:34">
      <c r="A56" s="11">
        <f>A44+1</f>
        <v>30</v>
      </c>
      <c r="B56" s="107" t="s">
        <v>275</v>
      </c>
      <c r="C56" s="101" t="s">
        <v>384</v>
      </c>
      <c r="D56" s="34">
        <v>588341.69999999995</v>
      </c>
      <c r="E56" s="34">
        <v>6727642.9000000004</v>
      </c>
      <c r="F56" s="194">
        <v>-21.0129463741</v>
      </c>
      <c r="G56" s="194">
        <v>186.481696723</v>
      </c>
      <c r="H56" s="34">
        <v>39.6</v>
      </c>
      <c r="I56" s="103" t="s">
        <v>53</v>
      </c>
      <c r="J56" s="103" t="s">
        <v>53</v>
      </c>
      <c r="K56" s="98">
        <v>1.89E-2</v>
      </c>
      <c r="L56" s="247">
        <v>2.0137000000000002E-3</v>
      </c>
      <c r="M56" s="34"/>
      <c r="N56" s="103" t="s">
        <v>53</v>
      </c>
      <c r="O56" s="103"/>
      <c r="P56" s="103" t="s">
        <v>53</v>
      </c>
      <c r="Q56" s="103"/>
      <c r="R56" s="103" t="s">
        <v>53</v>
      </c>
      <c r="S56" s="209"/>
      <c r="T56" s="103"/>
      <c r="U56" s="209">
        <f>K56</f>
        <v>1.89E-2</v>
      </c>
      <c r="V56" s="209"/>
      <c r="W56" s="209">
        <v>0</v>
      </c>
      <c r="X56" s="209"/>
      <c r="Y56" s="209">
        <v>0</v>
      </c>
      <c r="Z56" s="34">
        <v>14.02</v>
      </c>
      <c r="AA56" s="34">
        <v>11.63</v>
      </c>
      <c r="AB56" s="34">
        <v>9.91</v>
      </c>
      <c r="AC56" s="34"/>
      <c r="AD56" s="247">
        <v>5.4178999999999998E-2</v>
      </c>
      <c r="AE56" s="247">
        <v>5.4657000000000002E-4</v>
      </c>
      <c r="AF56" s="34"/>
      <c r="AG56" s="34"/>
      <c r="AH56" s="14"/>
    </row>
    <row r="57" spans="1:34">
      <c r="A57" s="11">
        <f>A56+1</f>
        <v>31</v>
      </c>
      <c r="B57" s="107">
        <v>47</v>
      </c>
      <c r="C57" s="101" t="s">
        <v>384</v>
      </c>
      <c r="D57" s="34">
        <v>587865.9</v>
      </c>
      <c r="E57" s="34">
        <v>6727230.5</v>
      </c>
      <c r="F57" s="194">
        <v>-21.502578616699999</v>
      </c>
      <c r="G57" s="194">
        <v>186.08188006099999</v>
      </c>
      <c r="H57" s="34">
        <v>0</v>
      </c>
      <c r="I57" s="103" t="s">
        <v>53</v>
      </c>
      <c r="J57" s="103" t="s">
        <v>53</v>
      </c>
      <c r="K57" s="98">
        <v>4.7248999999999999E-2</v>
      </c>
      <c r="L57" s="247">
        <v>4.7177E-3</v>
      </c>
      <c r="M57" s="34"/>
      <c r="N57" s="103" t="s">
        <v>53</v>
      </c>
      <c r="O57" s="103"/>
      <c r="P57" s="103" t="s">
        <v>53</v>
      </c>
      <c r="Q57" s="103"/>
      <c r="R57" s="103" t="s">
        <v>53</v>
      </c>
      <c r="S57" s="209"/>
      <c r="T57" s="103"/>
      <c r="U57" s="209">
        <f>K57</f>
        <v>4.7248999999999999E-2</v>
      </c>
      <c r="V57" s="209"/>
      <c r="W57" s="209">
        <v>0</v>
      </c>
      <c r="X57" s="209"/>
      <c r="Y57" s="209">
        <v>0</v>
      </c>
      <c r="Z57" s="34">
        <v>18.29</v>
      </c>
      <c r="AA57" s="34">
        <v>3.54</v>
      </c>
      <c r="AB57" s="34">
        <v>2.83</v>
      </c>
      <c r="AC57" s="34"/>
      <c r="AD57" s="247">
        <v>0.13394</v>
      </c>
      <c r="AE57" s="247">
        <v>1.3376000000000001E-2</v>
      </c>
      <c r="AF57" s="34"/>
      <c r="AG57" s="34"/>
      <c r="AH57" s="14"/>
    </row>
    <row r="58" spans="1:34" s="296" customFormat="1">
      <c r="B58" s="428"/>
      <c r="C58" s="429"/>
      <c r="D58" s="162"/>
      <c r="E58" s="162"/>
      <c r="F58" s="162"/>
      <c r="G58" s="162"/>
      <c r="H58" s="162"/>
      <c r="I58" s="163"/>
      <c r="J58" s="162"/>
      <c r="K58" s="164"/>
      <c r="L58" s="162"/>
      <c r="M58" s="162"/>
      <c r="N58" s="163"/>
      <c r="O58" s="163"/>
      <c r="P58" s="163"/>
      <c r="Q58" s="163"/>
      <c r="R58" s="163"/>
      <c r="S58" s="163"/>
      <c r="T58" s="163"/>
      <c r="U58" s="163"/>
      <c r="V58" s="163"/>
      <c r="W58" s="163"/>
      <c r="X58" s="163"/>
      <c r="Y58" s="163"/>
      <c r="Z58" s="162"/>
      <c r="AA58" s="162"/>
      <c r="AB58" s="162"/>
      <c r="AC58" s="162"/>
      <c r="AD58" s="162"/>
      <c r="AE58" s="162"/>
      <c r="AF58" s="162"/>
      <c r="AG58" s="162"/>
      <c r="AH58" s="429"/>
    </row>
    <row r="59" spans="1:34">
      <c r="B59" s="233" t="s">
        <v>314</v>
      </c>
      <c r="C59" s="234"/>
      <c r="D59" s="162"/>
      <c r="E59" s="162"/>
      <c r="F59" s="162"/>
      <c r="G59" s="162"/>
      <c r="H59" s="162"/>
      <c r="I59" s="163"/>
      <c r="J59" s="162"/>
      <c r="K59" s="164"/>
      <c r="L59" s="162"/>
      <c r="M59" s="162"/>
      <c r="N59" s="163"/>
      <c r="O59" s="163"/>
      <c r="P59" s="163"/>
      <c r="Q59" s="163"/>
      <c r="R59" s="163"/>
      <c r="S59" s="163"/>
      <c r="T59" s="163"/>
      <c r="U59" s="163"/>
      <c r="V59" s="163"/>
      <c r="W59" s="163"/>
      <c r="X59" s="163"/>
      <c r="Y59" s="163"/>
      <c r="Z59" s="162"/>
      <c r="AA59" s="162"/>
      <c r="AB59" s="162"/>
      <c r="AC59" s="162"/>
      <c r="AD59" s="162"/>
      <c r="AE59" s="162"/>
      <c r="AF59" s="162"/>
      <c r="AG59" s="162"/>
      <c r="AH59" s="161"/>
    </row>
    <row r="60" spans="1:34">
      <c r="B60" s="390" t="s">
        <v>440</v>
      </c>
      <c r="C60" s="391"/>
      <c r="D60" s="162"/>
      <c r="E60" s="162"/>
      <c r="F60" s="162"/>
      <c r="G60" s="162"/>
      <c r="H60" s="162"/>
      <c r="I60" s="163"/>
      <c r="J60" s="162"/>
      <c r="K60" s="164"/>
      <c r="L60" s="162"/>
      <c r="M60" s="162"/>
      <c r="N60" s="163"/>
      <c r="O60" s="163"/>
      <c r="P60" s="163"/>
      <c r="Q60" s="163"/>
      <c r="R60" s="163"/>
      <c r="S60" s="163"/>
      <c r="T60" s="163"/>
      <c r="U60" s="163"/>
      <c r="V60" s="163"/>
      <c r="W60" s="163"/>
      <c r="X60" s="163"/>
      <c r="Y60" s="163"/>
      <c r="Z60" s="162"/>
      <c r="AA60" s="162"/>
      <c r="AB60" s="162"/>
      <c r="AC60" s="162"/>
      <c r="AD60" s="162"/>
      <c r="AE60" s="162"/>
      <c r="AF60" s="162"/>
      <c r="AG60" s="162"/>
      <c r="AH60" s="161"/>
    </row>
    <row r="61" spans="1:34">
      <c r="B61" s="345" t="s">
        <v>517</v>
      </c>
      <c r="C61" s="351"/>
      <c r="D61" s="162"/>
      <c r="E61" s="162"/>
      <c r="F61" s="162"/>
      <c r="G61" s="162"/>
      <c r="H61" s="162"/>
      <c r="I61" s="163"/>
      <c r="J61" s="162"/>
      <c r="K61" s="164"/>
      <c r="L61" s="162"/>
      <c r="M61" s="162"/>
      <c r="N61" s="163"/>
      <c r="O61" s="163"/>
      <c r="P61" s="163"/>
      <c r="Q61" s="163"/>
      <c r="R61" s="163"/>
      <c r="S61" s="163"/>
      <c r="T61" s="163"/>
      <c r="U61" s="163"/>
      <c r="V61" s="163"/>
      <c r="W61" s="163"/>
      <c r="X61" s="163"/>
      <c r="Y61" s="163"/>
      <c r="Z61" s="162"/>
      <c r="AA61" s="162"/>
      <c r="AB61" s="162"/>
      <c r="AC61" s="162"/>
      <c r="AD61" s="162"/>
      <c r="AE61" s="162"/>
      <c r="AF61" s="162"/>
      <c r="AG61" s="162"/>
      <c r="AH61" s="161"/>
    </row>
    <row r="62" spans="1:34">
      <c r="B62" s="12" t="s">
        <v>212</v>
      </c>
      <c r="C62" s="12"/>
    </row>
    <row r="63" spans="1:34">
      <c r="B63" s="12"/>
      <c r="C63" s="12"/>
    </row>
    <row r="64" spans="1:34">
      <c r="B64" s="12" t="s">
        <v>359</v>
      </c>
      <c r="C64" s="12"/>
    </row>
    <row r="65" spans="2:36">
      <c r="B65" s="24" t="s">
        <v>223</v>
      </c>
      <c r="C65" s="12" t="s">
        <v>221</v>
      </c>
    </row>
    <row r="66" spans="2:36">
      <c r="B66" s="24" t="s">
        <v>222</v>
      </c>
      <c r="C66" s="12" t="s">
        <v>360</v>
      </c>
    </row>
    <row r="67" spans="2:36">
      <c r="B67" s="24" t="s">
        <v>222</v>
      </c>
      <c r="C67" s="12">
        <f>0.00809*0.1</f>
        <v>8.0900000000000004E-4</v>
      </c>
    </row>
    <row r="68" spans="2:36">
      <c r="B68" s="24" t="s">
        <v>224</v>
      </c>
      <c r="C68" s="12">
        <v>1.341</v>
      </c>
    </row>
    <row r="69" spans="2:36">
      <c r="B69" s="24"/>
      <c r="C69" s="12"/>
    </row>
    <row r="70" spans="2:36" s="7" customFormat="1">
      <c r="B70" s="23"/>
      <c r="C70" s="11"/>
      <c r="D70" s="11"/>
      <c r="E70" s="11"/>
      <c r="F70" s="11"/>
      <c r="G70" s="11"/>
      <c r="K70" s="26"/>
      <c r="L70" s="26"/>
      <c r="AG70" s="11"/>
      <c r="AH70" s="12"/>
      <c r="AI70" s="11"/>
      <c r="AJ70" s="11"/>
    </row>
    <row r="71" spans="2:36" s="7" customFormat="1">
      <c r="B71" s="23"/>
      <c r="C71" s="11"/>
      <c r="D71" s="27"/>
      <c r="E71" s="27"/>
      <c r="F71" s="27"/>
      <c r="G71" s="27"/>
      <c r="H71" s="27"/>
      <c r="I71" s="26"/>
      <c r="J71" s="26"/>
      <c r="K71" s="26"/>
      <c r="L71" s="26"/>
      <c r="N71"/>
      <c r="O71"/>
      <c r="P71"/>
      <c r="AG71" s="11"/>
      <c r="AH71" s="12"/>
      <c r="AI71" s="11"/>
      <c r="AJ71" s="11"/>
    </row>
    <row r="72" spans="2:36" s="7" customFormat="1">
      <c r="B72" s="23"/>
      <c r="C72" s="23"/>
      <c r="D72"/>
      <c r="E72"/>
      <c r="F72"/>
      <c r="G72"/>
      <c r="H72"/>
      <c r="I72"/>
      <c r="J72"/>
      <c r="K72" s="26"/>
      <c r="L72" s="77"/>
      <c r="N72" s="11"/>
      <c r="O72" s="316"/>
      <c r="P72" s="316"/>
      <c r="AG72" s="11"/>
      <c r="AH72" s="12"/>
      <c r="AI72" s="11"/>
      <c r="AJ72" s="11"/>
    </row>
    <row r="73" spans="2:36" s="7" customFormat="1">
      <c r="B73" s="23"/>
      <c r="C73" s="23"/>
      <c r="D73"/>
      <c r="E73"/>
      <c r="F73"/>
      <c r="G73"/>
      <c r="H73"/>
      <c r="I73"/>
      <c r="J73"/>
      <c r="N73" s="11"/>
      <c r="O73" s="316"/>
      <c r="P73" s="316"/>
      <c r="AG73" s="11"/>
      <c r="AH73" s="12"/>
      <c r="AI73" s="11"/>
      <c r="AJ73" s="11"/>
    </row>
    <row r="74" spans="2:36">
      <c r="C74" s="23"/>
      <c r="D74"/>
      <c r="E74"/>
      <c r="F74"/>
      <c r="G74"/>
      <c r="H74"/>
      <c r="I74"/>
      <c r="J74"/>
      <c r="N74" s="11"/>
      <c r="O74" s="316"/>
      <c r="P74" s="316"/>
    </row>
    <row r="75" spans="2:36">
      <c r="C75" s="23"/>
      <c r="D75"/>
      <c r="E75"/>
      <c r="F75"/>
      <c r="G75"/>
      <c r="H75"/>
      <c r="I75"/>
      <c r="J75"/>
      <c r="N75" s="11"/>
      <c r="O75" s="316"/>
      <c r="P75" s="316"/>
    </row>
    <row r="76" spans="2:36" s="7" customFormat="1">
      <c r="B76" s="22"/>
      <c r="C76" s="23"/>
      <c r="D76"/>
      <c r="E76"/>
      <c r="F76"/>
      <c r="G76"/>
      <c r="H76"/>
      <c r="I76"/>
      <c r="J76"/>
      <c r="N76" s="11"/>
      <c r="O76" s="316"/>
      <c r="P76" s="316"/>
      <c r="AG76" s="11"/>
      <c r="AH76" s="12"/>
      <c r="AI76" s="11"/>
      <c r="AJ76" s="11"/>
    </row>
    <row r="77" spans="2:36">
      <c r="C77" s="23"/>
      <c r="D77"/>
      <c r="E77"/>
      <c r="F77"/>
      <c r="G77"/>
      <c r="H77"/>
      <c r="I77"/>
      <c r="J77"/>
      <c r="N77" s="11"/>
      <c r="O77" s="316"/>
      <c r="P77" s="316"/>
    </row>
    <row r="78" spans="2:36" s="7" customFormat="1">
      <c r="B78" s="11"/>
      <c r="C78" s="23"/>
      <c r="D78"/>
      <c r="E78"/>
      <c r="F78"/>
      <c r="G78"/>
      <c r="H78"/>
      <c r="I78"/>
      <c r="J78"/>
      <c r="K78" s="21"/>
      <c r="L78" s="21"/>
      <c r="M78" s="21"/>
      <c r="N78" s="11"/>
      <c r="O78" s="316"/>
      <c r="P78" s="316"/>
      <c r="AG78" s="11"/>
      <c r="AH78" s="12"/>
      <c r="AI78" s="11"/>
      <c r="AJ78" s="11"/>
    </row>
    <row r="79" spans="2:36" s="7" customFormat="1">
      <c r="B79" s="11"/>
      <c r="C79" s="23"/>
      <c r="D79"/>
      <c r="E79"/>
      <c r="F79"/>
      <c r="G79"/>
      <c r="H79"/>
      <c r="I79"/>
      <c r="J79"/>
      <c r="K79" s="21"/>
      <c r="L79" s="21"/>
      <c r="M79" s="21"/>
      <c r="N79" s="11"/>
      <c r="O79" s="316"/>
      <c r="P79" s="316"/>
      <c r="AG79" s="11"/>
      <c r="AH79" s="12"/>
      <c r="AI79" s="11"/>
      <c r="AJ79" s="11"/>
    </row>
    <row r="80" spans="2:36" s="7" customFormat="1">
      <c r="B80" s="11"/>
      <c r="C80" s="23"/>
      <c r="D80"/>
      <c r="E80"/>
      <c r="F80"/>
      <c r="G80"/>
      <c r="H80"/>
      <c r="I80"/>
      <c r="J80"/>
      <c r="K80" s="21"/>
      <c r="L80" s="21"/>
      <c r="M80" s="21"/>
      <c r="N80" s="11"/>
      <c r="O80" s="316"/>
      <c r="P80" s="316"/>
      <c r="AG80" s="11"/>
      <c r="AH80" s="12"/>
      <c r="AI80" s="11"/>
      <c r="AJ80" s="11"/>
    </row>
    <row r="81" spans="2:36" s="7" customFormat="1">
      <c r="B81" s="11"/>
      <c r="C81" s="23"/>
      <c r="D81"/>
      <c r="E81"/>
      <c r="F81"/>
      <c r="G81"/>
      <c r="H81"/>
      <c r="I81"/>
      <c r="J81"/>
      <c r="K81" s="21"/>
      <c r="L81" s="21"/>
      <c r="M81" s="21"/>
      <c r="N81" s="11"/>
      <c r="O81" s="316"/>
      <c r="P81" s="316"/>
      <c r="AG81" s="11"/>
      <c r="AH81" s="12"/>
      <c r="AI81" s="11"/>
      <c r="AJ81" s="11"/>
    </row>
    <row r="82" spans="2:36" s="7" customFormat="1">
      <c r="B82" s="11"/>
      <c r="C82" s="23"/>
      <c r="D82"/>
      <c r="E82"/>
      <c r="F82"/>
      <c r="G82"/>
      <c r="H82"/>
      <c r="I82"/>
      <c r="J82"/>
      <c r="K82" s="21"/>
      <c r="L82" s="21"/>
      <c r="M82" s="21"/>
      <c r="N82" s="11"/>
      <c r="O82" s="316"/>
      <c r="P82" s="316"/>
      <c r="AG82" s="11"/>
      <c r="AH82" s="12"/>
      <c r="AI82" s="11"/>
      <c r="AJ82" s="11"/>
    </row>
    <row r="83" spans="2:36" s="7" customFormat="1">
      <c r="B83" s="11"/>
      <c r="C83" s="23"/>
      <c r="D83"/>
      <c r="E83"/>
      <c r="F83"/>
      <c r="G83"/>
      <c r="H83"/>
      <c r="I83"/>
      <c r="J83"/>
      <c r="K83" s="21"/>
      <c r="L83" s="21"/>
      <c r="M83" s="21"/>
      <c r="N83" s="11"/>
      <c r="O83" s="316"/>
      <c r="P83" s="316"/>
      <c r="AG83" s="11"/>
      <c r="AH83" s="12"/>
      <c r="AI83" s="11"/>
      <c r="AJ83" s="11"/>
    </row>
    <row r="84" spans="2:36" s="7" customFormat="1">
      <c r="B84" s="11"/>
      <c r="C84" s="23"/>
      <c r="D84"/>
      <c r="E84"/>
      <c r="F84"/>
      <c r="G84"/>
      <c r="H84"/>
      <c r="I84"/>
      <c r="J84"/>
      <c r="K84" s="21"/>
      <c r="L84" s="21"/>
      <c r="M84" s="21"/>
      <c r="N84" s="11"/>
      <c r="O84" s="316"/>
      <c r="P84" s="316"/>
      <c r="AG84" s="11"/>
      <c r="AH84" s="12"/>
      <c r="AI84" s="11"/>
      <c r="AJ84" s="11"/>
    </row>
    <row r="85" spans="2:36" s="7" customFormat="1">
      <c r="B85" s="11"/>
      <c r="C85" s="23"/>
      <c r="D85"/>
      <c r="E85"/>
      <c r="F85"/>
      <c r="G85"/>
      <c r="H85"/>
      <c r="I85"/>
      <c r="J85"/>
      <c r="K85" s="21"/>
      <c r="L85" s="21"/>
      <c r="M85" s="21"/>
      <c r="N85" s="11"/>
      <c r="O85" s="316"/>
      <c r="P85" s="316"/>
      <c r="AG85" s="11"/>
      <c r="AH85" s="12"/>
      <c r="AI85" s="11"/>
      <c r="AJ85" s="11"/>
    </row>
    <row r="86" spans="2:36">
      <c r="C86" s="23"/>
      <c r="D86"/>
      <c r="E86"/>
      <c r="F86"/>
      <c r="G86"/>
      <c r="H86"/>
      <c r="I86"/>
      <c r="J86"/>
      <c r="K86" s="21"/>
      <c r="L86" s="21"/>
      <c r="M86" s="21"/>
      <c r="N86" s="11"/>
      <c r="O86" s="316"/>
      <c r="P86" s="316"/>
    </row>
    <row r="87" spans="2:36">
      <c r="C87" s="23"/>
      <c r="D87"/>
      <c r="E87"/>
      <c r="F87"/>
      <c r="G87"/>
      <c r="H87"/>
      <c r="I87"/>
      <c r="J87"/>
      <c r="K87" s="21"/>
      <c r="L87" s="21"/>
      <c r="M87" s="21"/>
      <c r="N87" s="11"/>
      <c r="O87" s="316"/>
      <c r="P87" s="316"/>
    </row>
    <row r="88" spans="2:36" s="12" customFormat="1">
      <c r="B88" s="11"/>
      <c r="C88" s="23"/>
      <c r="D88"/>
      <c r="E88"/>
      <c r="F88"/>
      <c r="G88"/>
      <c r="H88"/>
      <c r="I88"/>
      <c r="J88"/>
      <c r="K88" s="21"/>
      <c r="L88" s="21"/>
      <c r="M88" s="21"/>
      <c r="N88" s="11"/>
      <c r="O88" s="316"/>
      <c r="P88" s="316"/>
      <c r="Z88" s="7"/>
      <c r="AA88" s="7"/>
      <c r="AB88" s="7"/>
      <c r="AC88" s="7"/>
      <c r="AD88" s="7"/>
      <c r="AE88" s="7"/>
      <c r="AF88" s="7"/>
      <c r="AG88" s="11"/>
      <c r="AI88" s="11"/>
      <c r="AJ88" s="11"/>
    </row>
    <row r="89" spans="2:36" s="12" customFormat="1">
      <c r="B89" s="11"/>
      <c r="C89" s="23"/>
      <c r="D89"/>
      <c r="E89"/>
      <c r="F89"/>
      <c r="G89"/>
      <c r="H89"/>
      <c r="I89"/>
      <c r="J89"/>
      <c r="K89" s="21"/>
      <c r="L89" s="21"/>
      <c r="M89" s="21"/>
      <c r="N89" s="11"/>
      <c r="O89" s="316"/>
      <c r="P89" s="316"/>
      <c r="Z89" s="7"/>
      <c r="AA89" s="7"/>
      <c r="AB89" s="7"/>
      <c r="AC89" s="7"/>
      <c r="AD89" s="7"/>
      <c r="AE89" s="7"/>
      <c r="AF89" s="7"/>
      <c r="AG89" s="11"/>
      <c r="AI89" s="11"/>
      <c r="AJ89" s="11"/>
    </row>
    <row r="90" spans="2:36" s="12" customFormat="1">
      <c r="B90" s="11"/>
      <c r="C90" s="23"/>
      <c r="D90"/>
      <c r="E90"/>
      <c r="F90"/>
      <c r="G90"/>
      <c r="H90"/>
      <c r="I90"/>
      <c r="J90"/>
      <c r="K90" s="21"/>
      <c r="L90" s="21"/>
      <c r="M90" s="21"/>
      <c r="N90" s="11"/>
      <c r="O90" s="316"/>
      <c r="P90" s="316"/>
      <c r="Z90" s="7"/>
      <c r="AA90" s="7"/>
      <c r="AB90" s="7"/>
      <c r="AC90" s="7"/>
      <c r="AD90" s="7"/>
      <c r="AE90" s="7"/>
      <c r="AF90" s="7"/>
      <c r="AG90" s="11"/>
      <c r="AI90" s="11"/>
      <c r="AJ90" s="11"/>
    </row>
    <row r="91" spans="2:36" s="12" customFormat="1">
      <c r="B91" s="11"/>
      <c r="C91" s="23"/>
      <c r="D91"/>
      <c r="E91"/>
      <c r="F91"/>
      <c r="G91"/>
      <c r="H91"/>
      <c r="I91"/>
      <c r="J91"/>
      <c r="K91" s="21"/>
      <c r="L91" s="21"/>
      <c r="M91" s="21"/>
      <c r="N91" s="11"/>
      <c r="O91" s="316"/>
      <c r="P91" s="316"/>
      <c r="Z91" s="7"/>
      <c r="AA91" s="7"/>
      <c r="AB91" s="7"/>
      <c r="AC91" s="7"/>
      <c r="AD91" s="7"/>
      <c r="AE91" s="7"/>
      <c r="AF91" s="7"/>
      <c r="AG91" s="11"/>
      <c r="AI91" s="11"/>
      <c r="AJ91" s="11"/>
    </row>
    <row r="92" spans="2:36" s="12" customFormat="1">
      <c r="B92" s="11"/>
      <c r="C92" s="23"/>
      <c r="D92"/>
      <c r="E92"/>
      <c r="F92"/>
      <c r="G92"/>
      <c r="H92"/>
      <c r="I92"/>
      <c r="J92"/>
      <c r="K92" s="21"/>
      <c r="L92" s="21"/>
      <c r="M92" s="21"/>
      <c r="N92" s="11"/>
      <c r="O92" s="316"/>
      <c r="P92" s="316"/>
      <c r="Z92" s="7"/>
      <c r="AA92" s="7"/>
      <c r="AB92" s="7"/>
      <c r="AC92" s="7"/>
      <c r="AD92" s="7"/>
      <c r="AE92" s="7"/>
      <c r="AF92" s="7"/>
      <c r="AG92" s="11"/>
      <c r="AI92" s="11"/>
      <c r="AJ92" s="11"/>
    </row>
    <row r="93" spans="2:36" s="12" customFormat="1">
      <c r="B93" s="11"/>
      <c r="C93" s="23"/>
      <c r="D93"/>
      <c r="E93"/>
      <c r="F93"/>
      <c r="G93"/>
      <c r="H93"/>
      <c r="I93"/>
      <c r="J93"/>
      <c r="K93" s="21"/>
      <c r="L93" s="21"/>
      <c r="M93" s="21"/>
      <c r="N93" s="11"/>
      <c r="O93" s="316"/>
      <c r="P93" s="316"/>
      <c r="Z93" s="7"/>
      <c r="AA93" s="7"/>
      <c r="AB93" s="7"/>
      <c r="AC93" s="7"/>
      <c r="AD93" s="7"/>
      <c r="AE93" s="7"/>
      <c r="AF93" s="7"/>
      <c r="AG93" s="11"/>
      <c r="AI93" s="11"/>
      <c r="AJ93" s="11"/>
    </row>
    <row r="94" spans="2:36" s="12" customFormat="1">
      <c r="B94" s="11"/>
      <c r="C94" s="23"/>
      <c r="D94"/>
      <c r="E94"/>
      <c r="F94"/>
      <c r="G94"/>
      <c r="H94"/>
      <c r="I94"/>
      <c r="J94"/>
      <c r="K94" s="21"/>
      <c r="L94" s="21"/>
      <c r="M94" s="21"/>
      <c r="N94" s="11"/>
      <c r="O94" s="316"/>
      <c r="P94" s="316"/>
      <c r="Z94" s="7"/>
      <c r="AA94" s="7"/>
      <c r="AB94" s="7"/>
      <c r="AC94" s="7"/>
      <c r="AD94" s="7"/>
      <c r="AE94" s="7"/>
      <c r="AF94" s="7"/>
      <c r="AG94" s="11"/>
      <c r="AI94" s="11"/>
      <c r="AJ94" s="11"/>
    </row>
    <row r="95" spans="2:36" s="12" customFormat="1">
      <c r="B95" s="11"/>
      <c r="C95" s="23"/>
      <c r="D95"/>
      <c r="E95"/>
      <c r="F95"/>
      <c r="G95"/>
      <c r="H95"/>
      <c r="I95"/>
      <c r="J95"/>
      <c r="K95" s="21"/>
      <c r="L95" s="21"/>
      <c r="M95" s="21"/>
      <c r="N95" s="11"/>
      <c r="O95" s="316"/>
      <c r="P95" s="316"/>
      <c r="Z95" s="7"/>
      <c r="AA95" s="7"/>
      <c r="AB95" s="7"/>
      <c r="AC95" s="7"/>
      <c r="AD95" s="7"/>
      <c r="AE95" s="7"/>
      <c r="AF95" s="7"/>
      <c r="AG95" s="11"/>
      <c r="AI95" s="11"/>
      <c r="AJ95" s="11"/>
    </row>
    <row r="96" spans="2:36" s="12" customFormat="1">
      <c r="B96" s="11"/>
      <c r="C96" s="23"/>
      <c r="D96"/>
      <c r="E96"/>
      <c r="F96"/>
      <c r="G96"/>
      <c r="H96"/>
      <c r="I96"/>
      <c r="J96"/>
      <c r="K96" s="21"/>
      <c r="L96" s="21"/>
      <c r="M96" s="21"/>
      <c r="N96" s="11"/>
      <c r="O96" s="316"/>
      <c r="P96" s="316"/>
      <c r="Z96" s="7"/>
      <c r="AA96" s="7"/>
      <c r="AB96" s="7"/>
      <c r="AC96" s="7"/>
      <c r="AD96" s="7"/>
      <c r="AE96" s="7"/>
      <c r="AF96" s="7"/>
      <c r="AG96" s="11"/>
      <c r="AI96" s="11"/>
      <c r="AJ96" s="11"/>
    </row>
    <row r="97" spans="2:36" s="12" customFormat="1">
      <c r="B97" s="11"/>
      <c r="C97" s="23"/>
      <c r="D97"/>
      <c r="E97"/>
      <c r="F97"/>
      <c r="G97"/>
      <c r="H97"/>
      <c r="I97"/>
      <c r="J97"/>
      <c r="K97" s="21"/>
      <c r="L97" s="21"/>
      <c r="M97" s="21"/>
      <c r="N97" s="11"/>
      <c r="O97" s="316"/>
      <c r="P97" s="316"/>
      <c r="Z97" s="7"/>
      <c r="AA97" s="7"/>
      <c r="AB97" s="7"/>
      <c r="AC97" s="7"/>
      <c r="AD97" s="7"/>
      <c r="AE97" s="7"/>
      <c r="AF97" s="7"/>
      <c r="AG97" s="11"/>
      <c r="AI97" s="11"/>
      <c r="AJ97" s="11"/>
    </row>
    <row r="98" spans="2:36" s="12" customFormat="1">
      <c r="B98" s="11"/>
      <c r="C98" s="23"/>
      <c r="D98"/>
      <c r="E98"/>
      <c r="F98"/>
      <c r="G98"/>
      <c r="H98"/>
      <c r="I98"/>
      <c r="J98"/>
      <c r="K98" s="21"/>
      <c r="L98" s="21"/>
      <c r="M98" s="21"/>
      <c r="Z98" s="7"/>
      <c r="AA98" s="7"/>
      <c r="AB98" s="7"/>
      <c r="AC98" s="7"/>
      <c r="AD98" s="7"/>
      <c r="AE98" s="7"/>
      <c r="AF98" s="7"/>
      <c r="AG98" s="11"/>
      <c r="AI98" s="11"/>
      <c r="AJ98" s="11"/>
    </row>
    <row r="99" spans="2:36" s="12" customFormat="1">
      <c r="B99" s="11"/>
      <c r="C99" s="23"/>
      <c r="D99"/>
      <c r="E99"/>
      <c r="F99"/>
      <c r="G99"/>
      <c r="H99"/>
      <c r="I99"/>
      <c r="J99"/>
      <c r="K99" s="21"/>
      <c r="L99" s="21"/>
      <c r="M99" s="21"/>
      <c r="Z99" s="7"/>
      <c r="AA99" s="7"/>
      <c r="AB99" s="7"/>
      <c r="AC99" s="7"/>
      <c r="AD99" s="7"/>
      <c r="AE99" s="7"/>
      <c r="AF99" s="7"/>
      <c r="AG99" s="11"/>
      <c r="AI99" s="11"/>
      <c r="AJ99" s="11"/>
    </row>
    <row r="100" spans="2:36" s="12" customFormat="1">
      <c r="B100" s="11"/>
      <c r="C100" s="23"/>
      <c r="D100"/>
      <c r="E100"/>
      <c r="F100"/>
      <c r="G100"/>
      <c r="H100"/>
      <c r="I100"/>
      <c r="J100"/>
      <c r="K100" s="21"/>
      <c r="L100" s="21"/>
      <c r="M100" s="21"/>
      <c r="Z100" s="7"/>
      <c r="AA100" s="7"/>
      <c r="AB100" s="7"/>
      <c r="AC100" s="7"/>
      <c r="AD100" s="7"/>
      <c r="AE100" s="7"/>
      <c r="AF100" s="7"/>
      <c r="AG100" s="11"/>
      <c r="AI100" s="11"/>
      <c r="AJ100" s="11"/>
    </row>
    <row r="101" spans="2:36" s="12" customFormat="1">
      <c r="B101" s="11"/>
      <c r="C101" s="23"/>
      <c r="D101"/>
      <c r="E101"/>
      <c r="F101"/>
      <c r="G101"/>
      <c r="H101"/>
      <c r="I101"/>
      <c r="J101"/>
      <c r="K101" s="21"/>
      <c r="L101" s="21"/>
      <c r="M101" s="21"/>
      <c r="Z101" s="7"/>
      <c r="AA101" s="7"/>
      <c r="AB101" s="7"/>
      <c r="AC101" s="7"/>
      <c r="AD101" s="7"/>
      <c r="AE101" s="7"/>
      <c r="AF101" s="7"/>
      <c r="AG101" s="11"/>
      <c r="AI101" s="11"/>
      <c r="AJ101" s="11"/>
    </row>
    <row r="102" spans="2:36" s="12" customFormat="1">
      <c r="B102" s="11"/>
      <c r="C102" s="23"/>
      <c r="D102"/>
      <c r="E102"/>
      <c r="F102"/>
      <c r="G102"/>
      <c r="H102"/>
      <c r="I102"/>
      <c r="J102"/>
      <c r="K102" s="26"/>
      <c r="L102" s="77"/>
      <c r="M102" s="21"/>
      <c r="Z102" s="7"/>
      <c r="AA102" s="7"/>
      <c r="AB102" s="7"/>
      <c r="AC102" s="7"/>
      <c r="AD102" s="7"/>
      <c r="AE102" s="7"/>
      <c r="AF102" s="7"/>
      <c r="AG102" s="11"/>
      <c r="AI102" s="11"/>
      <c r="AJ102" s="11"/>
    </row>
    <row r="103" spans="2:36" s="12" customFormat="1">
      <c r="B103" s="11"/>
      <c r="C103" s="23"/>
      <c r="D103"/>
      <c r="E103"/>
      <c r="F103"/>
      <c r="G103"/>
      <c r="H103"/>
      <c r="I103"/>
      <c r="J103"/>
      <c r="K103" s="7"/>
      <c r="L103" s="7"/>
      <c r="M103" s="21"/>
      <c r="Z103" s="7"/>
      <c r="AA103" s="7"/>
      <c r="AB103" s="7"/>
      <c r="AC103" s="7"/>
      <c r="AD103" s="7"/>
      <c r="AE103" s="7"/>
      <c r="AF103" s="7"/>
      <c r="AG103" s="11"/>
      <c r="AI103" s="11"/>
      <c r="AJ103" s="11"/>
    </row>
    <row r="104" spans="2:36" s="12" customFormat="1">
      <c r="B104" s="11"/>
      <c r="C104" s="23"/>
      <c r="D104"/>
      <c r="E104"/>
      <c r="F104"/>
      <c r="G104"/>
      <c r="H104"/>
      <c r="I104"/>
      <c r="J104"/>
      <c r="K104" s="7"/>
      <c r="L104" s="7"/>
      <c r="M104" s="21"/>
      <c r="Z104" s="7"/>
      <c r="AA104" s="7"/>
      <c r="AB104" s="7"/>
      <c r="AC104" s="7"/>
      <c r="AD104" s="7"/>
      <c r="AE104" s="7"/>
      <c r="AF104" s="7"/>
      <c r="AG104" s="11"/>
      <c r="AI104" s="11"/>
      <c r="AJ104" s="11"/>
    </row>
    <row r="105" spans="2:36" s="12" customFormat="1">
      <c r="B105" s="11"/>
      <c r="C105" s="23"/>
      <c r="D105"/>
      <c r="E105"/>
      <c r="F105"/>
      <c r="G105"/>
      <c r="H105"/>
      <c r="I105"/>
      <c r="J105"/>
      <c r="K105" s="7"/>
      <c r="L105" s="7"/>
      <c r="M105" s="21"/>
      <c r="Z105" s="7"/>
      <c r="AA105" s="7"/>
      <c r="AB105" s="7"/>
      <c r="AC105" s="7"/>
      <c r="AD105" s="7"/>
      <c r="AE105" s="7"/>
      <c r="AF105" s="7"/>
      <c r="AG105" s="11"/>
      <c r="AI105" s="11"/>
      <c r="AJ105" s="11"/>
    </row>
    <row r="106" spans="2:36" s="12" customFormat="1">
      <c r="B106" s="11"/>
      <c r="C106" s="23"/>
      <c r="D106"/>
      <c r="E106"/>
      <c r="F106"/>
      <c r="G106"/>
      <c r="H106"/>
      <c r="I106"/>
      <c r="J106"/>
      <c r="K106" s="7"/>
      <c r="L106" s="7"/>
      <c r="M106" s="21"/>
      <c r="Z106" s="7"/>
      <c r="AA106" s="7"/>
      <c r="AB106" s="7"/>
      <c r="AC106" s="7"/>
      <c r="AD106" s="7"/>
      <c r="AE106" s="7"/>
      <c r="AF106" s="7"/>
      <c r="AG106" s="11"/>
      <c r="AI106" s="11"/>
      <c r="AJ106" s="11"/>
    </row>
    <row r="107" spans="2:36" s="12" customFormat="1">
      <c r="B107" s="11"/>
      <c r="C107" s="23"/>
      <c r="D107"/>
      <c r="E107"/>
      <c r="F107"/>
      <c r="G107"/>
      <c r="H107"/>
      <c r="I107"/>
      <c r="J107"/>
      <c r="K107" s="7"/>
      <c r="L107" s="7"/>
      <c r="M107" s="21"/>
      <c r="Z107" s="7"/>
      <c r="AA107" s="7"/>
      <c r="AB107" s="7"/>
      <c r="AC107" s="7"/>
      <c r="AD107" s="7"/>
      <c r="AE107" s="7"/>
      <c r="AF107" s="7"/>
      <c r="AG107" s="11"/>
      <c r="AI107" s="11"/>
      <c r="AJ107" s="11"/>
    </row>
    <row r="108" spans="2:36" s="12" customFormat="1">
      <c r="B108" s="11"/>
      <c r="C108" s="23"/>
      <c r="D108"/>
      <c r="E108"/>
      <c r="F108"/>
      <c r="G108"/>
      <c r="H108"/>
      <c r="I108"/>
      <c r="J108"/>
      <c r="K108" s="21"/>
      <c r="L108" s="21"/>
      <c r="M108" s="21"/>
      <c r="Z108" s="7"/>
      <c r="AA108" s="7"/>
      <c r="AB108" s="7"/>
      <c r="AC108" s="7"/>
      <c r="AD108" s="7"/>
      <c r="AE108" s="7"/>
      <c r="AF108" s="7"/>
      <c r="AG108" s="11"/>
      <c r="AI108" s="11"/>
      <c r="AJ108" s="11"/>
    </row>
    <row r="109" spans="2:36" s="12" customFormat="1">
      <c r="B109" s="11"/>
      <c r="C109" s="23"/>
      <c r="D109"/>
      <c r="E109"/>
      <c r="F109"/>
      <c r="G109"/>
      <c r="H109"/>
      <c r="I109"/>
      <c r="J109"/>
      <c r="K109" s="21"/>
      <c r="L109" s="21"/>
      <c r="M109" s="21"/>
      <c r="Z109" s="7"/>
      <c r="AA109" s="7"/>
      <c r="AB109" s="7"/>
      <c r="AC109" s="7"/>
      <c r="AD109" s="7"/>
      <c r="AE109" s="7"/>
      <c r="AF109" s="7"/>
      <c r="AG109" s="11"/>
      <c r="AI109" s="11"/>
      <c r="AJ109" s="11"/>
    </row>
    <row r="110" spans="2:36" s="12" customFormat="1">
      <c r="B110" s="11"/>
      <c r="C110" s="23"/>
      <c r="D110"/>
      <c r="E110"/>
      <c r="F110"/>
      <c r="G110"/>
      <c r="H110"/>
      <c r="I110"/>
      <c r="J110"/>
      <c r="K110" s="21"/>
      <c r="L110" s="21"/>
      <c r="M110" s="21"/>
      <c r="Z110" s="7"/>
      <c r="AA110" s="7"/>
      <c r="AB110" s="7"/>
      <c r="AC110" s="7"/>
      <c r="AD110" s="7"/>
      <c r="AE110" s="7"/>
      <c r="AF110" s="7"/>
      <c r="AG110" s="11"/>
      <c r="AI110" s="11"/>
      <c r="AJ110" s="11"/>
    </row>
    <row r="111" spans="2:36">
      <c r="C111" s="23"/>
      <c r="D111"/>
      <c r="E111"/>
      <c r="F111"/>
      <c r="G111"/>
      <c r="H111"/>
      <c r="I111"/>
      <c r="J111"/>
      <c r="K111" s="21"/>
      <c r="L111" s="21"/>
      <c r="M111" s="21"/>
    </row>
    <row r="112" spans="2:36">
      <c r="C112" s="23"/>
      <c r="D112"/>
      <c r="E112"/>
      <c r="F112"/>
      <c r="G112"/>
      <c r="H112"/>
      <c r="I112"/>
      <c r="J112"/>
      <c r="K112" s="21"/>
      <c r="L112" s="21"/>
      <c r="M112" s="21"/>
    </row>
    <row r="113" spans="2:36">
      <c r="C113" s="23"/>
      <c r="D113"/>
      <c r="E113"/>
      <c r="F113"/>
      <c r="G113"/>
      <c r="H113"/>
      <c r="I113"/>
      <c r="J113"/>
      <c r="K113" s="21"/>
      <c r="L113" s="21"/>
      <c r="M113" s="21"/>
    </row>
    <row r="114" spans="2:36">
      <c r="C114" s="23"/>
      <c r="D114"/>
      <c r="E114"/>
      <c r="F114"/>
      <c r="G114"/>
      <c r="H114"/>
      <c r="I114"/>
      <c r="J114"/>
      <c r="K114" s="21"/>
      <c r="L114" s="21"/>
      <c r="M114" s="21"/>
    </row>
    <row r="115" spans="2:36">
      <c r="C115" s="23"/>
      <c r="D115"/>
      <c r="E115"/>
      <c r="F115"/>
      <c r="G115"/>
      <c r="H115"/>
      <c r="I115"/>
      <c r="J115"/>
      <c r="K115" s="21"/>
      <c r="L115" s="21"/>
      <c r="M115" s="21"/>
    </row>
    <row r="116" spans="2:36">
      <c r="C116" s="23"/>
      <c r="D116"/>
      <c r="E116"/>
      <c r="F116"/>
      <c r="G116"/>
      <c r="H116"/>
      <c r="I116"/>
      <c r="J116"/>
      <c r="K116" s="21"/>
      <c r="L116" s="21"/>
      <c r="M116" s="21"/>
    </row>
    <row r="117" spans="2:36">
      <c r="C117" s="23"/>
      <c r="D117"/>
      <c r="E117"/>
      <c r="F117"/>
      <c r="G117"/>
      <c r="H117"/>
      <c r="I117"/>
      <c r="J117"/>
      <c r="K117" s="21"/>
      <c r="L117" s="21"/>
      <c r="M117" s="21"/>
    </row>
    <row r="118" spans="2:36" s="7" customFormat="1">
      <c r="B118" s="11"/>
      <c r="C118" s="23"/>
      <c r="D118"/>
      <c r="E118"/>
      <c r="F118"/>
      <c r="G118"/>
      <c r="H118"/>
      <c r="I118"/>
      <c r="J118"/>
      <c r="K118" s="21"/>
      <c r="L118" s="21"/>
      <c r="M118" s="21"/>
      <c r="AG118" s="11"/>
      <c r="AH118" s="12"/>
      <c r="AI118" s="11"/>
      <c r="AJ118" s="11"/>
    </row>
    <row r="119" spans="2:36" s="7" customFormat="1">
      <c r="B119" s="11"/>
      <c r="C119" s="23"/>
      <c r="D119"/>
      <c r="E119"/>
      <c r="F119"/>
      <c r="G119"/>
      <c r="H119"/>
      <c r="I119"/>
      <c r="J119"/>
      <c r="K119" s="21"/>
      <c r="L119" s="21"/>
      <c r="M119" s="21"/>
      <c r="AG119" s="11"/>
      <c r="AH119" s="12"/>
      <c r="AI119" s="11"/>
      <c r="AJ119" s="11"/>
    </row>
    <row r="120" spans="2:36" s="7" customFormat="1">
      <c r="B120" s="11"/>
      <c r="C120" s="23"/>
      <c r="D120"/>
      <c r="E120"/>
      <c r="F120"/>
      <c r="G120"/>
      <c r="H120"/>
      <c r="I120"/>
      <c r="J120"/>
      <c r="K120" s="21"/>
      <c r="L120" s="21"/>
      <c r="M120" s="21"/>
      <c r="AG120" s="11"/>
      <c r="AH120" s="12"/>
      <c r="AI120" s="11"/>
      <c r="AJ120" s="11"/>
    </row>
    <row r="121" spans="2:36" s="7" customFormat="1">
      <c r="B121" s="11"/>
      <c r="C121" s="23"/>
      <c r="D121"/>
      <c r="E121"/>
      <c r="F121"/>
      <c r="G121"/>
      <c r="H121"/>
      <c r="I121"/>
      <c r="J121"/>
      <c r="K121" s="21"/>
      <c r="L121" s="21"/>
      <c r="M121" s="21"/>
      <c r="AG121" s="11"/>
      <c r="AH121" s="12"/>
      <c r="AI121" s="11"/>
      <c r="AJ121" s="11"/>
    </row>
    <row r="122" spans="2:36" s="7" customFormat="1">
      <c r="B122" s="11"/>
      <c r="C122" s="23"/>
      <c r="D122"/>
      <c r="E122"/>
      <c r="F122"/>
      <c r="G122"/>
      <c r="H122"/>
      <c r="I122"/>
      <c r="J122"/>
      <c r="K122" s="21"/>
      <c r="L122" s="21"/>
      <c r="M122" s="21"/>
      <c r="AG122" s="11"/>
      <c r="AH122" s="12"/>
      <c r="AI122" s="11"/>
      <c r="AJ122" s="11"/>
    </row>
    <row r="123" spans="2:36" s="7" customFormat="1">
      <c r="B123" s="11"/>
      <c r="C123" s="23"/>
      <c r="D123"/>
      <c r="E123"/>
      <c r="F123"/>
      <c r="G123"/>
      <c r="H123"/>
      <c r="I123"/>
      <c r="J123"/>
      <c r="K123" s="21"/>
      <c r="L123" s="21"/>
      <c r="M123" s="21"/>
      <c r="AG123" s="11"/>
      <c r="AH123" s="12"/>
      <c r="AI123" s="11"/>
      <c r="AJ123" s="11"/>
    </row>
    <row r="124" spans="2:36" s="7" customFormat="1">
      <c r="B124" s="11"/>
      <c r="C124" s="23"/>
      <c r="D124"/>
      <c r="E124"/>
      <c r="F124"/>
      <c r="G124"/>
      <c r="H124"/>
      <c r="I124"/>
      <c r="J124"/>
      <c r="K124" s="21"/>
      <c r="L124" s="21"/>
      <c r="M124" s="21"/>
      <c r="AG124" s="11"/>
      <c r="AH124" s="12"/>
      <c r="AI124" s="11"/>
      <c r="AJ124" s="11"/>
    </row>
    <row r="125" spans="2:36" s="7" customFormat="1">
      <c r="B125" s="11"/>
      <c r="C125" s="23"/>
      <c r="D125"/>
      <c r="E125"/>
      <c r="F125"/>
      <c r="G125"/>
      <c r="H125"/>
      <c r="I125"/>
      <c r="J125"/>
      <c r="K125" s="21"/>
      <c r="L125" s="21"/>
      <c r="M125" s="21"/>
      <c r="AG125" s="11"/>
      <c r="AH125" s="12"/>
      <c r="AI125" s="11"/>
      <c r="AJ125" s="11"/>
    </row>
    <row r="126" spans="2:36" s="7" customFormat="1">
      <c r="B126" s="11"/>
      <c r="C126" s="23"/>
      <c r="D126"/>
      <c r="E126"/>
      <c r="F126"/>
      <c r="G126"/>
      <c r="H126"/>
      <c r="I126"/>
      <c r="J126"/>
      <c r="K126" s="21"/>
      <c r="L126" s="21"/>
      <c r="M126" s="21"/>
      <c r="AG126" s="11"/>
      <c r="AH126" s="12"/>
      <c r="AI126" s="11"/>
      <c r="AJ126" s="11"/>
    </row>
    <row r="127" spans="2:36" s="7" customFormat="1">
      <c r="B127" s="11"/>
      <c r="C127" s="23"/>
      <c r="D127"/>
      <c r="E127"/>
      <c r="F127"/>
      <c r="G127"/>
      <c r="H127"/>
      <c r="I127"/>
      <c r="J127"/>
      <c r="K127" s="21"/>
      <c r="L127" s="21"/>
      <c r="M127" s="21"/>
      <c r="AG127" s="11"/>
      <c r="AH127" s="12"/>
      <c r="AI127" s="11"/>
      <c r="AJ127" s="11"/>
    </row>
    <row r="128" spans="2:36" s="7" customFormat="1">
      <c r="B128" s="11"/>
      <c r="C128" s="23"/>
      <c r="D128"/>
      <c r="E128"/>
      <c r="F128"/>
      <c r="G128"/>
      <c r="H128"/>
      <c r="I128"/>
      <c r="J128"/>
      <c r="K128" s="21"/>
      <c r="L128" s="21"/>
      <c r="M128" s="21"/>
      <c r="AG128" s="11"/>
      <c r="AH128" s="12"/>
      <c r="AI128" s="11"/>
      <c r="AJ128" s="11"/>
    </row>
    <row r="129" spans="2:36" s="7" customFormat="1">
      <c r="B129" s="11"/>
      <c r="C129" s="23"/>
      <c r="D129"/>
      <c r="E129"/>
      <c r="F129"/>
      <c r="G129"/>
      <c r="H129"/>
      <c r="I129"/>
      <c r="J129"/>
      <c r="K129" s="21"/>
      <c r="L129" s="21"/>
      <c r="M129" s="21"/>
      <c r="AG129" s="11"/>
      <c r="AH129" s="12"/>
      <c r="AI129" s="11"/>
      <c r="AJ129" s="11"/>
    </row>
    <row r="130" spans="2:36" s="7" customFormat="1">
      <c r="B130" s="11"/>
      <c r="C130" s="23"/>
      <c r="D130"/>
      <c r="E130"/>
      <c r="F130"/>
      <c r="G130"/>
      <c r="H130"/>
      <c r="I130"/>
      <c r="J130"/>
      <c r="K130" s="21"/>
      <c r="L130" s="21"/>
      <c r="M130" s="21"/>
      <c r="AG130" s="11"/>
      <c r="AH130" s="12"/>
      <c r="AI130" s="11"/>
      <c r="AJ130" s="11"/>
    </row>
    <row r="131" spans="2:36" s="7" customFormat="1">
      <c r="B131" s="11"/>
      <c r="C131" s="23"/>
      <c r="D131"/>
      <c r="E131"/>
      <c r="F131"/>
      <c r="G131"/>
      <c r="H131"/>
      <c r="I131"/>
      <c r="J131"/>
      <c r="K131" s="21"/>
      <c r="L131" s="21"/>
      <c r="M131" s="21"/>
      <c r="AG131" s="11"/>
      <c r="AH131" s="12"/>
      <c r="AI131" s="11"/>
      <c r="AJ131" s="11"/>
    </row>
    <row r="132" spans="2:36" s="7" customFormat="1">
      <c r="B132" s="11"/>
      <c r="C132" s="23"/>
      <c r="D132"/>
      <c r="E132"/>
      <c r="F132"/>
      <c r="G132"/>
      <c r="H132"/>
      <c r="I132"/>
      <c r="J132"/>
      <c r="K132" s="26"/>
      <c r="L132" s="77"/>
      <c r="M132" s="21"/>
      <c r="AG132" s="11"/>
      <c r="AH132" s="12"/>
      <c r="AI132" s="11"/>
      <c r="AJ132" s="11"/>
    </row>
    <row r="133" spans="2:36" s="7" customFormat="1">
      <c r="B133" s="11"/>
      <c r="C133" s="23"/>
      <c r="D133"/>
      <c r="E133"/>
      <c r="F133"/>
      <c r="G133"/>
      <c r="H133"/>
      <c r="I133"/>
      <c r="J133"/>
      <c r="M133" s="21"/>
      <c r="AG133" s="11"/>
      <c r="AH133" s="12"/>
      <c r="AI133" s="11"/>
      <c r="AJ133" s="11"/>
    </row>
    <row r="134" spans="2:36" s="7" customFormat="1">
      <c r="B134" s="11"/>
      <c r="C134" s="23"/>
      <c r="D134"/>
      <c r="E134"/>
      <c r="F134"/>
      <c r="G134"/>
      <c r="H134"/>
      <c r="I134"/>
      <c r="J134"/>
      <c r="M134" s="21"/>
      <c r="AG134" s="11"/>
      <c r="AH134" s="12"/>
      <c r="AI134" s="11"/>
      <c r="AJ134" s="11"/>
    </row>
    <row r="135" spans="2:36" s="7" customFormat="1">
      <c r="B135" s="11"/>
      <c r="C135" s="23"/>
      <c r="D135"/>
      <c r="E135"/>
      <c r="F135"/>
      <c r="G135"/>
      <c r="H135"/>
      <c r="I135"/>
      <c r="J135"/>
      <c r="M135" s="21"/>
      <c r="AG135" s="11"/>
      <c r="AH135" s="12"/>
      <c r="AI135" s="11"/>
      <c r="AJ135" s="11"/>
    </row>
    <row r="136" spans="2:36" s="7" customFormat="1">
      <c r="B136" s="11"/>
      <c r="C136" s="23"/>
      <c r="D136"/>
      <c r="E136"/>
      <c r="F136"/>
      <c r="G136"/>
      <c r="H136"/>
      <c r="I136"/>
      <c r="J136"/>
      <c r="M136" s="21"/>
      <c r="AG136" s="11"/>
      <c r="AH136" s="12"/>
      <c r="AI136" s="11"/>
      <c r="AJ136" s="11"/>
    </row>
    <row r="137" spans="2:36" s="7" customFormat="1">
      <c r="B137" s="11"/>
      <c r="C137" s="23"/>
      <c r="D137"/>
      <c r="E137"/>
      <c r="F137"/>
      <c r="G137"/>
      <c r="H137"/>
      <c r="I137"/>
      <c r="J137"/>
      <c r="M137" s="21"/>
      <c r="AG137" s="11"/>
      <c r="AH137" s="12"/>
      <c r="AI137" s="11"/>
      <c r="AJ137" s="11"/>
    </row>
    <row r="138" spans="2:36" s="7" customFormat="1">
      <c r="B138" s="11"/>
      <c r="C138" s="23"/>
      <c r="D138"/>
      <c r="E138"/>
      <c r="F138"/>
      <c r="G138"/>
      <c r="H138"/>
      <c r="I138"/>
      <c r="J138"/>
      <c r="K138" s="21"/>
      <c r="L138" s="21"/>
      <c r="M138" s="21"/>
      <c r="AG138" s="11"/>
      <c r="AH138" s="12"/>
      <c r="AI138" s="11"/>
      <c r="AJ138" s="11"/>
    </row>
    <row r="139" spans="2:36" s="7" customFormat="1">
      <c r="B139" s="11"/>
      <c r="C139" s="23"/>
      <c r="D139"/>
      <c r="E139"/>
      <c r="F139"/>
      <c r="G139"/>
      <c r="H139"/>
      <c r="I139"/>
      <c r="J139"/>
      <c r="K139" s="21"/>
      <c r="L139" s="21"/>
      <c r="M139" s="21"/>
      <c r="AG139" s="11"/>
      <c r="AH139" s="12"/>
      <c r="AI139" s="11"/>
      <c r="AJ139" s="11"/>
    </row>
    <row r="140" spans="2:36" s="7" customFormat="1">
      <c r="B140" s="11"/>
      <c r="C140" s="23"/>
      <c r="D140"/>
      <c r="E140"/>
      <c r="F140"/>
      <c r="G140"/>
      <c r="H140"/>
      <c r="I140"/>
      <c r="J140"/>
      <c r="K140" s="21"/>
      <c r="L140" s="21"/>
      <c r="M140" s="21"/>
      <c r="AG140" s="11"/>
      <c r="AH140" s="12"/>
      <c r="AI140" s="11"/>
      <c r="AJ140" s="11"/>
    </row>
    <row r="141" spans="2:36" s="7" customFormat="1">
      <c r="B141" s="11"/>
      <c r="C141" s="23"/>
      <c r="D141"/>
      <c r="E141"/>
      <c r="F141"/>
      <c r="G141"/>
      <c r="H141"/>
      <c r="I141"/>
      <c r="J141"/>
      <c r="K141" s="21"/>
      <c r="L141" s="21"/>
      <c r="M141" s="21"/>
      <c r="AG141" s="11"/>
      <c r="AH141" s="12"/>
      <c r="AI141" s="11"/>
      <c r="AJ141" s="11"/>
    </row>
    <row r="142" spans="2:36" s="7" customFormat="1">
      <c r="B142" s="11"/>
      <c r="C142" s="23"/>
      <c r="D142"/>
      <c r="E142"/>
      <c r="F142"/>
      <c r="G142"/>
      <c r="H142"/>
      <c r="I142"/>
      <c r="J142"/>
      <c r="K142" s="21"/>
      <c r="L142" s="21"/>
      <c r="M142" s="21"/>
      <c r="AG142" s="11"/>
      <c r="AH142" s="12"/>
      <c r="AI142" s="11"/>
      <c r="AJ142" s="11"/>
    </row>
    <row r="143" spans="2:36" s="7" customFormat="1">
      <c r="B143" s="11"/>
      <c r="C143" s="23"/>
      <c r="D143"/>
      <c r="E143"/>
      <c r="F143"/>
      <c r="G143"/>
      <c r="H143"/>
      <c r="I143"/>
      <c r="J143"/>
      <c r="K143" s="21"/>
      <c r="L143" s="21"/>
      <c r="M143" s="21"/>
      <c r="AG143" s="11"/>
      <c r="AH143" s="12"/>
      <c r="AI143" s="11"/>
      <c r="AJ143" s="11"/>
    </row>
    <row r="144" spans="2:36" s="7" customFormat="1">
      <c r="B144" s="11"/>
      <c r="C144" s="23"/>
      <c r="D144"/>
      <c r="E144"/>
      <c r="F144"/>
      <c r="G144"/>
      <c r="H144"/>
      <c r="I144"/>
      <c r="J144"/>
      <c r="K144" s="21"/>
      <c r="L144" s="21"/>
      <c r="M144" s="21"/>
      <c r="AG144" s="11"/>
      <c r="AH144" s="12"/>
      <c r="AI144" s="11"/>
      <c r="AJ144" s="11"/>
    </row>
    <row r="145" spans="2:36" s="7" customFormat="1">
      <c r="B145" s="11"/>
      <c r="C145" s="23"/>
      <c r="D145"/>
      <c r="E145"/>
      <c r="F145"/>
      <c r="G145"/>
      <c r="H145"/>
      <c r="I145"/>
      <c r="J145"/>
      <c r="K145" s="21"/>
      <c r="L145" s="21"/>
      <c r="M145" s="21"/>
      <c r="AG145" s="11"/>
      <c r="AH145" s="12"/>
      <c r="AI145" s="11"/>
      <c r="AJ145" s="11"/>
    </row>
    <row r="146" spans="2:36" s="7" customFormat="1">
      <c r="B146" s="11"/>
      <c r="C146" s="23"/>
      <c r="D146"/>
      <c r="E146"/>
      <c r="F146"/>
      <c r="G146"/>
      <c r="H146"/>
      <c r="I146"/>
      <c r="J146"/>
      <c r="K146" s="21"/>
      <c r="L146" s="21"/>
      <c r="M146" s="21"/>
      <c r="AG146" s="11"/>
      <c r="AH146" s="12"/>
      <c r="AI146" s="11"/>
      <c r="AJ146" s="11"/>
    </row>
    <row r="147" spans="2:36" s="7" customFormat="1">
      <c r="B147" s="11"/>
      <c r="C147" s="23"/>
      <c r="D147"/>
      <c r="E147"/>
      <c r="F147"/>
      <c r="G147"/>
      <c r="H147"/>
      <c r="I147"/>
      <c r="J147"/>
      <c r="K147" s="21"/>
      <c r="L147" s="21"/>
      <c r="M147" s="21"/>
      <c r="AG147" s="11"/>
      <c r="AH147" s="12"/>
      <c r="AI147" s="11"/>
      <c r="AJ147" s="11"/>
    </row>
    <row r="148" spans="2:36" s="7" customFormat="1">
      <c r="B148" s="11"/>
      <c r="C148" s="23"/>
      <c r="D148"/>
      <c r="E148"/>
      <c r="F148"/>
      <c r="G148"/>
      <c r="H148"/>
      <c r="I148"/>
      <c r="J148"/>
      <c r="K148" s="21"/>
      <c r="L148" s="21"/>
      <c r="M148" s="21"/>
      <c r="AG148" s="11"/>
      <c r="AH148" s="12"/>
      <c r="AI148" s="11"/>
      <c r="AJ148" s="11"/>
    </row>
    <row r="149" spans="2:36" s="7" customFormat="1">
      <c r="B149" s="11"/>
      <c r="C149" s="23"/>
      <c r="D149"/>
      <c r="E149"/>
      <c r="F149"/>
      <c r="G149"/>
      <c r="H149"/>
      <c r="I149"/>
      <c r="J149"/>
      <c r="K149" s="21"/>
      <c r="L149" s="21"/>
      <c r="M149" s="21"/>
      <c r="AG149" s="11"/>
      <c r="AH149" s="12"/>
      <c r="AI149" s="11"/>
      <c r="AJ149" s="11"/>
    </row>
    <row r="150" spans="2:36" s="7" customFormat="1">
      <c r="B150" s="11"/>
      <c r="C150" s="23"/>
      <c r="D150"/>
      <c r="E150"/>
      <c r="F150"/>
      <c r="G150"/>
      <c r="H150"/>
      <c r="I150"/>
      <c r="J150"/>
      <c r="K150" s="21"/>
      <c r="L150" s="21"/>
      <c r="M150" s="21"/>
      <c r="AG150" s="11"/>
      <c r="AH150" s="12"/>
      <c r="AI150" s="11"/>
      <c r="AJ150" s="11"/>
    </row>
    <row r="151" spans="2:36" s="7" customFormat="1">
      <c r="B151" s="11"/>
      <c r="C151" s="23"/>
      <c r="D151"/>
      <c r="E151"/>
      <c r="F151"/>
      <c r="G151"/>
      <c r="H151"/>
      <c r="I151"/>
      <c r="J151"/>
      <c r="K151" s="21"/>
      <c r="L151" s="21"/>
      <c r="M151" s="21"/>
      <c r="AG151" s="11"/>
      <c r="AH151" s="12"/>
      <c r="AI151" s="11"/>
      <c r="AJ151" s="11"/>
    </row>
    <row r="152" spans="2:36" s="7" customFormat="1">
      <c r="B152" s="11"/>
      <c r="C152" s="23"/>
      <c r="D152"/>
      <c r="E152"/>
      <c r="F152"/>
      <c r="G152"/>
      <c r="H152"/>
      <c r="I152"/>
      <c r="J152"/>
      <c r="K152" s="21"/>
      <c r="L152" s="21"/>
      <c r="M152" s="21"/>
      <c r="AG152" s="11"/>
      <c r="AH152" s="12"/>
      <c r="AI152" s="11"/>
      <c r="AJ152" s="11"/>
    </row>
    <row r="153" spans="2:36" s="7" customFormat="1">
      <c r="B153" s="11"/>
      <c r="C153" s="23"/>
      <c r="D153"/>
      <c r="E153"/>
      <c r="F153"/>
      <c r="G153"/>
      <c r="H153"/>
      <c r="I153"/>
      <c r="J153"/>
      <c r="K153" s="21"/>
      <c r="L153" s="21"/>
      <c r="M153" s="21"/>
      <c r="AG153" s="11"/>
      <c r="AH153" s="12"/>
      <c r="AI153" s="11"/>
      <c r="AJ153" s="11"/>
    </row>
    <row r="154" spans="2:36" s="7" customFormat="1">
      <c r="B154" s="11"/>
      <c r="C154" s="23"/>
      <c r="D154"/>
      <c r="E154"/>
      <c r="F154"/>
      <c r="G154"/>
      <c r="H154"/>
      <c r="I154"/>
      <c r="J154"/>
      <c r="K154" s="21"/>
      <c r="L154" s="21"/>
      <c r="M154" s="21"/>
      <c r="AG154" s="11"/>
      <c r="AH154" s="12"/>
      <c r="AI154" s="11"/>
      <c r="AJ154" s="11"/>
    </row>
    <row r="155" spans="2:36" s="7" customFormat="1">
      <c r="B155" s="11"/>
      <c r="C155" s="23"/>
      <c r="D155"/>
      <c r="E155"/>
      <c r="F155"/>
      <c r="G155"/>
      <c r="H155"/>
      <c r="I155"/>
      <c r="J155"/>
      <c r="K155" s="21"/>
      <c r="L155" s="21"/>
      <c r="M155" s="21"/>
      <c r="AG155" s="11"/>
      <c r="AH155" s="12"/>
      <c r="AI155" s="11"/>
      <c r="AJ155" s="11"/>
    </row>
    <row r="156" spans="2:36" s="7" customFormat="1">
      <c r="B156" s="11"/>
      <c r="C156" s="23"/>
      <c r="D156"/>
      <c r="E156"/>
      <c r="F156"/>
      <c r="G156"/>
      <c r="H156"/>
      <c r="I156"/>
      <c r="J156"/>
      <c r="K156" s="21"/>
      <c r="L156" s="21"/>
      <c r="M156" s="21"/>
      <c r="AG156" s="11"/>
      <c r="AH156" s="12"/>
      <c r="AI156" s="11"/>
      <c r="AJ156" s="11"/>
    </row>
    <row r="157" spans="2:36" s="7" customFormat="1">
      <c r="B157" s="11"/>
      <c r="C157" s="23"/>
      <c r="D157"/>
      <c r="E157"/>
      <c r="F157"/>
      <c r="G157"/>
      <c r="H157"/>
      <c r="I157"/>
      <c r="J157"/>
      <c r="K157" s="21"/>
      <c r="L157" s="21"/>
      <c r="M157" s="21"/>
      <c r="AG157" s="11"/>
      <c r="AH157" s="12"/>
      <c r="AI157" s="11"/>
      <c r="AJ157" s="11"/>
    </row>
    <row r="158" spans="2:36" s="7" customFormat="1">
      <c r="B158" s="11"/>
      <c r="C158" s="23"/>
      <c r="D158"/>
      <c r="E158"/>
      <c r="F158"/>
      <c r="G158"/>
      <c r="H158"/>
      <c r="I158"/>
      <c r="J158"/>
      <c r="K158" s="21"/>
      <c r="L158" s="21"/>
      <c r="M158" s="21"/>
      <c r="AG158" s="11"/>
      <c r="AH158" s="12"/>
      <c r="AI158" s="11"/>
      <c r="AJ158" s="11"/>
    </row>
    <row r="159" spans="2:36" s="7" customFormat="1">
      <c r="B159" s="11"/>
      <c r="C159" s="23"/>
      <c r="D159"/>
      <c r="E159"/>
      <c r="F159"/>
      <c r="G159"/>
      <c r="H159"/>
      <c r="I159"/>
      <c r="J159"/>
      <c r="K159" s="21"/>
      <c r="L159" s="21"/>
      <c r="M159" s="21"/>
      <c r="AG159" s="11"/>
      <c r="AH159" s="12"/>
      <c r="AI159" s="11"/>
      <c r="AJ159" s="11"/>
    </row>
    <row r="160" spans="2:36" s="7" customFormat="1">
      <c r="B160" s="11"/>
      <c r="C160" s="23"/>
      <c r="D160"/>
      <c r="E160"/>
      <c r="F160"/>
      <c r="G160"/>
      <c r="H160"/>
      <c r="I160"/>
      <c r="J160"/>
      <c r="K160" s="21"/>
      <c r="L160" s="21"/>
      <c r="M160" s="21"/>
      <c r="AG160" s="11"/>
      <c r="AH160" s="12"/>
      <c r="AI160" s="11"/>
      <c r="AJ160" s="11"/>
    </row>
    <row r="161" spans="2:36" s="7" customFormat="1">
      <c r="B161" s="11"/>
      <c r="C161" s="23"/>
      <c r="D161"/>
      <c r="E161"/>
      <c r="F161"/>
      <c r="G161"/>
      <c r="H161"/>
      <c r="I161"/>
      <c r="J161"/>
      <c r="K161" s="21"/>
      <c r="L161" s="21"/>
      <c r="M161" s="21"/>
      <c r="AG161" s="11"/>
      <c r="AH161" s="12"/>
      <c r="AI161" s="11"/>
      <c r="AJ161" s="11"/>
    </row>
    <row r="162" spans="2:36" s="7" customFormat="1">
      <c r="B162" s="11"/>
      <c r="C162" s="23"/>
      <c r="D162"/>
      <c r="E162"/>
      <c r="F162"/>
      <c r="G162"/>
      <c r="H162"/>
      <c r="I162"/>
      <c r="J162"/>
      <c r="K162" s="26"/>
      <c r="L162" s="77"/>
      <c r="M162" s="21"/>
      <c r="AG162" s="11"/>
      <c r="AH162" s="12"/>
      <c r="AI162" s="11"/>
      <c r="AJ162" s="11"/>
    </row>
    <row r="163" spans="2:36" s="7" customFormat="1">
      <c r="B163" s="11"/>
      <c r="C163" s="23"/>
      <c r="D163"/>
      <c r="E163"/>
      <c r="F163"/>
      <c r="G163"/>
      <c r="H163"/>
      <c r="I163"/>
      <c r="J163"/>
      <c r="M163" s="21"/>
      <c r="AG163" s="11"/>
      <c r="AH163" s="12"/>
      <c r="AI163" s="11"/>
      <c r="AJ163" s="11"/>
    </row>
    <row r="164" spans="2:36" s="7" customFormat="1">
      <c r="B164" s="11"/>
      <c r="C164" s="23"/>
      <c r="D164"/>
      <c r="E164"/>
      <c r="F164"/>
      <c r="G164"/>
      <c r="H164"/>
      <c r="I164"/>
      <c r="J164"/>
      <c r="M164" s="21"/>
      <c r="AG164" s="11"/>
      <c r="AH164" s="12"/>
      <c r="AI164" s="11"/>
      <c r="AJ164" s="11"/>
    </row>
    <row r="165" spans="2:36" s="7" customFormat="1">
      <c r="B165" s="11"/>
      <c r="C165" s="23"/>
      <c r="D165"/>
      <c r="E165"/>
      <c r="F165"/>
      <c r="G165"/>
      <c r="H165"/>
      <c r="I165"/>
      <c r="J165"/>
      <c r="M165" s="21"/>
      <c r="AG165" s="11"/>
      <c r="AH165" s="12"/>
      <c r="AI165" s="11"/>
      <c r="AJ165" s="11"/>
    </row>
    <row r="166" spans="2:36" s="7" customFormat="1">
      <c r="B166" s="11"/>
      <c r="C166" s="23"/>
      <c r="D166"/>
      <c r="E166"/>
      <c r="F166"/>
      <c r="G166"/>
      <c r="H166"/>
      <c r="I166"/>
      <c r="J166"/>
      <c r="M166" s="21"/>
      <c r="AG166" s="11"/>
      <c r="AH166" s="12"/>
      <c r="AI166" s="11"/>
      <c r="AJ166" s="11"/>
    </row>
    <row r="167" spans="2:36" s="7" customFormat="1">
      <c r="B167" s="11"/>
      <c r="C167" s="23"/>
      <c r="D167"/>
      <c r="E167"/>
      <c r="F167"/>
      <c r="G167"/>
      <c r="H167"/>
      <c r="I167"/>
      <c r="J167"/>
      <c r="M167" s="21"/>
      <c r="AG167" s="11"/>
      <c r="AH167" s="12"/>
      <c r="AI167" s="11"/>
      <c r="AJ167" s="11"/>
    </row>
    <row r="168" spans="2:36" s="7" customFormat="1">
      <c r="B168" s="11"/>
      <c r="C168" s="23"/>
      <c r="D168"/>
      <c r="E168"/>
      <c r="F168"/>
      <c r="G168"/>
      <c r="H168"/>
      <c r="I168"/>
      <c r="J168"/>
      <c r="K168" s="21"/>
      <c r="L168" s="21"/>
      <c r="M168" s="21"/>
      <c r="AG168" s="11"/>
      <c r="AH168" s="12"/>
      <c r="AI168" s="11"/>
      <c r="AJ168" s="11"/>
    </row>
    <row r="169" spans="2:36" s="7" customFormat="1">
      <c r="B169" s="11"/>
      <c r="C169" s="23"/>
      <c r="D169"/>
      <c r="E169"/>
      <c r="F169"/>
      <c r="G169"/>
      <c r="H169"/>
      <c r="I169"/>
      <c r="J169"/>
      <c r="K169" s="21"/>
      <c r="L169" s="21"/>
      <c r="M169" s="21"/>
      <c r="AG169" s="11"/>
      <c r="AH169" s="12"/>
      <c r="AI169" s="11"/>
      <c r="AJ169" s="11"/>
    </row>
    <row r="170" spans="2:36" s="7" customFormat="1">
      <c r="B170" s="11"/>
      <c r="C170" s="23"/>
      <c r="D170"/>
      <c r="E170"/>
      <c r="F170"/>
      <c r="G170"/>
      <c r="H170"/>
      <c r="I170"/>
      <c r="J170"/>
      <c r="K170" s="21"/>
      <c r="L170" s="21"/>
      <c r="M170" s="21"/>
      <c r="AG170" s="11"/>
      <c r="AH170" s="12"/>
      <c r="AI170" s="11"/>
      <c r="AJ170" s="11"/>
    </row>
    <row r="171" spans="2:36" s="7" customFormat="1">
      <c r="B171" s="11"/>
      <c r="C171" s="23"/>
      <c r="D171"/>
      <c r="E171"/>
      <c r="F171"/>
      <c r="G171"/>
      <c r="H171"/>
      <c r="I171"/>
      <c r="J171"/>
      <c r="K171" s="21"/>
      <c r="L171" s="21"/>
      <c r="M171" s="21"/>
      <c r="AG171" s="11"/>
      <c r="AH171" s="12"/>
      <c r="AI171" s="11"/>
      <c r="AJ171" s="11"/>
    </row>
    <row r="172" spans="2:36" s="7" customFormat="1">
      <c r="B172" s="11"/>
      <c r="C172" s="23"/>
      <c r="D172"/>
      <c r="E172"/>
      <c r="F172"/>
      <c r="G172"/>
      <c r="H172"/>
      <c r="I172"/>
      <c r="J172"/>
      <c r="K172" s="21"/>
      <c r="L172" s="21"/>
      <c r="M172" s="21"/>
      <c r="AG172" s="11"/>
      <c r="AH172" s="12"/>
      <c r="AI172" s="11"/>
      <c r="AJ172" s="11"/>
    </row>
    <row r="173" spans="2:36" s="7" customFormat="1">
      <c r="B173" s="11"/>
      <c r="C173" s="23"/>
      <c r="D173"/>
      <c r="E173"/>
      <c r="F173"/>
      <c r="G173"/>
      <c r="H173"/>
      <c r="I173"/>
      <c r="J173"/>
      <c r="K173" s="21"/>
      <c r="L173" s="21"/>
      <c r="M173" s="21"/>
      <c r="AG173" s="11"/>
      <c r="AH173" s="12"/>
      <c r="AI173" s="11"/>
      <c r="AJ173" s="11"/>
    </row>
    <row r="174" spans="2:36" s="7" customFormat="1">
      <c r="B174" s="11"/>
      <c r="C174" s="23"/>
      <c r="D174"/>
      <c r="E174"/>
      <c r="F174"/>
      <c r="G174"/>
      <c r="H174"/>
      <c r="I174"/>
      <c r="J174"/>
      <c r="K174" s="21"/>
      <c r="L174" s="21"/>
      <c r="M174" s="21"/>
      <c r="AG174" s="11"/>
      <c r="AH174" s="12"/>
      <c r="AI174" s="11"/>
      <c r="AJ174" s="11"/>
    </row>
    <row r="175" spans="2:36" s="7" customFormat="1">
      <c r="B175" s="11"/>
      <c r="C175" s="23"/>
      <c r="D175"/>
      <c r="E175"/>
      <c r="F175"/>
      <c r="G175"/>
      <c r="H175"/>
      <c r="I175"/>
      <c r="J175"/>
      <c r="K175" s="21"/>
      <c r="L175" s="21"/>
      <c r="M175" s="21"/>
      <c r="AG175" s="11"/>
      <c r="AH175" s="12"/>
      <c r="AI175" s="11"/>
      <c r="AJ175" s="11"/>
    </row>
    <row r="176" spans="2:36" s="7" customFormat="1">
      <c r="B176" s="11"/>
      <c r="C176" s="23"/>
      <c r="D176"/>
      <c r="E176"/>
      <c r="F176"/>
      <c r="G176"/>
      <c r="H176"/>
      <c r="I176"/>
      <c r="J176"/>
      <c r="K176" s="21"/>
      <c r="L176" s="21"/>
      <c r="M176" s="21"/>
      <c r="AG176" s="11"/>
      <c r="AH176" s="12"/>
      <c r="AI176" s="11"/>
      <c r="AJ176" s="11"/>
    </row>
    <row r="177" spans="2:36" s="7" customFormat="1">
      <c r="B177" s="11"/>
      <c r="C177" s="23"/>
      <c r="D177"/>
      <c r="E177"/>
      <c r="F177"/>
      <c r="G177"/>
      <c r="H177"/>
      <c r="I177"/>
      <c r="J177"/>
      <c r="K177" s="21"/>
      <c r="L177" s="21"/>
      <c r="M177" s="21"/>
      <c r="AG177" s="11"/>
      <c r="AH177" s="12"/>
      <c r="AI177" s="11"/>
      <c r="AJ177" s="11"/>
    </row>
    <row r="178" spans="2:36" s="7" customFormat="1">
      <c r="B178" s="11"/>
      <c r="C178" s="23"/>
      <c r="D178"/>
      <c r="E178"/>
      <c r="F178"/>
      <c r="G178"/>
      <c r="H178"/>
      <c r="I178"/>
      <c r="J178"/>
      <c r="K178" s="21"/>
      <c r="L178" s="21"/>
      <c r="M178" s="21"/>
      <c r="AG178" s="11"/>
      <c r="AH178" s="12"/>
      <c r="AI178" s="11"/>
      <c r="AJ178" s="11"/>
    </row>
    <row r="179" spans="2:36" s="7" customFormat="1">
      <c r="B179" s="11"/>
      <c r="C179" s="23"/>
      <c r="D179"/>
      <c r="E179"/>
      <c r="F179"/>
      <c r="G179"/>
      <c r="H179"/>
      <c r="I179"/>
      <c r="J179"/>
      <c r="K179" s="21"/>
      <c r="L179" s="21"/>
      <c r="M179" s="21"/>
      <c r="AG179" s="11"/>
      <c r="AH179" s="12"/>
      <c r="AI179" s="11"/>
      <c r="AJ179" s="11"/>
    </row>
    <row r="180" spans="2:36" s="7" customFormat="1">
      <c r="B180" s="11"/>
      <c r="C180" s="23"/>
      <c r="D180"/>
      <c r="E180"/>
      <c r="F180"/>
      <c r="G180"/>
      <c r="H180"/>
      <c r="I180"/>
      <c r="J180"/>
      <c r="K180" s="21"/>
      <c r="L180" s="21"/>
      <c r="M180" s="21"/>
      <c r="AG180" s="11"/>
      <c r="AH180" s="12"/>
      <c r="AI180" s="11"/>
      <c r="AJ180" s="11"/>
    </row>
    <row r="181" spans="2:36" s="7" customFormat="1">
      <c r="B181" s="11"/>
      <c r="C181" s="23"/>
      <c r="D181"/>
      <c r="E181"/>
      <c r="F181"/>
      <c r="G181"/>
      <c r="H181"/>
      <c r="I181"/>
      <c r="J181"/>
      <c r="K181" s="21"/>
      <c r="L181" s="21"/>
      <c r="M181" s="21"/>
      <c r="AG181" s="11"/>
      <c r="AH181" s="12"/>
      <c r="AI181" s="11"/>
      <c r="AJ181" s="11"/>
    </row>
    <row r="182" spans="2:36" s="7" customFormat="1">
      <c r="B182" s="11"/>
      <c r="C182" s="23"/>
      <c r="D182"/>
      <c r="E182"/>
      <c r="F182"/>
      <c r="G182"/>
      <c r="H182"/>
      <c r="I182"/>
      <c r="J182"/>
      <c r="K182" s="21"/>
      <c r="L182" s="21"/>
      <c r="M182" s="21"/>
      <c r="AG182" s="11"/>
      <c r="AH182" s="12"/>
      <c r="AI182" s="11"/>
      <c r="AJ182" s="11"/>
    </row>
    <row r="183" spans="2:36" s="7" customFormat="1">
      <c r="B183" s="11"/>
      <c r="C183" s="23"/>
      <c r="D183"/>
      <c r="E183"/>
      <c r="F183"/>
      <c r="G183"/>
      <c r="H183"/>
      <c r="I183"/>
      <c r="J183"/>
      <c r="K183" s="21"/>
      <c r="L183" s="21"/>
      <c r="M183" s="21"/>
      <c r="AG183" s="11"/>
      <c r="AH183" s="12"/>
      <c r="AI183" s="11"/>
      <c r="AJ183" s="11"/>
    </row>
    <row r="184" spans="2:36" s="7" customFormat="1">
      <c r="B184" s="11"/>
      <c r="C184" s="23"/>
      <c r="D184"/>
      <c r="E184"/>
      <c r="F184"/>
      <c r="G184"/>
      <c r="H184"/>
      <c r="I184"/>
      <c r="J184"/>
      <c r="K184" s="21"/>
      <c r="L184" s="21"/>
      <c r="M184" s="21"/>
      <c r="AG184" s="11"/>
      <c r="AH184" s="12"/>
      <c r="AI184" s="11"/>
      <c r="AJ184" s="11"/>
    </row>
    <row r="185" spans="2:36" s="7" customFormat="1">
      <c r="B185" s="11"/>
      <c r="C185" s="23"/>
      <c r="D185"/>
      <c r="E185"/>
      <c r="F185"/>
      <c r="G185"/>
      <c r="H185"/>
      <c r="I185"/>
      <c r="J185"/>
      <c r="K185" s="21"/>
      <c r="L185" s="21"/>
      <c r="M185" s="21"/>
      <c r="AG185" s="11"/>
      <c r="AH185" s="12"/>
      <c r="AI185" s="11"/>
      <c r="AJ185" s="11"/>
    </row>
    <row r="186" spans="2:36" s="7" customFormat="1">
      <c r="B186" s="11"/>
      <c r="C186" s="23"/>
      <c r="D186"/>
      <c r="E186"/>
      <c r="F186"/>
      <c r="G186"/>
      <c r="H186"/>
      <c r="I186"/>
      <c r="J186"/>
      <c r="K186" s="21"/>
      <c r="L186" s="21"/>
      <c r="M186" s="21"/>
      <c r="AG186" s="11"/>
      <c r="AH186" s="12"/>
      <c r="AI186" s="11"/>
      <c r="AJ186" s="11"/>
    </row>
    <row r="187" spans="2:36" s="7" customFormat="1">
      <c r="B187" s="11"/>
      <c r="C187" s="23"/>
      <c r="D187"/>
      <c r="E187"/>
      <c r="F187"/>
      <c r="G187"/>
      <c r="H187"/>
      <c r="I187"/>
      <c r="J187"/>
      <c r="K187" s="21"/>
      <c r="L187" s="21"/>
      <c r="M187" s="21"/>
      <c r="AG187" s="11"/>
      <c r="AH187" s="12"/>
      <c r="AI187" s="11"/>
      <c r="AJ187" s="11"/>
    </row>
    <row r="188" spans="2:36" s="7" customFormat="1">
      <c r="B188" s="11"/>
      <c r="C188" s="23"/>
      <c r="D188"/>
      <c r="E188"/>
      <c r="F188"/>
      <c r="G188"/>
      <c r="H188"/>
      <c r="I188"/>
      <c r="J188"/>
      <c r="K188" s="21"/>
      <c r="L188" s="21"/>
      <c r="M188" s="21"/>
      <c r="AG188" s="11"/>
      <c r="AH188" s="12"/>
      <c r="AI188" s="11"/>
      <c r="AJ188" s="11"/>
    </row>
    <row r="189" spans="2:36" s="7" customFormat="1">
      <c r="B189" s="11"/>
      <c r="C189" s="23"/>
      <c r="D189"/>
      <c r="E189"/>
      <c r="F189"/>
      <c r="G189"/>
      <c r="H189"/>
      <c r="I189"/>
      <c r="J189"/>
      <c r="K189" s="21"/>
      <c r="L189" s="21"/>
      <c r="M189" s="21"/>
      <c r="AG189" s="11"/>
      <c r="AH189" s="12"/>
      <c r="AI189" s="11"/>
      <c r="AJ189" s="11"/>
    </row>
    <row r="190" spans="2:36" s="7" customFormat="1">
      <c r="B190" s="11"/>
      <c r="C190" s="23"/>
      <c r="D190"/>
      <c r="E190"/>
      <c r="F190"/>
      <c r="G190"/>
      <c r="H190"/>
      <c r="I190"/>
      <c r="J190"/>
      <c r="K190" s="21"/>
      <c r="L190" s="21"/>
      <c r="M190" s="21"/>
      <c r="AG190" s="11"/>
      <c r="AH190" s="12"/>
      <c r="AI190" s="11"/>
      <c r="AJ190" s="11"/>
    </row>
    <row r="191" spans="2:36" s="7" customFormat="1">
      <c r="B191" s="11"/>
      <c r="C191" s="23"/>
      <c r="D191"/>
      <c r="E191"/>
      <c r="F191"/>
      <c r="G191"/>
      <c r="H191"/>
      <c r="I191"/>
      <c r="J191"/>
      <c r="K191" s="21"/>
      <c r="L191" s="21"/>
      <c r="M191" s="21"/>
      <c r="AG191" s="11"/>
      <c r="AH191" s="12"/>
      <c r="AI191" s="11"/>
      <c r="AJ191" s="11"/>
    </row>
    <row r="192" spans="2:36" s="7" customFormat="1">
      <c r="B192" s="11"/>
      <c r="C192" s="23"/>
      <c r="D192"/>
      <c r="E192"/>
      <c r="F192"/>
      <c r="G192"/>
      <c r="H192"/>
      <c r="I192"/>
      <c r="J192"/>
      <c r="K192" s="26"/>
      <c r="L192" s="77"/>
      <c r="M192" s="21"/>
      <c r="AG192" s="11"/>
      <c r="AH192" s="12"/>
      <c r="AI192" s="11"/>
      <c r="AJ192" s="11"/>
    </row>
    <row r="193" spans="2:36" s="7" customFormat="1">
      <c r="B193" s="11"/>
      <c r="C193" s="23"/>
      <c r="D193"/>
      <c r="E193"/>
      <c r="F193"/>
      <c r="G193"/>
      <c r="H193"/>
      <c r="I193"/>
      <c r="J193"/>
      <c r="M193" s="21"/>
      <c r="AG193" s="11"/>
      <c r="AH193" s="12"/>
      <c r="AI193" s="11"/>
      <c r="AJ193" s="11"/>
    </row>
    <row r="194" spans="2:36" s="7" customFormat="1">
      <c r="B194" s="11"/>
      <c r="C194" s="23"/>
      <c r="D194"/>
      <c r="E194"/>
      <c r="F194"/>
      <c r="G194"/>
      <c r="H194"/>
      <c r="I194"/>
      <c r="J194"/>
      <c r="M194" s="21"/>
      <c r="AG194" s="11"/>
      <c r="AH194" s="12"/>
      <c r="AI194" s="11"/>
      <c r="AJ194" s="11"/>
    </row>
    <row r="195" spans="2:36" s="7" customFormat="1">
      <c r="B195" s="11"/>
      <c r="C195" s="23"/>
      <c r="D195"/>
      <c r="E195"/>
      <c r="F195"/>
      <c r="G195"/>
      <c r="H195"/>
      <c r="I195"/>
      <c r="J195"/>
      <c r="M195" s="21"/>
      <c r="AG195" s="11"/>
      <c r="AH195" s="12"/>
      <c r="AI195" s="11"/>
      <c r="AJ195" s="11"/>
    </row>
    <row r="196" spans="2:36" s="7" customFormat="1">
      <c r="B196" s="11"/>
      <c r="C196" s="23"/>
      <c r="D196"/>
      <c r="E196"/>
      <c r="F196"/>
      <c r="G196"/>
      <c r="H196"/>
      <c r="I196"/>
      <c r="J196"/>
      <c r="M196" s="21"/>
      <c r="AG196" s="11"/>
      <c r="AH196" s="12"/>
      <c r="AI196" s="11"/>
      <c r="AJ196" s="11"/>
    </row>
    <row r="197" spans="2:36" s="7" customFormat="1">
      <c r="B197" s="11"/>
      <c r="C197" s="23"/>
      <c r="D197"/>
      <c r="E197"/>
      <c r="F197"/>
      <c r="G197"/>
      <c r="H197"/>
      <c r="I197"/>
      <c r="J197"/>
      <c r="M197" s="21"/>
      <c r="AG197" s="11"/>
      <c r="AH197" s="12"/>
      <c r="AI197" s="11"/>
      <c r="AJ197" s="11"/>
    </row>
    <row r="198" spans="2:36" s="7" customFormat="1">
      <c r="B198" s="11"/>
      <c r="C198" s="23"/>
      <c r="D198"/>
      <c r="E198"/>
      <c r="F198"/>
      <c r="G198"/>
      <c r="H198"/>
      <c r="I198"/>
      <c r="J198"/>
      <c r="K198" s="21"/>
      <c r="L198" s="21"/>
      <c r="M198" s="21"/>
      <c r="AG198" s="11"/>
      <c r="AH198" s="12"/>
      <c r="AI198" s="11"/>
      <c r="AJ198" s="11"/>
    </row>
    <row r="199" spans="2:36" s="7" customFormat="1">
      <c r="B199" s="11"/>
      <c r="C199" s="23"/>
      <c r="D199"/>
      <c r="E199"/>
      <c r="F199"/>
      <c r="G199"/>
      <c r="H199"/>
      <c r="I199"/>
      <c r="J199"/>
      <c r="K199" s="21"/>
      <c r="L199" s="21"/>
      <c r="M199" s="21"/>
      <c r="AG199" s="11"/>
      <c r="AH199" s="12"/>
      <c r="AI199" s="11"/>
      <c r="AJ199" s="11"/>
    </row>
    <row r="200" spans="2:36" s="7" customFormat="1">
      <c r="B200" s="11"/>
      <c r="C200" s="23"/>
      <c r="D200"/>
      <c r="E200"/>
      <c r="F200"/>
      <c r="G200"/>
      <c r="H200"/>
      <c r="I200"/>
      <c r="J200"/>
      <c r="K200" s="21"/>
      <c r="L200" s="21"/>
      <c r="M200" s="21"/>
      <c r="AG200" s="11"/>
      <c r="AH200" s="12"/>
      <c r="AI200" s="11"/>
      <c r="AJ200" s="11"/>
    </row>
    <row r="201" spans="2:36" s="7" customFormat="1">
      <c r="B201" s="11"/>
      <c r="C201" s="23"/>
      <c r="D201"/>
      <c r="E201"/>
      <c r="F201"/>
      <c r="G201"/>
      <c r="H201"/>
      <c r="I201"/>
      <c r="J201"/>
      <c r="K201" s="21"/>
      <c r="L201" s="21"/>
      <c r="M201" s="21"/>
      <c r="AG201" s="11"/>
      <c r="AH201" s="12"/>
      <c r="AI201" s="11"/>
      <c r="AJ201" s="11"/>
    </row>
    <row r="202" spans="2:36" s="7" customFormat="1">
      <c r="B202" s="11"/>
      <c r="C202" s="23"/>
      <c r="D202"/>
      <c r="E202"/>
      <c r="F202"/>
      <c r="G202"/>
      <c r="H202"/>
      <c r="I202"/>
      <c r="J202"/>
      <c r="K202" s="21"/>
      <c r="L202" s="21"/>
      <c r="M202" s="21"/>
      <c r="AG202" s="11"/>
      <c r="AH202" s="12"/>
      <c r="AI202" s="11"/>
      <c r="AJ202" s="11"/>
    </row>
    <row r="203" spans="2:36" s="7" customFormat="1">
      <c r="B203" s="11"/>
      <c r="C203" s="23"/>
      <c r="D203"/>
      <c r="E203"/>
      <c r="F203"/>
      <c r="G203"/>
      <c r="H203"/>
      <c r="I203"/>
      <c r="J203"/>
      <c r="K203" s="21"/>
      <c r="L203" s="21"/>
      <c r="M203" s="21"/>
      <c r="AG203" s="11"/>
      <c r="AH203" s="12"/>
      <c r="AI203" s="11"/>
      <c r="AJ203" s="11"/>
    </row>
    <row r="204" spans="2:36" s="7" customFormat="1">
      <c r="B204" s="11"/>
      <c r="C204" s="23"/>
      <c r="D204"/>
      <c r="E204"/>
      <c r="F204"/>
      <c r="G204"/>
      <c r="H204"/>
      <c r="I204"/>
      <c r="J204"/>
      <c r="K204" s="21"/>
      <c r="L204" s="21"/>
      <c r="M204" s="21"/>
      <c r="AG204" s="11"/>
      <c r="AH204" s="12"/>
      <c r="AI204" s="11"/>
      <c r="AJ204" s="11"/>
    </row>
    <row r="205" spans="2:36" s="7" customFormat="1">
      <c r="B205" s="11"/>
      <c r="C205" s="23"/>
      <c r="D205"/>
      <c r="E205"/>
      <c r="F205"/>
      <c r="G205"/>
      <c r="H205"/>
      <c r="I205"/>
      <c r="J205"/>
      <c r="K205" s="21"/>
      <c r="L205" s="21"/>
      <c r="M205" s="21"/>
      <c r="AG205" s="11"/>
      <c r="AH205" s="12"/>
      <c r="AI205" s="11"/>
      <c r="AJ205" s="11"/>
    </row>
    <row r="206" spans="2:36" s="7" customFormat="1">
      <c r="B206" s="11"/>
      <c r="C206" s="23"/>
      <c r="D206"/>
      <c r="E206"/>
      <c r="F206"/>
      <c r="G206"/>
      <c r="H206"/>
      <c r="I206"/>
      <c r="J206"/>
      <c r="K206" s="21"/>
      <c r="L206" s="21"/>
      <c r="M206" s="21"/>
      <c r="AG206" s="11"/>
      <c r="AH206" s="12"/>
      <c r="AI206" s="11"/>
      <c r="AJ206" s="11"/>
    </row>
    <row r="207" spans="2:36" s="7" customFormat="1">
      <c r="B207" s="11"/>
      <c r="C207" s="23"/>
      <c r="D207"/>
      <c r="E207"/>
      <c r="F207"/>
      <c r="G207"/>
      <c r="H207"/>
      <c r="I207"/>
      <c r="J207"/>
      <c r="K207" s="21"/>
      <c r="L207" s="21"/>
      <c r="M207" s="21"/>
      <c r="AG207" s="11"/>
      <c r="AH207" s="12"/>
      <c r="AI207" s="11"/>
      <c r="AJ207" s="11"/>
    </row>
    <row r="208" spans="2:36" s="7" customFormat="1">
      <c r="B208" s="11"/>
      <c r="C208" s="23"/>
      <c r="D208"/>
      <c r="E208"/>
      <c r="F208"/>
      <c r="G208"/>
      <c r="H208"/>
      <c r="I208"/>
      <c r="J208"/>
      <c r="K208" s="21"/>
      <c r="L208" s="21"/>
      <c r="M208" s="21"/>
      <c r="AG208" s="11"/>
      <c r="AH208" s="12"/>
      <c r="AI208" s="11"/>
      <c r="AJ208" s="11"/>
    </row>
    <row r="209" spans="2:36" s="7" customFormat="1">
      <c r="B209" s="11"/>
      <c r="C209" s="23"/>
      <c r="D209"/>
      <c r="E209"/>
      <c r="F209"/>
      <c r="G209"/>
      <c r="H209"/>
      <c r="I209"/>
      <c r="J209"/>
      <c r="K209" s="21"/>
      <c r="L209" s="21"/>
      <c r="M209" s="21"/>
      <c r="AG209" s="11"/>
      <c r="AH209" s="12"/>
      <c r="AI209" s="11"/>
      <c r="AJ209" s="11"/>
    </row>
    <row r="210" spans="2:36" s="7" customFormat="1">
      <c r="B210" s="11"/>
      <c r="C210" s="23"/>
      <c r="D210"/>
      <c r="E210"/>
      <c r="F210"/>
      <c r="G210"/>
      <c r="H210"/>
      <c r="I210"/>
      <c r="J210"/>
      <c r="K210" s="21"/>
      <c r="L210" s="21"/>
      <c r="M210" s="21"/>
      <c r="AG210" s="11"/>
      <c r="AH210" s="12"/>
      <c r="AI210" s="11"/>
      <c r="AJ210" s="11"/>
    </row>
    <row r="211" spans="2:36" s="7" customFormat="1">
      <c r="B211" s="11"/>
      <c r="C211" s="23"/>
      <c r="D211"/>
      <c r="E211"/>
      <c r="F211"/>
      <c r="G211"/>
      <c r="H211"/>
      <c r="I211"/>
      <c r="J211"/>
      <c r="K211" s="21"/>
      <c r="L211" s="21"/>
      <c r="M211" s="21"/>
      <c r="AG211" s="11"/>
      <c r="AH211" s="12"/>
      <c r="AI211" s="11"/>
      <c r="AJ211" s="11"/>
    </row>
    <row r="212" spans="2:36" s="7" customFormat="1">
      <c r="B212" s="11"/>
      <c r="C212" s="23"/>
      <c r="D212"/>
      <c r="E212"/>
      <c r="F212"/>
      <c r="G212"/>
      <c r="H212"/>
      <c r="I212"/>
      <c r="J212"/>
      <c r="K212" s="21"/>
      <c r="L212" s="21"/>
      <c r="M212" s="21"/>
      <c r="AG212" s="11"/>
      <c r="AH212" s="12"/>
      <c r="AI212" s="11"/>
      <c r="AJ212" s="11"/>
    </row>
    <row r="213" spans="2:36" s="7" customFormat="1">
      <c r="B213" s="11"/>
      <c r="C213" s="23"/>
      <c r="D213"/>
      <c r="E213"/>
      <c r="F213"/>
      <c r="G213"/>
      <c r="H213"/>
      <c r="I213"/>
      <c r="J213"/>
      <c r="K213" s="21"/>
      <c r="L213" s="21"/>
      <c r="M213" s="21"/>
      <c r="AG213" s="11"/>
      <c r="AH213" s="12"/>
      <c r="AI213" s="11"/>
      <c r="AJ213" s="11"/>
    </row>
    <row r="214" spans="2:36" s="7" customFormat="1">
      <c r="B214" s="11"/>
      <c r="C214" s="23"/>
      <c r="D214"/>
      <c r="E214"/>
      <c r="F214"/>
      <c r="G214"/>
      <c r="H214"/>
      <c r="I214"/>
      <c r="J214"/>
      <c r="K214" s="21"/>
      <c r="L214" s="21"/>
      <c r="M214" s="21"/>
      <c r="AG214" s="11"/>
      <c r="AH214" s="12"/>
      <c r="AI214" s="11"/>
      <c r="AJ214" s="11"/>
    </row>
    <row r="215" spans="2:36" s="7" customFormat="1">
      <c r="B215" s="11"/>
      <c r="C215" s="23"/>
      <c r="D215"/>
      <c r="E215"/>
      <c r="F215"/>
      <c r="G215"/>
      <c r="H215"/>
      <c r="I215"/>
      <c r="J215"/>
      <c r="K215" s="21"/>
      <c r="L215" s="21"/>
      <c r="M215" s="21"/>
      <c r="AG215" s="11"/>
      <c r="AH215" s="12"/>
      <c r="AI215" s="11"/>
      <c r="AJ215" s="11"/>
    </row>
    <row r="216" spans="2:36" s="7" customFormat="1">
      <c r="B216" s="11"/>
      <c r="C216" s="23"/>
      <c r="D216"/>
      <c r="E216"/>
      <c r="F216"/>
      <c r="G216"/>
      <c r="H216"/>
      <c r="I216"/>
      <c r="J216"/>
      <c r="K216" s="21"/>
      <c r="L216" s="21"/>
      <c r="M216" s="21"/>
      <c r="AG216" s="11"/>
      <c r="AH216" s="12"/>
      <c r="AI216" s="11"/>
      <c r="AJ216" s="11"/>
    </row>
    <row r="217" spans="2:36" s="7" customFormat="1">
      <c r="B217" s="11"/>
      <c r="C217" s="23"/>
      <c r="D217"/>
      <c r="E217"/>
      <c r="F217"/>
      <c r="G217"/>
      <c r="H217"/>
      <c r="I217"/>
      <c r="J217"/>
      <c r="K217" s="21"/>
      <c r="L217" s="21"/>
      <c r="M217" s="21"/>
      <c r="AG217" s="11"/>
      <c r="AH217" s="12"/>
      <c r="AI217" s="11"/>
      <c r="AJ217" s="11"/>
    </row>
    <row r="218" spans="2:36" s="7" customFormat="1">
      <c r="B218" s="11"/>
      <c r="C218" s="23"/>
      <c r="D218"/>
      <c r="E218"/>
      <c r="F218"/>
      <c r="G218"/>
      <c r="H218"/>
      <c r="I218"/>
      <c r="J218"/>
      <c r="K218" s="21"/>
      <c r="L218" s="21"/>
      <c r="M218" s="21"/>
      <c r="AG218" s="11"/>
      <c r="AH218" s="12"/>
      <c r="AI218" s="11"/>
      <c r="AJ218" s="11"/>
    </row>
    <row r="219" spans="2:36" s="7" customFormat="1">
      <c r="B219" s="11"/>
      <c r="C219" s="23"/>
      <c r="D219"/>
      <c r="E219"/>
      <c r="F219"/>
      <c r="G219"/>
      <c r="H219"/>
      <c r="I219"/>
      <c r="J219"/>
      <c r="K219" s="21"/>
      <c r="L219" s="21"/>
      <c r="M219" s="21"/>
      <c r="AG219" s="11"/>
      <c r="AH219" s="12"/>
      <c r="AI219" s="11"/>
      <c r="AJ219" s="11"/>
    </row>
    <row r="220" spans="2:36" s="7" customFormat="1">
      <c r="B220" s="11"/>
      <c r="C220" s="23"/>
      <c r="D220"/>
      <c r="E220"/>
      <c r="F220"/>
      <c r="G220"/>
      <c r="H220"/>
      <c r="I220"/>
      <c r="J220"/>
      <c r="K220" s="21"/>
      <c r="L220" s="21"/>
      <c r="M220" s="21"/>
      <c r="AG220" s="11"/>
      <c r="AH220" s="12"/>
      <c r="AI220" s="11"/>
      <c r="AJ220" s="11"/>
    </row>
    <row r="221" spans="2:36" s="7" customFormat="1">
      <c r="B221" s="11"/>
      <c r="C221" s="23"/>
      <c r="D221"/>
      <c r="E221"/>
      <c r="F221"/>
      <c r="G221"/>
      <c r="H221"/>
      <c r="I221"/>
      <c r="J221"/>
      <c r="K221" s="21"/>
      <c r="L221" s="21"/>
      <c r="M221" s="21"/>
      <c r="AG221" s="11"/>
      <c r="AH221" s="12"/>
      <c r="AI221" s="11"/>
      <c r="AJ221" s="11"/>
    </row>
    <row r="222" spans="2:36" s="7" customFormat="1">
      <c r="B222" s="11"/>
      <c r="C222" s="23"/>
      <c r="D222"/>
      <c r="E222"/>
      <c r="F222"/>
      <c r="G222"/>
      <c r="H222"/>
      <c r="I222"/>
      <c r="J222"/>
      <c r="K222" s="26"/>
      <c r="L222" s="77"/>
      <c r="M222" s="21"/>
      <c r="AG222" s="11"/>
      <c r="AH222" s="12"/>
      <c r="AI222" s="11"/>
      <c r="AJ222" s="11"/>
    </row>
    <row r="223" spans="2:36" s="7" customFormat="1">
      <c r="B223" s="11"/>
      <c r="C223" s="23"/>
      <c r="D223"/>
      <c r="E223"/>
      <c r="F223"/>
      <c r="G223"/>
      <c r="H223"/>
      <c r="I223"/>
      <c r="J223"/>
      <c r="M223" s="21"/>
      <c r="AG223" s="11"/>
      <c r="AH223" s="12"/>
      <c r="AI223" s="11"/>
      <c r="AJ223" s="11"/>
    </row>
    <row r="224" spans="2:36" s="7" customFormat="1">
      <c r="B224" s="11"/>
      <c r="C224" s="23"/>
      <c r="D224"/>
      <c r="E224"/>
      <c r="F224"/>
      <c r="G224"/>
      <c r="H224"/>
      <c r="I224"/>
      <c r="J224"/>
      <c r="M224" s="21"/>
      <c r="AG224" s="11"/>
      <c r="AH224" s="12"/>
      <c r="AI224" s="11"/>
      <c r="AJ224" s="11"/>
    </row>
    <row r="225" spans="2:36" s="7" customFormat="1">
      <c r="B225" s="11"/>
      <c r="C225" s="23"/>
      <c r="D225"/>
      <c r="E225"/>
      <c r="F225"/>
      <c r="G225"/>
      <c r="H225"/>
      <c r="I225"/>
      <c r="J225"/>
      <c r="M225" s="21"/>
      <c r="AG225" s="11"/>
      <c r="AH225" s="12"/>
      <c r="AI225" s="11"/>
      <c r="AJ225" s="11"/>
    </row>
    <row r="226" spans="2:36" s="7" customFormat="1">
      <c r="B226" s="11"/>
      <c r="C226" s="23"/>
      <c r="D226"/>
      <c r="E226"/>
      <c r="F226"/>
      <c r="G226"/>
      <c r="H226"/>
      <c r="I226"/>
      <c r="J226"/>
      <c r="M226" s="21"/>
      <c r="AG226" s="11"/>
      <c r="AH226" s="12"/>
      <c r="AI226" s="11"/>
      <c r="AJ226" s="11"/>
    </row>
    <row r="227" spans="2:36" s="7" customFormat="1">
      <c r="B227" s="11"/>
      <c r="C227" s="23"/>
      <c r="D227"/>
      <c r="E227"/>
      <c r="F227"/>
      <c r="G227"/>
      <c r="H227"/>
      <c r="I227"/>
      <c r="J227"/>
      <c r="M227" s="21"/>
      <c r="AG227" s="11"/>
      <c r="AH227" s="12"/>
      <c r="AI227" s="11"/>
      <c r="AJ227" s="11"/>
    </row>
    <row r="228" spans="2:36" s="7" customFormat="1">
      <c r="B228" s="11"/>
      <c r="C228" s="23"/>
      <c r="D228"/>
      <c r="E228"/>
      <c r="F228"/>
      <c r="G228"/>
      <c r="H228"/>
      <c r="I228"/>
      <c r="J228"/>
      <c r="K228" s="21"/>
      <c r="L228" s="21"/>
      <c r="M228" s="21"/>
      <c r="AG228" s="11"/>
      <c r="AH228" s="12"/>
      <c r="AI228" s="11"/>
      <c r="AJ228" s="11"/>
    </row>
    <row r="229" spans="2:36" s="7" customFormat="1">
      <c r="B229" s="11"/>
      <c r="C229" s="23"/>
      <c r="D229"/>
      <c r="E229"/>
      <c r="F229"/>
      <c r="G229"/>
      <c r="H229"/>
      <c r="I229"/>
      <c r="J229"/>
      <c r="K229" s="21"/>
      <c r="L229" s="21"/>
      <c r="M229" s="21"/>
      <c r="AG229" s="11"/>
      <c r="AH229" s="12"/>
      <c r="AI229" s="11"/>
      <c r="AJ229" s="11"/>
    </row>
    <row r="230" spans="2:36" s="7" customFormat="1">
      <c r="B230" s="11"/>
      <c r="C230" s="23"/>
      <c r="D230"/>
      <c r="E230"/>
      <c r="F230"/>
      <c r="G230"/>
      <c r="H230"/>
      <c r="I230"/>
      <c r="J230"/>
      <c r="K230" s="21"/>
      <c r="L230" s="21"/>
      <c r="M230" s="21"/>
      <c r="AG230" s="11"/>
      <c r="AH230" s="12"/>
      <c r="AI230" s="11"/>
      <c r="AJ230" s="11"/>
    </row>
    <row r="231" spans="2:36" s="7" customFormat="1">
      <c r="B231" s="11"/>
      <c r="C231" s="23"/>
      <c r="D231"/>
      <c r="E231"/>
      <c r="F231"/>
      <c r="G231"/>
      <c r="H231"/>
      <c r="I231"/>
      <c r="J231"/>
      <c r="K231" s="21"/>
      <c r="L231" s="21"/>
      <c r="M231" s="21"/>
      <c r="AG231" s="11"/>
      <c r="AH231" s="12"/>
      <c r="AI231" s="11"/>
      <c r="AJ231" s="11"/>
    </row>
    <row r="232" spans="2:36" s="7" customFormat="1">
      <c r="B232" s="11"/>
      <c r="C232" s="23"/>
      <c r="D232"/>
      <c r="E232"/>
      <c r="F232"/>
      <c r="G232"/>
      <c r="H232"/>
      <c r="I232"/>
      <c r="J232"/>
      <c r="K232" s="21"/>
      <c r="L232" s="21"/>
      <c r="M232" s="21"/>
      <c r="AG232" s="11"/>
      <c r="AH232" s="12"/>
      <c r="AI232" s="11"/>
      <c r="AJ232" s="11"/>
    </row>
    <row r="233" spans="2:36" s="7" customFormat="1">
      <c r="B233" s="11"/>
      <c r="C233" s="23"/>
      <c r="D233"/>
      <c r="E233"/>
      <c r="F233"/>
      <c r="G233"/>
      <c r="H233"/>
      <c r="I233"/>
      <c r="J233"/>
      <c r="K233" s="21"/>
      <c r="L233" s="21"/>
      <c r="M233" s="21"/>
      <c r="AG233" s="11"/>
      <c r="AH233" s="12"/>
      <c r="AI233" s="11"/>
      <c r="AJ233" s="11"/>
    </row>
    <row r="234" spans="2:36" s="7" customFormat="1">
      <c r="B234" s="11"/>
      <c r="C234" s="23"/>
      <c r="D234"/>
      <c r="E234"/>
      <c r="F234"/>
      <c r="G234"/>
      <c r="H234"/>
      <c r="I234"/>
      <c r="J234"/>
      <c r="K234" s="21"/>
      <c r="L234" s="21"/>
      <c r="M234" s="21"/>
      <c r="AG234" s="11"/>
      <c r="AH234" s="12"/>
      <c r="AI234" s="11"/>
      <c r="AJ234" s="11"/>
    </row>
    <row r="235" spans="2:36" s="7" customFormat="1">
      <c r="B235" s="11"/>
      <c r="C235" s="23"/>
      <c r="D235"/>
      <c r="E235"/>
      <c r="F235"/>
      <c r="G235"/>
      <c r="H235"/>
      <c r="I235"/>
      <c r="J235"/>
      <c r="K235" s="21"/>
      <c r="L235" s="21"/>
      <c r="M235" s="21"/>
      <c r="AG235" s="11"/>
      <c r="AH235" s="12"/>
      <c r="AI235" s="11"/>
      <c r="AJ235" s="11"/>
    </row>
    <row r="236" spans="2:36" s="7" customFormat="1">
      <c r="B236" s="11"/>
      <c r="C236" s="23"/>
      <c r="D236"/>
      <c r="E236"/>
      <c r="F236"/>
      <c r="G236"/>
      <c r="H236"/>
      <c r="I236"/>
      <c r="J236"/>
      <c r="K236" s="21"/>
      <c r="L236" s="21"/>
      <c r="M236" s="21"/>
      <c r="AG236" s="11"/>
      <c r="AH236" s="12"/>
      <c r="AI236" s="11"/>
      <c r="AJ236" s="11"/>
    </row>
    <row r="237" spans="2:36" s="7" customFormat="1">
      <c r="B237" s="11"/>
      <c r="C237" s="23"/>
      <c r="D237"/>
      <c r="E237"/>
      <c r="F237"/>
      <c r="G237"/>
      <c r="H237"/>
      <c r="I237"/>
      <c r="J237"/>
      <c r="K237" s="21"/>
      <c r="L237" s="21"/>
      <c r="M237" s="21"/>
      <c r="AG237" s="11"/>
      <c r="AH237" s="12"/>
      <c r="AI237" s="11"/>
      <c r="AJ237" s="11"/>
    </row>
    <row r="238" spans="2:36" s="7" customFormat="1">
      <c r="B238" s="11"/>
      <c r="C238" s="23"/>
      <c r="D238"/>
      <c r="E238"/>
      <c r="F238"/>
      <c r="G238"/>
      <c r="H238"/>
      <c r="I238"/>
      <c r="J238"/>
      <c r="K238" s="21"/>
      <c r="L238" s="21"/>
      <c r="M238" s="21"/>
      <c r="AG238" s="11"/>
      <c r="AH238" s="12"/>
      <c r="AI238" s="11"/>
      <c r="AJ238" s="11"/>
    </row>
    <row r="239" spans="2:36" s="7" customFormat="1">
      <c r="B239" s="11"/>
      <c r="C239" s="23"/>
      <c r="D239"/>
      <c r="E239"/>
      <c r="F239"/>
      <c r="G239"/>
      <c r="H239"/>
      <c r="I239"/>
      <c r="J239"/>
      <c r="K239" s="21"/>
      <c r="L239" s="21"/>
      <c r="M239" s="21"/>
      <c r="AG239" s="11"/>
      <c r="AH239" s="12"/>
      <c r="AI239" s="11"/>
      <c r="AJ239" s="11"/>
    </row>
    <row r="240" spans="2:36" s="7" customFormat="1">
      <c r="B240" s="11"/>
      <c r="C240" s="23"/>
      <c r="D240"/>
      <c r="E240"/>
      <c r="F240"/>
      <c r="G240"/>
      <c r="H240"/>
      <c r="I240"/>
      <c r="J240"/>
      <c r="K240" s="21"/>
      <c r="L240" s="21"/>
      <c r="M240" s="21"/>
      <c r="AG240" s="11"/>
      <c r="AH240" s="12"/>
      <c r="AI240" s="11"/>
      <c r="AJ240" s="11"/>
    </row>
    <row r="241" spans="2:36" s="7" customFormat="1">
      <c r="B241" s="11"/>
      <c r="C241" s="23"/>
      <c r="D241"/>
      <c r="E241"/>
      <c r="F241"/>
      <c r="G241"/>
      <c r="H241"/>
      <c r="I241"/>
      <c r="J241"/>
      <c r="K241" s="21"/>
      <c r="L241" s="21"/>
      <c r="M241" s="21"/>
      <c r="AG241" s="11"/>
      <c r="AH241" s="12"/>
      <c r="AI241" s="11"/>
      <c r="AJ241" s="11"/>
    </row>
    <row r="242" spans="2:36" s="7" customFormat="1">
      <c r="B242" s="11"/>
      <c r="C242" s="23"/>
      <c r="D242"/>
      <c r="E242"/>
      <c r="F242"/>
      <c r="G242"/>
      <c r="H242"/>
      <c r="I242"/>
      <c r="J242"/>
      <c r="K242" s="21"/>
      <c r="L242" s="21"/>
      <c r="M242" s="21"/>
      <c r="AG242" s="11"/>
      <c r="AH242" s="12"/>
      <c r="AI242" s="11"/>
      <c r="AJ242" s="11"/>
    </row>
    <row r="243" spans="2:36" s="7" customFormat="1">
      <c r="B243" s="11"/>
      <c r="C243" s="23"/>
      <c r="D243"/>
      <c r="E243"/>
      <c r="F243"/>
      <c r="G243"/>
      <c r="H243"/>
      <c r="I243"/>
      <c r="J243"/>
      <c r="K243" s="21"/>
      <c r="L243" s="21"/>
      <c r="M243" s="21"/>
      <c r="AG243" s="11"/>
      <c r="AH243" s="12"/>
      <c r="AI243" s="11"/>
      <c r="AJ243" s="11"/>
    </row>
    <row r="244" spans="2:36" s="7" customFormat="1">
      <c r="B244" s="11"/>
      <c r="C244" s="23"/>
      <c r="D244"/>
      <c r="E244"/>
      <c r="F244"/>
      <c r="G244"/>
      <c r="H244"/>
      <c r="I244"/>
      <c r="J244"/>
      <c r="K244" s="21"/>
      <c r="L244" s="21"/>
      <c r="M244" s="21"/>
      <c r="AG244" s="11"/>
      <c r="AH244" s="12"/>
      <c r="AI244" s="11"/>
      <c r="AJ244" s="11"/>
    </row>
    <row r="245" spans="2:36" s="7" customFormat="1">
      <c r="B245" s="11"/>
      <c r="C245" s="23"/>
      <c r="D245"/>
      <c r="E245"/>
      <c r="F245"/>
      <c r="G245"/>
      <c r="H245"/>
      <c r="I245"/>
      <c r="J245"/>
      <c r="K245" s="21"/>
      <c r="L245" s="21"/>
      <c r="M245" s="21"/>
      <c r="AG245" s="11"/>
      <c r="AH245" s="12"/>
      <c r="AI245" s="11"/>
      <c r="AJ245" s="11"/>
    </row>
    <row r="246" spans="2:36" s="7" customFormat="1">
      <c r="B246" s="11"/>
      <c r="C246" s="23"/>
      <c r="D246"/>
      <c r="E246"/>
      <c r="F246"/>
      <c r="G246"/>
      <c r="H246"/>
      <c r="I246"/>
      <c r="J246"/>
      <c r="K246" s="21"/>
      <c r="L246" s="21"/>
      <c r="M246" s="21"/>
      <c r="AG246" s="11"/>
      <c r="AH246" s="12"/>
      <c r="AI246" s="11"/>
      <c r="AJ246" s="11"/>
    </row>
    <row r="247" spans="2:36" s="7" customFormat="1">
      <c r="B247" s="11"/>
      <c r="C247" s="23"/>
      <c r="D247"/>
      <c r="E247"/>
      <c r="F247"/>
      <c r="G247"/>
      <c r="H247"/>
      <c r="I247"/>
      <c r="J247"/>
      <c r="K247" s="21"/>
      <c r="L247" s="21"/>
      <c r="M247" s="21"/>
      <c r="AG247" s="11"/>
      <c r="AH247" s="12"/>
      <c r="AI247" s="11"/>
      <c r="AJ247" s="11"/>
    </row>
    <row r="248" spans="2:36" s="7" customFormat="1">
      <c r="B248" s="11"/>
      <c r="C248" s="23"/>
      <c r="D248"/>
      <c r="E248"/>
      <c r="F248"/>
      <c r="G248"/>
      <c r="H248"/>
      <c r="I248"/>
      <c r="J248"/>
      <c r="K248" s="21"/>
      <c r="L248" s="21"/>
      <c r="M248" s="21"/>
      <c r="AG248" s="11"/>
      <c r="AH248" s="12"/>
      <c r="AI248" s="11"/>
      <c r="AJ248" s="11"/>
    </row>
    <row r="249" spans="2:36" s="7" customFormat="1">
      <c r="B249" s="11"/>
      <c r="C249" s="23"/>
      <c r="D249"/>
      <c r="E249"/>
      <c r="F249"/>
      <c r="G249"/>
      <c r="H249"/>
      <c r="I249"/>
      <c r="J249"/>
      <c r="K249" s="21"/>
      <c r="L249" s="21"/>
      <c r="M249" s="21"/>
      <c r="AG249" s="11"/>
      <c r="AH249" s="12"/>
      <c r="AI249" s="11"/>
      <c r="AJ249" s="11"/>
    </row>
    <row r="250" spans="2:36" s="7" customFormat="1">
      <c r="B250" s="11"/>
      <c r="C250" s="23"/>
      <c r="D250"/>
      <c r="E250"/>
      <c r="F250"/>
      <c r="G250"/>
      <c r="H250"/>
      <c r="I250"/>
      <c r="J250"/>
      <c r="K250" s="21"/>
      <c r="L250" s="21"/>
      <c r="M250" s="21"/>
      <c r="AG250" s="11"/>
      <c r="AH250" s="12"/>
      <c r="AI250" s="11"/>
      <c r="AJ250" s="11"/>
    </row>
    <row r="251" spans="2:36" s="7" customFormat="1">
      <c r="B251" s="11"/>
      <c r="C251" s="23"/>
      <c r="D251"/>
      <c r="E251"/>
      <c r="F251"/>
      <c r="G251"/>
      <c r="H251"/>
      <c r="I251"/>
      <c r="J251"/>
      <c r="K251" s="21"/>
      <c r="L251" s="21"/>
      <c r="M251" s="21"/>
      <c r="AG251" s="11"/>
      <c r="AH251" s="12"/>
      <c r="AI251" s="11"/>
      <c r="AJ251" s="11"/>
    </row>
    <row r="252" spans="2:36" s="7" customFormat="1">
      <c r="B252" s="11"/>
      <c r="C252" s="23"/>
      <c r="D252"/>
      <c r="E252"/>
      <c r="F252"/>
      <c r="G252"/>
      <c r="H252"/>
      <c r="I252"/>
      <c r="J252"/>
      <c r="K252" s="26"/>
      <c r="L252" s="77"/>
      <c r="M252" s="21"/>
      <c r="AG252" s="11"/>
      <c r="AH252" s="12"/>
      <c r="AI252" s="11"/>
      <c r="AJ252" s="11"/>
    </row>
    <row r="253" spans="2:36" s="7" customFormat="1">
      <c r="B253" s="11"/>
      <c r="C253" s="23"/>
      <c r="D253"/>
      <c r="E253"/>
      <c r="F253"/>
      <c r="G253"/>
      <c r="H253"/>
      <c r="I253"/>
      <c r="J253"/>
      <c r="M253" s="21"/>
      <c r="AG253" s="11"/>
      <c r="AH253" s="12"/>
      <c r="AI253" s="11"/>
      <c r="AJ253" s="11"/>
    </row>
    <row r="254" spans="2:36" s="7" customFormat="1">
      <c r="B254" s="11"/>
      <c r="C254" s="23"/>
      <c r="D254"/>
      <c r="E254"/>
      <c r="F254"/>
      <c r="G254"/>
      <c r="H254"/>
      <c r="I254"/>
      <c r="J254"/>
      <c r="M254" s="21"/>
      <c r="AG254" s="11"/>
      <c r="AH254" s="12"/>
      <c r="AI254" s="11"/>
      <c r="AJ254" s="11"/>
    </row>
    <row r="255" spans="2:36" s="7" customFormat="1">
      <c r="B255" s="11"/>
      <c r="C255" s="23"/>
      <c r="D255"/>
      <c r="E255"/>
      <c r="F255"/>
      <c r="G255"/>
      <c r="H255"/>
      <c r="I255"/>
      <c r="J255"/>
      <c r="M255" s="21"/>
      <c r="AG255" s="11"/>
      <c r="AH255" s="12"/>
      <c r="AI255" s="11"/>
      <c r="AJ255" s="11"/>
    </row>
    <row r="256" spans="2:36" s="7" customFormat="1">
      <c r="B256" s="11"/>
      <c r="C256" s="23"/>
      <c r="D256"/>
      <c r="E256"/>
      <c r="F256"/>
      <c r="G256"/>
      <c r="H256"/>
      <c r="I256"/>
      <c r="J256"/>
      <c r="M256" s="21"/>
      <c r="AG256" s="11"/>
      <c r="AH256" s="12"/>
      <c r="AI256" s="11"/>
      <c r="AJ256" s="11"/>
    </row>
    <row r="257" spans="2:36" s="7" customFormat="1">
      <c r="B257" s="11"/>
      <c r="C257" s="23"/>
      <c r="D257"/>
      <c r="E257"/>
      <c r="F257"/>
      <c r="G257"/>
      <c r="H257"/>
      <c r="I257"/>
      <c r="J257"/>
      <c r="M257" s="21"/>
      <c r="AG257" s="11"/>
      <c r="AH257" s="12"/>
      <c r="AI257" s="11"/>
      <c r="AJ257" s="11"/>
    </row>
    <row r="258" spans="2:36" s="7" customFormat="1">
      <c r="B258" s="11"/>
      <c r="C258" s="23"/>
      <c r="D258"/>
      <c r="E258"/>
      <c r="F258"/>
      <c r="G258"/>
      <c r="H258"/>
      <c r="I258"/>
      <c r="J258"/>
      <c r="K258" s="21"/>
      <c r="L258" s="21"/>
      <c r="M258" s="21"/>
      <c r="AG258" s="11"/>
      <c r="AH258" s="12"/>
      <c r="AI258" s="11"/>
      <c r="AJ258" s="11"/>
    </row>
    <row r="259" spans="2:36" s="7" customFormat="1">
      <c r="B259" s="11"/>
      <c r="C259" s="23"/>
      <c r="D259"/>
      <c r="E259"/>
      <c r="F259"/>
      <c r="G259"/>
      <c r="H259"/>
      <c r="I259"/>
      <c r="J259"/>
      <c r="K259" s="21"/>
      <c r="L259" s="21"/>
      <c r="M259" s="21"/>
      <c r="AG259" s="11"/>
      <c r="AH259" s="12"/>
      <c r="AI259" s="11"/>
      <c r="AJ259" s="11"/>
    </row>
    <row r="260" spans="2:36" s="7" customFormat="1">
      <c r="B260" s="11"/>
      <c r="C260" s="23"/>
      <c r="D260"/>
      <c r="E260"/>
      <c r="F260"/>
      <c r="G260"/>
      <c r="H260"/>
      <c r="I260"/>
      <c r="J260"/>
      <c r="K260" s="21"/>
      <c r="L260" s="21"/>
      <c r="M260" s="21"/>
      <c r="AG260" s="11"/>
      <c r="AH260" s="12"/>
      <c r="AI260" s="11"/>
      <c r="AJ260" s="11"/>
    </row>
    <row r="261" spans="2:36" s="7" customFormat="1">
      <c r="B261" s="11"/>
      <c r="C261" s="23"/>
      <c r="D261"/>
      <c r="E261"/>
      <c r="F261"/>
      <c r="G261"/>
      <c r="H261"/>
      <c r="I261"/>
      <c r="J261"/>
      <c r="K261" s="21"/>
      <c r="L261" s="21"/>
      <c r="M261" s="21"/>
      <c r="AG261" s="11"/>
      <c r="AH261" s="12"/>
      <c r="AI261" s="11"/>
      <c r="AJ261" s="11"/>
    </row>
    <row r="262" spans="2:36" s="7" customFormat="1">
      <c r="B262" s="11"/>
      <c r="C262" s="23"/>
      <c r="D262"/>
      <c r="E262"/>
      <c r="F262"/>
      <c r="G262"/>
      <c r="H262"/>
      <c r="I262"/>
      <c r="J262"/>
      <c r="K262" s="21"/>
      <c r="L262" s="21"/>
      <c r="M262" s="21"/>
      <c r="AG262" s="11"/>
      <c r="AH262" s="12"/>
      <c r="AI262" s="11"/>
      <c r="AJ262" s="11"/>
    </row>
    <row r="263" spans="2:36" s="7" customFormat="1">
      <c r="B263" s="11"/>
      <c r="C263" s="23"/>
      <c r="D263"/>
      <c r="E263"/>
      <c r="F263"/>
      <c r="G263"/>
      <c r="H263"/>
      <c r="I263"/>
      <c r="J263"/>
      <c r="K263" s="21"/>
      <c r="L263" s="21"/>
      <c r="M263" s="21"/>
      <c r="AG263" s="11"/>
      <c r="AH263" s="12"/>
      <c r="AI263" s="11"/>
      <c r="AJ263" s="11"/>
    </row>
    <row r="264" spans="2:36" s="7" customFormat="1">
      <c r="B264" s="11"/>
      <c r="C264" s="23"/>
      <c r="D264"/>
      <c r="E264"/>
      <c r="F264"/>
      <c r="G264"/>
      <c r="H264"/>
      <c r="I264"/>
      <c r="J264"/>
      <c r="K264" s="21"/>
      <c r="L264" s="21"/>
      <c r="M264" s="21"/>
      <c r="AG264" s="11"/>
      <c r="AH264" s="12"/>
      <c r="AI264" s="11"/>
      <c r="AJ264" s="11"/>
    </row>
    <row r="265" spans="2:36" s="7" customFormat="1">
      <c r="B265" s="11"/>
      <c r="C265" s="23"/>
      <c r="D265"/>
      <c r="E265"/>
      <c r="F265"/>
      <c r="G265"/>
      <c r="H265"/>
      <c r="I265"/>
      <c r="J265"/>
      <c r="K265" s="21"/>
      <c r="L265" s="21"/>
      <c r="M265" s="21"/>
      <c r="AG265" s="11"/>
      <c r="AH265" s="12"/>
      <c r="AI265" s="11"/>
      <c r="AJ265" s="11"/>
    </row>
    <row r="266" spans="2:36" s="7" customFormat="1">
      <c r="B266" s="11"/>
      <c r="C266" s="23"/>
      <c r="D266"/>
      <c r="E266"/>
      <c r="F266"/>
      <c r="G266"/>
      <c r="H266"/>
      <c r="I266"/>
      <c r="J266"/>
      <c r="K266" s="21"/>
      <c r="L266" s="21"/>
      <c r="M266" s="21"/>
      <c r="AG266" s="11"/>
      <c r="AH266" s="12"/>
      <c r="AI266" s="11"/>
      <c r="AJ266" s="11"/>
    </row>
    <row r="267" spans="2:36" s="7" customFormat="1">
      <c r="B267" s="11"/>
      <c r="C267" s="23"/>
      <c r="D267"/>
      <c r="E267"/>
      <c r="F267"/>
      <c r="G267"/>
      <c r="H267"/>
      <c r="I267"/>
      <c r="J267"/>
      <c r="K267" s="21"/>
      <c r="L267" s="21"/>
      <c r="M267" s="21"/>
      <c r="AG267" s="11"/>
      <c r="AH267" s="12"/>
      <c r="AI267" s="11"/>
      <c r="AJ267" s="11"/>
    </row>
    <row r="268" spans="2:36" s="7" customFormat="1">
      <c r="B268" s="11"/>
      <c r="C268" s="23"/>
      <c r="D268"/>
      <c r="E268"/>
      <c r="F268"/>
      <c r="G268"/>
      <c r="H268"/>
      <c r="I268"/>
      <c r="J268"/>
      <c r="K268" s="21"/>
      <c r="L268" s="21"/>
      <c r="M268" s="21"/>
      <c r="AG268" s="11"/>
      <c r="AH268" s="12"/>
      <c r="AI268" s="11"/>
      <c r="AJ268" s="11"/>
    </row>
    <row r="269" spans="2:36" s="7" customFormat="1">
      <c r="B269" s="11"/>
      <c r="C269" s="23"/>
      <c r="D269"/>
      <c r="E269"/>
      <c r="F269"/>
      <c r="G269"/>
      <c r="H269"/>
      <c r="I269"/>
      <c r="J269"/>
      <c r="K269" s="21"/>
      <c r="L269" s="21"/>
      <c r="M269" s="21"/>
      <c r="AG269" s="11"/>
      <c r="AH269" s="12"/>
      <c r="AI269" s="11"/>
      <c r="AJ269" s="11"/>
    </row>
    <row r="270" spans="2:36" s="7" customFormat="1">
      <c r="B270" s="11"/>
      <c r="C270" s="23"/>
      <c r="D270"/>
      <c r="E270"/>
      <c r="F270"/>
      <c r="G270"/>
      <c r="H270"/>
      <c r="I270"/>
      <c r="J270"/>
      <c r="K270" s="21"/>
      <c r="L270" s="21"/>
      <c r="M270" s="21"/>
      <c r="AG270" s="11"/>
      <c r="AH270" s="12"/>
      <c r="AI270" s="11"/>
      <c r="AJ270" s="11"/>
    </row>
    <row r="271" spans="2:36" s="7" customFormat="1">
      <c r="B271" s="11"/>
      <c r="C271" s="23"/>
      <c r="D271"/>
      <c r="E271"/>
      <c r="F271"/>
      <c r="G271"/>
      <c r="H271"/>
      <c r="I271"/>
      <c r="J271"/>
      <c r="K271" s="21"/>
      <c r="L271" s="21"/>
      <c r="M271" s="21"/>
      <c r="AG271" s="11"/>
      <c r="AH271" s="12"/>
      <c r="AI271" s="11"/>
      <c r="AJ271" s="11"/>
    </row>
    <row r="272" spans="2:36" s="7" customFormat="1">
      <c r="B272" s="11"/>
      <c r="C272" s="23"/>
      <c r="D272"/>
      <c r="E272"/>
      <c r="F272"/>
      <c r="G272"/>
      <c r="H272"/>
      <c r="I272"/>
      <c r="J272"/>
      <c r="K272" s="21"/>
      <c r="L272" s="21"/>
      <c r="M272" s="21"/>
      <c r="AG272" s="11"/>
      <c r="AH272" s="12"/>
      <c r="AI272" s="11"/>
      <c r="AJ272" s="11"/>
    </row>
    <row r="273" spans="2:36" s="7" customFormat="1">
      <c r="B273" s="11"/>
      <c r="C273" s="23"/>
      <c r="D273"/>
      <c r="E273"/>
      <c r="F273"/>
      <c r="G273"/>
      <c r="H273"/>
      <c r="I273"/>
      <c r="J273"/>
      <c r="K273" s="21"/>
      <c r="L273" s="21"/>
      <c r="M273" s="21"/>
      <c r="AG273" s="11"/>
      <c r="AH273" s="12"/>
      <c r="AI273" s="11"/>
      <c r="AJ273" s="11"/>
    </row>
    <row r="274" spans="2:36" s="7" customFormat="1">
      <c r="B274" s="11"/>
      <c r="C274" s="23"/>
      <c r="D274"/>
      <c r="E274"/>
      <c r="F274"/>
      <c r="G274"/>
      <c r="H274"/>
      <c r="I274"/>
      <c r="J274"/>
      <c r="K274" s="21"/>
      <c r="L274" s="21"/>
      <c r="M274" s="21"/>
      <c r="AG274" s="11"/>
      <c r="AH274" s="12"/>
      <c r="AI274" s="11"/>
      <c r="AJ274" s="11"/>
    </row>
    <row r="275" spans="2:36" s="7" customFormat="1">
      <c r="B275" s="11"/>
      <c r="C275" s="23"/>
      <c r="D275"/>
      <c r="E275"/>
      <c r="F275"/>
      <c r="G275"/>
      <c r="H275"/>
      <c r="I275"/>
      <c r="J275"/>
      <c r="K275" s="21"/>
      <c r="L275" s="21"/>
      <c r="M275" s="21"/>
      <c r="AG275" s="11"/>
      <c r="AH275" s="12"/>
      <c r="AI275" s="11"/>
      <c r="AJ275" s="11"/>
    </row>
    <row r="276" spans="2:36" s="7" customFormat="1">
      <c r="B276" s="11"/>
      <c r="C276" s="23"/>
      <c r="D276"/>
      <c r="E276"/>
      <c r="F276"/>
      <c r="G276"/>
      <c r="H276"/>
      <c r="I276"/>
      <c r="J276"/>
      <c r="K276" s="21"/>
      <c r="L276" s="21"/>
      <c r="M276" s="21"/>
      <c r="AG276" s="11"/>
      <c r="AH276" s="12"/>
      <c r="AI276" s="11"/>
      <c r="AJ276" s="11"/>
    </row>
    <row r="277" spans="2:36" s="7" customFormat="1">
      <c r="B277" s="11"/>
      <c r="C277" s="23"/>
      <c r="D277"/>
      <c r="E277"/>
      <c r="F277"/>
      <c r="G277"/>
      <c r="H277"/>
      <c r="I277"/>
      <c r="J277"/>
      <c r="K277" s="21"/>
      <c r="L277" s="21"/>
      <c r="M277" s="21"/>
      <c r="AG277" s="11"/>
      <c r="AH277" s="12"/>
      <c r="AI277" s="11"/>
      <c r="AJ277" s="11"/>
    </row>
    <row r="278" spans="2:36" s="7" customFormat="1">
      <c r="B278" s="11"/>
      <c r="C278" s="23"/>
      <c r="D278"/>
      <c r="E278"/>
      <c r="F278"/>
      <c r="G278"/>
      <c r="H278"/>
      <c r="I278"/>
      <c r="J278"/>
      <c r="K278" s="21"/>
      <c r="L278" s="21"/>
      <c r="M278" s="21"/>
      <c r="AG278" s="11"/>
      <c r="AH278" s="12"/>
      <c r="AI278" s="11"/>
      <c r="AJ278" s="11"/>
    </row>
    <row r="279" spans="2:36" s="7" customFormat="1">
      <c r="B279" s="11"/>
      <c r="C279" s="23"/>
      <c r="D279"/>
      <c r="E279"/>
      <c r="F279"/>
      <c r="G279"/>
      <c r="H279"/>
      <c r="I279"/>
      <c r="J279"/>
      <c r="K279" s="21"/>
      <c r="L279" s="21"/>
      <c r="M279" s="21"/>
      <c r="AG279" s="11"/>
      <c r="AH279" s="12"/>
      <c r="AI279" s="11"/>
      <c r="AJ279" s="11"/>
    </row>
    <row r="280" spans="2:36" s="7" customFormat="1">
      <c r="B280" s="11"/>
      <c r="C280" s="23"/>
      <c r="D280"/>
      <c r="E280"/>
      <c r="F280"/>
      <c r="G280"/>
      <c r="H280"/>
      <c r="I280"/>
      <c r="J280"/>
      <c r="K280" s="21"/>
      <c r="L280" s="21"/>
      <c r="M280" s="21"/>
      <c r="AG280" s="11"/>
      <c r="AH280" s="12"/>
      <c r="AI280" s="11"/>
      <c r="AJ280" s="11"/>
    </row>
    <row r="281" spans="2:36" s="7" customFormat="1">
      <c r="B281" s="11"/>
      <c r="C281" s="23"/>
      <c r="D281"/>
      <c r="E281"/>
      <c r="F281"/>
      <c r="G281"/>
      <c r="H281"/>
      <c r="I281"/>
      <c r="J281"/>
      <c r="K281" s="21"/>
      <c r="L281" s="21"/>
      <c r="M281" s="21"/>
      <c r="AG281" s="11"/>
      <c r="AH281" s="12"/>
      <c r="AI281" s="11"/>
      <c r="AJ281" s="11"/>
    </row>
    <row r="282" spans="2:36" s="7" customFormat="1">
      <c r="B282" s="11"/>
      <c r="C282" s="23"/>
      <c r="D282"/>
      <c r="E282"/>
      <c r="F282"/>
      <c r="G282"/>
      <c r="H282"/>
      <c r="I282"/>
      <c r="J282"/>
      <c r="K282" s="26"/>
      <c r="L282" s="77"/>
      <c r="M282" s="21"/>
      <c r="AG282" s="11"/>
      <c r="AH282" s="12"/>
      <c r="AI282" s="11"/>
      <c r="AJ282" s="11"/>
    </row>
    <row r="283" spans="2:36" s="7" customFormat="1">
      <c r="B283" s="11"/>
      <c r="C283" s="23"/>
      <c r="D283"/>
      <c r="E283"/>
      <c r="F283"/>
      <c r="G283"/>
      <c r="H283"/>
      <c r="I283"/>
      <c r="J283"/>
      <c r="M283" s="21"/>
      <c r="AG283" s="11"/>
      <c r="AH283" s="12"/>
      <c r="AI283" s="11"/>
      <c r="AJ283" s="11"/>
    </row>
    <row r="284" spans="2:36" s="7" customFormat="1">
      <c r="B284" s="11"/>
      <c r="C284" s="23"/>
      <c r="D284"/>
      <c r="E284"/>
      <c r="F284"/>
      <c r="G284"/>
      <c r="H284"/>
      <c r="I284"/>
      <c r="J284"/>
      <c r="M284" s="21"/>
      <c r="AG284" s="11"/>
      <c r="AH284" s="12"/>
      <c r="AI284" s="11"/>
      <c r="AJ284" s="11"/>
    </row>
    <row r="285" spans="2:36" s="7" customFormat="1">
      <c r="B285" s="11"/>
      <c r="C285" s="23"/>
      <c r="D285"/>
      <c r="E285"/>
      <c r="F285"/>
      <c r="G285"/>
      <c r="H285"/>
      <c r="I285"/>
      <c r="J285"/>
      <c r="M285" s="21"/>
      <c r="AG285" s="11"/>
      <c r="AH285" s="12"/>
      <c r="AI285" s="11"/>
      <c r="AJ285" s="11"/>
    </row>
    <row r="286" spans="2:36" s="7" customFormat="1">
      <c r="B286" s="11"/>
      <c r="C286" s="23"/>
      <c r="D286"/>
      <c r="E286"/>
      <c r="F286"/>
      <c r="G286"/>
      <c r="H286"/>
      <c r="I286"/>
      <c r="J286"/>
      <c r="M286" s="21"/>
      <c r="AG286" s="11"/>
      <c r="AH286" s="12"/>
      <c r="AI286" s="11"/>
      <c r="AJ286" s="11"/>
    </row>
    <row r="287" spans="2:36" s="7" customFormat="1">
      <c r="B287" s="11"/>
      <c r="C287" s="23"/>
      <c r="D287"/>
      <c r="E287"/>
      <c r="F287"/>
      <c r="G287"/>
      <c r="H287"/>
      <c r="I287"/>
      <c r="J287"/>
      <c r="M287" s="21"/>
      <c r="AG287" s="11"/>
      <c r="AH287" s="12"/>
      <c r="AI287" s="11"/>
      <c r="AJ287" s="11"/>
    </row>
    <row r="288" spans="2:36" s="7" customFormat="1">
      <c r="B288" s="11"/>
      <c r="C288" s="23"/>
      <c r="D288"/>
      <c r="E288"/>
      <c r="F288"/>
      <c r="G288"/>
      <c r="H288"/>
      <c r="I288"/>
      <c r="J288"/>
      <c r="K288" s="21"/>
      <c r="L288" s="21"/>
      <c r="M288" s="21"/>
      <c r="AG288" s="11"/>
      <c r="AH288" s="12"/>
      <c r="AI288" s="11"/>
      <c r="AJ288" s="11"/>
    </row>
    <row r="289" spans="2:36" s="7" customFormat="1">
      <c r="B289" s="11"/>
      <c r="C289" s="23"/>
      <c r="D289"/>
      <c r="E289"/>
      <c r="F289"/>
      <c r="G289"/>
      <c r="H289"/>
      <c r="I289"/>
      <c r="J289"/>
      <c r="K289" s="21"/>
      <c r="L289" s="21"/>
      <c r="M289" s="21"/>
      <c r="AG289" s="11"/>
      <c r="AH289" s="12"/>
      <c r="AI289" s="11"/>
      <c r="AJ289" s="11"/>
    </row>
    <row r="290" spans="2:36" s="7" customFormat="1">
      <c r="B290" s="11"/>
      <c r="C290" s="23"/>
      <c r="D290"/>
      <c r="E290"/>
      <c r="F290"/>
      <c r="G290"/>
      <c r="H290"/>
      <c r="I290"/>
      <c r="J290"/>
      <c r="K290" s="21"/>
      <c r="L290" s="21"/>
      <c r="M290" s="21"/>
      <c r="AG290" s="11"/>
      <c r="AH290" s="12"/>
      <c r="AI290" s="11"/>
      <c r="AJ290" s="11"/>
    </row>
    <row r="291" spans="2:36" s="7" customFormat="1">
      <c r="B291" s="11"/>
      <c r="C291" s="23"/>
      <c r="D291"/>
      <c r="E291"/>
      <c r="F291"/>
      <c r="G291"/>
      <c r="H291"/>
      <c r="I291"/>
      <c r="J291"/>
      <c r="K291" s="21"/>
      <c r="L291" s="21"/>
      <c r="M291" s="21"/>
      <c r="AG291" s="11"/>
      <c r="AH291" s="12"/>
      <c r="AI291" s="11"/>
      <c r="AJ291" s="11"/>
    </row>
    <row r="292" spans="2:36" s="7" customFormat="1">
      <c r="B292" s="11"/>
      <c r="C292" s="23"/>
      <c r="D292"/>
      <c r="E292"/>
      <c r="F292"/>
      <c r="G292"/>
      <c r="H292"/>
      <c r="I292"/>
      <c r="J292"/>
      <c r="K292" s="21"/>
      <c r="L292" s="21"/>
      <c r="M292" s="21"/>
      <c r="AG292" s="11"/>
      <c r="AH292" s="12"/>
      <c r="AI292" s="11"/>
      <c r="AJ292" s="11"/>
    </row>
    <row r="293" spans="2:36" s="7" customFormat="1">
      <c r="B293" s="11"/>
      <c r="C293" s="23"/>
      <c r="D293"/>
      <c r="E293"/>
      <c r="F293"/>
      <c r="G293"/>
      <c r="H293"/>
      <c r="I293"/>
      <c r="J293"/>
      <c r="K293" s="21"/>
      <c r="L293" s="21"/>
      <c r="M293" s="21"/>
      <c r="AG293" s="11"/>
      <c r="AH293" s="12"/>
      <c r="AI293" s="11"/>
      <c r="AJ293" s="11"/>
    </row>
    <row r="294" spans="2:36" s="7" customFormat="1">
      <c r="B294" s="11"/>
      <c r="C294" s="23"/>
      <c r="D294"/>
      <c r="E294"/>
      <c r="F294"/>
      <c r="G294"/>
      <c r="H294"/>
      <c r="I294"/>
      <c r="J294"/>
      <c r="K294" s="21"/>
      <c r="L294" s="21"/>
      <c r="M294" s="21"/>
      <c r="AG294" s="11"/>
      <c r="AH294" s="12"/>
      <c r="AI294" s="11"/>
      <c r="AJ294" s="11"/>
    </row>
    <row r="295" spans="2:36" s="7" customFormat="1">
      <c r="B295" s="11"/>
      <c r="C295" s="23"/>
      <c r="D295"/>
      <c r="E295"/>
      <c r="F295"/>
      <c r="G295"/>
      <c r="H295"/>
      <c r="I295"/>
      <c r="J295"/>
      <c r="K295" s="21"/>
      <c r="L295" s="21"/>
      <c r="M295" s="21"/>
      <c r="AG295" s="11"/>
      <c r="AH295" s="12"/>
      <c r="AI295" s="11"/>
      <c r="AJ295" s="11"/>
    </row>
    <row r="296" spans="2:36" s="7" customFormat="1">
      <c r="B296" s="11"/>
      <c r="C296" s="23"/>
      <c r="D296"/>
      <c r="E296"/>
      <c r="F296"/>
      <c r="G296"/>
      <c r="H296"/>
      <c r="I296"/>
      <c r="J296"/>
      <c r="K296" s="21"/>
      <c r="L296" s="21"/>
      <c r="M296" s="21"/>
      <c r="AG296" s="11"/>
      <c r="AH296" s="12"/>
      <c r="AI296" s="11"/>
      <c r="AJ296" s="11"/>
    </row>
    <row r="297" spans="2:36" s="7" customFormat="1">
      <c r="B297" s="11"/>
      <c r="C297" s="23"/>
      <c r="D297"/>
      <c r="E297"/>
      <c r="F297"/>
      <c r="G297"/>
      <c r="H297"/>
      <c r="I297"/>
      <c r="J297"/>
      <c r="K297" s="21"/>
      <c r="L297" s="21"/>
      <c r="M297" s="21"/>
      <c r="AG297" s="11"/>
      <c r="AH297" s="12"/>
      <c r="AI297" s="11"/>
      <c r="AJ297" s="11"/>
    </row>
    <row r="298" spans="2:36" s="7" customFormat="1">
      <c r="B298" s="11"/>
      <c r="C298" s="23"/>
      <c r="D298"/>
      <c r="E298"/>
      <c r="F298"/>
      <c r="G298"/>
      <c r="H298"/>
      <c r="I298"/>
      <c r="J298"/>
      <c r="K298" s="21"/>
      <c r="L298" s="21"/>
      <c r="M298" s="21"/>
      <c r="AG298" s="11"/>
      <c r="AH298" s="12"/>
      <c r="AI298" s="11"/>
      <c r="AJ298" s="11"/>
    </row>
    <row r="299" spans="2:36" s="7" customFormat="1">
      <c r="B299" s="11"/>
      <c r="C299" s="23"/>
      <c r="D299"/>
      <c r="E299"/>
      <c r="F299"/>
      <c r="G299"/>
      <c r="H299"/>
      <c r="I299"/>
      <c r="J299"/>
      <c r="K299" s="21"/>
      <c r="L299" s="21"/>
      <c r="M299" s="21"/>
      <c r="AG299" s="11"/>
      <c r="AH299" s="12"/>
      <c r="AI299" s="11"/>
      <c r="AJ299" s="11"/>
    </row>
    <row r="300" spans="2:36" s="7" customFormat="1">
      <c r="B300" s="11"/>
      <c r="C300" s="23"/>
      <c r="D300"/>
      <c r="E300"/>
      <c r="F300"/>
      <c r="G300"/>
      <c r="H300"/>
      <c r="I300"/>
      <c r="J300"/>
      <c r="K300" s="21"/>
      <c r="L300" s="21"/>
      <c r="M300" s="21"/>
      <c r="AG300" s="11"/>
      <c r="AH300" s="12"/>
      <c r="AI300" s="11"/>
      <c r="AJ300" s="11"/>
    </row>
    <row r="301" spans="2:36" s="7" customFormat="1">
      <c r="B301" s="11"/>
      <c r="C301" s="23"/>
      <c r="D301"/>
      <c r="E301"/>
      <c r="F301"/>
      <c r="G301"/>
      <c r="H301"/>
      <c r="I301"/>
      <c r="J301"/>
      <c r="K301" s="21"/>
      <c r="L301" s="21"/>
      <c r="M301" s="21"/>
      <c r="AG301" s="11"/>
      <c r="AH301" s="12"/>
      <c r="AI301" s="11"/>
      <c r="AJ301" s="11"/>
    </row>
    <row r="302" spans="2:36" s="7" customFormat="1">
      <c r="B302" s="11"/>
      <c r="C302" s="23"/>
      <c r="D302"/>
      <c r="E302"/>
      <c r="F302"/>
      <c r="G302"/>
      <c r="H302"/>
      <c r="I302"/>
      <c r="J302"/>
      <c r="K302" s="21"/>
      <c r="L302" s="21"/>
      <c r="M302" s="21"/>
      <c r="AG302" s="11"/>
      <c r="AH302" s="12"/>
      <c r="AI302" s="11"/>
      <c r="AJ302" s="11"/>
    </row>
    <row r="303" spans="2:36" s="7" customFormat="1">
      <c r="B303" s="11"/>
      <c r="C303" s="23"/>
      <c r="D303"/>
      <c r="E303"/>
      <c r="F303"/>
      <c r="G303"/>
      <c r="H303"/>
      <c r="I303"/>
      <c r="J303"/>
      <c r="K303" s="21"/>
      <c r="L303" s="21"/>
      <c r="M303" s="21"/>
      <c r="AG303" s="11"/>
      <c r="AH303" s="12"/>
      <c r="AI303" s="11"/>
      <c r="AJ303" s="11"/>
    </row>
    <row r="304" spans="2:36" s="7" customFormat="1">
      <c r="B304" s="11"/>
      <c r="C304" s="23"/>
      <c r="D304"/>
      <c r="E304"/>
      <c r="F304"/>
      <c r="G304"/>
      <c r="H304"/>
      <c r="I304"/>
      <c r="J304"/>
      <c r="K304" s="21"/>
      <c r="L304" s="21"/>
      <c r="M304" s="21"/>
      <c r="AG304" s="11"/>
      <c r="AH304" s="12"/>
      <c r="AI304" s="11"/>
      <c r="AJ304" s="11"/>
    </row>
    <row r="305" spans="2:36" s="7" customFormat="1">
      <c r="B305" s="11"/>
      <c r="C305" s="23"/>
      <c r="D305"/>
      <c r="E305"/>
      <c r="F305"/>
      <c r="G305"/>
      <c r="H305"/>
      <c r="I305"/>
      <c r="J305"/>
      <c r="K305" s="21"/>
      <c r="L305" s="21"/>
      <c r="M305" s="21"/>
      <c r="AG305" s="11"/>
      <c r="AH305" s="12"/>
      <c r="AI305" s="11"/>
      <c r="AJ305" s="11"/>
    </row>
    <row r="306" spans="2:36" s="7" customFormat="1">
      <c r="B306" s="11"/>
      <c r="C306" s="23"/>
      <c r="D306"/>
      <c r="E306"/>
      <c r="F306"/>
      <c r="G306"/>
      <c r="H306"/>
      <c r="I306"/>
      <c r="J306"/>
      <c r="K306" s="21"/>
      <c r="L306" s="21"/>
      <c r="M306" s="21"/>
      <c r="AG306" s="11"/>
      <c r="AH306" s="12"/>
      <c r="AI306" s="11"/>
      <c r="AJ306" s="11"/>
    </row>
    <row r="307" spans="2:36" s="7" customFormat="1">
      <c r="B307" s="11"/>
      <c r="C307" s="23"/>
      <c r="D307"/>
      <c r="E307"/>
      <c r="F307"/>
      <c r="G307"/>
      <c r="H307"/>
      <c r="I307"/>
      <c r="J307"/>
      <c r="K307" s="21"/>
      <c r="L307" s="21"/>
      <c r="M307" s="21"/>
      <c r="AG307" s="11"/>
      <c r="AH307" s="12"/>
      <c r="AI307" s="11"/>
      <c r="AJ307" s="11"/>
    </row>
    <row r="308" spans="2:36" s="7" customFormat="1">
      <c r="B308" s="11"/>
      <c r="C308" s="23"/>
      <c r="D308"/>
      <c r="E308"/>
      <c r="F308"/>
      <c r="G308"/>
      <c r="H308"/>
      <c r="I308"/>
      <c r="J308"/>
      <c r="K308" s="21"/>
      <c r="L308" s="21"/>
      <c r="M308" s="21"/>
      <c r="AG308" s="11"/>
      <c r="AH308" s="12"/>
      <c r="AI308" s="11"/>
      <c r="AJ308" s="11"/>
    </row>
    <row r="309" spans="2:36" s="7" customFormat="1">
      <c r="B309" s="11"/>
      <c r="C309" s="23"/>
      <c r="D309"/>
      <c r="E309"/>
      <c r="F309"/>
      <c r="G309"/>
      <c r="H309"/>
      <c r="I309"/>
      <c r="J309"/>
      <c r="K309" s="21"/>
      <c r="L309" s="21"/>
      <c r="M309" s="21"/>
      <c r="AG309" s="11"/>
      <c r="AH309" s="12"/>
      <c r="AI309" s="11"/>
      <c r="AJ309" s="11"/>
    </row>
    <row r="310" spans="2:36" s="7" customFormat="1">
      <c r="B310" s="11"/>
      <c r="C310" s="23"/>
      <c r="D310"/>
      <c r="E310"/>
      <c r="F310"/>
      <c r="G310"/>
      <c r="H310"/>
      <c r="I310"/>
      <c r="J310"/>
      <c r="K310" s="21"/>
      <c r="L310" s="21"/>
      <c r="M310" s="21"/>
      <c r="AG310" s="11"/>
      <c r="AH310" s="12"/>
      <c r="AI310" s="11"/>
      <c r="AJ310" s="11"/>
    </row>
    <row r="311" spans="2:36" s="7" customFormat="1">
      <c r="B311" s="11"/>
      <c r="C311" s="23"/>
      <c r="D311"/>
      <c r="E311"/>
      <c r="F311"/>
      <c r="G311"/>
      <c r="H311"/>
      <c r="I311"/>
      <c r="J311"/>
      <c r="K311" s="21"/>
      <c r="L311" s="21"/>
      <c r="M311" s="21"/>
      <c r="AG311" s="11"/>
      <c r="AH311" s="12"/>
      <c r="AI311" s="11"/>
      <c r="AJ311" s="11"/>
    </row>
    <row r="312" spans="2:36" s="7" customFormat="1">
      <c r="B312" s="11"/>
      <c r="C312" s="23"/>
      <c r="D312"/>
      <c r="E312"/>
      <c r="F312"/>
      <c r="G312"/>
      <c r="H312"/>
      <c r="I312"/>
      <c r="J312"/>
      <c r="K312" s="26"/>
      <c r="L312" s="77"/>
      <c r="M312" s="21"/>
      <c r="AG312" s="11"/>
      <c r="AH312" s="12"/>
      <c r="AI312" s="11"/>
      <c r="AJ312" s="11"/>
    </row>
    <row r="313" spans="2:36" s="7" customFormat="1">
      <c r="B313" s="11"/>
      <c r="C313" s="23"/>
      <c r="D313"/>
      <c r="E313"/>
      <c r="F313"/>
      <c r="G313"/>
      <c r="H313"/>
      <c r="I313"/>
      <c r="J313"/>
      <c r="M313" s="21"/>
      <c r="AG313" s="11"/>
      <c r="AH313" s="12"/>
      <c r="AI313" s="11"/>
      <c r="AJ313" s="11"/>
    </row>
    <row r="314" spans="2:36" s="7" customFormat="1">
      <c r="B314" s="11"/>
      <c r="C314" s="23"/>
      <c r="D314"/>
      <c r="E314"/>
      <c r="F314"/>
      <c r="G314"/>
      <c r="H314"/>
      <c r="I314"/>
      <c r="J314"/>
      <c r="M314" s="21"/>
      <c r="AG314" s="11"/>
      <c r="AH314" s="12"/>
      <c r="AI314" s="11"/>
      <c r="AJ314" s="11"/>
    </row>
    <row r="315" spans="2:36" s="7" customFormat="1">
      <c r="B315" s="11"/>
      <c r="C315" s="23"/>
      <c r="D315"/>
      <c r="E315"/>
      <c r="F315"/>
      <c r="G315"/>
      <c r="H315"/>
      <c r="I315"/>
      <c r="J315"/>
      <c r="M315" s="21"/>
      <c r="AG315" s="11"/>
      <c r="AH315" s="12"/>
      <c r="AI315" s="11"/>
      <c r="AJ315" s="11"/>
    </row>
    <row r="316" spans="2:36" s="7" customFormat="1">
      <c r="B316" s="11"/>
      <c r="C316" s="23"/>
      <c r="D316"/>
      <c r="E316"/>
      <c r="F316"/>
      <c r="G316"/>
      <c r="H316"/>
      <c r="I316"/>
      <c r="J316"/>
      <c r="M316" s="21"/>
      <c r="AG316" s="11"/>
      <c r="AH316" s="12"/>
      <c r="AI316" s="11"/>
      <c r="AJ316" s="11"/>
    </row>
    <row r="317" spans="2:36" s="7" customFormat="1">
      <c r="B317" s="11"/>
      <c r="C317" s="23"/>
      <c r="D317"/>
      <c r="E317"/>
      <c r="F317"/>
      <c r="G317"/>
      <c r="H317"/>
      <c r="I317"/>
      <c r="J317"/>
      <c r="M317" s="21"/>
      <c r="AG317" s="11"/>
      <c r="AH317" s="12"/>
      <c r="AI317" s="11"/>
      <c r="AJ317" s="11"/>
    </row>
    <row r="318" spans="2:36" s="7" customFormat="1">
      <c r="B318" s="11"/>
      <c r="C318" s="23"/>
      <c r="D318"/>
      <c r="E318"/>
      <c r="F318"/>
      <c r="G318"/>
      <c r="H318"/>
      <c r="I318"/>
      <c r="J318"/>
      <c r="K318" s="21"/>
      <c r="L318" s="21"/>
      <c r="M318" s="21"/>
      <c r="AG318" s="11"/>
      <c r="AH318" s="12"/>
      <c r="AI318" s="11"/>
      <c r="AJ318" s="11"/>
    </row>
    <row r="319" spans="2:36" s="7" customFormat="1">
      <c r="B319" s="11"/>
      <c r="C319" s="23"/>
      <c r="D319"/>
      <c r="E319"/>
      <c r="F319"/>
      <c r="G319"/>
      <c r="H319"/>
      <c r="I319"/>
      <c r="J319"/>
      <c r="K319" s="21"/>
      <c r="L319" s="21"/>
      <c r="M319" s="21"/>
      <c r="AG319" s="11"/>
      <c r="AH319" s="12"/>
      <c r="AI319" s="11"/>
      <c r="AJ319" s="11"/>
    </row>
    <row r="320" spans="2:36" s="7" customFormat="1">
      <c r="B320" s="11"/>
      <c r="C320" s="23"/>
      <c r="D320"/>
      <c r="E320"/>
      <c r="F320"/>
      <c r="G320"/>
      <c r="H320"/>
      <c r="I320"/>
      <c r="J320"/>
      <c r="K320" s="21"/>
      <c r="L320" s="21"/>
      <c r="M320" s="21"/>
      <c r="AG320" s="11"/>
      <c r="AH320" s="12"/>
      <c r="AI320" s="11"/>
      <c r="AJ320" s="11"/>
    </row>
    <row r="321" spans="2:36" s="7" customFormat="1">
      <c r="B321" s="11"/>
      <c r="C321" s="23"/>
      <c r="D321"/>
      <c r="E321"/>
      <c r="F321"/>
      <c r="G321"/>
      <c r="H321"/>
      <c r="I321"/>
      <c r="J321"/>
      <c r="K321" s="21"/>
      <c r="L321" s="21"/>
      <c r="M321" s="21"/>
      <c r="AG321" s="11"/>
      <c r="AH321" s="12"/>
      <c r="AI321" s="11"/>
      <c r="AJ321" s="11"/>
    </row>
    <row r="322" spans="2:36" s="7" customFormat="1">
      <c r="B322" s="11"/>
      <c r="C322" s="23"/>
      <c r="D322"/>
      <c r="E322"/>
      <c r="F322"/>
      <c r="G322"/>
      <c r="H322"/>
      <c r="I322"/>
      <c r="J322"/>
      <c r="K322" s="21"/>
      <c r="L322" s="21"/>
      <c r="M322" s="21"/>
      <c r="AG322" s="11"/>
      <c r="AH322" s="12"/>
      <c r="AI322" s="11"/>
      <c r="AJ322" s="11"/>
    </row>
    <row r="323" spans="2:36" s="7" customFormat="1">
      <c r="B323" s="11"/>
      <c r="C323" s="23"/>
      <c r="D323"/>
      <c r="E323"/>
      <c r="F323"/>
      <c r="G323"/>
      <c r="H323"/>
      <c r="I323"/>
      <c r="J323"/>
      <c r="K323" s="21"/>
      <c r="L323" s="21"/>
      <c r="M323" s="21"/>
      <c r="AG323" s="11"/>
      <c r="AH323" s="12"/>
      <c r="AI323" s="11"/>
      <c r="AJ323" s="11"/>
    </row>
    <row r="324" spans="2:36" s="7" customFormat="1">
      <c r="B324" s="11"/>
      <c r="C324" s="23"/>
      <c r="D324"/>
      <c r="E324"/>
      <c r="F324"/>
      <c r="G324"/>
      <c r="H324"/>
      <c r="I324"/>
      <c r="J324"/>
      <c r="K324" s="21"/>
      <c r="L324" s="21"/>
      <c r="M324" s="21"/>
      <c r="AG324" s="11"/>
      <c r="AH324" s="12"/>
      <c r="AI324" s="11"/>
      <c r="AJ324" s="11"/>
    </row>
    <row r="325" spans="2:36" s="7" customFormat="1">
      <c r="B325" s="11"/>
      <c r="C325" s="23"/>
      <c r="D325"/>
      <c r="E325"/>
      <c r="F325"/>
      <c r="G325"/>
      <c r="H325"/>
      <c r="I325"/>
      <c r="J325"/>
      <c r="K325" s="21"/>
      <c r="L325" s="21"/>
      <c r="M325" s="21"/>
      <c r="AG325" s="11"/>
      <c r="AH325" s="12"/>
      <c r="AI325" s="11"/>
      <c r="AJ325" s="11"/>
    </row>
    <row r="326" spans="2:36" s="7" customFormat="1">
      <c r="B326" s="11"/>
      <c r="C326" s="23"/>
      <c r="D326"/>
      <c r="E326"/>
      <c r="F326"/>
      <c r="G326"/>
      <c r="H326"/>
      <c r="I326"/>
      <c r="J326"/>
      <c r="K326" s="21"/>
      <c r="L326" s="21"/>
      <c r="M326" s="21"/>
      <c r="AG326" s="11"/>
      <c r="AH326" s="12"/>
      <c r="AI326" s="11"/>
      <c r="AJ326" s="11"/>
    </row>
    <row r="327" spans="2:36" s="7" customFormat="1">
      <c r="B327" s="11"/>
      <c r="C327" s="23"/>
      <c r="D327"/>
      <c r="E327"/>
      <c r="F327"/>
      <c r="G327"/>
      <c r="H327"/>
      <c r="I327"/>
      <c r="J327"/>
      <c r="K327" s="21"/>
      <c r="L327" s="21"/>
      <c r="M327" s="21"/>
      <c r="AG327" s="11"/>
      <c r="AH327" s="12"/>
      <c r="AI327" s="11"/>
      <c r="AJ327" s="11"/>
    </row>
    <row r="328" spans="2:36" s="7" customFormat="1">
      <c r="B328" s="11"/>
      <c r="C328" s="23"/>
      <c r="D328"/>
      <c r="E328"/>
      <c r="F328"/>
      <c r="G328"/>
      <c r="H328"/>
      <c r="I328"/>
      <c r="J328"/>
      <c r="K328" s="21"/>
      <c r="L328" s="21"/>
      <c r="M328" s="21"/>
      <c r="AG328" s="11"/>
      <c r="AH328" s="12"/>
      <c r="AI328" s="11"/>
      <c r="AJ328" s="11"/>
    </row>
    <row r="329" spans="2:36" s="7" customFormat="1">
      <c r="B329" s="11"/>
      <c r="C329" s="23"/>
      <c r="D329"/>
      <c r="E329"/>
      <c r="F329"/>
      <c r="G329"/>
      <c r="H329"/>
      <c r="I329"/>
      <c r="J329"/>
      <c r="K329" s="21"/>
      <c r="L329" s="21"/>
      <c r="M329" s="21"/>
      <c r="AG329" s="11"/>
      <c r="AH329" s="12"/>
      <c r="AI329" s="11"/>
      <c r="AJ329" s="11"/>
    </row>
    <row r="330" spans="2:36" s="7" customFormat="1">
      <c r="B330" s="11"/>
      <c r="C330" s="23"/>
      <c r="D330"/>
      <c r="E330"/>
      <c r="F330"/>
      <c r="G330"/>
      <c r="H330"/>
      <c r="I330"/>
      <c r="J330"/>
      <c r="K330" s="21"/>
      <c r="L330" s="21"/>
      <c r="M330" s="21"/>
      <c r="AG330" s="11"/>
      <c r="AH330" s="12"/>
      <c r="AI330" s="11"/>
      <c r="AJ330" s="11"/>
    </row>
    <row r="331" spans="2:36" s="7" customFormat="1">
      <c r="B331" s="11"/>
      <c r="C331" s="23"/>
      <c r="D331"/>
      <c r="E331"/>
      <c r="F331"/>
      <c r="G331"/>
      <c r="H331"/>
      <c r="I331"/>
      <c r="J331"/>
      <c r="K331" s="21"/>
      <c r="L331" s="21"/>
      <c r="M331" s="21"/>
      <c r="AG331" s="11"/>
      <c r="AH331" s="12"/>
      <c r="AI331" s="11"/>
      <c r="AJ331" s="11"/>
    </row>
    <row r="332" spans="2:36" s="7" customFormat="1">
      <c r="B332" s="11"/>
      <c r="C332" s="23"/>
      <c r="D332"/>
      <c r="E332"/>
      <c r="F332"/>
      <c r="G332"/>
      <c r="H332"/>
      <c r="I332"/>
      <c r="J332"/>
      <c r="K332" s="21"/>
      <c r="L332" s="21"/>
      <c r="M332" s="21"/>
      <c r="AG332" s="11"/>
      <c r="AH332" s="12"/>
      <c r="AI332" s="11"/>
      <c r="AJ332" s="11"/>
    </row>
    <row r="333" spans="2:36" s="7" customFormat="1">
      <c r="B333" s="11"/>
      <c r="C333" s="23"/>
      <c r="D333"/>
      <c r="E333"/>
      <c r="F333"/>
      <c r="G333"/>
      <c r="H333"/>
      <c r="I333"/>
      <c r="J333"/>
      <c r="K333" s="21"/>
      <c r="L333" s="21"/>
      <c r="M333" s="21"/>
      <c r="AG333" s="11"/>
      <c r="AH333" s="12"/>
      <c r="AI333" s="11"/>
      <c r="AJ333" s="11"/>
    </row>
    <row r="334" spans="2:36" s="7" customFormat="1">
      <c r="B334" s="11"/>
      <c r="C334" s="23"/>
      <c r="D334"/>
      <c r="E334"/>
      <c r="F334"/>
      <c r="G334"/>
      <c r="H334"/>
      <c r="I334"/>
      <c r="J334"/>
      <c r="K334" s="21"/>
      <c r="L334" s="21"/>
      <c r="M334" s="21"/>
      <c r="AG334" s="11"/>
      <c r="AH334" s="12"/>
      <c r="AI334" s="11"/>
      <c r="AJ334" s="11"/>
    </row>
    <row r="335" spans="2:36" s="7" customFormat="1">
      <c r="B335" s="11"/>
      <c r="C335" s="23"/>
      <c r="D335"/>
      <c r="E335"/>
      <c r="F335"/>
      <c r="G335"/>
      <c r="H335"/>
      <c r="I335"/>
      <c r="J335"/>
      <c r="K335" s="21"/>
      <c r="L335" s="21"/>
      <c r="M335" s="21"/>
      <c r="AG335" s="11"/>
      <c r="AH335" s="12"/>
      <c r="AI335" s="11"/>
      <c r="AJ335" s="11"/>
    </row>
    <row r="336" spans="2:36" s="7" customFormat="1">
      <c r="B336" s="11"/>
      <c r="C336" s="23"/>
      <c r="D336"/>
      <c r="E336"/>
      <c r="F336"/>
      <c r="G336"/>
      <c r="H336"/>
      <c r="I336"/>
      <c r="J336"/>
      <c r="K336" s="21"/>
      <c r="L336" s="21"/>
      <c r="M336" s="21"/>
      <c r="AG336" s="11"/>
      <c r="AH336" s="12"/>
      <c r="AI336" s="11"/>
      <c r="AJ336" s="11"/>
    </row>
    <row r="337" spans="2:36" s="7" customFormat="1">
      <c r="B337" s="11"/>
      <c r="C337" s="23"/>
      <c r="D337"/>
      <c r="E337"/>
      <c r="F337"/>
      <c r="G337"/>
      <c r="H337"/>
      <c r="I337"/>
      <c r="J337"/>
      <c r="K337" s="21"/>
      <c r="L337" s="21"/>
      <c r="M337" s="21"/>
      <c r="AG337" s="11"/>
      <c r="AH337" s="12"/>
      <c r="AI337" s="11"/>
      <c r="AJ337" s="11"/>
    </row>
    <row r="338" spans="2:36" s="7" customFormat="1">
      <c r="B338" s="11"/>
      <c r="C338" s="23"/>
      <c r="D338"/>
      <c r="E338"/>
      <c r="F338"/>
      <c r="G338"/>
      <c r="H338"/>
      <c r="I338"/>
      <c r="J338"/>
      <c r="K338" s="21"/>
      <c r="L338" s="21"/>
      <c r="M338" s="21"/>
      <c r="AG338" s="11"/>
      <c r="AH338" s="12"/>
      <c r="AI338" s="11"/>
      <c r="AJ338" s="11"/>
    </row>
    <row r="339" spans="2:36" s="7" customFormat="1">
      <c r="B339" s="11"/>
      <c r="C339" s="23"/>
      <c r="D339"/>
      <c r="E339"/>
      <c r="F339"/>
      <c r="G339"/>
      <c r="H339"/>
      <c r="I339"/>
      <c r="J339"/>
      <c r="K339" s="21"/>
      <c r="L339" s="21"/>
      <c r="M339" s="21"/>
      <c r="AG339" s="11"/>
      <c r="AH339" s="12"/>
      <c r="AI339" s="11"/>
      <c r="AJ339" s="11"/>
    </row>
    <row r="340" spans="2:36" s="7" customFormat="1">
      <c r="B340" s="11"/>
      <c r="C340" s="23"/>
      <c r="D340"/>
      <c r="E340"/>
      <c r="F340"/>
      <c r="G340"/>
      <c r="H340"/>
      <c r="I340"/>
      <c r="J340"/>
      <c r="K340" s="21"/>
      <c r="L340" s="21"/>
      <c r="M340" s="21"/>
      <c r="AG340" s="11"/>
      <c r="AH340" s="12"/>
      <c r="AI340" s="11"/>
      <c r="AJ340" s="11"/>
    </row>
    <row r="341" spans="2:36" s="7" customFormat="1">
      <c r="B341" s="11"/>
      <c r="C341" s="23"/>
      <c r="D341"/>
      <c r="E341"/>
      <c r="F341"/>
      <c r="G341"/>
      <c r="H341"/>
      <c r="I341"/>
      <c r="J341"/>
      <c r="K341" s="21"/>
      <c r="L341" s="21"/>
      <c r="M341" s="21"/>
      <c r="AG341" s="11"/>
      <c r="AH341" s="12"/>
      <c r="AI341" s="11"/>
      <c r="AJ341" s="11"/>
    </row>
    <row r="342" spans="2:36" s="7" customFormat="1">
      <c r="B342" s="11"/>
      <c r="C342" s="23"/>
      <c r="D342"/>
      <c r="E342"/>
      <c r="F342"/>
      <c r="G342"/>
      <c r="H342"/>
      <c r="I342"/>
      <c r="J342"/>
      <c r="K342" s="26"/>
      <c r="L342" s="77"/>
      <c r="M342" s="21"/>
      <c r="AG342" s="11"/>
      <c r="AH342" s="12"/>
      <c r="AI342" s="11"/>
      <c r="AJ342" s="11"/>
    </row>
    <row r="343" spans="2:36" s="7" customFormat="1">
      <c r="B343" s="11"/>
      <c r="C343" s="23"/>
      <c r="D343"/>
      <c r="E343"/>
      <c r="F343"/>
      <c r="G343"/>
      <c r="H343"/>
      <c r="I343"/>
      <c r="J343"/>
      <c r="M343" s="21"/>
      <c r="AG343" s="11"/>
      <c r="AH343" s="12"/>
      <c r="AI343" s="11"/>
      <c r="AJ343" s="11"/>
    </row>
    <row r="344" spans="2:36" s="7" customFormat="1">
      <c r="B344" s="11"/>
      <c r="C344" s="23"/>
      <c r="D344"/>
      <c r="E344"/>
      <c r="F344"/>
      <c r="G344"/>
      <c r="H344"/>
      <c r="I344"/>
      <c r="J344"/>
      <c r="M344" s="21"/>
      <c r="AG344" s="11"/>
      <c r="AH344" s="12"/>
      <c r="AI344" s="11"/>
      <c r="AJ344" s="11"/>
    </row>
    <row r="345" spans="2:36" s="7" customFormat="1">
      <c r="B345" s="11"/>
      <c r="C345" s="23"/>
      <c r="D345"/>
      <c r="E345"/>
      <c r="F345"/>
      <c r="G345"/>
      <c r="H345"/>
      <c r="I345"/>
      <c r="J345"/>
      <c r="M345" s="21"/>
      <c r="AG345" s="11"/>
      <c r="AH345" s="12"/>
      <c r="AI345" s="11"/>
      <c r="AJ345" s="11"/>
    </row>
    <row r="346" spans="2:36" s="7" customFormat="1">
      <c r="B346" s="11"/>
      <c r="C346" s="23"/>
      <c r="D346"/>
      <c r="E346"/>
      <c r="F346"/>
      <c r="G346"/>
      <c r="H346"/>
      <c r="I346"/>
      <c r="J346"/>
      <c r="M346" s="21"/>
      <c r="AG346" s="11"/>
      <c r="AH346" s="12"/>
      <c r="AI346" s="11"/>
      <c r="AJ346" s="11"/>
    </row>
    <row r="347" spans="2:36" s="7" customFormat="1">
      <c r="B347" s="11"/>
      <c r="C347" s="23"/>
      <c r="D347"/>
      <c r="E347"/>
      <c r="F347"/>
      <c r="G347"/>
      <c r="H347"/>
      <c r="I347"/>
      <c r="J347"/>
      <c r="M347" s="21"/>
      <c r="AG347" s="11"/>
      <c r="AH347" s="12"/>
      <c r="AI347" s="11"/>
      <c r="AJ347" s="11"/>
    </row>
    <row r="348" spans="2:36" s="7" customFormat="1">
      <c r="B348" s="11"/>
      <c r="C348" s="23"/>
      <c r="D348"/>
      <c r="E348"/>
      <c r="F348"/>
      <c r="G348"/>
      <c r="H348"/>
      <c r="I348"/>
      <c r="J348"/>
      <c r="K348" s="21"/>
      <c r="L348" s="21"/>
      <c r="M348" s="21"/>
      <c r="AG348" s="11"/>
      <c r="AH348" s="12"/>
      <c r="AI348" s="11"/>
      <c r="AJ348" s="11"/>
    </row>
    <row r="349" spans="2:36" s="7" customFormat="1">
      <c r="B349" s="11"/>
      <c r="C349" s="23"/>
      <c r="D349"/>
      <c r="E349"/>
      <c r="F349"/>
      <c r="G349"/>
      <c r="H349"/>
      <c r="I349"/>
      <c r="J349"/>
      <c r="K349" s="21"/>
      <c r="L349" s="21"/>
      <c r="M349" s="21"/>
      <c r="AG349" s="11"/>
      <c r="AH349" s="12"/>
      <c r="AI349" s="11"/>
      <c r="AJ349" s="11"/>
    </row>
    <row r="350" spans="2:36" s="7" customFormat="1">
      <c r="B350" s="11"/>
      <c r="C350" s="23"/>
      <c r="D350"/>
      <c r="E350"/>
      <c r="F350"/>
      <c r="G350"/>
      <c r="H350"/>
      <c r="I350"/>
      <c r="J350"/>
      <c r="K350" s="21"/>
      <c r="L350" s="21"/>
      <c r="M350" s="21"/>
      <c r="AG350" s="11"/>
      <c r="AH350" s="12"/>
      <c r="AI350" s="11"/>
      <c r="AJ350" s="11"/>
    </row>
    <row r="351" spans="2:36" s="7" customFormat="1">
      <c r="B351" s="11"/>
      <c r="C351" s="23"/>
      <c r="D351"/>
      <c r="E351"/>
      <c r="F351"/>
      <c r="G351"/>
      <c r="H351"/>
      <c r="I351"/>
      <c r="J351"/>
      <c r="K351" s="21"/>
      <c r="L351" s="21"/>
      <c r="M351" s="21"/>
      <c r="AG351" s="11"/>
      <c r="AH351" s="12"/>
      <c r="AI351" s="11"/>
      <c r="AJ351" s="11"/>
    </row>
    <row r="352" spans="2:36" s="7" customFormat="1">
      <c r="B352" s="11"/>
      <c r="C352" s="23"/>
      <c r="D352"/>
      <c r="E352"/>
      <c r="F352"/>
      <c r="G352"/>
      <c r="H352"/>
      <c r="I352"/>
      <c r="J352"/>
      <c r="K352" s="21"/>
      <c r="L352" s="21"/>
      <c r="M352" s="21"/>
      <c r="AG352" s="11"/>
      <c r="AH352" s="12"/>
      <c r="AI352" s="11"/>
      <c r="AJ352" s="11"/>
    </row>
    <row r="353" spans="2:36" s="7" customFormat="1">
      <c r="B353" s="11"/>
      <c r="C353" s="23"/>
      <c r="D353"/>
      <c r="E353"/>
      <c r="F353"/>
      <c r="G353"/>
      <c r="H353"/>
      <c r="I353"/>
      <c r="J353"/>
      <c r="K353" s="21"/>
      <c r="L353" s="21"/>
      <c r="M353" s="21"/>
      <c r="AG353" s="11"/>
      <c r="AH353" s="12"/>
      <c r="AI353" s="11"/>
      <c r="AJ353" s="11"/>
    </row>
    <row r="354" spans="2:36" s="7" customFormat="1">
      <c r="B354" s="11"/>
      <c r="C354" s="23"/>
      <c r="D354"/>
      <c r="E354"/>
      <c r="F354"/>
      <c r="G354"/>
      <c r="H354"/>
      <c r="I354"/>
      <c r="J354"/>
      <c r="K354" s="21"/>
      <c r="L354" s="21"/>
      <c r="M354" s="21"/>
      <c r="AG354" s="11"/>
      <c r="AH354" s="12"/>
      <c r="AI354" s="11"/>
      <c r="AJ354" s="11"/>
    </row>
    <row r="355" spans="2:36" s="7" customFormat="1">
      <c r="B355" s="11"/>
      <c r="C355" s="23"/>
      <c r="D355"/>
      <c r="E355"/>
      <c r="F355"/>
      <c r="G355"/>
      <c r="H355"/>
      <c r="I355"/>
      <c r="J355"/>
      <c r="K355" s="21"/>
      <c r="L355" s="21"/>
      <c r="M355" s="21"/>
      <c r="AG355" s="11"/>
      <c r="AH355" s="12"/>
      <c r="AI355" s="11"/>
      <c r="AJ355" s="11"/>
    </row>
    <row r="356" spans="2:36" s="7" customFormat="1">
      <c r="B356" s="11"/>
      <c r="C356" s="23"/>
      <c r="D356"/>
      <c r="E356"/>
      <c r="F356"/>
      <c r="G356"/>
      <c r="H356"/>
      <c r="I356"/>
      <c r="J356"/>
      <c r="K356" s="21"/>
      <c r="L356" s="21"/>
      <c r="M356" s="21"/>
      <c r="AG356" s="11"/>
      <c r="AH356" s="12"/>
      <c r="AI356" s="11"/>
      <c r="AJ356" s="11"/>
    </row>
    <row r="357" spans="2:36" s="7" customFormat="1">
      <c r="B357" s="11"/>
      <c r="C357" s="23"/>
      <c r="D357"/>
      <c r="E357"/>
      <c r="F357"/>
      <c r="G357"/>
      <c r="H357"/>
      <c r="I357"/>
      <c r="J357"/>
      <c r="K357" s="21"/>
      <c r="L357" s="21"/>
      <c r="M357" s="21"/>
      <c r="AG357" s="11"/>
      <c r="AH357" s="12"/>
      <c r="AI357" s="11"/>
      <c r="AJ357" s="11"/>
    </row>
    <row r="358" spans="2:36" s="7" customFormat="1">
      <c r="B358" s="11"/>
      <c r="C358" s="23"/>
      <c r="D358"/>
      <c r="E358"/>
      <c r="F358"/>
      <c r="G358"/>
      <c r="H358"/>
      <c r="I358"/>
      <c r="J358"/>
      <c r="K358" s="21"/>
      <c r="L358" s="21"/>
      <c r="M358" s="21"/>
      <c r="AG358" s="11"/>
      <c r="AH358" s="12"/>
      <c r="AI358" s="11"/>
      <c r="AJ358" s="11"/>
    </row>
    <row r="359" spans="2:36" s="7" customFormat="1">
      <c r="B359" s="11"/>
      <c r="C359" s="23"/>
      <c r="D359"/>
      <c r="E359"/>
      <c r="F359"/>
      <c r="G359"/>
      <c r="H359"/>
      <c r="I359"/>
      <c r="J359"/>
      <c r="K359" s="21"/>
      <c r="L359" s="21"/>
      <c r="M359" s="21"/>
      <c r="AG359" s="11"/>
      <c r="AH359" s="12"/>
      <c r="AI359" s="11"/>
      <c r="AJ359" s="11"/>
    </row>
    <row r="360" spans="2:36" s="7" customFormat="1">
      <c r="B360" s="11"/>
      <c r="C360" s="23"/>
      <c r="D360"/>
      <c r="E360"/>
      <c r="F360"/>
      <c r="G360"/>
      <c r="H360"/>
      <c r="I360"/>
      <c r="J360"/>
      <c r="K360" s="21"/>
      <c r="L360" s="21"/>
      <c r="M360" s="21"/>
      <c r="AG360" s="11"/>
      <c r="AH360" s="12"/>
      <c r="AI360" s="11"/>
      <c r="AJ360" s="11"/>
    </row>
    <row r="361" spans="2:36" s="7" customFormat="1">
      <c r="B361" s="11"/>
      <c r="C361" s="23"/>
      <c r="D361"/>
      <c r="E361"/>
      <c r="F361"/>
      <c r="G361"/>
      <c r="H361"/>
      <c r="I361"/>
      <c r="J361"/>
      <c r="K361" s="21"/>
      <c r="L361" s="21"/>
      <c r="M361" s="21"/>
      <c r="AG361" s="11"/>
      <c r="AH361" s="12"/>
      <c r="AI361" s="11"/>
      <c r="AJ361" s="11"/>
    </row>
    <row r="362" spans="2:36" s="7" customFormat="1">
      <c r="B362" s="11"/>
      <c r="C362" s="23"/>
      <c r="D362"/>
      <c r="E362"/>
      <c r="F362"/>
      <c r="G362"/>
      <c r="H362"/>
      <c r="I362"/>
      <c r="J362"/>
      <c r="K362" s="21"/>
      <c r="L362" s="21"/>
      <c r="M362" s="21"/>
      <c r="AG362" s="11"/>
      <c r="AH362" s="12"/>
      <c r="AI362" s="11"/>
      <c r="AJ362" s="11"/>
    </row>
    <row r="363" spans="2:36" s="7" customFormat="1">
      <c r="B363" s="11"/>
      <c r="C363" s="23"/>
      <c r="D363"/>
      <c r="E363"/>
      <c r="F363"/>
      <c r="G363"/>
      <c r="H363"/>
      <c r="I363"/>
      <c r="J363"/>
      <c r="K363" s="21"/>
      <c r="L363" s="21"/>
      <c r="M363" s="21"/>
      <c r="AG363" s="11"/>
      <c r="AH363" s="12"/>
      <c r="AI363" s="11"/>
      <c r="AJ363" s="11"/>
    </row>
    <row r="364" spans="2:36" s="7" customFormat="1">
      <c r="B364" s="11"/>
      <c r="C364" s="23"/>
      <c r="D364"/>
      <c r="E364"/>
      <c r="F364"/>
      <c r="G364"/>
      <c r="H364"/>
      <c r="I364"/>
      <c r="J364"/>
      <c r="K364" s="21"/>
      <c r="L364" s="21"/>
      <c r="M364" s="21"/>
      <c r="AG364" s="11"/>
      <c r="AH364" s="12"/>
      <c r="AI364" s="11"/>
      <c r="AJ364" s="11"/>
    </row>
    <row r="365" spans="2:36" s="7" customFormat="1">
      <c r="B365" s="11"/>
      <c r="C365" s="23"/>
      <c r="D365"/>
      <c r="E365"/>
      <c r="F365"/>
      <c r="G365"/>
      <c r="H365"/>
      <c r="I365"/>
      <c r="J365"/>
      <c r="K365" s="21"/>
      <c r="L365" s="21"/>
      <c r="M365" s="21"/>
      <c r="AG365" s="11"/>
      <c r="AH365" s="12"/>
      <c r="AI365" s="11"/>
      <c r="AJ365" s="11"/>
    </row>
    <row r="366" spans="2:36" s="7" customFormat="1">
      <c r="B366" s="11"/>
      <c r="C366" s="23"/>
      <c r="D366"/>
      <c r="E366"/>
      <c r="F366"/>
      <c r="G366"/>
      <c r="H366"/>
      <c r="I366"/>
      <c r="J366"/>
      <c r="K366" s="21"/>
      <c r="L366" s="21"/>
      <c r="M366" s="21"/>
      <c r="AG366" s="11"/>
      <c r="AH366" s="12"/>
      <c r="AI366" s="11"/>
      <c r="AJ366" s="11"/>
    </row>
    <row r="367" spans="2:36" s="7" customFormat="1">
      <c r="B367" s="11"/>
      <c r="C367" s="23"/>
      <c r="D367"/>
      <c r="E367"/>
      <c r="F367"/>
      <c r="G367"/>
      <c r="H367"/>
      <c r="I367"/>
      <c r="J367"/>
      <c r="K367" s="21"/>
      <c r="L367" s="21"/>
      <c r="M367" s="21"/>
      <c r="AG367" s="11"/>
      <c r="AH367" s="12"/>
      <c r="AI367" s="11"/>
      <c r="AJ367" s="11"/>
    </row>
    <row r="368" spans="2:36" s="7" customFormat="1">
      <c r="B368" s="11"/>
      <c r="C368" s="23"/>
      <c r="D368"/>
      <c r="E368"/>
      <c r="F368"/>
      <c r="G368"/>
      <c r="H368"/>
      <c r="I368"/>
      <c r="J368"/>
      <c r="K368" s="21"/>
      <c r="L368" s="21"/>
      <c r="M368" s="21"/>
      <c r="AG368" s="11"/>
      <c r="AH368" s="12"/>
      <c r="AI368" s="11"/>
      <c r="AJ368" s="11"/>
    </row>
    <row r="369" spans="2:36" s="7" customFormat="1">
      <c r="B369" s="11"/>
      <c r="C369" s="23"/>
      <c r="D369"/>
      <c r="E369"/>
      <c r="F369"/>
      <c r="G369"/>
      <c r="H369"/>
      <c r="I369"/>
      <c r="J369"/>
      <c r="K369" s="21"/>
      <c r="L369" s="21"/>
      <c r="M369" s="21"/>
      <c r="AG369" s="11"/>
      <c r="AH369" s="12"/>
      <c r="AI369" s="11"/>
      <c r="AJ369" s="11"/>
    </row>
    <row r="370" spans="2:36" s="7" customFormat="1">
      <c r="B370" s="11"/>
      <c r="C370" s="23"/>
      <c r="D370"/>
      <c r="E370"/>
      <c r="F370"/>
      <c r="G370"/>
      <c r="H370"/>
      <c r="I370"/>
      <c r="J370"/>
      <c r="K370" s="21"/>
      <c r="L370" s="21"/>
      <c r="M370" s="21"/>
      <c r="AG370" s="11"/>
      <c r="AH370" s="12"/>
      <c r="AI370" s="11"/>
      <c r="AJ370" s="11"/>
    </row>
    <row r="371" spans="2:36" s="7" customFormat="1">
      <c r="B371" s="11"/>
      <c r="C371" s="23"/>
      <c r="D371"/>
      <c r="E371"/>
      <c r="F371"/>
      <c r="G371"/>
      <c r="H371"/>
      <c r="I371"/>
      <c r="J371"/>
      <c r="K371" s="21"/>
      <c r="L371" s="21"/>
      <c r="M371" s="21"/>
      <c r="AG371" s="11"/>
      <c r="AH371" s="12"/>
      <c r="AI371" s="11"/>
      <c r="AJ371" s="11"/>
    </row>
    <row r="372" spans="2:36" s="7" customFormat="1">
      <c r="B372" s="11"/>
      <c r="C372" s="23"/>
      <c r="D372"/>
      <c r="E372"/>
      <c r="F372"/>
      <c r="G372"/>
      <c r="H372"/>
      <c r="I372"/>
      <c r="J372"/>
      <c r="K372" s="26"/>
      <c r="L372" s="77"/>
      <c r="M372" s="21"/>
      <c r="AG372" s="11"/>
      <c r="AH372" s="12"/>
      <c r="AI372" s="11"/>
      <c r="AJ372" s="11"/>
    </row>
    <row r="373" spans="2:36" s="7" customFormat="1">
      <c r="B373" s="11"/>
      <c r="C373" s="23"/>
      <c r="D373"/>
      <c r="E373"/>
      <c r="F373"/>
      <c r="G373"/>
      <c r="H373"/>
      <c r="I373"/>
      <c r="J373"/>
      <c r="M373" s="21"/>
      <c r="AG373" s="11"/>
      <c r="AH373" s="12"/>
      <c r="AI373" s="11"/>
      <c r="AJ373" s="11"/>
    </row>
    <row r="374" spans="2:36" s="7" customFormat="1">
      <c r="B374" s="11"/>
      <c r="C374" s="23"/>
      <c r="D374"/>
      <c r="E374"/>
      <c r="F374"/>
      <c r="G374"/>
      <c r="H374"/>
      <c r="I374"/>
      <c r="J374"/>
      <c r="M374" s="21"/>
      <c r="AG374" s="11"/>
      <c r="AH374" s="12"/>
      <c r="AI374" s="11"/>
      <c r="AJ374" s="11"/>
    </row>
    <row r="375" spans="2:36" s="7" customFormat="1">
      <c r="B375" s="11"/>
      <c r="C375" s="23"/>
      <c r="D375"/>
      <c r="E375"/>
      <c r="F375"/>
      <c r="G375"/>
      <c r="H375"/>
      <c r="I375"/>
      <c r="J375"/>
      <c r="M375" s="21"/>
      <c r="AG375" s="11"/>
      <c r="AH375" s="12"/>
      <c r="AI375" s="11"/>
      <c r="AJ375" s="11"/>
    </row>
    <row r="376" spans="2:36" s="7" customFormat="1">
      <c r="B376" s="11"/>
      <c r="C376" s="23"/>
      <c r="D376"/>
      <c r="E376"/>
      <c r="F376"/>
      <c r="G376"/>
      <c r="H376"/>
      <c r="I376"/>
      <c r="J376"/>
      <c r="M376" s="21"/>
      <c r="AG376" s="11"/>
      <c r="AH376" s="12"/>
      <c r="AI376" s="11"/>
      <c r="AJ376" s="11"/>
    </row>
    <row r="377" spans="2:36" s="7" customFormat="1">
      <c r="B377" s="11"/>
      <c r="C377" s="23"/>
      <c r="D377"/>
      <c r="E377"/>
      <c r="F377"/>
      <c r="G377"/>
      <c r="H377"/>
      <c r="I377"/>
      <c r="J377"/>
      <c r="M377" s="21"/>
      <c r="AG377" s="11"/>
      <c r="AH377" s="12"/>
      <c r="AI377" s="11"/>
      <c r="AJ377" s="11"/>
    </row>
    <row r="378" spans="2:36" s="7" customFormat="1">
      <c r="B378" s="11"/>
      <c r="C378" s="23"/>
      <c r="D378"/>
      <c r="E378"/>
      <c r="F378"/>
      <c r="G378"/>
      <c r="H378"/>
      <c r="I378"/>
      <c r="J378"/>
      <c r="K378" s="21"/>
      <c r="L378" s="21"/>
      <c r="M378" s="21"/>
      <c r="AG378" s="11"/>
      <c r="AH378" s="12"/>
      <c r="AI378" s="11"/>
      <c r="AJ378" s="11"/>
    </row>
    <row r="379" spans="2:36" s="7" customFormat="1">
      <c r="B379" s="11"/>
      <c r="C379" s="23"/>
      <c r="D379"/>
      <c r="E379"/>
      <c r="F379"/>
      <c r="G379"/>
      <c r="H379"/>
      <c r="I379"/>
      <c r="J379"/>
      <c r="K379" s="21"/>
      <c r="L379" s="21"/>
      <c r="M379" s="21"/>
      <c r="AG379" s="11"/>
      <c r="AH379" s="12"/>
      <c r="AI379" s="11"/>
      <c r="AJ379" s="11"/>
    </row>
    <row r="380" spans="2:36" s="7" customFormat="1">
      <c r="B380" s="11"/>
      <c r="C380" s="23"/>
      <c r="D380"/>
      <c r="E380"/>
      <c r="F380"/>
      <c r="G380"/>
      <c r="H380"/>
      <c r="I380"/>
      <c r="J380"/>
      <c r="K380" s="21"/>
      <c r="L380" s="21"/>
      <c r="M380" s="21"/>
      <c r="AG380" s="11"/>
      <c r="AH380" s="12"/>
      <c r="AI380" s="11"/>
      <c r="AJ380" s="11"/>
    </row>
    <row r="381" spans="2:36" s="7" customFormat="1">
      <c r="B381" s="11"/>
      <c r="C381" s="23"/>
      <c r="D381"/>
      <c r="E381"/>
      <c r="F381"/>
      <c r="G381"/>
      <c r="H381"/>
      <c r="I381"/>
      <c r="J381"/>
      <c r="K381" s="21"/>
      <c r="L381" s="21"/>
      <c r="M381" s="21"/>
      <c r="AG381" s="11"/>
      <c r="AH381" s="12"/>
      <c r="AI381" s="11"/>
      <c r="AJ381" s="11"/>
    </row>
    <row r="382" spans="2:36" s="7" customFormat="1">
      <c r="B382" s="11"/>
      <c r="C382" s="23"/>
      <c r="D382"/>
      <c r="E382"/>
      <c r="F382"/>
      <c r="G382"/>
      <c r="H382"/>
      <c r="I382"/>
      <c r="J382"/>
      <c r="K382" s="21"/>
      <c r="L382" s="21"/>
      <c r="M382" s="21"/>
      <c r="AG382" s="11"/>
      <c r="AH382" s="12"/>
      <c r="AI382" s="11"/>
      <c r="AJ382" s="11"/>
    </row>
    <row r="383" spans="2:36" s="7" customFormat="1">
      <c r="B383" s="11"/>
      <c r="C383" s="23"/>
      <c r="D383"/>
      <c r="E383"/>
      <c r="F383"/>
      <c r="G383"/>
      <c r="H383"/>
      <c r="I383"/>
      <c r="J383"/>
      <c r="K383" s="21"/>
      <c r="L383" s="21"/>
      <c r="M383" s="21"/>
      <c r="AG383" s="11"/>
      <c r="AH383" s="12"/>
      <c r="AI383" s="11"/>
      <c r="AJ383" s="11"/>
    </row>
    <row r="384" spans="2:36" s="7" customFormat="1">
      <c r="B384" s="11"/>
      <c r="C384" s="23"/>
      <c r="D384"/>
      <c r="E384"/>
      <c r="F384"/>
      <c r="G384"/>
      <c r="H384"/>
      <c r="I384"/>
      <c r="J384"/>
      <c r="K384" s="21"/>
      <c r="L384" s="21"/>
      <c r="M384" s="21"/>
      <c r="AG384" s="11"/>
      <c r="AH384" s="12"/>
      <c r="AI384" s="11"/>
      <c r="AJ384" s="11"/>
    </row>
    <row r="385" spans="2:36" s="7" customFormat="1">
      <c r="B385" s="11"/>
      <c r="C385" s="23"/>
      <c r="D385"/>
      <c r="E385"/>
      <c r="F385"/>
      <c r="G385"/>
      <c r="H385"/>
      <c r="I385"/>
      <c r="J385"/>
      <c r="K385" s="21"/>
      <c r="L385" s="21"/>
      <c r="M385" s="21"/>
      <c r="AG385" s="11"/>
      <c r="AH385" s="12"/>
      <c r="AI385" s="11"/>
      <c r="AJ385" s="11"/>
    </row>
    <row r="386" spans="2:36" s="7" customFormat="1">
      <c r="B386" s="11"/>
      <c r="C386" s="23"/>
      <c r="D386"/>
      <c r="E386"/>
      <c r="F386"/>
      <c r="G386"/>
      <c r="H386"/>
      <c r="I386"/>
      <c r="J386"/>
      <c r="K386" s="21"/>
      <c r="L386" s="21"/>
      <c r="M386" s="21"/>
      <c r="AG386" s="11"/>
      <c r="AH386" s="12"/>
      <c r="AI386" s="11"/>
      <c r="AJ386" s="11"/>
    </row>
    <row r="387" spans="2:36" s="7" customFormat="1">
      <c r="B387" s="11"/>
      <c r="C387" s="23"/>
      <c r="D387"/>
      <c r="E387"/>
      <c r="F387"/>
      <c r="G387"/>
      <c r="H387"/>
      <c r="I387"/>
      <c r="J387"/>
      <c r="K387" s="21"/>
      <c r="L387" s="21"/>
      <c r="M387" s="21"/>
      <c r="AG387" s="11"/>
      <c r="AH387" s="12"/>
      <c r="AI387" s="11"/>
      <c r="AJ387" s="11"/>
    </row>
    <row r="388" spans="2:36" s="7" customFormat="1">
      <c r="B388" s="11"/>
      <c r="C388" s="23"/>
      <c r="D388"/>
      <c r="E388"/>
      <c r="F388"/>
      <c r="G388"/>
      <c r="H388"/>
      <c r="I388"/>
      <c r="J388"/>
      <c r="K388" s="21"/>
      <c r="L388" s="21"/>
      <c r="M388" s="21"/>
      <c r="AG388" s="11"/>
      <c r="AH388" s="12"/>
      <c r="AI388" s="11"/>
      <c r="AJ388" s="11"/>
    </row>
    <row r="389" spans="2:36" s="7" customFormat="1">
      <c r="B389" s="11"/>
      <c r="C389" s="23"/>
      <c r="D389"/>
      <c r="E389"/>
      <c r="F389"/>
      <c r="G389"/>
      <c r="H389"/>
      <c r="I389"/>
      <c r="J389"/>
      <c r="K389" s="21"/>
      <c r="L389" s="21"/>
      <c r="M389" s="21"/>
      <c r="AG389" s="11"/>
      <c r="AH389" s="12"/>
      <c r="AI389" s="11"/>
      <c r="AJ389" s="11"/>
    </row>
    <row r="390" spans="2:36" s="7" customFormat="1">
      <c r="B390" s="11"/>
      <c r="C390" s="23"/>
      <c r="D390"/>
      <c r="E390"/>
      <c r="F390"/>
      <c r="G390"/>
      <c r="H390"/>
      <c r="I390"/>
      <c r="J390"/>
      <c r="K390" s="21"/>
      <c r="L390" s="21"/>
      <c r="M390" s="21"/>
      <c r="AG390" s="11"/>
      <c r="AH390" s="12"/>
      <c r="AI390" s="11"/>
      <c r="AJ390" s="11"/>
    </row>
    <row r="391" spans="2:36" s="7" customFormat="1">
      <c r="B391" s="11"/>
      <c r="C391" s="23"/>
      <c r="D391"/>
      <c r="E391"/>
      <c r="F391"/>
      <c r="G391"/>
      <c r="H391"/>
      <c r="I391"/>
      <c r="J391"/>
      <c r="K391" s="21"/>
      <c r="L391" s="21"/>
      <c r="M391" s="21"/>
      <c r="AG391" s="11"/>
      <c r="AH391" s="12"/>
      <c r="AI391" s="11"/>
      <c r="AJ391" s="11"/>
    </row>
    <row r="392" spans="2:36" s="7" customFormat="1">
      <c r="B392" s="11"/>
      <c r="C392" s="23"/>
      <c r="D392"/>
      <c r="E392"/>
      <c r="F392"/>
      <c r="G392"/>
      <c r="H392"/>
      <c r="I392"/>
      <c r="J392"/>
      <c r="K392" s="21"/>
      <c r="L392" s="21"/>
      <c r="M392" s="21"/>
      <c r="AG392" s="11"/>
      <c r="AH392" s="12"/>
      <c r="AI392" s="11"/>
      <c r="AJ392" s="11"/>
    </row>
    <row r="393" spans="2:36" s="7" customFormat="1">
      <c r="B393" s="11"/>
      <c r="C393" s="23"/>
      <c r="D393"/>
      <c r="E393"/>
      <c r="F393"/>
      <c r="G393"/>
      <c r="H393"/>
      <c r="I393"/>
      <c r="J393"/>
      <c r="K393" s="21"/>
      <c r="L393" s="21"/>
      <c r="M393" s="21"/>
      <c r="AG393" s="11"/>
      <c r="AH393" s="12"/>
      <c r="AI393" s="11"/>
      <c r="AJ393" s="11"/>
    </row>
    <row r="394" spans="2:36" s="7" customFormat="1">
      <c r="B394" s="11"/>
      <c r="C394" s="23"/>
      <c r="D394"/>
      <c r="E394"/>
      <c r="F394"/>
      <c r="G394"/>
      <c r="H394"/>
      <c r="I394"/>
      <c r="J394"/>
      <c r="K394" s="21"/>
      <c r="L394" s="21"/>
      <c r="M394" s="21"/>
      <c r="AG394" s="11"/>
      <c r="AH394" s="12"/>
      <c r="AI394" s="11"/>
      <c r="AJ394" s="11"/>
    </row>
    <row r="395" spans="2:36" s="7" customFormat="1">
      <c r="B395" s="11"/>
      <c r="C395" s="23"/>
      <c r="D395"/>
      <c r="E395"/>
      <c r="F395"/>
      <c r="G395"/>
      <c r="H395"/>
      <c r="I395"/>
      <c r="J395"/>
      <c r="K395" s="21"/>
      <c r="L395" s="21"/>
      <c r="M395" s="21"/>
      <c r="AG395" s="11"/>
      <c r="AH395" s="12"/>
      <c r="AI395" s="11"/>
      <c r="AJ395" s="11"/>
    </row>
    <row r="396" spans="2:36" s="7" customFormat="1">
      <c r="B396" s="11"/>
      <c r="C396" s="23"/>
      <c r="D396"/>
      <c r="E396"/>
      <c r="F396"/>
      <c r="G396"/>
      <c r="H396"/>
      <c r="I396"/>
      <c r="J396"/>
      <c r="K396" s="21"/>
      <c r="L396" s="21"/>
      <c r="M396" s="21"/>
      <c r="AG396" s="11"/>
      <c r="AH396" s="12"/>
      <c r="AI396" s="11"/>
      <c r="AJ396" s="11"/>
    </row>
    <row r="397" spans="2:36" s="7" customFormat="1">
      <c r="B397" s="11"/>
      <c r="C397" s="23"/>
      <c r="D397"/>
      <c r="E397"/>
      <c r="F397"/>
      <c r="G397"/>
      <c r="H397"/>
      <c r="I397"/>
      <c r="J397"/>
      <c r="K397" s="21"/>
      <c r="L397" s="21"/>
      <c r="M397" s="21"/>
      <c r="AG397" s="11"/>
      <c r="AH397" s="12"/>
      <c r="AI397" s="11"/>
      <c r="AJ397" s="11"/>
    </row>
    <row r="398" spans="2:36" s="7" customFormat="1">
      <c r="B398" s="11"/>
      <c r="C398" s="23"/>
      <c r="D398"/>
      <c r="E398"/>
      <c r="F398"/>
      <c r="G398"/>
      <c r="H398"/>
      <c r="I398"/>
      <c r="J398"/>
      <c r="K398" s="21"/>
      <c r="L398" s="21"/>
      <c r="M398" s="21"/>
      <c r="AG398" s="11"/>
      <c r="AH398" s="12"/>
      <c r="AI398" s="11"/>
      <c r="AJ398" s="11"/>
    </row>
    <row r="399" spans="2:36" s="7" customFormat="1">
      <c r="B399" s="11"/>
      <c r="C399" s="23"/>
      <c r="D399"/>
      <c r="E399"/>
      <c r="F399"/>
      <c r="G399"/>
      <c r="H399"/>
      <c r="I399"/>
      <c r="J399"/>
      <c r="K399" s="21"/>
      <c r="L399" s="21"/>
      <c r="M399" s="21"/>
      <c r="AG399" s="11"/>
      <c r="AH399" s="12"/>
      <c r="AI399" s="11"/>
      <c r="AJ399" s="11"/>
    </row>
    <row r="400" spans="2:36" s="7" customFormat="1">
      <c r="B400" s="11"/>
      <c r="C400" s="23"/>
      <c r="D400"/>
      <c r="E400"/>
      <c r="F400"/>
      <c r="G400"/>
      <c r="H400"/>
      <c r="I400"/>
      <c r="J400"/>
      <c r="K400" s="21"/>
      <c r="L400" s="21"/>
      <c r="M400" s="21"/>
      <c r="AG400" s="11"/>
      <c r="AH400" s="12"/>
      <c r="AI400" s="11"/>
      <c r="AJ400" s="11"/>
    </row>
    <row r="401" spans="2:36" s="7" customFormat="1">
      <c r="B401" s="11"/>
      <c r="C401" s="23"/>
      <c r="D401"/>
      <c r="E401"/>
      <c r="F401"/>
      <c r="G401"/>
      <c r="H401"/>
      <c r="I401"/>
      <c r="J401"/>
      <c r="K401" s="21"/>
      <c r="L401" s="21"/>
      <c r="M401" s="21"/>
      <c r="AG401" s="11"/>
      <c r="AH401" s="12"/>
      <c r="AI401" s="11"/>
      <c r="AJ401" s="11"/>
    </row>
    <row r="402" spans="2:36" s="7" customFormat="1">
      <c r="B402" s="11"/>
      <c r="C402" s="23"/>
      <c r="D402"/>
      <c r="E402"/>
      <c r="F402"/>
      <c r="G402"/>
      <c r="H402"/>
      <c r="I402"/>
      <c r="J402"/>
      <c r="K402" s="26"/>
      <c r="L402" s="77"/>
      <c r="M402" s="21"/>
      <c r="AG402" s="11"/>
      <c r="AH402" s="12"/>
      <c r="AI402" s="11"/>
      <c r="AJ402" s="11"/>
    </row>
    <row r="403" spans="2:36" s="7" customFormat="1">
      <c r="B403" s="11"/>
      <c r="C403" s="23"/>
      <c r="D403"/>
      <c r="E403"/>
      <c r="F403"/>
      <c r="G403"/>
      <c r="H403"/>
      <c r="I403"/>
      <c r="J403"/>
      <c r="M403" s="21"/>
      <c r="AG403" s="11"/>
      <c r="AH403" s="12"/>
      <c r="AI403" s="11"/>
      <c r="AJ403" s="11"/>
    </row>
    <row r="404" spans="2:36" s="7" customFormat="1">
      <c r="B404" s="11"/>
      <c r="C404" s="23"/>
      <c r="D404"/>
      <c r="E404"/>
      <c r="F404"/>
      <c r="G404"/>
      <c r="H404"/>
      <c r="I404"/>
      <c r="J404"/>
      <c r="M404" s="21"/>
      <c r="AG404" s="11"/>
      <c r="AH404" s="12"/>
      <c r="AI404" s="11"/>
      <c r="AJ404" s="11"/>
    </row>
    <row r="405" spans="2:36" s="7" customFormat="1">
      <c r="B405" s="11"/>
      <c r="C405" s="23"/>
      <c r="D405"/>
      <c r="E405"/>
      <c r="F405"/>
      <c r="G405"/>
      <c r="H405"/>
      <c r="I405"/>
      <c r="J405"/>
      <c r="M405" s="21"/>
      <c r="AG405" s="11"/>
      <c r="AH405" s="12"/>
      <c r="AI405" s="11"/>
      <c r="AJ405" s="11"/>
    </row>
    <row r="406" spans="2:36" s="7" customFormat="1">
      <c r="B406" s="11"/>
      <c r="C406" s="23"/>
      <c r="D406"/>
      <c r="E406"/>
      <c r="F406"/>
      <c r="G406"/>
      <c r="H406"/>
      <c r="I406"/>
      <c r="J406"/>
      <c r="M406" s="21"/>
      <c r="AG406" s="11"/>
      <c r="AH406" s="12"/>
      <c r="AI406" s="11"/>
      <c r="AJ406" s="11"/>
    </row>
    <row r="407" spans="2:36" s="7" customFormat="1">
      <c r="B407" s="11"/>
      <c r="C407" s="23"/>
      <c r="D407"/>
      <c r="E407"/>
      <c r="F407"/>
      <c r="G407"/>
      <c r="H407"/>
      <c r="I407"/>
      <c r="J407"/>
      <c r="M407" s="21"/>
      <c r="AG407" s="11"/>
      <c r="AH407" s="12"/>
      <c r="AI407" s="11"/>
      <c r="AJ407" s="11"/>
    </row>
    <row r="408" spans="2:36" s="7" customFormat="1">
      <c r="B408" s="11"/>
      <c r="C408" s="23"/>
      <c r="D408"/>
      <c r="E408"/>
      <c r="F408"/>
      <c r="G408"/>
      <c r="H408"/>
      <c r="I408"/>
      <c r="J408"/>
      <c r="K408" s="21"/>
      <c r="L408" s="21"/>
      <c r="M408" s="11"/>
      <c r="AG408" s="11"/>
      <c r="AH408" s="12"/>
      <c r="AI408" s="11"/>
      <c r="AJ408" s="11"/>
    </row>
    <row r="409" spans="2:36" s="7" customFormat="1">
      <c r="B409" s="11"/>
      <c r="C409" s="23"/>
      <c r="D409"/>
      <c r="E409"/>
      <c r="F409"/>
      <c r="G409"/>
      <c r="H409"/>
      <c r="I409"/>
      <c r="J409"/>
      <c r="K409" s="21"/>
      <c r="L409" s="21"/>
      <c r="M409" s="11"/>
      <c r="AG409" s="11"/>
      <c r="AH409" s="12"/>
      <c r="AI409" s="11"/>
      <c r="AJ409" s="11"/>
    </row>
    <row r="410" spans="2:36" s="7" customFormat="1">
      <c r="B410" s="11"/>
      <c r="C410" s="23"/>
      <c r="D410"/>
      <c r="E410"/>
      <c r="F410"/>
      <c r="G410"/>
      <c r="H410"/>
      <c r="I410"/>
      <c r="J410"/>
      <c r="K410" s="21"/>
      <c r="L410" s="21"/>
      <c r="M410" s="11"/>
      <c r="AG410" s="11"/>
      <c r="AH410" s="12"/>
      <c r="AI410" s="11"/>
      <c r="AJ410" s="11"/>
    </row>
    <row r="411" spans="2:36" s="7" customFormat="1">
      <c r="B411" s="11"/>
      <c r="C411" s="23"/>
      <c r="D411"/>
      <c r="E411"/>
      <c r="F411"/>
      <c r="G411"/>
      <c r="H411"/>
      <c r="I411"/>
      <c r="J411"/>
      <c r="K411" s="21"/>
      <c r="L411" s="21"/>
      <c r="M411" s="11"/>
      <c r="AG411" s="11"/>
      <c r="AH411" s="12"/>
      <c r="AI411" s="11"/>
      <c r="AJ411" s="11"/>
    </row>
    <row r="412" spans="2:36" s="7" customFormat="1">
      <c r="B412" s="11"/>
      <c r="C412" s="23"/>
      <c r="D412"/>
      <c r="E412"/>
      <c r="F412"/>
      <c r="G412"/>
      <c r="H412"/>
      <c r="I412"/>
      <c r="J412"/>
      <c r="K412" s="21"/>
      <c r="L412" s="21"/>
      <c r="M412" s="11"/>
      <c r="AG412" s="11"/>
      <c r="AH412" s="12"/>
      <c r="AI412" s="11"/>
      <c r="AJ412" s="11"/>
    </row>
    <row r="413" spans="2:36" s="7" customFormat="1">
      <c r="B413" s="11"/>
      <c r="C413" s="23"/>
      <c r="D413"/>
      <c r="E413"/>
      <c r="F413"/>
      <c r="G413"/>
      <c r="H413"/>
      <c r="I413"/>
      <c r="J413"/>
      <c r="K413" s="21"/>
      <c r="L413" s="21"/>
      <c r="M413" s="11"/>
      <c r="AG413" s="11"/>
      <c r="AH413" s="12"/>
      <c r="AI413" s="11"/>
      <c r="AJ413" s="11"/>
    </row>
    <row r="414" spans="2:36" s="7" customFormat="1">
      <c r="B414" s="11"/>
      <c r="C414" s="23"/>
      <c r="D414"/>
      <c r="E414"/>
      <c r="F414"/>
      <c r="G414"/>
      <c r="H414"/>
      <c r="I414"/>
      <c r="J414"/>
      <c r="K414" s="21"/>
      <c r="L414" s="21"/>
      <c r="M414" s="11"/>
      <c r="AG414" s="11"/>
      <c r="AH414" s="12"/>
      <c r="AI414" s="11"/>
      <c r="AJ414" s="11"/>
    </row>
    <row r="415" spans="2:36" s="7" customFormat="1">
      <c r="B415" s="11"/>
      <c r="C415" s="23"/>
      <c r="D415"/>
      <c r="E415"/>
      <c r="F415"/>
      <c r="G415"/>
      <c r="H415"/>
      <c r="I415"/>
      <c r="J415"/>
      <c r="K415" s="21"/>
      <c r="L415" s="21"/>
      <c r="M415" s="11"/>
      <c r="AG415" s="11"/>
      <c r="AH415" s="12"/>
      <c r="AI415" s="11"/>
      <c r="AJ415" s="11"/>
    </row>
    <row r="416" spans="2:36" s="7" customFormat="1">
      <c r="B416" s="11"/>
      <c r="C416" s="23"/>
      <c r="D416"/>
      <c r="E416"/>
      <c r="F416"/>
      <c r="G416"/>
      <c r="H416"/>
      <c r="I416"/>
      <c r="J416"/>
      <c r="K416" s="21"/>
      <c r="L416" s="21"/>
      <c r="M416" s="11"/>
      <c r="AG416" s="11"/>
      <c r="AH416" s="12"/>
      <c r="AI416" s="11"/>
      <c r="AJ416" s="11"/>
    </row>
    <row r="417" spans="2:36" s="7" customFormat="1">
      <c r="B417" s="11"/>
      <c r="C417" s="23"/>
      <c r="D417"/>
      <c r="E417"/>
      <c r="F417"/>
      <c r="G417"/>
      <c r="H417"/>
      <c r="I417"/>
      <c r="J417"/>
      <c r="K417" s="21"/>
      <c r="L417" s="21"/>
      <c r="M417" s="11"/>
      <c r="AG417" s="11"/>
      <c r="AH417" s="12"/>
      <c r="AI417" s="11"/>
      <c r="AJ417" s="11"/>
    </row>
    <row r="418" spans="2:36" s="7" customFormat="1">
      <c r="B418" s="11"/>
      <c r="C418" s="23"/>
      <c r="D418"/>
      <c r="E418"/>
      <c r="F418"/>
      <c r="G418"/>
      <c r="H418"/>
      <c r="I418"/>
      <c r="J418"/>
      <c r="K418" s="21"/>
      <c r="L418" s="21"/>
      <c r="M418" s="11"/>
      <c r="AG418" s="11"/>
      <c r="AH418" s="12"/>
      <c r="AI418" s="11"/>
      <c r="AJ418" s="11"/>
    </row>
    <row r="419" spans="2:36" s="7" customFormat="1">
      <c r="B419" s="11"/>
      <c r="C419" s="23"/>
      <c r="D419"/>
      <c r="E419"/>
      <c r="F419"/>
      <c r="G419"/>
      <c r="H419"/>
      <c r="I419"/>
      <c r="J419"/>
      <c r="K419" s="21"/>
      <c r="L419" s="21"/>
      <c r="M419" s="11"/>
      <c r="AG419" s="11"/>
      <c r="AH419" s="12"/>
      <c r="AI419" s="11"/>
      <c r="AJ419" s="11"/>
    </row>
    <row r="420" spans="2:36" s="7" customFormat="1">
      <c r="B420" s="11"/>
      <c r="C420" s="23"/>
      <c r="D420"/>
      <c r="E420"/>
      <c r="F420"/>
      <c r="G420"/>
      <c r="H420"/>
      <c r="I420"/>
      <c r="J420"/>
      <c r="K420" s="21"/>
      <c r="L420" s="21"/>
      <c r="M420" s="11"/>
      <c r="AG420" s="11"/>
      <c r="AH420" s="12"/>
      <c r="AI420" s="11"/>
      <c r="AJ420" s="11"/>
    </row>
    <row r="421" spans="2:36" s="7" customFormat="1">
      <c r="B421" s="11"/>
      <c r="C421" s="23"/>
      <c r="D421"/>
      <c r="E421"/>
      <c r="F421"/>
      <c r="G421"/>
      <c r="H421"/>
      <c r="I421"/>
      <c r="J421"/>
      <c r="K421" s="21"/>
      <c r="L421" s="21"/>
      <c r="M421" s="11"/>
      <c r="AG421" s="11"/>
      <c r="AH421" s="12"/>
      <c r="AI421" s="11"/>
      <c r="AJ421" s="11"/>
    </row>
    <row r="422" spans="2:36" s="7" customFormat="1">
      <c r="B422" s="11"/>
      <c r="C422" s="23"/>
      <c r="D422"/>
      <c r="E422"/>
      <c r="F422"/>
      <c r="G422"/>
      <c r="H422"/>
      <c r="I422"/>
      <c r="J422"/>
      <c r="K422" s="21"/>
      <c r="L422" s="21"/>
      <c r="M422" s="11"/>
      <c r="AG422" s="11"/>
      <c r="AH422" s="12"/>
      <c r="AI422" s="11"/>
      <c r="AJ422" s="11"/>
    </row>
    <row r="423" spans="2:36" s="7" customFormat="1">
      <c r="B423" s="11"/>
      <c r="C423" s="23"/>
      <c r="D423"/>
      <c r="E423"/>
      <c r="F423"/>
      <c r="G423"/>
      <c r="H423"/>
      <c r="I423"/>
      <c r="J423"/>
      <c r="K423" s="21"/>
      <c r="L423" s="21"/>
      <c r="M423" s="11"/>
      <c r="AG423" s="11"/>
      <c r="AH423" s="12"/>
      <c r="AI423" s="11"/>
      <c r="AJ423" s="11"/>
    </row>
    <row r="424" spans="2:36" s="7" customFormat="1">
      <c r="B424" s="11"/>
      <c r="C424" s="23"/>
      <c r="D424"/>
      <c r="E424"/>
      <c r="F424"/>
      <c r="G424"/>
      <c r="H424"/>
      <c r="I424"/>
      <c r="J424"/>
      <c r="K424" s="21"/>
      <c r="L424" s="21"/>
      <c r="M424" s="11"/>
      <c r="AG424" s="11"/>
      <c r="AH424" s="12"/>
      <c r="AI424" s="11"/>
      <c r="AJ424" s="11"/>
    </row>
    <row r="425" spans="2:36" s="7" customFormat="1">
      <c r="B425" s="11"/>
      <c r="C425" s="23"/>
      <c r="D425"/>
      <c r="E425"/>
      <c r="F425"/>
      <c r="G425"/>
      <c r="H425"/>
      <c r="I425"/>
      <c r="J425"/>
      <c r="K425" s="21"/>
      <c r="L425" s="21"/>
      <c r="M425" s="11"/>
      <c r="AG425" s="11"/>
      <c r="AH425" s="12"/>
      <c r="AI425" s="11"/>
      <c r="AJ425" s="11"/>
    </row>
    <row r="426" spans="2:36" s="7" customFormat="1">
      <c r="B426" s="11"/>
      <c r="C426" s="23"/>
      <c r="D426"/>
      <c r="E426"/>
      <c r="F426"/>
      <c r="G426"/>
      <c r="H426"/>
      <c r="I426"/>
      <c r="J426"/>
      <c r="K426" s="21"/>
      <c r="L426" s="21"/>
      <c r="M426" s="11"/>
      <c r="AG426" s="11"/>
      <c r="AH426" s="12"/>
      <c r="AI426" s="11"/>
      <c r="AJ426" s="11"/>
    </row>
    <row r="427" spans="2:36" s="7" customFormat="1">
      <c r="B427" s="11"/>
      <c r="C427" s="23"/>
      <c r="D427"/>
      <c r="E427"/>
      <c r="F427"/>
      <c r="G427"/>
      <c r="H427"/>
      <c r="I427"/>
      <c r="J427"/>
      <c r="K427" s="21"/>
      <c r="L427" s="21"/>
      <c r="M427" s="11"/>
      <c r="AG427" s="11"/>
      <c r="AH427" s="12"/>
      <c r="AI427" s="11"/>
      <c r="AJ427" s="11"/>
    </row>
    <row r="428" spans="2:36" s="7" customFormat="1">
      <c r="B428" s="11"/>
      <c r="C428" s="23"/>
      <c r="D428"/>
      <c r="E428"/>
      <c r="F428"/>
      <c r="G428"/>
      <c r="H428"/>
      <c r="I428"/>
      <c r="J428"/>
      <c r="K428" s="21"/>
      <c r="L428" s="21"/>
      <c r="M428" s="11"/>
      <c r="AG428" s="11"/>
      <c r="AH428" s="12"/>
      <c r="AI428" s="11"/>
      <c r="AJ428" s="11"/>
    </row>
    <row r="429" spans="2:36" s="7" customFormat="1">
      <c r="B429" s="11"/>
      <c r="C429" s="23"/>
      <c r="D429"/>
      <c r="E429"/>
      <c r="F429"/>
      <c r="G429"/>
      <c r="H429"/>
      <c r="I429"/>
      <c r="J429"/>
      <c r="K429" s="21"/>
      <c r="L429" s="21"/>
      <c r="M429" s="11"/>
      <c r="AG429" s="11"/>
      <c r="AH429" s="12"/>
      <c r="AI429" s="11"/>
      <c r="AJ429" s="11"/>
    </row>
    <row r="430" spans="2:36" s="7" customFormat="1">
      <c r="B430" s="11"/>
      <c r="C430" s="23"/>
      <c r="D430"/>
      <c r="E430"/>
      <c r="F430"/>
      <c r="G430"/>
      <c r="H430"/>
      <c r="I430"/>
      <c r="J430"/>
      <c r="K430" s="21"/>
      <c r="L430" s="21"/>
      <c r="M430" s="11"/>
      <c r="AG430" s="11"/>
      <c r="AH430" s="12"/>
      <c r="AI430" s="11"/>
      <c r="AJ430" s="11"/>
    </row>
    <row r="431" spans="2:36" s="7" customFormat="1">
      <c r="B431" s="11"/>
      <c r="C431" s="23"/>
      <c r="D431"/>
      <c r="E431"/>
      <c r="F431"/>
      <c r="G431"/>
      <c r="H431"/>
      <c r="I431"/>
      <c r="J431"/>
      <c r="K431" s="21"/>
      <c r="L431" s="21"/>
      <c r="M431" s="11"/>
      <c r="AG431" s="11"/>
      <c r="AH431" s="12"/>
      <c r="AI431" s="11"/>
      <c r="AJ431" s="11"/>
    </row>
    <row r="432" spans="2:36" s="7" customFormat="1">
      <c r="B432" s="11"/>
      <c r="C432" s="23"/>
      <c r="D432"/>
      <c r="E432"/>
      <c r="F432"/>
      <c r="G432"/>
      <c r="H432"/>
      <c r="I432"/>
      <c r="J432"/>
      <c r="K432" s="26"/>
      <c r="L432" s="77"/>
      <c r="M432" s="11"/>
      <c r="AG432" s="11"/>
      <c r="AH432" s="12"/>
      <c r="AI432" s="11"/>
      <c r="AJ432" s="11"/>
    </row>
    <row r="433" spans="2:36" s="7" customFormat="1">
      <c r="B433" s="11"/>
      <c r="C433" s="23"/>
      <c r="D433"/>
      <c r="E433"/>
      <c r="F433"/>
      <c r="G433"/>
      <c r="H433"/>
      <c r="I433"/>
      <c r="J433"/>
      <c r="M433" s="11"/>
      <c r="AG433" s="11"/>
      <c r="AH433" s="12"/>
      <c r="AI433" s="11"/>
      <c r="AJ433" s="11"/>
    </row>
    <row r="434" spans="2:36" s="7" customFormat="1">
      <c r="B434" s="11"/>
      <c r="C434" s="23"/>
      <c r="D434"/>
      <c r="E434"/>
      <c r="F434"/>
      <c r="G434"/>
      <c r="H434"/>
      <c r="I434"/>
      <c r="J434"/>
      <c r="M434" s="11"/>
      <c r="AG434" s="11"/>
      <c r="AH434" s="12"/>
      <c r="AI434" s="11"/>
      <c r="AJ434" s="11"/>
    </row>
    <row r="435" spans="2:36" s="7" customFormat="1">
      <c r="B435" s="11"/>
      <c r="C435" s="23"/>
      <c r="D435"/>
      <c r="E435"/>
      <c r="F435"/>
      <c r="G435"/>
      <c r="H435"/>
      <c r="I435"/>
      <c r="J435"/>
      <c r="M435" s="11"/>
      <c r="AG435" s="11"/>
      <c r="AH435" s="12"/>
      <c r="AI435" s="11"/>
      <c r="AJ435" s="11"/>
    </row>
    <row r="436" spans="2:36" s="7" customFormat="1">
      <c r="B436" s="11"/>
      <c r="C436" s="23"/>
      <c r="D436"/>
      <c r="E436"/>
      <c r="F436"/>
      <c r="G436"/>
      <c r="H436"/>
      <c r="I436"/>
      <c r="J436"/>
      <c r="M436" s="11"/>
      <c r="AG436" s="11"/>
      <c r="AH436" s="12"/>
      <c r="AI436" s="11"/>
      <c r="AJ436" s="11"/>
    </row>
    <row r="437" spans="2:36" s="7" customFormat="1">
      <c r="B437" s="11"/>
      <c r="C437" s="23"/>
      <c r="D437"/>
      <c r="E437"/>
      <c r="F437"/>
      <c r="G437"/>
      <c r="H437"/>
      <c r="I437"/>
      <c r="J437"/>
      <c r="M437" s="11"/>
      <c r="AG437" s="11"/>
      <c r="AH437" s="12"/>
      <c r="AI437" s="11"/>
      <c r="AJ437" s="11"/>
    </row>
    <row r="438" spans="2:36" s="7" customFormat="1">
      <c r="B438" s="11"/>
      <c r="C438" s="23"/>
      <c r="D438"/>
      <c r="E438"/>
      <c r="F438"/>
      <c r="G438"/>
      <c r="H438"/>
      <c r="I438"/>
      <c r="J438"/>
      <c r="K438" s="21"/>
      <c r="L438" s="21"/>
      <c r="M438" s="21"/>
      <c r="AG438" s="11"/>
      <c r="AH438" s="12"/>
      <c r="AI438" s="11"/>
      <c r="AJ438" s="11"/>
    </row>
    <row r="439" spans="2:36" s="7" customFormat="1">
      <c r="B439" s="11"/>
      <c r="C439" s="23"/>
      <c r="D439"/>
      <c r="E439"/>
      <c r="F439"/>
      <c r="G439"/>
      <c r="H439"/>
      <c r="I439"/>
      <c r="J439"/>
      <c r="K439" s="21"/>
      <c r="L439" s="21"/>
      <c r="M439" s="21"/>
      <c r="AG439" s="11"/>
      <c r="AH439" s="12"/>
      <c r="AI439" s="11"/>
      <c r="AJ439" s="11"/>
    </row>
    <row r="440" spans="2:36" s="7" customFormat="1">
      <c r="B440" s="11"/>
      <c r="C440" s="23"/>
      <c r="D440"/>
      <c r="E440"/>
      <c r="F440"/>
      <c r="G440"/>
      <c r="H440"/>
      <c r="I440"/>
      <c r="J440"/>
      <c r="K440" s="21"/>
      <c r="L440" s="21"/>
      <c r="M440" s="21"/>
      <c r="AG440" s="11"/>
      <c r="AH440" s="12"/>
      <c r="AI440" s="11"/>
      <c r="AJ440" s="11"/>
    </row>
    <row r="441" spans="2:36" s="7" customFormat="1">
      <c r="B441" s="11"/>
      <c r="C441" s="23"/>
      <c r="D441"/>
      <c r="E441"/>
      <c r="F441"/>
      <c r="G441"/>
      <c r="H441"/>
      <c r="I441"/>
      <c r="J441"/>
      <c r="K441" s="21"/>
      <c r="L441" s="21"/>
      <c r="M441" s="21"/>
      <c r="AG441" s="11"/>
      <c r="AH441" s="12"/>
      <c r="AI441" s="11"/>
      <c r="AJ441" s="11"/>
    </row>
    <row r="442" spans="2:36" s="7" customFormat="1">
      <c r="B442" s="11"/>
      <c r="C442" s="23"/>
      <c r="D442"/>
      <c r="E442"/>
      <c r="F442"/>
      <c r="G442"/>
      <c r="H442"/>
      <c r="I442"/>
      <c r="J442"/>
      <c r="K442" s="21"/>
      <c r="L442" s="21"/>
      <c r="M442" s="21"/>
      <c r="AG442" s="11"/>
      <c r="AH442" s="12"/>
      <c r="AI442" s="11"/>
      <c r="AJ442" s="11"/>
    </row>
    <row r="443" spans="2:36" s="7" customFormat="1">
      <c r="B443" s="11"/>
      <c r="C443" s="23"/>
      <c r="D443"/>
      <c r="E443"/>
      <c r="F443"/>
      <c r="G443"/>
      <c r="H443"/>
      <c r="I443"/>
      <c r="J443"/>
      <c r="K443" s="21"/>
      <c r="L443" s="21"/>
      <c r="M443" s="21"/>
      <c r="AG443" s="11"/>
      <c r="AH443" s="12"/>
      <c r="AI443" s="11"/>
      <c r="AJ443" s="11"/>
    </row>
    <row r="444" spans="2:36" s="7" customFormat="1">
      <c r="B444" s="11"/>
      <c r="C444" s="23"/>
      <c r="D444"/>
      <c r="E444"/>
      <c r="F444"/>
      <c r="G444"/>
      <c r="H444"/>
      <c r="I444"/>
      <c r="J444"/>
      <c r="K444" s="21"/>
      <c r="L444" s="21"/>
      <c r="M444" s="21"/>
      <c r="AG444" s="11"/>
      <c r="AH444" s="12"/>
      <c r="AI444" s="11"/>
      <c r="AJ444" s="11"/>
    </row>
    <row r="445" spans="2:36" s="7" customFormat="1">
      <c r="B445" s="11"/>
      <c r="C445" s="23"/>
      <c r="D445"/>
      <c r="E445"/>
      <c r="F445"/>
      <c r="G445"/>
      <c r="H445"/>
      <c r="I445"/>
      <c r="J445"/>
      <c r="K445" s="21"/>
      <c r="L445" s="21"/>
      <c r="M445" s="21"/>
      <c r="AG445" s="11"/>
      <c r="AH445" s="12"/>
      <c r="AI445" s="11"/>
      <c r="AJ445" s="11"/>
    </row>
    <row r="446" spans="2:36" s="7" customFormat="1">
      <c r="B446" s="11"/>
      <c r="C446" s="23"/>
      <c r="D446"/>
      <c r="E446"/>
      <c r="F446"/>
      <c r="G446"/>
      <c r="H446"/>
      <c r="I446"/>
      <c r="J446"/>
      <c r="K446" s="21"/>
      <c r="L446" s="21"/>
      <c r="M446" s="21"/>
      <c r="AG446" s="11"/>
      <c r="AH446" s="12"/>
      <c r="AI446" s="11"/>
      <c r="AJ446" s="11"/>
    </row>
    <row r="447" spans="2:36" s="7" customFormat="1">
      <c r="B447" s="11"/>
      <c r="C447" s="23"/>
      <c r="D447"/>
      <c r="E447"/>
      <c r="F447"/>
      <c r="G447"/>
      <c r="H447"/>
      <c r="I447"/>
      <c r="J447"/>
      <c r="K447" s="21"/>
      <c r="L447" s="21"/>
      <c r="M447" s="21"/>
      <c r="AG447" s="11"/>
      <c r="AH447" s="12"/>
      <c r="AI447" s="11"/>
      <c r="AJ447" s="11"/>
    </row>
    <row r="448" spans="2:36" s="7" customFormat="1">
      <c r="B448" s="11"/>
      <c r="C448" s="23"/>
      <c r="D448"/>
      <c r="E448"/>
      <c r="F448"/>
      <c r="G448"/>
      <c r="H448"/>
      <c r="I448"/>
      <c r="J448"/>
      <c r="K448" s="21"/>
      <c r="L448" s="21"/>
      <c r="M448" s="21"/>
      <c r="AG448" s="11"/>
      <c r="AH448" s="12"/>
      <c r="AI448" s="11"/>
      <c r="AJ448" s="11"/>
    </row>
    <row r="449" spans="2:36" s="7" customFormat="1">
      <c r="B449" s="11"/>
      <c r="C449" s="23"/>
      <c r="D449"/>
      <c r="E449"/>
      <c r="F449"/>
      <c r="G449"/>
      <c r="H449"/>
      <c r="I449"/>
      <c r="J449"/>
      <c r="K449" s="21"/>
      <c r="L449" s="21"/>
      <c r="M449" s="21"/>
      <c r="AG449" s="11"/>
      <c r="AH449" s="12"/>
      <c r="AI449" s="11"/>
      <c r="AJ449" s="11"/>
    </row>
    <row r="450" spans="2:36" s="7" customFormat="1">
      <c r="B450" s="11"/>
      <c r="C450" s="23"/>
      <c r="D450"/>
      <c r="E450"/>
      <c r="F450"/>
      <c r="G450"/>
      <c r="H450"/>
      <c r="I450"/>
      <c r="J450"/>
      <c r="K450" s="21"/>
      <c r="L450" s="21"/>
      <c r="M450" s="21"/>
      <c r="AG450" s="11"/>
      <c r="AH450" s="12"/>
      <c r="AI450" s="11"/>
      <c r="AJ450" s="11"/>
    </row>
    <row r="451" spans="2:36" s="7" customFormat="1">
      <c r="B451" s="11"/>
      <c r="C451" s="23"/>
      <c r="D451"/>
      <c r="E451"/>
      <c r="F451"/>
      <c r="G451"/>
      <c r="H451"/>
      <c r="I451"/>
      <c r="J451"/>
      <c r="K451" s="21"/>
      <c r="L451" s="21"/>
      <c r="M451" s="21"/>
      <c r="AG451" s="11"/>
      <c r="AH451" s="12"/>
      <c r="AI451" s="11"/>
      <c r="AJ451" s="11"/>
    </row>
    <row r="452" spans="2:36" s="7" customFormat="1">
      <c r="B452" s="11"/>
      <c r="C452" s="23"/>
      <c r="D452"/>
      <c r="E452"/>
      <c r="F452"/>
      <c r="G452"/>
      <c r="H452"/>
      <c r="I452"/>
      <c r="J452"/>
      <c r="K452" s="21"/>
      <c r="L452" s="21"/>
      <c r="M452" s="21"/>
      <c r="AG452" s="11"/>
      <c r="AH452" s="12"/>
      <c r="AI452" s="11"/>
      <c r="AJ452" s="11"/>
    </row>
    <row r="453" spans="2:36" s="7" customFormat="1">
      <c r="B453" s="11"/>
      <c r="C453" s="23"/>
      <c r="D453"/>
      <c r="E453"/>
      <c r="F453"/>
      <c r="G453"/>
      <c r="H453"/>
      <c r="I453"/>
      <c r="J453"/>
      <c r="K453" s="21"/>
      <c r="L453" s="21"/>
      <c r="M453" s="21"/>
      <c r="AG453" s="11"/>
      <c r="AH453" s="12"/>
      <c r="AI453" s="11"/>
      <c r="AJ453" s="11"/>
    </row>
    <row r="454" spans="2:36" s="7" customFormat="1">
      <c r="B454" s="11"/>
      <c r="C454" s="23"/>
      <c r="D454"/>
      <c r="E454"/>
      <c r="F454"/>
      <c r="G454"/>
      <c r="H454"/>
      <c r="I454"/>
      <c r="J454"/>
      <c r="K454" s="21"/>
      <c r="L454" s="21"/>
      <c r="M454" s="21"/>
      <c r="AG454" s="11"/>
      <c r="AH454" s="12"/>
      <c r="AI454" s="11"/>
      <c r="AJ454" s="11"/>
    </row>
    <row r="455" spans="2:36" s="7" customFormat="1">
      <c r="B455" s="11"/>
      <c r="C455" s="23"/>
      <c r="D455"/>
      <c r="E455"/>
      <c r="F455"/>
      <c r="G455"/>
      <c r="H455"/>
      <c r="I455"/>
      <c r="J455"/>
      <c r="K455" s="21"/>
      <c r="L455" s="21"/>
      <c r="M455" s="21"/>
      <c r="AG455" s="11"/>
      <c r="AH455" s="12"/>
      <c r="AI455" s="11"/>
      <c r="AJ455" s="11"/>
    </row>
    <row r="456" spans="2:36" s="7" customFormat="1">
      <c r="B456" s="11"/>
      <c r="C456" s="23"/>
      <c r="D456"/>
      <c r="E456"/>
      <c r="F456"/>
      <c r="G456"/>
      <c r="H456"/>
      <c r="I456"/>
      <c r="J456"/>
      <c r="K456" s="21"/>
      <c r="L456" s="21"/>
      <c r="M456" s="21"/>
      <c r="AG456" s="11"/>
      <c r="AH456" s="12"/>
      <c r="AI456" s="11"/>
      <c r="AJ456" s="11"/>
    </row>
    <row r="457" spans="2:36" s="7" customFormat="1">
      <c r="B457" s="11"/>
      <c r="C457" s="23"/>
      <c r="D457"/>
      <c r="E457"/>
      <c r="F457"/>
      <c r="G457"/>
      <c r="H457"/>
      <c r="I457"/>
      <c r="J457"/>
      <c r="K457" s="21"/>
      <c r="L457" s="21"/>
      <c r="M457" s="21"/>
      <c r="AG457" s="11"/>
      <c r="AH457" s="12"/>
      <c r="AI457" s="11"/>
      <c r="AJ457" s="11"/>
    </row>
    <row r="458" spans="2:36" s="7" customFormat="1">
      <c r="B458" s="11"/>
      <c r="C458" s="23"/>
      <c r="D458"/>
      <c r="E458"/>
      <c r="F458"/>
      <c r="G458"/>
      <c r="H458"/>
      <c r="I458"/>
      <c r="J458"/>
      <c r="K458" s="21"/>
      <c r="L458" s="21"/>
      <c r="M458" s="21"/>
      <c r="AG458" s="11"/>
      <c r="AH458" s="12"/>
      <c r="AI458" s="11"/>
      <c r="AJ458" s="11"/>
    </row>
    <row r="459" spans="2:36" s="7" customFormat="1">
      <c r="B459" s="11"/>
      <c r="C459" s="23"/>
      <c r="D459"/>
      <c r="E459"/>
      <c r="F459"/>
      <c r="G459"/>
      <c r="H459"/>
      <c r="I459"/>
      <c r="J459"/>
      <c r="K459" s="21"/>
      <c r="L459" s="21"/>
      <c r="M459" s="21"/>
      <c r="AG459" s="11"/>
      <c r="AH459" s="12"/>
      <c r="AI459" s="11"/>
      <c r="AJ459" s="11"/>
    </row>
    <row r="460" spans="2:36" s="7" customFormat="1">
      <c r="B460" s="11"/>
      <c r="C460" s="23"/>
      <c r="D460"/>
      <c r="E460"/>
      <c r="F460"/>
      <c r="G460"/>
      <c r="H460"/>
      <c r="I460"/>
      <c r="J460"/>
      <c r="K460" s="21"/>
      <c r="L460" s="21"/>
      <c r="M460" s="21"/>
      <c r="AG460" s="11"/>
      <c r="AH460" s="12"/>
      <c r="AI460" s="11"/>
      <c r="AJ460" s="11"/>
    </row>
    <row r="461" spans="2:36" s="7" customFormat="1">
      <c r="B461" s="11"/>
      <c r="C461" s="23"/>
      <c r="D461"/>
      <c r="E461"/>
      <c r="F461"/>
      <c r="G461"/>
      <c r="H461"/>
      <c r="I461"/>
      <c r="J461"/>
      <c r="K461" s="21"/>
      <c r="L461" s="21"/>
      <c r="M461" s="21"/>
      <c r="AG461" s="11"/>
      <c r="AH461" s="12"/>
      <c r="AI461" s="11"/>
      <c r="AJ461" s="11"/>
    </row>
    <row r="462" spans="2:36" s="7" customFormat="1">
      <c r="B462" s="11"/>
      <c r="C462" s="23"/>
      <c r="D462"/>
      <c r="E462"/>
      <c r="F462"/>
      <c r="G462"/>
      <c r="H462"/>
      <c r="I462"/>
      <c r="J462"/>
      <c r="K462" s="26"/>
      <c r="L462" s="77"/>
      <c r="M462" s="21"/>
      <c r="AG462" s="11"/>
      <c r="AH462" s="12"/>
      <c r="AI462" s="11"/>
      <c r="AJ462" s="11"/>
    </row>
    <row r="463" spans="2:36" s="7" customFormat="1">
      <c r="B463" s="11"/>
      <c r="C463" s="23"/>
      <c r="D463"/>
      <c r="E463"/>
      <c r="F463"/>
      <c r="G463"/>
      <c r="H463"/>
      <c r="I463"/>
      <c r="J463"/>
      <c r="M463" s="21"/>
      <c r="AG463" s="11"/>
      <c r="AH463" s="12"/>
      <c r="AI463" s="11"/>
      <c r="AJ463" s="11"/>
    </row>
    <row r="464" spans="2:36" s="7" customFormat="1">
      <c r="B464" s="11"/>
      <c r="C464" s="23"/>
      <c r="D464"/>
      <c r="E464"/>
      <c r="F464"/>
      <c r="G464"/>
      <c r="H464"/>
      <c r="I464"/>
      <c r="J464"/>
      <c r="M464" s="21"/>
      <c r="AG464" s="11"/>
      <c r="AH464" s="12"/>
      <c r="AI464" s="11"/>
      <c r="AJ464" s="11"/>
    </row>
    <row r="465" spans="2:36" s="7" customFormat="1">
      <c r="B465" s="11"/>
      <c r="C465" s="23"/>
      <c r="D465"/>
      <c r="E465"/>
      <c r="F465"/>
      <c r="G465"/>
      <c r="H465"/>
      <c r="I465"/>
      <c r="J465"/>
      <c r="M465" s="21"/>
      <c r="AG465" s="11"/>
      <c r="AH465" s="12"/>
      <c r="AI465" s="11"/>
      <c r="AJ465" s="11"/>
    </row>
    <row r="466" spans="2:36" s="7" customFormat="1">
      <c r="B466" s="11"/>
      <c r="C466" s="23"/>
      <c r="D466"/>
      <c r="E466"/>
      <c r="F466"/>
      <c r="G466"/>
      <c r="H466"/>
      <c r="I466"/>
      <c r="J466"/>
      <c r="M466" s="21"/>
      <c r="AG466" s="11"/>
      <c r="AH466" s="12"/>
      <c r="AI466" s="11"/>
      <c r="AJ466" s="11"/>
    </row>
    <row r="467" spans="2:36" s="7" customFormat="1">
      <c r="B467" s="11"/>
      <c r="C467" s="23"/>
      <c r="D467"/>
      <c r="E467"/>
      <c r="F467"/>
      <c r="G467"/>
      <c r="H467"/>
      <c r="I467"/>
      <c r="J467"/>
      <c r="M467" s="21"/>
      <c r="AG467" s="11"/>
      <c r="AH467" s="12"/>
      <c r="AI467" s="11"/>
      <c r="AJ467" s="11"/>
    </row>
    <row r="468" spans="2:36" s="7" customFormat="1">
      <c r="B468" s="11"/>
      <c r="C468" s="23"/>
      <c r="D468"/>
      <c r="E468"/>
      <c r="F468"/>
      <c r="G468"/>
      <c r="H468"/>
      <c r="I468"/>
      <c r="J468"/>
      <c r="K468" s="21"/>
      <c r="L468" s="21"/>
      <c r="M468" s="21"/>
      <c r="AG468" s="11"/>
      <c r="AH468" s="12"/>
      <c r="AI468" s="11"/>
      <c r="AJ468" s="11"/>
    </row>
    <row r="469" spans="2:36" s="7" customFormat="1">
      <c r="B469" s="11"/>
      <c r="C469" s="23"/>
      <c r="D469"/>
      <c r="E469"/>
      <c r="F469"/>
      <c r="G469"/>
      <c r="H469"/>
      <c r="I469"/>
      <c r="J469"/>
      <c r="K469" s="21"/>
      <c r="L469" s="21"/>
      <c r="M469" s="21"/>
      <c r="AG469" s="11"/>
      <c r="AH469" s="12"/>
      <c r="AI469" s="11"/>
      <c r="AJ469" s="11"/>
    </row>
    <row r="470" spans="2:36" s="7" customFormat="1">
      <c r="B470" s="11"/>
      <c r="C470" s="23"/>
      <c r="D470"/>
      <c r="E470"/>
      <c r="F470"/>
      <c r="G470"/>
      <c r="H470"/>
      <c r="I470"/>
      <c r="J470"/>
      <c r="K470" s="21"/>
      <c r="L470" s="21"/>
      <c r="M470" s="21"/>
      <c r="AG470" s="11"/>
      <c r="AH470" s="12"/>
      <c r="AI470" s="11"/>
      <c r="AJ470" s="11"/>
    </row>
    <row r="471" spans="2:36" s="7" customFormat="1">
      <c r="B471" s="11"/>
      <c r="C471" s="23"/>
      <c r="D471"/>
      <c r="E471"/>
      <c r="F471"/>
      <c r="G471"/>
      <c r="H471"/>
      <c r="I471"/>
      <c r="J471"/>
      <c r="K471" s="21"/>
      <c r="L471" s="21"/>
      <c r="M471" s="21"/>
      <c r="AG471" s="11"/>
      <c r="AH471" s="12"/>
      <c r="AI471" s="11"/>
      <c r="AJ471" s="11"/>
    </row>
    <row r="472" spans="2:36" s="7" customFormat="1">
      <c r="B472" s="11"/>
      <c r="C472" s="23"/>
      <c r="D472"/>
      <c r="E472"/>
      <c r="F472"/>
      <c r="G472"/>
      <c r="H472"/>
      <c r="I472"/>
      <c r="J472"/>
      <c r="K472" s="21"/>
      <c r="L472" s="21"/>
      <c r="M472" s="21"/>
      <c r="AG472" s="11"/>
      <c r="AH472" s="12"/>
      <c r="AI472" s="11"/>
      <c r="AJ472" s="11"/>
    </row>
    <row r="473" spans="2:36" s="7" customFormat="1">
      <c r="B473" s="11"/>
      <c r="C473" s="23"/>
      <c r="D473"/>
      <c r="E473"/>
      <c r="F473"/>
      <c r="G473"/>
      <c r="H473"/>
      <c r="I473"/>
      <c r="J473"/>
      <c r="K473" s="21"/>
      <c r="L473" s="21"/>
      <c r="M473" s="21"/>
      <c r="AG473" s="11"/>
      <c r="AH473" s="12"/>
      <c r="AI473" s="11"/>
      <c r="AJ473" s="11"/>
    </row>
    <row r="474" spans="2:36" s="7" customFormat="1">
      <c r="B474" s="11"/>
      <c r="C474" s="23"/>
      <c r="D474"/>
      <c r="E474"/>
      <c r="F474"/>
      <c r="G474"/>
      <c r="H474"/>
      <c r="I474"/>
      <c r="J474"/>
      <c r="K474" s="21"/>
      <c r="L474" s="21"/>
      <c r="M474" s="21"/>
      <c r="AG474" s="11"/>
      <c r="AH474" s="12"/>
      <c r="AI474" s="11"/>
      <c r="AJ474" s="11"/>
    </row>
    <row r="475" spans="2:36" s="7" customFormat="1">
      <c r="B475" s="11"/>
      <c r="C475" s="23"/>
      <c r="D475"/>
      <c r="E475"/>
      <c r="F475"/>
      <c r="G475"/>
      <c r="H475"/>
      <c r="I475"/>
      <c r="J475"/>
      <c r="K475" s="21"/>
      <c r="L475" s="21"/>
      <c r="M475" s="21"/>
      <c r="AG475" s="11"/>
      <c r="AH475" s="12"/>
      <c r="AI475" s="11"/>
      <c r="AJ475" s="11"/>
    </row>
    <row r="476" spans="2:36" s="7" customFormat="1">
      <c r="B476" s="11"/>
      <c r="C476" s="23"/>
      <c r="D476"/>
      <c r="E476"/>
      <c r="F476"/>
      <c r="G476"/>
      <c r="H476"/>
      <c r="I476"/>
      <c r="J476"/>
      <c r="K476" s="21"/>
      <c r="L476" s="21"/>
      <c r="M476" s="21"/>
      <c r="AG476" s="11"/>
      <c r="AH476" s="12"/>
      <c r="AI476" s="11"/>
      <c r="AJ476" s="11"/>
    </row>
    <row r="477" spans="2:36" s="7" customFormat="1">
      <c r="B477" s="11"/>
      <c r="C477" s="23"/>
      <c r="D477"/>
      <c r="E477"/>
      <c r="F477"/>
      <c r="G477"/>
      <c r="H477"/>
      <c r="I477"/>
      <c r="J477"/>
      <c r="K477" s="21"/>
      <c r="L477" s="21"/>
      <c r="M477" s="21"/>
      <c r="AG477" s="11"/>
      <c r="AH477" s="12"/>
      <c r="AI477" s="11"/>
      <c r="AJ477" s="11"/>
    </row>
    <row r="478" spans="2:36" s="7" customFormat="1">
      <c r="B478" s="11"/>
      <c r="C478" s="23"/>
      <c r="D478"/>
      <c r="E478"/>
      <c r="F478"/>
      <c r="G478"/>
      <c r="H478"/>
      <c r="I478"/>
      <c r="J478"/>
      <c r="K478" s="21"/>
      <c r="L478" s="21"/>
      <c r="M478" s="21"/>
      <c r="AG478" s="11"/>
      <c r="AH478" s="12"/>
      <c r="AI478" s="11"/>
      <c r="AJ478" s="11"/>
    </row>
    <row r="479" spans="2:36" s="7" customFormat="1">
      <c r="B479" s="11"/>
      <c r="C479" s="23"/>
      <c r="D479"/>
      <c r="E479"/>
      <c r="F479"/>
      <c r="G479"/>
      <c r="H479"/>
      <c r="I479"/>
      <c r="J479"/>
      <c r="K479" s="21"/>
      <c r="L479" s="21"/>
      <c r="M479" s="21"/>
      <c r="AG479" s="11"/>
      <c r="AH479" s="12"/>
      <c r="AI479" s="11"/>
      <c r="AJ479" s="11"/>
    </row>
    <row r="480" spans="2:36" s="7" customFormat="1">
      <c r="B480" s="11"/>
      <c r="C480" s="23"/>
      <c r="D480"/>
      <c r="E480"/>
      <c r="F480"/>
      <c r="G480"/>
      <c r="H480"/>
      <c r="I480"/>
      <c r="J480"/>
      <c r="K480" s="21"/>
      <c r="L480" s="21"/>
      <c r="M480" s="21"/>
      <c r="AG480" s="11"/>
      <c r="AH480" s="12"/>
      <c r="AI480" s="11"/>
      <c r="AJ480" s="11"/>
    </row>
    <row r="481" spans="2:36" s="7" customFormat="1">
      <c r="B481" s="11"/>
      <c r="C481" s="23"/>
      <c r="D481"/>
      <c r="E481"/>
      <c r="F481"/>
      <c r="G481"/>
      <c r="H481"/>
      <c r="I481"/>
      <c r="J481"/>
      <c r="K481" s="21"/>
      <c r="L481" s="21"/>
      <c r="M481" s="21"/>
      <c r="AG481" s="11"/>
      <c r="AH481" s="12"/>
      <c r="AI481" s="11"/>
      <c r="AJ481" s="11"/>
    </row>
    <row r="482" spans="2:36" s="7" customFormat="1">
      <c r="B482" s="11"/>
      <c r="C482" s="23"/>
      <c r="D482"/>
      <c r="E482"/>
      <c r="F482"/>
      <c r="G482"/>
      <c r="H482"/>
      <c r="I482"/>
      <c r="J482"/>
      <c r="K482" s="21"/>
      <c r="L482" s="21"/>
      <c r="M482" s="21"/>
      <c r="AG482" s="11"/>
      <c r="AH482" s="12"/>
      <c r="AI482" s="11"/>
      <c r="AJ482" s="11"/>
    </row>
    <row r="483" spans="2:36" s="7" customFormat="1">
      <c r="B483" s="11"/>
      <c r="C483" s="23"/>
      <c r="D483"/>
      <c r="E483"/>
      <c r="F483"/>
      <c r="G483"/>
      <c r="H483"/>
      <c r="I483"/>
      <c r="J483"/>
      <c r="K483" s="21"/>
      <c r="L483" s="21"/>
      <c r="M483" s="21"/>
      <c r="AG483" s="11"/>
      <c r="AH483" s="12"/>
      <c r="AI483" s="11"/>
      <c r="AJ483" s="11"/>
    </row>
    <row r="484" spans="2:36" s="7" customFormat="1">
      <c r="B484" s="11"/>
      <c r="C484" s="23"/>
      <c r="D484"/>
      <c r="E484"/>
      <c r="F484"/>
      <c r="G484"/>
      <c r="H484"/>
      <c r="I484"/>
      <c r="J484"/>
      <c r="K484" s="21"/>
      <c r="L484" s="21"/>
      <c r="M484" s="21"/>
      <c r="AG484" s="11"/>
      <c r="AH484" s="12"/>
      <c r="AI484" s="11"/>
      <c r="AJ484" s="11"/>
    </row>
    <row r="485" spans="2:36" s="7" customFormat="1">
      <c r="B485" s="11"/>
      <c r="C485" s="23"/>
      <c r="D485"/>
      <c r="E485"/>
      <c r="F485"/>
      <c r="G485"/>
      <c r="H485"/>
      <c r="I485"/>
      <c r="J485"/>
      <c r="K485" s="21"/>
      <c r="L485" s="21"/>
      <c r="M485" s="21"/>
      <c r="AG485" s="11"/>
      <c r="AH485" s="12"/>
      <c r="AI485" s="11"/>
      <c r="AJ485" s="11"/>
    </row>
    <row r="486" spans="2:36" s="7" customFormat="1">
      <c r="B486" s="11"/>
      <c r="C486" s="23"/>
      <c r="D486"/>
      <c r="E486"/>
      <c r="F486"/>
      <c r="G486"/>
      <c r="H486"/>
      <c r="I486"/>
      <c r="J486"/>
      <c r="K486" s="21"/>
      <c r="L486" s="21"/>
      <c r="M486" s="21"/>
      <c r="AG486" s="11"/>
      <c r="AH486" s="12"/>
      <c r="AI486" s="11"/>
      <c r="AJ486" s="11"/>
    </row>
    <row r="487" spans="2:36" s="7" customFormat="1">
      <c r="B487" s="11"/>
      <c r="C487" s="23"/>
      <c r="D487"/>
      <c r="E487"/>
      <c r="F487"/>
      <c r="G487"/>
      <c r="H487"/>
      <c r="I487"/>
      <c r="J487"/>
      <c r="K487" s="21"/>
      <c r="L487" s="21"/>
      <c r="M487" s="21"/>
      <c r="AG487" s="11"/>
      <c r="AH487" s="12"/>
      <c r="AI487" s="11"/>
      <c r="AJ487" s="11"/>
    </row>
    <row r="488" spans="2:36" s="7" customFormat="1">
      <c r="B488" s="11"/>
      <c r="C488" s="23"/>
      <c r="D488"/>
      <c r="E488"/>
      <c r="F488"/>
      <c r="G488"/>
      <c r="H488"/>
      <c r="I488"/>
      <c r="J488"/>
      <c r="K488" s="21"/>
      <c r="L488" s="21"/>
      <c r="M488" s="21"/>
      <c r="AG488" s="11"/>
      <c r="AH488" s="12"/>
      <c r="AI488" s="11"/>
      <c r="AJ488" s="11"/>
    </row>
    <row r="489" spans="2:36" s="7" customFormat="1">
      <c r="B489" s="11"/>
      <c r="C489" s="23"/>
      <c r="D489"/>
      <c r="E489"/>
      <c r="F489"/>
      <c r="G489"/>
      <c r="H489"/>
      <c r="I489"/>
      <c r="J489"/>
      <c r="K489" s="21"/>
      <c r="L489" s="21"/>
      <c r="M489" s="21"/>
      <c r="AG489" s="11"/>
      <c r="AH489" s="12"/>
      <c r="AI489" s="11"/>
      <c r="AJ489" s="11"/>
    </row>
    <row r="490" spans="2:36" s="7" customFormat="1">
      <c r="B490" s="11"/>
      <c r="C490" s="23"/>
      <c r="D490"/>
      <c r="E490"/>
      <c r="F490"/>
      <c r="G490"/>
      <c r="H490"/>
      <c r="I490"/>
      <c r="J490"/>
      <c r="K490" s="21"/>
      <c r="L490" s="21"/>
      <c r="M490" s="21"/>
      <c r="AG490" s="11"/>
      <c r="AH490" s="12"/>
      <c r="AI490" s="11"/>
      <c r="AJ490" s="11"/>
    </row>
    <row r="491" spans="2:36" s="7" customFormat="1">
      <c r="B491" s="11"/>
      <c r="C491" s="23"/>
      <c r="D491"/>
      <c r="E491"/>
      <c r="F491"/>
      <c r="G491"/>
      <c r="H491"/>
      <c r="I491"/>
      <c r="J491"/>
      <c r="K491" s="21"/>
      <c r="L491" s="21"/>
      <c r="M491" s="21"/>
      <c r="AG491" s="11"/>
      <c r="AH491" s="12"/>
      <c r="AI491" s="11"/>
      <c r="AJ491" s="11"/>
    </row>
    <row r="492" spans="2:36" s="7" customFormat="1">
      <c r="B492" s="11"/>
      <c r="C492" s="23"/>
      <c r="D492"/>
      <c r="E492"/>
      <c r="F492"/>
      <c r="G492"/>
      <c r="H492"/>
      <c r="I492"/>
      <c r="J492"/>
      <c r="K492" s="26"/>
      <c r="L492" s="77"/>
      <c r="M492" s="21"/>
      <c r="AG492" s="11"/>
      <c r="AH492" s="12"/>
      <c r="AI492" s="11"/>
      <c r="AJ492" s="11"/>
    </row>
    <row r="493" spans="2:36" s="7" customFormat="1">
      <c r="B493" s="11"/>
      <c r="C493" s="23"/>
      <c r="D493"/>
      <c r="E493"/>
      <c r="F493"/>
      <c r="G493"/>
      <c r="H493"/>
      <c r="I493"/>
      <c r="J493"/>
      <c r="M493" s="21"/>
      <c r="AG493" s="11"/>
      <c r="AH493" s="12"/>
      <c r="AI493" s="11"/>
      <c r="AJ493" s="11"/>
    </row>
    <row r="494" spans="2:36" s="7" customFormat="1">
      <c r="B494" s="11"/>
      <c r="C494" s="23"/>
      <c r="D494"/>
      <c r="E494"/>
      <c r="F494"/>
      <c r="G494"/>
      <c r="H494"/>
      <c r="I494"/>
      <c r="J494"/>
      <c r="M494" s="21"/>
      <c r="AG494" s="11"/>
      <c r="AH494" s="12"/>
      <c r="AI494" s="11"/>
      <c r="AJ494" s="11"/>
    </row>
    <row r="495" spans="2:36" s="7" customFormat="1">
      <c r="B495" s="11"/>
      <c r="C495" s="23"/>
      <c r="D495"/>
      <c r="E495"/>
      <c r="F495"/>
      <c r="G495"/>
      <c r="H495"/>
      <c r="I495"/>
      <c r="J495"/>
      <c r="M495" s="21"/>
      <c r="AG495" s="11"/>
      <c r="AH495" s="12"/>
      <c r="AI495" s="11"/>
      <c r="AJ495" s="11"/>
    </row>
    <row r="496" spans="2:36" s="7" customFormat="1">
      <c r="B496" s="11"/>
      <c r="C496" s="23"/>
      <c r="D496"/>
      <c r="E496"/>
      <c r="F496"/>
      <c r="G496"/>
      <c r="H496"/>
      <c r="I496"/>
      <c r="J496"/>
      <c r="M496" s="21"/>
      <c r="AG496" s="11"/>
      <c r="AH496" s="12"/>
      <c r="AI496" s="11"/>
      <c r="AJ496" s="11"/>
    </row>
    <row r="497" spans="2:36" s="7" customFormat="1">
      <c r="B497" s="11"/>
      <c r="C497" s="23"/>
      <c r="D497"/>
      <c r="E497"/>
      <c r="F497"/>
      <c r="G497"/>
      <c r="H497"/>
      <c r="I497"/>
      <c r="J497"/>
      <c r="M497" s="21"/>
      <c r="AG497" s="11"/>
      <c r="AH497" s="12"/>
      <c r="AI497" s="11"/>
      <c r="AJ497" s="11"/>
    </row>
    <row r="498" spans="2:36" s="7" customFormat="1">
      <c r="B498" s="11"/>
      <c r="C498" s="23"/>
      <c r="D498"/>
      <c r="E498"/>
      <c r="F498"/>
      <c r="G498"/>
      <c r="H498"/>
      <c r="I498"/>
      <c r="J498"/>
      <c r="K498" s="21"/>
      <c r="L498" s="21"/>
      <c r="M498" s="21"/>
      <c r="AG498" s="11"/>
      <c r="AH498" s="12"/>
      <c r="AI498" s="11"/>
      <c r="AJ498" s="11"/>
    </row>
    <row r="499" spans="2:36" s="7" customFormat="1">
      <c r="B499" s="11"/>
      <c r="C499" s="23"/>
      <c r="D499"/>
      <c r="E499"/>
      <c r="F499"/>
      <c r="G499"/>
      <c r="H499"/>
      <c r="I499"/>
      <c r="J499"/>
      <c r="K499" s="21"/>
      <c r="L499" s="21"/>
      <c r="M499" s="21"/>
      <c r="AG499" s="11"/>
      <c r="AH499" s="12"/>
      <c r="AI499" s="11"/>
      <c r="AJ499" s="11"/>
    </row>
    <row r="500" spans="2:36" s="7" customFormat="1">
      <c r="B500" s="11"/>
      <c r="C500" s="23"/>
      <c r="D500"/>
      <c r="E500"/>
      <c r="F500"/>
      <c r="G500"/>
      <c r="H500"/>
      <c r="I500"/>
      <c r="J500"/>
      <c r="K500" s="21"/>
      <c r="L500" s="21"/>
      <c r="M500" s="21"/>
      <c r="AG500" s="11"/>
      <c r="AH500" s="12"/>
      <c r="AI500" s="11"/>
      <c r="AJ500" s="11"/>
    </row>
    <row r="501" spans="2:36" s="7" customFormat="1">
      <c r="B501" s="11"/>
      <c r="C501" s="23"/>
      <c r="D501"/>
      <c r="E501"/>
      <c r="F501"/>
      <c r="G501"/>
      <c r="H501"/>
      <c r="I501"/>
      <c r="J501"/>
      <c r="K501" s="21"/>
      <c r="L501" s="21"/>
      <c r="M501" s="21"/>
      <c r="AG501" s="11"/>
      <c r="AH501" s="12"/>
      <c r="AI501" s="11"/>
      <c r="AJ501" s="11"/>
    </row>
    <row r="502" spans="2:36" s="7" customFormat="1">
      <c r="B502" s="11"/>
      <c r="C502" s="23"/>
      <c r="D502"/>
      <c r="E502"/>
      <c r="F502"/>
      <c r="G502"/>
      <c r="H502"/>
      <c r="I502"/>
      <c r="J502"/>
      <c r="K502" s="21"/>
      <c r="L502" s="21"/>
      <c r="M502" s="21"/>
      <c r="AG502" s="11"/>
      <c r="AH502" s="12"/>
      <c r="AI502" s="11"/>
      <c r="AJ502" s="11"/>
    </row>
    <row r="503" spans="2:36" s="7" customFormat="1">
      <c r="B503" s="11"/>
      <c r="C503" s="23"/>
      <c r="D503"/>
      <c r="E503"/>
      <c r="F503"/>
      <c r="G503"/>
      <c r="H503"/>
      <c r="I503"/>
      <c r="J503"/>
      <c r="K503" s="21"/>
      <c r="L503" s="21"/>
      <c r="M503" s="21"/>
      <c r="AG503" s="11"/>
      <c r="AH503" s="12"/>
      <c r="AI503" s="11"/>
      <c r="AJ503" s="11"/>
    </row>
    <row r="504" spans="2:36" s="7" customFormat="1">
      <c r="B504" s="11"/>
      <c r="C504" s="23"/>
      <c r="D504"/>
      <c r="E504"/>
      <c r="F504"/>
      <c r="G504"/>
      <c r="H504"/>
      <c r="I504"/>
      <c r="J504"/>
      <c r="K504" s="21"/>
      <c r="L504" s="21"/>
      <c r="M504" s="21"/>
      <c r="AG504" s="11"/>
      <c r="AH504" s="12"/>
      <c r="AI504" s="11"/>
      <c r="AJ504" s="11"/>
    </row>
    <row r="505" spans="2:36" s="7" customFormat="1">
      <c r="B505" s="11"/>
      <c r="C505" s="23"/>
      <c r="D505"/>
      <c r="E505"/>
      <c r="F505"/>
      <c r="G505"/>
      <c r="H505"/>
      <c r="I505"/>
      <c r="J505"/>
      <c r="K505" s="21"/>
      <c r="L505" s="21"/>
      <c r="M505" s="21"/>
      <c r="AG505" s="11"/>
      <c r="AH505" s="12"/>
      <c r="AI505" s="11"/>
      <c r="AJ505" s="11"/>
    </row>
    <row r="506" spans="2:36" s="7" customFormat="1">
      <c r="B506" s="11"/>
      <c r="C506" s="23"/>
      <c r="D506"/>
      <c r="E506"/>
      <c r="F506"/>
      <c r="G506"/>
      <c r="H506"/>
      <c r="I506"/>
      <c r="J506"/>
      <c r="K506" s="21"/>
      <c r="L506" s="21"/>
      <c r="M506" s="21"/>
      <c r="AG506" s="11"/>
      <c r="AH506" s="12"/>
      <c r="AI506" s="11"/>
      <c r="AJ506" s="11"/>
    </row>
    <row r="507" spans="2:36" s="7" customFormat="1">
      <c r="B507" s="11"/>
      <c r="C507" s="23"/>
      <c r="D507"/>
      <c r="E507"/>
      <c r="F507"/>
      <c r="G507"/>
      <c r="H507"/>
      <c r="I507"/>
      <c r="J507"/>
      <c r="K507" s="21"/>
      <c r="L507" s="21"/>
      <c r="M507" s="21"/>
      <c r="AG507" s="11"/>
      <c r="AH507" s="12"/>
      <c r="AI507" s="11"/>
      <c r="AJ507" s="11"/>
    </row>
    <row r="508" spans="2:36" s="7" customFormat="1">
      <c r="B508" s="11"/>
      <c r="C508" s="23"/>
      <c r="D508"/>
      <c r="E508"/>
      <c r="F508"/>
      <c r="G508"/>
      <c r="H508"/>
      <c r="I508"/>
      <c r="J508"/>
      <c r="K508" s="21"/>
      <c r="L508" s="21"/>
      <c r="M508" s="21"/>
      <c r="AG508" s="11"/>
      <c r="AH508" s="12"/>
      <c r="AI508" s="11"/>
      <c r="AJ508" s="11"/>
    </row>
    <row r="509" spans="2:36" s="7" customFormat="1">
      <c r="B509" s="11"/>
      <c r="C509" s="23"/>
      <c r="D509"/>
      <c r="E509"/>
      <c r="F509"/>
      <c r="G509"/>
      <c r="H509"/>
      <c r="I509"/>
      <c r="J509"/>
      <c r="K509" s="21"/>
      <c r="L509" s="21"/>
      <c r="M509" s="21"/>
      <c r="AG509" s="11"/>
      <c r="AH509" s="12"/>
      <c r="AI509" s="11"/>
      <c r="AJ509" s="11"/>
    </row>
    <row r="510" spans="2:36" s="7" customFormat="1">
      <c r="B510" s="11"/>
      <c r="C510" s="23"/>
      <c r="D510"/>
      <c r="E510"/>
      <c r="F510"/>
      <c r="G510"/>
      <c r="H510"/>
      <c r="I510"/>
      <c r="J510"/>
      <c r="K510" s="21"/>
      <c r="L510" s="21"/>
      <c r="M510" s="21"/>
      <c r="AG510" s="11"/>
      <c r="AH510" s="12"/>
      <c r="AI510" s="11"/>
      <c r="AJ510" s="11"/>
    </row>
    <row r="511" spans="2:36" s="7" customFormat="1">
      <c r="B511" s="11"/>
      <c r="C511" s="23"/>
      <c r="D511"/>
      <c r="E511"/>
      <c r="F511"/>
      <c r="G511"/>
      <c r="H511"/>
      <c r="I511"/>
      <c r="J511"/>
      <c r="K511" s="21"/>
      <c r="L511" s="21"/>
      <c r="M511" s="21"/>
      <c r="AG511" s="11"/>
      <c r="AH511" s="12"/>
      <c r="AI511" s="11"/>
      <c r="AJ511" s="11"/>
    </row>
    <row r="512" spans="2:36" s="7" customFormat="1">
      <c r="B512" s="11"/>
      <c r="C512" s="23"/>
      <c r="D512"/>
      <c r="E512"/>
      <c r="F512"/>
      <c r="G512"/>
      <c r="H512"/>
      <c r="I512"/>
      <c r="J512"/>
      <c r="K512" s="21"/>
      <c r="L512" s="21"/>
      <c r="M512" s="21"/>
      <c r="AG512" s="11"/>
      <c r="AH512" s="12"/>
      <c r="AI512" s="11"/>
      <c r="AJ512" s="11"/>
    </row>
    <row r="513" spans="2:36" s="7" customFormat="1">
      <c r="B513" s="11"/>
      <c r="C513" s="23"/>
      <c r="D513"/>
      <c r="E513"/>
      <c r="F513"/>
      <c r="G513"/>
      <c r="H513"/>
      <c r="I513"/>
      <c r="J513"/>
      <c r="K513" s="21"/>
      <c r="L513" s="21"/>
      <c r="M513" s="21"/>
      <c r="AG513" s="11"/>
      <c r="AH513" s="12"/>
      <c r="AI513" s="11"/>
      <c r="AJ513" s="11"/>
    </row>
    <row r="514" spans="2:36" s="7" customFormat="1">
      <c r="B514" s="11"/>
      <c r="C514" s="23"/>
      <c r="D514"/>
      <c r="E514"/>
      <c r="F514"/>
      <c r="G514"/>
      <c r="H514"/>
      <c r="I514"/>
      <c r="J514"/>
      <c r="K514" s="21"/>
      <c r="L514" s="21"/>
      <c r="M514" s="21"/>
      <c r="AG514" s="11"/>
      <c r="AH514" s="12"/>
      <c r="AI514" s="11"/>
      <c r="AJ514" s="11"/>
    </row>
    <row r="515" spans="2:36" s="7" customFormat="1">
      <c r="B515" s="11"/>
      <c r="C515" s="23"/>
      <c r="D515"/>
      <c r="E515"/>
      <c r="F515"/>
      <c r="G515"/>
      <c r="H515"/>
      <c r="I515"/>
      <c r="J515"/>
      <c r="K515" s="21"/>
      <c r="L515" s="21"/>
      <c r="M515" s="21"/>
      <c r="AG515" s="11"/>
      <c r="AH515" s="12"/>
      <c r="AI515" s="11"/>
      <c r="AJ515" s="11"/>
    </row>
    <row r="516" spans="2:36" s="7" customFormat="1">
      <c r="B516" s="11"/>
      <c r="C516" s="23"/>
      <c r="D516"/>
      <c r="E516"/>
      <c r="F516"/>
      <c r="G516"/>
      <c r="H516"/>
      <c r="I516"/>
      <c r="J516"/>
      <c r="K516" s="21"/>
      <c r="L516" s="21"/>
      <c r="M516" s="21"/>
      <c r="AG516" s="11"/>
      <c r="AH516" s="12"/>
      <c r="AI516" s="11"/>
      <c r="AJ516" s="11"/>
    </row>
    <row r="517" spans="2:36" s="7" customFormat="1">
      <c r="B517" s="11"/>
      <c r="C517" s="23"/>
      <c r="D517"/>
      <c r="E517"/>
      <c r="F517"/>
      <c r="G517"/>
      <c r="H517"/>
      <c r="I517"/>
      <c r="J517"/>
      <c r="K517" s="21"/>
      <c r="L517" s="21"/>
      <c r="M517" s="21"/>
      <c r="AG517" s="11"/>
      <c r="AH517" s="12"/>
      <c r="AI517" s="11"/>
      <c r="AJ517" s="11"/>
    </row>
    <row r="518" spans="2:36" s="7" customFormat="1">
      <c r="B518" s="11"/>
      <c r="C518" s="23"/>
      <c r="D518"/>
      <c r="E518"/>
      <c r="F518"/>
      <c r="G518"/>
      <c r="H518"/>
      <c r="I518"/>
      <c r="J518"/>
      <c r="K518" s="21"/>
      <c r="L518" s="21"/>
      <c r="M518" s="21"/>
      <c r="AG518" s="11"/>
      <c r="AH518" s="12"/>
      <c r="AI518" s="11"/>
      <c r="AJ518" s="11"/>
    </row>
    <row r="519" spans="2:36" s="7" customFormat="1">
      <c r="B519" s="11"/>
      <c r="C519" s="23"/>
      <c r="D519"/>
      <c r="E519"/>
      <c r="F519"/>
      <c r="G519"/>
      <c r="H519"/>
      <c r="I519"/>
      <c r="J519"/>
      <c r="K519" s="21"/>
      <c r="L519" s="21"/>
      <c r="M519" s="21"/>
      <c r="AG519" s="11"/>
      <c r="AH519" s="12"/>
      <c r="AI519" s="11"/>
      <c r="AJ519" s="11"/>
    </row>
    <row r="520" spans="2:36" s="7" customFormat="1">
      <c r="B520" s="11"/>
      <c r="C520" s="23"/>
      <c r="D520"/>
      <c r="E520"/>
      <c r="F520"/>
      <c r="G520"/>
      <c r="H520"/>
      <c r="I520"/>
      <c r="J520"/>
      <c r="K520" s="21"/>
      <c r="L520" s="21"/>
      <c r="M520" s="21"/>
      <c r="AG520" s="11"/>
      <c r="AH520" s="12"/>
      <c r="AI520" s="11"/>
      <c r="AJ520" s="11"/>
    </row>
    <row r="521" spans="2:36" s="7" customFormat="1">
      <c r="B521" s="11"/>
      <c r="C521" s="23"/>
      <c r="D521"/>
      <c r="E521"/>
      <c r="F521"/>
      <c r="G521"/>
      <c r="H521"/>
      <c r="I521"/>
      <c r="J521"/>
      <c r="K521" s="21"/>
      <c r="L521" s="21"/>
      <c r="M521" s="21"/>
      <c r="AG521" s="11"/>
      <c r="AH521" s="12"/>
      <c r="AI521" s="11"/>
      <c r="AJ521" s="11"/>
    </row>
    <row r="522" spans="2:36" s="7" customFormat="1">
      <c r="B522" s="11"/>
      <c r="C522" s="23"/>
      <c r="D522"/>
      <c r="E522"/>
      <c r="F522"/>
      <c r="G522"/>
      <c r="H522"/>
      <c r="I522"/>
      <c r="J522"/>
      <c r="K522" s="26"/>
      <c r="L522" s="77"/>
      <c r="M522" s="21"/>
      <c r="AG522" s="11"/>
      <c r="AH522" s="12"/>
      <c r="AI522" s="11"/>
      <c r="AJ522" s="11"/>
    </row>
    <row r="523" spans="2:36" s="7" customFormat="1">
      <c r="B523" s="11"/>
      <c r="C523" s="23"/>
      <c r="D523"/>
      <c r="E523"/>
      <c r="F523"/>
      <c r="G523"/>
      <c r="H523"/>
      <c r="I523"/>
      <c r="J523"/>
      <c r="M523" s="21"/>
      <c r="AG523" s="11"/>
      <c r="AH523" s="12"/>
      <c r="AI523" s="11"/>
      <c r="AJ523" s="11"/>
    </row>
    <row r="524" spans="2:36" s="7" customFormat="1">
      <c r="B524" s="11"/>
      <c r="C524" s="23"/>
      <c r="D524"/>
      <c r="E524"/>
      <c r="F524"/>
      <c r="G524"/>
      <c r="H524"/>
      <c r="I524"/>
      <c r="J524"/>
      <c r="M524" s="21"/>
      <c r="AG524" s="11"/>
      <c r="AH524" s="12"/>
      <c r="AI524" s="11"/>
      <c r="AJ524" s="11"/>
    </row>
    <row r="525" spans="2:36" s="7" customFormat="1">
      <c r="B525" s="11"/>
      <c r="C525" s="23"/>
      <c r="D525"/>
      <c r="E525"/>
      <c r="F525"/>
      <c r="G525"/>
      <c r="H525"/>
      <c r="I525"/>
      <c r="J525"/>
      <c r="M525" s="21"/>
      <c r="AG525" s="11"/>
      <c r="AH525" s="12"/>
      <c r="AI525" s="11"/>
      <c r="AJ525" s="11"/>
    </row>
    <row r="526" spans="2:36" s="7" customFormat="1">
      <c r="B526" s="11"/>
      <c r="C526" s="23"/>
      <c r="D526"/>
      <c r="E526"/>
      <c r="F526"/>
      <c r="G526"/>
      <c r="H526"/>
      <c r="I526"/>
      <c r="J526"/>
      <c r="M526" s="21"/>
      <c r="AG526" s="11"/>
      <c r="AH526" s="12"/>
      <c r="AI526" s="11"/>
      <c r="AJ526" s="11"/>
    </row>
    <row r="527" spans="2:36" s="7" customFormat="1">
      <c r="B527" s="11"/>
      <c r="C527" s="23"/>
      <c r="D527"/>
      <c r="E527"/>
      <c r="F527"/>
      <c r="G527"/>
      <c r="H527"/>
      <c r="I527"/>
      <c r="J527"/>
      <c r="M527" s="21"/>
      <c r="AG527" s="11"/>
      <c r="AH527" s="12"/>
      <c r="AI527" s="11"/>
      <c r="AJ527" s="11"/>
    </row>
    <row r="528" spans="2:36" s="7" customFormat="1">
      <c r="B528" s="11"/>
      <c r="C528" s="23"/>
      <c r="D528"/>
      <c r="E528"/>
      <c r="F528"/>
      <c r="G528"/>
      <c r="H528"/>
      <c r="I528"/>
      <c r="J528"/>
      <c r="K528" s="21"/>
      <c r="L528" s="21"/>
      <c r="M528" s="21"/>
      <c r="AG528" s="11"/>
      <c r="AH528" s="12"/>
      <c r="AI528" s="11"/>
      <c r="AJ528" s="11"/>
    </row>
    <row r="529" spans="2:36" s="7" customFormat="1">
      <c r="B529" s="11"/>
      <c r="C529" s="23"/>
      <c r="D529"/>
      <c r="E529"/>
      <c r="F529"/>
      <c r="G529"/>
      <c r="H529"/>
      <c r="I529"/>
      <c r="J529"/>
      <c r="K529" s="21"/>
      <c r="L529" s="21"/>
      <c r="M529" s="21"/>
      <c r="AG529" s="11"/>
      <c r="AH529" s="12"/>
      <c r="AI529" s="11"/>
      <c r="AJ529" s="11"/>
    </row>
    <row r="530" spans="2:36" s="7" customFormat="1">
      <c r="B530" s="11"/>
      <c r="C530" s="23"/>
      <c r="D530"/>
      <c r="E530"/>
      <c r="F530"/>
      <c r="G530"/>
      <c r="H530"/>
      <c r="I530"/>
      <c r="J530"/>
      <c r="K530" s="21"/>
      <c r="L530" s="21"/>
      <c r="M530" s="21"/>
      <c r="AG530" s="11"/>
      <c r="AH530" s="12"/>
      <c r="AI530" s="11"/>
      <c r="AJ530" s="11"/>
    </row>
    <row r="531" spans="2:36" s="7" customFormat="1">
      <c r="B531" s="11"/>
      <c r="C531" s="23"/>
      <c r="D531"/>
      <c r="E531"/>
      <c r="F531"/>
      <c r="G531"/>
      <c r="H531"/>
      <c r="I531"/>
      <c r="J531"/>
      <c r="K531" s="21"/>
      <c r="L531" s="21"/>
      <c r="M531" s="21"/>
      <c r="AG531" s="11"/>
      <c r="AH531" s="12"/>
      <c r="AI531" s="11"/>
      <c r="AJ531" s="11"/>
    </row>
    <row r="532" spans="2:36" s="7" customFormat="1">
      <c r="B532" s="11"/>
      <c r="C532" s="23"/>
      <c r="D532"/>
      <c r="E532"/>
      <c r="F532"/>
      <c r="G532"/>
      <c r="H532"/>
      <c r="I532"/>
      <c r="J532"/>
      <c r="K532" s="21"/>
      <c r="L532" s="21"/>
      <c r="M532" s="21"/>
      <c r="AG532" s="11"/>
      <c r="AH532" s="12"/>
      <c r="AI532" s="11"/>
      <c r="AJ532" s="11"/>
    </row>
    <row r="533" spans="2:36" s="7" customFormat="1">
      <c r="B533" s="11"/>
      <c r="C533" s="23"/>
      <c r="D533"/>
      <c r="E533"/>
      <c r="F533"/>
      <c r="G533"/>
      <c r="H533"/>
      <c r="I533"/>
      <c r="J533"/>
      <c r="K533" s="21"/>
      <c r="L533" s="21"/>
      <c r="M533" s="21"/>
      <c r="AG533" s="11"/>
      <c r="AH533" s="12"/>
      <c r="AI533" s="11"/>
      <c r="AJ533" s="11"/>
    </row>
    <row r="534" spans="2:36" s="7" customFormat="1">
      <c r="B534" s="11"/>
      <c r="C534" s="23"/>
      <c r="D534"/>
      <c r="E534"/>
      <c r="F534"/>
      <c r="G534"/>
      <c r="H534"/>
      <c r="I534"/>
      <c r="J534"/>
      <c r="K534" s="21"/>
      <c r="L534" s="21"/>
      <c r="M534" s="21"/>
      <c r="AG534" s="11"/>
      <c r="AH534" s="12"/>
      <c r="AI534" s="11"/>
      <c r="AJ534" s="11"/>
    </row>
    <row r="535" spans="2:36" s="7" customFormat="1">
      <c r="B535" s="11"/>
      <c r="C535" s="23"/>
      <c r="D535"/>
      <c r="E535"/>
      <c r="F535"/>
      <c r="G535"/>
      <c r="H535"/>
      <c r="I535"/>
      <c r="J535"/>
      <c r="K535" s="21"/>
      <c r="L535" s="21"/>
      <c r="M535" s="21"/>
      <c r="AG535" s="11"/>
      <c r="AH535" s="12"/>
      <c r="AI535" s="11"/>
      <c r="AJ535" s="11"/>
    </row>
    <row r="536" spans="2:36" s="7" customFormat="1">
      <c r="B536" s="11"/>
      <c r="C536" s="23"/>
      <c r="D536"/>
      <c r="E536"/>
      <c r="F536"/>
      <c r="G536"/>
      <c r="H536"/>
      <c r="I536"/>
      <c r="J536"/>
      <c r="K536" s="21"/>
      <c r="L536" s="21"/>
      <c r="M536" s="21"/>
      <c r="AG536" s="11"/>
      <c r="AH536" s="12"/>
      <c r="AI536" s="11"/>
      <c r="AJ536" s="11"/>
    </row>
    <row r="537" spans="2:36" s="7" customFormat="1">
      <c r="B537" s="11"/>
      <c r="C537" s="23"/>
      <c r="D537"/>
      <c r="E537"/>
      <c r="F537"/>
      <c r="G537"/>
      <c r="H537"/>
      <c r="I537"/>
      <c r="J537"/>
      <c r="K537" s="21"/>
      <c r="L537" s="21"/>
      <c r="M537" s="21"/>
      <c r="AG537" s="11"/>
      <c r="AH537" s="12"/>
      <c r="AI537" s="11"/>
      <c r="AJ537" s="11"/>
    </row>
    <row r="538" spans="2:36" s="7" customFormat="1">
      <c r="B538" s="11"/>
      <c r="C538" s="23"/>
      <c r="D538"/>
      <c r="E538"/>
      <c r="F538"/>
      <c r="G538"/>
      <c r="H538"/>
      <c r="I538"/>
      <c r="J538"/>
      <c r="K538" s="21"/>
      <c r="L538" s="21"/>
      <c r="M538" s="21"/>
      <c r="AG538" s="11"/>
      <c r="AH538" s="12"/>
      <c r="AI538" s="11"/>
      <c r="AJ538" s="11"/>
    </row>
    <row r="539" spans="2:36" s="7" customFormat="1">
      <c r="B539" s="11"/>
      <c r="C539" s="23"/>
      <c r="D539"/>
      <c r="E539"/>
      <c r="F539"/>
      <c r="G539"/>
      <c r="H539"/>
      <c r="I539"/>
      <c r="J539"/>
      <c r="K539" s="21"/>
      <c r="L539" s="21"/>
      <c r="M539" s="21"/>
      <c r="AG539" s="11"/>
      <c r="AH539" s="12"/>
      <c r="AI539" s="11"/>
      <c r="AJ539" s="11"/>
    </row>
    <row r="540" spans="2:36" s="7" customFormat="1">
      <c r="B540" s="11"/>
      <c r="C540" s="23"/>
      <c r="D540"/>
      <c r="E540"/>
      <c r="F540"/>
      <c r="G540"/>
      <c r="H540"/>
      <c r="I540"/>
      <c r="J540"/>
      <c r="K540" s="21"/>
      <c r="L540" s="21"/>
      <c r="M540" s="21"/>
      <c r="AG540" s="11"/>
      <c r="AH540" s="12"/>
      <c r="AI540" s="11"/>
      <c r="AJ540" s="11"/>
    </row>
    <row r="541" spans="2:36" s="7" customFormat="1">
      <c r="B541" s="11"/>
      <c r="C541" s="23"/>
      <c r="D541"/>
      <c r="E541"/>
      <c r="F541"/>
      <c r="G541"/>
      <c r="H541"/>
      <c r="I541"/>
      <c r="J541"/>
      <c r="K541" s="21"/>
      <c r="L541" s="21"/>
      <c r="M541" s="21"/>
      <c r="AG541" s="11"/>
      <c r="AH541" s="12"/>
      <c r="AI541" s="11"/>
      <c r="AJ541" s="11"/>
    </row>
    <row r="542" spans="2:36" s="7" customFormat="1">
      <c r="B542" s="11"/>
      <c r="C542" s="23"/>
      <c r="D542"/>
      <c r="E542"/>
      <c r="F542"/>
      <c r="G542"/>
      <c r="H542"/>
      <c r="I542"/>
      <c r="J542"/>
      <c r="K542" s="21"/>
      <c r="L542" s="21"/>
      <c r="M542" s="21"/>
      <c r="AG542" s="11"/>
      <c r="AH542" s="12"/>
      <c r="AI542" s="11"/>
      <c r="AJ542" s="11"/>
    </row>
    <row r="543" spans="2:36" s="7" customFormat="1">
      <c r="B543" s="11"/>
      <c r="C543" s="23"/>
      <c r="D543"/>
      <c r="E543"/>
      <c r="F543"/>
      <c r="G543"/>
      <c r="H543"/>
      <c r="I543"/>
      <c r="J543"/>
      <c r="K543" s="21"/>
      <c r="L543" s="21"/>
      <c r="M543" s="21"/>
      <c r="AG543" s="11"/>
      <c r="AH543" s="12"/>
      <c r="AI543" s="11"/>
      <c r="AJ543" s="11"/>
    </row>
    <row r="544" spans="2:36" s="7" customFormat="1">
      <c r="B544" s="11"/>
      <c r="C544" s="23"/>
      <c r="D544"/>
      <c r="E544"/>
      <c r="F544"/>
      <c r="G544"/>
      <c r="H544"/>
      <c r="I544"/>
      <c r="J544"/>
      <c r="K544" s="21"/>
      <c r="L544" s="21"/>
      <c r="M544" s="21"/>
      <c r="AG544" s="11"/>
      <c r="AH544" s="12"/>
      <c r="AI544" s="11"/>
      <c r="AJ544" s="11"/>
    </row>
    <row r="545" spans="2:36" s="7" customFormat="1">
      <c r="B545" s="11"/>
      <c r="C545" s="23"/>
      <c r="D545"/>
      <c r="E545"/>
      <c r="F545"/>
      <c r="G545"/>
      <c r="H545"/>
      <c r="I545"/>
      <c r="J545"/>
      <c r="K545" s="21"/>
      <c r="L545" s="21"/>
      <c r="M545" s="21"/>
      <c r="AG545" s="11"/>
      <c r="AH545" s="12"/>
      <c r="AI545" s="11"/>
      <c r="AJ545" s="11"/>
    </row>
    <row r="546" spans="2:36" s="7" customFormat="1">
      <c r="B546" s="11"/>
      <c r="C546" s="23"/>
      <c r="D546"/>
      <c r="E546"/>
      <c r="F546"/>
      <c r="G546"/>
      <c r="H546"/>
      <c r="I546"/>
      <c r="J546"/>
      <c r="K546" s="21"/>
      <c r="L546" s="21"/>
      <c r="M546" s="21"/>
      <c r="AG546" s="11"/>
      <c r="AH546" s="12"/>
      <c r="AI546" s="11"/>
      <c r="AJ546" s="11"/>
    </row>
    <row r="547" spans="2:36" s="7" customFormat="1">
      <c r="B547" s="11"/>
      <c r="C547" s="23"/>
      <c r="D547"/>
      <c r="E547"/>
      <c r="F547"/>
      <c r="G547"/>
      <c r="H547"/>
      <c r="I547"/>
      <c r="J547"/>
      <c r="K547" s="21"/>
      <c r="L547" s="21"/>
      <c r="M547" s="21"/>
      <c r="AG547" s="11"/>
      <c r="AH547" s="12"/>
      <c r="AI547" s="11"/>
      <c r="AJ547" s="11"/>
    </row>
    <row r="548" spans="2:36" s="7" customFormat="1">
      <c r="B548" s="11"/>
      <c r="C548" s="23"/>
      <c r="D548"/>
      <c r="E548"/>
      <c r="F548"/>
      <c r="G548"/>
      <c r="H548"/>
      <c r="I548"/>
      <c r="J548"/>
      <c r="K548" s="21"/>
      <c r="L548" s="21"/>
      <c r="M548" s="21"/>
      <c r="AG548" s="11"/>
      <c r="AH548" s="12"/>
      <c r="AI548" s="11"/>
      <c r="AJ548" s="11"/>
    </row>
    <row r="549" spans="2:36" s="7" customFormat="1">
      <c r="B549" s="11"/>
      <c r="C549" s="23"/>
      <c r="D549"/>
      <c r="E549"/>
      <c r="F549"/>
      <c r="G549"/>
      <c r="H549"/>
      <c r="I549"/>
      <c r="J549"/>
      <c r="K549" s="21"/>
      <c r="L549" s="21"/>
      <c r="M549" s="21"/>
      <c r="AG549" s="11"/>
      <c r="AH549" s="12"/>
      <c r="AI549" s="11"/>
      <c r="AJ549" s="11"/>
    </row>
    <row r="550" spans="2:36" s="7" customFormat="1">
      <c r="B550" s="11"/>
      <c r="C550" s="23"/>
      <c r="D550"/>
      <c r="E550"/>
      <c r="F550"/>
      <c r="G550"/>
      <c r="H550"/>
      <c r="I550"/>
      <c r="J550"/>
      <c r="K550" s="21"/>
      <c r="L550" s="21"/>
      <c r="M550" s="21"/>
      <c r="AG550" s="11"/>
      <c r="AH550" s="12"/>
      <c r="AI550" s="11"/>
      <c r="AJ550" s="11"/>
    </row>
    <row r="551" spans="2:36" s="7" customFormat="1">
      <c r="B551" s="11"/>
      <c r="C551" s="23"/>
      <c r="D551"/>
      <c r="E551"/>
      <c r="F551"/>
      <c r="G551"/>
      <c r="H551"/>
      <c r="I551"/>
      <c r="J551"/>
      <c r="K551" s="21"/>
      <c r="L551" s="21"/>
      <c r="M551" s="21"/>
      <c r="AG551" s="11"/>
      <c r="AH551" s="12"/>
      <c r="AI551" s="11"/>
      <c r="AJ551" s="11"/>
    </row>
    <row r="552" spans="2:36" s="7" customFormat="1">
      <c r="B552" s="11"/>
      <c r="C552" s="23"/>
      <c r="D552"/>
      <c r="E552"/>
      <c r="F552"/>
      <c r="G552"/>
      <c r="H552"/>
      <c r="I552"/>
      <c r="J552"/>
      <c r="K552" s="26"/>
      <c r="L552" s="77"/>
      <c r="M552" s="21"/>
      <c r="AG552" s="11"/>
      <c r="AH552" s="12"/>
      <c r="AI552" s="11"/>
      <c r="AJ552" s="11"/>
    </row>
    <row r="553" spans="2:36" s="7" customFormat="1">
      <c r="B553" s="11"/>
      <c r="C553" s="23"/>
      <c r="D553"/>
      <c r="E553"/>
      <c r="F553"/>
      <c r="G553"/>
      <c r="H553"/>
      <c r="I553"/>
      <c r="J553"/>
      <c r="M553" s="21"/>
      <c r="AG553" s="11"/>
      <c r="AH553" s="12"/>
      <c r="AI553" s="11"/>
      <c r="AJ553" s="11"/>
    </row>
    <row r="554" spans="2:36" s="7" customFormat="1">
      <c r="B554" s="11"/>
      <c r="C554" s="23"/>
      <c r="D554"/>
      <c r="E554"/>
      <c r="F554"/>
      <c r="G554"/>
      <c r="H554"/>
      <c r="I554"/>
      <c r="J554"/>
      <c r="M554" s="21"/>
      <c r="AG554" s="11"/>
      <c r="AH554" s="12"/>
      <c r="AI554" s="11"/>
      <c r="AJ554" s="11"/>
    </row>
    <row r="555" spans="2:36" s="7" customFormat="1">
      <c r="B555" s="11"/>
      <c r="C555" s="23"/>
      <c r="D555"/>
      <c r="E555"/>
      <c r="F555"/>
      <c r="G555"/>
      <c r="H555"/>
      <c r="I555"/>
      <c r="J555"/>
      <c r="M555" s="21"/>
      <c r="AG555" s="11"/>
      <c r="AH555" s="12"/>
      <c r="AI555" s="11"/>
      <c r="AJ555" s="11"/>
    </row>
    <row r="556" spans="2:36" s="7" customFormat="1">
      <c r="B556" s="11"/>
      <c r="C556" s="23"/>
      <c r="D556"/>
      <c r="E556"/>
      <c r="F556"/>
      <c r="G556"/>
      <c r="H556"/>
      <c r="I556"/>
      <c r="J556"/>
      <c r="M556" s="21"/>
      <c r="AG556" s="11"/>
      <c r="AH556" s="12"/>
      <c r="AI556" s="11"/>
      <c r="AJ556" s="11"/>
    </row>
    <row r="557" spans="2:36" s="7" customFormat="1">
      <c r="B557" s="11"/>
      <c r="C557" s="23"/>
      <c r="D557"/>
      <c r="E557"/>
      <c r="F557"/>
      <c r="G557"/>
      <c r="H557"/>
      <c r="I557"/>
      <c r="J557"/>
      <c r="M557" s="21"/>
      <c r="AG557" s="11"/>
      <c r="AH557" s="12"/>
      <c r="AI557" s="11"/>
      <c r="AJ557" s="11"/>
    </row>
    <row r="558" spans="2:36">
      <c r="C558" s="23"/>
      <c r="D558"/>
      <c r="E558"/>
      <c r="F558"/>
      <c r="G558"/>
      <c r="H558"/>
      <c r="I558"/>
      <c r="J558"/>
      <c r="K558" s="21"/>
      <c r="L558" s="21"/>
    </row>
    <row r="559" spans="2:36">
      <c r="C559" s="23"/>
      <c r="D559"/>
      <c r="E559"/>
      <c r="F559"/>
      <c r="G559"/>
      <c r="H559"/>
      <c r="I559"/>
      <c r="J559"/>
      <c r="K559" s="21"/>
      <c r="L559" s="21"/>
    </row>
    <row r="560" spans="2:36" s="7" customFormat="1">
      <c r="B560" s="11"/>
      <c r="C560" s="23"/>
      <c r="D560"/>
      <c r="E560"/>
      <c r="F560"/>
      <c r="G560"/>
      <c r="H560"/>
      <c r="I560"/>
      <c r="J560"/>
      <c r="K560" s="21"/>
      <c r="L560" s="21"/>
      <c r="AG560" s="11"/>
      <c r="AH560" s="12"/>
      <c r="AI560" s="11"/>
      <c r="AJ560" s="11"/>
    </row>
    <row r="561" spans="2:36" s="7" customFormat="1">
      <c r="B561" s="11"/>
      <c r="C561" s="23"/>
      <c r="D561"/>
      <c r="E561"/>
      <c r="F561"/>
      <c r="G561"/>
      <c r="H561"/>
      <c r="I561"/>
      <c r="J561"/>
      <c r="K561" s="21"/>
      <c r="L561" s="21"/>
      <c r="AG561" s="11"/>
      <c r="AH561" s="12"/>
      <c r="AI561" s="11"/>
      <c r="AJ561" s="11"/>
    </row>
    <row r="562" spans="2:36" s="7" customFormat="1">
      <c r="B562" s="11"/>
      <c r="C562" s="23"/>
      <c r="D562"/>
      <c r="E562"/>
      <c r="F562"/>
      <c r="G562"/>
      <c r="H562"/>
      <c r="I562"/>
      <c r="J562"/>
      <c r="K562" s="21"/>
      <c r="L562" s="21"/>
      <c r="AG562" s="11"/>
      <c r="AH562" s="12"/>
      <c r="AI562" s="11"/>
      <c r="AJ562" s="11"/>
    </row>
    <row r="563" spans="2:36" s="7" customFormat="1">
      <c r="B563" s="11"/>
      <c r="C563" s="23"/>
      <c r="D563"/>
      <c r="E563"/>
      <c r="F563"/>
      <c r="G563"/>
      <c r="H563"/>
      <c r="I563"/>
      <c r="J563"/>
      <c r="K563" s="21"/>
      <c r="L563" s="21"/>
      <c r="AG563" s="11"/>
      <c r="AH563" s="12"/>
      <c r="AI563" s="11"/>
      <c r="AJ563" s="11"/>
    </row>
    <row r="564" spans="2:36" s="7" customFormat="1">
      <c r="B564" s="11"/>
      <c r="C564" s="23"/>
      <c r="D564"/>
      <c r="E564"/>
      <c r="F564"/>
      <c r="G564"/>
      <c r="H564"/>
      <c r="I564"/>
      <c r="J564"/>
      <c r="K564" s="21"/>
      <c r="L564" s="21"/>
      <c r="AG564" s="11"/>
      <c r="AH564" s="12"/>
      <c r="AI564" s="11"/>
      <c r="AJ564" s="11"/>
    </row>
    <row r="565" spans="2:36" s="7" customFormat="1">
      <c r="B565" s="11"/>
      <c r="C565" s="23"/>
      <c r="D565"/>
      <c r="E565"/>
      <c r="F565"/>
      <c r="G565"/>
      <c r="H565"/>
      <c r="I565"/>
      <c r="J565"/>
      <c r="K565" s="21"/>
      <c r="L565" s="21"/>
      <c r="AG565" s="11"/>
      <c r="AH565" s="12"/>
      <c r="AI565" s="11"/>
      <c r="AJ565" s="11"/>
    </row>
    <row r="566" spans="2:36" s="7" customFormat="1">
      <c r="B566" s="11"/>
      <c r="C566" s="23"/>
      <c r="D566"/>
      <c r="E566"/>
      <c r="F566"/>
      <c r="G566"/>
      <c r="H566"/>
      <c r="I566"/>
      <c r="J566"/>
      <c r="K566" s="21"/>
      <c r="L566" s="21"/>
      <c r="AG566" s="11"/>
      <c r="AH566" s="12"/>
      <c r="AI566" s="11"/>
      <c r="AJ566" s="11"/>
    </row>
    <row r="567" spans="2:36" s="7" customFormat="1">
      <c r="B567" s="11"/>
      <c r="C567" s="23"/>
      <c r="D567"/>
      <c r="E567"/>
      <c r="F567"/>
      <c r="G567"/>
      <c r="H567"/>
      <c r="I567"/>
      <c r="J567"/>
      <c r="K567" s="21"/>
      <c r="L567" s="21"/>
      <c r="AG567" s="11"/>
      <c r="AH567" s="12"/>
      <c r="AI567" s="11"/>
      <c r="AJ567" s="11"/>
    </row>
    <row r="568" spans="2:36" s="7" customFormat="1">
      <c r="B568" s="11"/>
      <c r="C568" s="23"/>
      <c r="D568"/>
      <c r="E568"/>
      <c r="F568"/>
      <c r="G568"/>
      <c r="H568"/>
      <c r="I568"/>
      <c r="J568"/>
      <c r="K568" s="21"/>
      <c r="L568" s="21"/>
      <c r="AG568" s="11"/>
      <c r="AH568" s="12"/>
      <c r="AI568" s="11"/>
      <c r="AJ568" s="11"/>
    </row>
    <row r="569" spans="2:36" s="7" customFormat="1">
      <c r="B569" s="11"/>
      <c r="C569" s="23"/>
      <c r="D569"/>
      <c r="E569"/>
      <c r="F569"/>
      <c r="G569"/>
      <c r="H569"/>
      <c r="I569"/>
      <c r="J569"/>
      <c r="K569" s="21"/>
      <c r="L569" s="21"/>
      <c r="AG569" s="11"/>
      <c r="AH569" s="12"/>
      <c r="AI569" s="11"/>
      <c r="AJ569" s="11"/>
    </row>
    <row r="570" spans="2:36" s="7" customFormat="1">
      <c r="B570" s="11"/>
      <c r="C570" s="23"/>
      <c r="D570"/>
      <c r="E570"/>
      <c r="F570"/>
      <c r="G570"/>
      <c r="H570"/>
      <c r="I570"/>
      <c r="J570"/>
      <c r="K570" s="21"/>
      <c r="L570" s="21"/>
      <c r="AG570" s="11"/>
      <c r="AH570" s="12"/>
      <c r="AI570" s="11"/>
      <c r="AJ570" s="11"/>
    </row>
    <row r="571" spans="2:36" s="7" customFormat="1">
      <c r="B571" s="11"/>
      <c r="C571" s="23"/>
      <c r="D571"/>
      <c r="E571"/>
      <c r="F571"/>
      <c r="G571"/>
      <c r="H571"/>
      <c r="I571"/>
      <c r="J571"/>
      <c r="K571" s="21"/>
      <c r="L571" s="21"/>
      <c r="AG571" s="11"/>
      <c r="AH571" s="12"/>
      <c r="AI571" s="11"/>
      <c r="AJ571" s="11"/>
    </row>
    <row r="572" spans="2:36" s="7" customFormat="1">
      <c r="B572" s="11"/>
      <c r="C572" s="23"/>
      <c r="D572"/>
      <c r="E572"/>
      <c r="F572"/>
      <c r="G572"/>
      <c r="H572"/>
      <c r="I572"/>
      <c r="J572"/>
      <c r="K572" s="21"/>
      <c r="L572" s="21"/>
      <c r="AG572" s="11"/>
      <c r="AH572" s="12"/>
      <c r="AI572" s="11"/>
      <c r="AJ572" s="11"/>
    </row>
    <row r="573" spans="2:36" s="7" customFormat="1">
      <c r="B573" s="11"/>
      <c r="C573" s="23"/>
      <c r="D573"/>
      <c r="E573"/>
      <c r="F573"/>
      <c r="G573"/>
      <c r="H573"/>
      <c r="I573"/>
      <c r="J573"/>
      <c r="K573" s="21"/>
      <c r="L573" s="21"/>
      <c r="AG573" s="11"/>
      <c r="AH573" s="12"/>
      <c r="AI573" s="11"/>
      <c r="AJ573" s="11"/>
    </row>
    <row r="574" spans="2:36" s="7" customFormat="1">
      <c r="B574" s="11"/>
      <c r="C574" s="23"/>
      <c r="D574"/>
      <c r="E574"/>
      <c r="F574"/>
      <c r="G574"/>
      <c r="H574"/>
      <c r="I574"/>
      <c r="J574"/>
      <c r="K574" s="21"/>
      <c r="L574" s="21"/>
      <c r="AG574" s="11"/>
      <c r="AH574" s="12"/>
      <c r="AI574" s="11"/>
      <c r="AJ574" s="11"/>
    </row>
    <row r="575" spans="2:36" s="7" customFormat="1">
      <c r="B575" s="11"/>
      <c r="C575" s="23"/>
      <c r="D575"/>
      <c r="E575"/>
      <c r="F575"/>
      <c r="G575"/>
      <c r="H575"/>
      <c r="I575"/>
      <c r="J575"/>
      <c r="K575" s="21"/>
      <c r="L575" s="21"/>
      <c r="AG575" s="11"/>
      <c r="AH575" s="12"/>
      <c r="AI575" s="11"/>
      <c r="AJ575" s="11"/>
    </row>
    <row r="576" spans="2:36" s="7" customFormat="1">
      <c r="B576" s="11"/>
      <c r="C576" s="23"/>
      <c r="D576"/>
      <c r="E576"/>
      <c r="F576"/>
      <c r="G576"/>
      <c r="H576"/>
      <c r="I576"/>
      <c r="J576"/>
      <c r="K576" s="21"/>
      <c r="L576" s="21"/>
      <c r="AG576" s="11"/>
      <c r="AH576" s="12"/>
      <c r="AI576" s="11"/>
      <c r="AJ576" s="11"/>
    </row>
    <row r="577" spans="2:36" s="7" customFormat="1">
      <c r="B577" s="11"/>
      <c r="C577" s="23"/>
      <c r="D577"/>
      <c r="E577"/>
      <c r="F577"/>
      <c r="G577"/>
      <c r="H577"/>
      <c r="I577"/>
      <c r="J577"/>
      <c r="K577" s="21"/>
      <c r="L577" s="21"/>
      <c r="AG577" s="11"/>
      <c r="AH577" s="12"/>
      <c r="AI577" s="11"/>
      <c r="AJ577" s="11"/>
    </row>
    <row r="578" spans="2:36" s="7" customFormat="1">
      <c r="B578" s="11"/>
      <c r="C578" s="23"/>
      <c r="D578"/>
      <c r="E578"/>
      <c r="F578"/>
      <c r="G578"/>
      <c r="H578"/>
      <c r="I578"/>
      <c r="J578"/>
      <c r="K578" s="21"/>
      <c r="L578" s="21"/>
      <c r="AG578" s="11"/>
      <c r="AH578" s="12"/>
      <c r="AI578" s="11"/>
      <c r="AJ578" s="11"/>
    </row>
    <row r="579" spans="2:36" s="7" customFormat="1">
      <c r="B579" s="11"/>
      <c r="C579" s="23"/>
      <c r="D579"/>
      <c r="E579"/>
      <c r="F579"/>
      <c r="G579"/>
      <c r="H579"/>
      <c r="I579"/>
      <c r="J579"/>
      <c r="K579" s="21"/>
      <c r="L579" s="21"/>
      <c r="AG579" s="11"/>
      <c r="AH579" s="12"/>
      <c r="AI579" s="11"/>
      <c r="AJ579" s="11"/>
    </row>
    <row r="580" spans="2:36" s="7" customFormat="1">
      <c r="B580" s="11"/>
      <c r="C580" s="23"/>
      <c r="D580"/>
      <c r="E580"/>
      <c r="F580"/>
      <c r="G580"/>
      <c r="H580"/>
      <c r="I580"/>
      <c r="J580"/>
      <c r="K580" s="21"/>
      <c r="L580" s="21"/>
      <c r="AG580" s="11"/>
      <c r="AH580" s="12"/>
      <c r="AI580" s="11"/>
      <c r="AJ580" s="11"/>
    </row>
    <row r="581" spans="2:36" s="7" customFormat="1">
      <c r="B581" s="11"/>
      <c r="C581" s="23"/>
      <c r="D581"/>
      <c r="E581"/>
      <c r="F581"/>
      <c r="G581"/>
      <c r="H581"/>
      <c r="I581"/>
      <c r="J581"/>
      <c r="K581" s="21"/>
      <c r="L581" s="21"/>
      <c r="AG581" s="11"/>
      <c r="AH581" s="12"/>
      <c r="AI581" s="11"/>
      <c r="AJ581" s="11"/>
    </row>
    <row r="582" spans="2:36" s="7" customFormat="1">
      <c r="B582" s="11"/>
      <c r="C582" s="23"/>
      <c r="D582"/>
      <c r="E582"/>
      <c r="F582"/>
      <c r="G582"/>
      <c r="H582"/>
      <c r="I582"/>
      <c r="J582"/>
      <c r="K582" s="26"/>
      <c r="L582" s="77"/>
      <c r="AG582" s="11"/>
      <c r="AH582" s="12"/>
      <c r="AI582" s="11"/>
      <c r="AJ582" s="11"/>
    </row>
    <row r="583" spans="2:36" s="7" customFormat="1">
      <c r="B583" s="11"/>
      <c r="C583" s="23"/>
      <c r="D583"/>
      <c r="E583"/>
      <c r="F583"/>
      <c r="G583"/>
      <c r="H583"/>
      <c r="I583"/>
      <c r="J583"/>
      <c r="AG583" s="11"/>
      <c r="AH583" s="12"/>
      <c r="AI583" s="11"/>
      <c r="AJ583" s="11"/>
    </row>
    <row r="584" spans="2:36" s="7" customFormat="1">
      <c r="B584" s="11"/>
      <c r="C584" s="23"/>
      <c r="D584"/>
      <c r="E584"/>
      <c r="F584"/>
      <c r="G584"/>
      <c r="H584"/>
      <c r="I584"/>
      <c r="J584"/>
      <c r="AG584" s="11"/>
      <c r="AH584" s="12"/>
      <c r="AI584" s="11"/>
      <c r="AJ584" s="11"/>
    </row>
    <row r="585" spans="2:36" s="7" customFormat="1">
      <c r="B585" s="11"/>
      <c r="C585" s="23"/>
      <c r="D585"/>
      <c r="E585"/>
      <c r="F585"/>
      <c r="G585"/>
      <c r="H585"/>
      <c r="I585"/>
      <c r="J585"/>
      <c r="AG585" s="11"/>
      <c r="AH585" s="12"/>
      <c r="AI585" s="11"/>
      <c r="AJ585" s="11"/>
    </row>
    <row r="586" spans="2:36" s="7" customFormat="1">
      <c r="B586" s="11"/>
      <c r="C586" s="23"/>
      <c r="D586"/>
      <c r="E586"/>
      <c r="F586"/>
      <c r="G586"/>
      <c r="H586"/>
      <c r="I586"/>
      <c r="J586"/>
      <c r="AG586" s="11"/>
      <c r="AH586" s="12"/>
      <c r="AI586" s="11"/>
      <c r="AJ586" s="11"/>
    </row>
    <row r="587" spans="2:36" s="7" customFormat="1">
      <c r="B587" s="11"/>
      <c r="C587" s="23"/>
      <c r="D587"/>
      <c r="E587"/>
      <c r="F587"/>
      <c r="G587"/>
      <c r="H587"/>
      <c r="I587"/>
      <c r="J587"/>
      <c r="AG587" s="11"/>
      <c r="AH587" s="12"/>
      <c r="AI587" s="11"/>
      <c r="AJ587" s="11"/>
    </row>
    <row r="588" spans="2:36" s="7" customFormat="1">
      <c r="B588" s="11"/>
      <c r="C588" s="23"/>
      <c r="D588"/>
      <c r="E588"/>
      <c r="F588"/>
      <c r="G588"/>
      <c r="H588"/>
      <c r="I588"/>
      <c r="J588"/>
      <c r="K588" s="21"/>
      <c r="L588" s="21"/>
      <c r="AG588" s="11"/>
      <c r="AH588" s="12"/>
      <c r="AI588" s="11"/>
      <c r="AJ588" s="11"/>
    </row>
    <row r="589" spans="2:36" s="7" customFormat="1">
      <c r="B589" s="11"/>
      <c r="C589" s="23"/>
      <c r="D589"/>
      <c r="E589"/>
      <c r="F589"/>
      <c r="G589"/>
      <c r="H589"/>
      <c r="I589"/>
      <c r="J589"/>
      <c r="K589" s="21"/>
      <c r="L589" s="21"/>
      <c r="AG589" s="11"/>
      <c r="AH589" s="12"/>
      <c r="AI589" s="11"/>
      <c r="AJ589" s="11"/>
    </row>
    <row r="590" spans="2:36">
      <c r="C590" s="23"/>
      <c r="D590"/>
      <c r="E590"/>
      <c r="F590"/>
      <c r="G590"/>
      <c r="H590"/>
      <c r="I590"/>
      <c r="J590"/>
      <c r="K590" s="21"/>
      <c r="L590" s="21"/>
    </row>
    <row r="591" spans="2:36">
      <c r="C591" s="23"/>
      <c r="D591"/>
      <c r="E591"/>
      <c r="F591"/>
      <c r="G591"/>
      <c r="H591"/>
      <c r="I591"/>
      <c r="J591"/>
      <c r="K591" s="21"/>
      <c r="L591" s="21"/>
    </row>
    <row r="592" spans="2:36">
      <c r="C592" s="23"/>
      <c r="D592"/>
      <c r="E592"/>
      <c r="F592"/>
      <c r="G592"/>
      <c r="H592"/>
      <c r="I592"/>
      <c r="J592"/>
      <c r="K592" s="21"/>
      <c r="L592" s="21"/>
    </row>
    <row r="593" spans="3:12">
      <c r="C593" s="23"/>
      <c r="D593"/>
      <c r="E593"/>
      <c r="F593"/>
      <c r="G593"/>
      <c r="H593"/>
      <c r="I593"/>
      <c r="J593"/>
      <c r="K593" s="21"/>
      <c r="L593" s="21"/>
    </row>
    <row r="594" spans="3:12">
      <c r="C594" s="23"/>
      <c r="D594"/>
      <c r="E594"/>
      <c r="F594"/>
      <c r="G594"/>
      <c r="H594"/>
      <c r="I594"/>
      <c r="J594"/>
      <c r="K594" s="21"/>
      <c r="L594" s="21"/>
    </row>
    <row r="595" spans="3:12">
      <c r="C595" s="23"/>
      <c r="D595"/>
      <c r="E595"/>
      <c r="F595"/>
      <c r="G595"/>
      <c r="H595"/>
      <c r="I595"/>
      <c r="J595"/>
      <c r="K595" s="21"/>
      <c r="L595" s="21"/>
    </row>
    <row r="596" spans="3:12">
      <c r="C596" s="23"/>
      <c r="D596"/>
      <c r="E596"/>
      <c r="F596"/>
      <c r="G596"/>
      <c r="H596"/>
      <c r="I596"/>
      <c r="J596"/>
      <c r="K596" s="21"/>
      <c r="L596" s="21"/>
    </row>
    <row r="597" spans="3:12">
      <c r="C597" s="23"/>
      <c r="D597"/>
      <c r="E597"/>
      <c r="F597"/>
      <c r="G597"/>
      <c r="H597"/>
      <c r="I597"/>
      <c r="J597"/>
      <c r="K597" s="21"/>
      <c r="L597" s="21"/>
    </row>
    <row r="598" spans="3:12">
      <c r="C598" s="23"/>
      <c r="D598"/>
      <c r="E598"/>
      <c r="F598"/>
      <c r="G598"/>
      <c r="H598"/>
      <c r="I598"/>
      <c r="J598"/>
      <c r="K598" s="21"/>
      <c r="L598" s="21"/>
    </row>
    <row r="599" spans="3:12">
      <c r="C599" s="23"/>
      <c r="D599"/>
      <c r="E599"/>
      <c r="F599"/>
      <c r="G599"/>
      <c r="H599"/>
      <c r="I599"/>
      <c r="J599"/>
      <c r="K599" s="21"/>
      <c r="L599" s="21"/>
    </row>
    <row r="600" spans="3:12">
      <c r="C600" s="23"/>
      <c r="D600"/>
      <c r="E600"/>
      <c r="F600"/>
      <c r="G600"/>
      <c r="H600"/>
      <c r="I600"/>
      <c r="J600"/>
      <c r="K600" s="21"/>
      <c r="L600" s="21"/>
    </row>
    <row r="601" spans="3:12">
      <c r="C601" s="23"/>
      <c r="D601"/>
      <c r="E601"/>
      <c r="F601"/>
      <c r="G601"/>
      <c r="H601"/>
      <c r="I601"/>
      <c r="J601"/>
      <c r="K601" s="21"/>
      <c r="L601" s="21"/>
    </row>
    <row r="602" spans="3:12">
      <c r="C602" s="23"/>
      <c r="D602"/>
      <c r="E602"/>
      <c r="F602"/>
      <c r="G602"/>
      <c r="H602"/>
      <c r="I602"/>
      <c r="J602"/>
      <c r="K602" s="21"/>
      <c r="L602" s="21"/>
    </row>
    <row r="603" spans="3:12">
      <c r="C603" s="23"/>
      <c r="D603"/>
      <c r="E603"/>
      <c r="F603"/>
      <c r="G603"/>
      <c r="H603"/>
      <c r="I603"/>
      <c r="J603"/>
      <c r="K603" s="21"/>
      <c r="L603" s="21"/>
    </row>
    <row r="604" spans="3:12">
      <c r="C604" s="23"/>
      <c r="D604"/>
      <c r="E604"/>
      <c r="F604"/>
      <c r="G604"/>
      <c r="H604"/>
      <c r="I604"/>
      <c r="J604"/>
      <c r="K604" s="21"/>
      <c r="L604" s="21"/>
    </row>
    <row r="605" spans="3:12">
      <c r="C605" s="23"/>
      <c r="D605"/>
      <c r="E605"/>
      <c r="F605"/>
      <c r="G605"/>
      <c r="H605"/>
      <c r="I605"/>
      <c r="J605"/>
      <c r="K605" s="21"/>
      <c r="L605" s="21"/>
    </row>
    <row r="606" spans="3:12">
      <c r="C606" s="23"/>
      <c r="D606"/>
      <c r="E606"/>
      <c r="F606"/>
      <c r="G606"/>
      <c r="H606"/>
      <c r="I606"/>
      <c r="J606"/>
      <c r="K606" s="21"/>
      <c r="L606" s="21"/>
    </row>
    <row r="607" spans="3:12">
      <c r="C607" s="23"/>
      <c r="D607"/>
      <c r="E607"/>
      <c r="F607"/>
      <c r="G607"/>
      <c r="H607"/>
      <c r="I607"/>
      <c r="J607"/>
      <c r="K607" s="21"/>
      <c r="L607" s="21"/>
    </row>
    <row r="608" spans="3:12">
      <c r="C608" s="23"/>
      <c r="D608"/>
      <c r="E608"/>
      <c r="F608"/>
      <c r="G608"/>
      <c r="H608"/>
      <c r="I608"/>
      <c r="J608"/>
      <c r="K608" s="21"/>
      <c r="L608" s="21"/>
    </row>
    <row r="609" spans="3:12">
      <c r="C609" s="23"/>
      <c r="D609"/>
      <c r="E609"/>
      <c r="F609"/>
      <c r="G609"/>
      <c r="H609"/>
      <c r="I609"/>
      <c r="J609"/>
      <c r="K609" s="21"/>
      <c r="L609" s="21"/>
    </row>
    <row r="610" spans="3:12">
      <c r="C610" s="23"/>
      <c r="D610"/>
      <c r="E610"/>
      <c r="F610"/>
      <c r="G610"/>
      <c r="H610"/>
      <c r="I610"/>
      <c r="J610"/>
      <c r="K610" s="21"/>
      <c r="L610" s="21"/>
    </row>
    <row r="611" spans="3:12">
      <c r="C611" s="23"/>
      <c r="D611"/>
      <c r="E611"/>
      <c r="F611"/>
      <c r="G611"/>
      <c r="H611"/>
      <c r="I611"/>
      <c r="J611"/>
      <c r="K611" s="21"/>
      <c r="L611" s="21"/>
    </row>
    <row r="612" spans="3:12">
      <c r="C612" s="23"/>
      <c r="D612"/>
      <c r="E612"/>
      <c r="F612"/>
      <c r="G612"/>
      <c r="H612"/>
      <c r="I612"/>
      <c r="J612"/>
      <c r="K612" s="26"/>
      <c r="L612" s="77"/>
    </row>
    <row r="613" spans="3:12">
      <c r="C613" s="23"/>
      <c r="D613"/>
      <c r="E613"/>
      <c r="F613"/>
      <c r="G613"/>
      <c r="H613"/>
      <c r="I613"/>
      <c r="J613"/>
    </row>
    <row r="614" spans="3:12">
      <c r="C614" s="23"/>
      <c r="D614"/>
      <c r="E614"/>
      <c r="F614"/>
      <c r="G614"/>
      <c r="H614"/>
      <c r="I614"/>
      <c r="J614"/>
    </row>
    <row r="615" spans="3:12">
      <c r="C615" s="23"/>
      <c r="D615"/>
      <c r="E615"/>
      <c r="F615"/>
      <c r="G615"/>
      <c r="H615"/>
      <c r="I615"/>
      <c r="J615"/>
    </row>
    <row r="616" spans="3:12">
      <c r="C616" s="23"/>
      <c r="D616"/>
      <c r="E616"/>
      <c r="F616"/>
      <c r="G616"/>
      <c r="H616"/>
      <c r="I616"/>
      <c r="J616"/>
    </row>
    <row r="617" spans="3:12">
      <c r="C617" s="23"/>
      <c r="D617"/>
      <c r="E617"/>
      <c r="F617"/>
      <c r="G617"/>
      <c r="H617"/>
      <c r="I617"/>
      <c r="J617"/>
    </row>
    <row r="618" spans="3:12">
      <c r="C618" s="23"/>
      <c r="D618"/>
      <c r="E618"/>
      <c r="F618"/>
      <c r="G618"/>
      <c r="H618"/>
      <c r="I618"/>
      <c r="J618"/>
      <c r="K618" s="21"/>
      <c r="L618" s="21"/>
    </row>
    <row r="619" spans="3:12">
      <c r="C619" s="23"/>
      <c r="D619"/>
      <c r="E619"/>
      <c r="F619"/>
      <c r="G619"/>
      <c r="H619"/>
      <c r="I619"/>
      <c r="J619"/>
      <c r="K619" s="21"/>
      <c r="L619" s="21"/>
    </row>
    <row r="620" spans="3:12">
      <c r="C620" s="23"/>
      <c r="D620"/>
      <c r="E620"/>
      <c r="F620"/>
      <c r="G620"/>
      <c r="H620"/>
      <c r="I620"/>
      <c r="J620"/>
      <c r="K620" s="21"/>
      <c r="L620" s="21"/>
    </row>
    <row r="621" spans="3:12">
      <c r="C621" s="23"/>
      <c r="D621"/>
      <c r="E621"/>
      <c r="F621"/>
      <c r="G621"/>
      <c r="H621"/>
      <c r="I621"/>
      <c r="J621"/>
      <c r="K621" s="21"/>
      <c r="L621" s="21"/>
    </row>
    <row r="622" spans="3:12">
      <c r="C622" s="23"/>
      <c r="D622"/>
      <c r="E622"/>
      <c r="F622"/>
      <c r="G622"/>
      <c r="H622"/>
      <c r="I622"/>
      <c r="J622"/>
      <c r="K622" s="21"/>
      <c r="L622" s="21"/>
    </row>
    <row r="623" spans="3:12">
      <c r="C623" s="23"/>
      <c r="D623"/>
      <c r="E623"/>
      <c r="F623"/>
      <c r="G623"/>
      <c r="H623"/>
      <c r="I623"/>
      <c r="J623"/>
      <c r="K623" s="21"/>
      <c r="L623" s="21"/>
    </row>
    <row r="624" spans="3:12">
      <c r="C624" s="23"/>
      <c r="D624"/>
      <c r="E624"/>
      <c r="F624"/>
      <c r="G624"/>
      <c r="H624"/>
      <c r="I624"/>
      <c r="J624"/>
      <c r="K624" s="21"/>
      <c r="L624" s="21"/>
    </row>
    <row r="625" spans="3:12">
      <c r="C625" s="23"/>
      <c r="D625"/>
      <c r="E625"/>
      <c r="F625"/>
      <c r="G625"/>
      <c r="H625"/>
      <c r="I625"/>
      <c r="J625"/>
      <c r="K625" s="21"/>
      <c r="L625" s="21"/>
    </row>
    <row r="626" spans="3:12">
      <c r="C626" s="23"/>
      <c r="D626"/>
      <c r="E626"/>
      <c r="F626"/>
      <c r="G626"/>
      <c r="H626"/>
      <c r="I626"/>
      <c r="J626"/>
      <c r="K626" s="21"/>
      <c r="L626" s="21"/>
    </row>
    <row r="627" spans="3:12">
      <c r="C627" s="23"/>
      <c r="D627"/>
      <c r="E627"/>
      <c r="F627"/>
      <c r="G627"/>
      <c r="H627"/>
      <c r="I627"/>
      <c r="J627"/>
      <c r="K627" s="21"/>
      <c r="L627" s="21"/>
    </row>
    <row r="628" spans="3:12">
      <c r="C628" s="23"/>
      <c r="D628"/>
      <c r="E628"/>
      <c r="F628"/>
      <c r="G628"/>
      <c r="H628"/>
      <c r="I628"/>
      <c r="J628"/>
      <c r="K628" s="21"/>
      <c r="L628" s="21"/>
    </row>
    <row r="629" spans="3:12">
      <c r="C629" s="23"/>
      <c r="D629"/>
      <c r="E629"/>
      <c r="F629"/>
      <c r="G629"/>
      <c r="H629"/>
      <c r="I629"/>
      <c r="J629"/>
      <c r="K629" s="21"/>
      <c r="L629" s="21"/>
    </row>
    <row r="630" spans="3:12">
      <c r="C630" s="23"/>
      <c r="D630"/>
      <c r="E630"/>
      <c r="F630"/>
      <c r="G630"/>
      <c r="H630"/>
      <c r="I630"/>
      <c r="J630"/>
      <c r="K630" s="21"/>
      <c r="L630" s="21"/>
    </row>
    <row r="631" spans="3:12">
      <c r="C631" s="23"/>
      <c r="D631"/>
      <c r="E631"/>
      <c r="F631"/>
      <c r="G631"/>
      <c r="H631"/>
      <c r="I631"/>
      <c r="J631"/>
      <c r="K631" s="21"/>
      <c r="L631" s="21"/>
    </row>
    <row r="632" spans="3:12">
      <c r="C632" s="23"/>
      <c r="D632"/>
      <c r="E632"/>
      <c r="F632"/>
      <c r="G632"/>
      <c r="H632"/>
      <c r="I632"/>
      <c r="J632"/>
      <c r="K632" s="21"/>
      <c r="L632" s="21"/>
    </row>
    <row r="633" spans="3:12">
      <c r="C633" s="23"/>
      <c r="D633"/>
      <c r="E633"/>
      <c r="F633"/>
      <c r="G633"/>
      <c r="H633"/>
      <c r="I633"/>
      <c r="J633"/>
      <c r="K633" s="21"/>
      <c r="L633" s="21"/>
    </row>
    <row r="634" spans="3:12">
      <c r="C634" s="23"/>
      <c r="D634"/>
      <c r="E634"/>
      <c r="F634"/>
      <c r="G634"/>
      <c r="H634"/>
      <c r="I634"/>
      <c r="J634"/>
      <c r="K634" s="21"/>
      <c r="L634" s="21"/>
    </row>
    <row r="635" spans="3:12">
      <c r="C635" s="23"/>
      <c r="D635"/>
      <c r="E635"/>
      <c r="F635"/>
      <c r="G635"/>
      <c r="H635"/>
      <c r="I635"/>
      <c r="J635"/>
      <c r="K635" s="21"/>
      <c r="L635" s="21"/>
    </row>
    <row r="636" spans="3:12">
      <c r="C636" s="23"/>
      <c r="D636"/>
      <c r="E636"/>
      <c r="F636"/>
      <c r="G636"/>
      <c r="H636"/>
      <c r="I636"/>
      <c r="J636"/>
      <c r="K636" s="21"/>
      <c r="L636" s="21"/>
    </row>
    <row r="637" spans="3:12">
      <c r="C637" s="23"/>
      <c r="D637"/>
      <c r="E637"/>
      <c r="F637"/>
      <c r="G637"/>
      <c r="H637"/>
      <c r="I637"/>
      <c r="J637"/>
      <c r="K637" s="21"/>
      <c r="L637" s="21"/>
    </row>
    <row r="638" spans="3:12">
      <c r="C638" s="23"/>
      <c r="D638"/>
      <c r="E638"/>
      <c r="F638"/>
      <c r="G638"/>
      <c r="H638"/>
      <c r="I638"/>
      <c r="J638"/>
      <c r="K638" s="21"/>
      <c r="L638" s="21"/>
    </row>
    <row r="639" spans="3:12">
      <c r="C639" s="23"/>
      <c r="D639"/>
      <c r="E639"/>
      <c r="F639"/>
      <c r="G639"/>
      <c r="H639"/>
      <c r="I639"/>
      <c r="J639"/>
      <c r="K639" s="21"/>
      <c r="L639" s="21"/>
    </row>
    <row r="640" spans="3:12">
      <c r="C640" s="23"/>
      <c r="D640"/>
      <c r="E640"/>
      <c r="F640"/>
      <c r="G640"/>
      <c r="H640"/>
      <c r="I640"/>
      <c r="J640"/>
      <c r="K640" s="21"/>
      <c r="L640" s="21"/>
    </row>
    <row r="641" spans="3:12">
      <c r="C641" s="23"/>
      <c r="D641"/>
      <c r="E641"/>
      <c r="F641"/>
      <c r="G641"/>
      <c r="H641"/>
      <c r="I641"/>
      <c r="J641"/>
      <c r="K641" s="21"/>
      <c r="L641" s="21"/>
    </row>
    <row r="642" spans="3:12">
      <c r="C642" s="23"/>
      <c r="D642"/>
      <c r="E642"/>
      <c r="F642"/>
      <c r="G642"/>
      <c r="H642"/>
      <c r="I642"/>
      <c r="J642"/>
      <c r="K642" s="26"/>
      <c r="L642" s="77"/>
    </row>
    <row r="643" spans="3:12">
      <c r="C643" s="23"/>
      <c r="D643"/>
      <c r="E643"/>
      <c r="F643"/>
      <c r="G643"/>
      <c r="H643"/>
      <c r="I643"/>
      <c r="J643"/>
    </row>
    <row r="644" spans="3:12">
      <c r="C644" s="23"/>
      <c r="D644"/>
      <c r="E644"/>
      <c r="F644"/>
      <c r="G644"/>
      <c r="H644"/>
      <c r="I644"/>
      <c r="J644"/>
    </row>
    <row r="645" spans="3:12">
      <c r="C645" s="23"/>
      <c r="D645"/>
      <c r="E645"/>
      <c r="F645"/>
      <c r="G645"/>
      <c r="H645"/>
      <c r="I645"/>
      <c r="J645"/>
    </row>
    <row r="646" spans="3:12">
      <c r="C646" s="23"/>
      <c r="D646"/>
      <c r="E646"/>
      <c r="F646"/>
      <c r="G646"/>
      <c r="H646"/>
      <c r="I646"/>
      <c r="J646"/>
    </row>
    <row r="647" spans="3:12">
      <c r="C647" s="23"/>
      <c r="D647"/>
      <c r="E647"/>
      <c r="F647"/>
      <c r="G647"/>
      <c r="H647"/>
      <c r="I647"/>
      <c r="J647"/>
    </row>
    <row r="648" spans="3:12">
      <c r="C648" s="23"/>
      <c r="D648"/>
      <c r="E648"/>
      <c r="F648"/>
      <c r="G648"/>
      <c r="H648"/>
      <c r="I648"/>
      <c r="J648"/>
      <c r="K648" s="21"/>
      <c r="L648" s="21"/>
    </row>
    <row r="649" spans="3:12">
      <c r="C649" s="23"/>
      <c r="D649"/>
      <c r="E649"/>
      <c r="F649"/>
      <c r="G649"/>
      <c r="H649"/>
      <c r="I649"/>
      <c r="J649"/>
      <c r="K649" s="21"/>
      <c r="L649" s="21"/>
    </row>
    <row r="650" spans="3:12">
      <c r="C650" s="23"/>
      <c r="D650"/>
      <c r="E650"/>
      <c r="F650"/>
      <c r="G650"/>
      <c r="H650"/>
      <c r="I650"/>
      <c r="J650"/>
      <c r="K650" s="21"/>
      <c r="L650" s="21"/>
    </row>
    <row r="651" spans="3:12">
      <c r="C651" s="23"/>
      <c r="D651"/>
      <c r="E651"/>
      <c r="F651"/>
      <c r="G651"/>
      <c r="H651"/>
      <c r="I651"/>
      <c r="J651"/>
      <c r="K651" s="21"/>
      <c r="L651" s="21"/>
    </row>
    <row r="652" spans="3:12">
      <c r="C652" s="23"/>
      <c r="D652"/>
      <c r="E652"/>
      <c r="F652"/>
      <c r="G652"/>
      <c r="H652"/>
      <c r="I652"/>
      <c r="J652"/>
      <c r="K652" s="21"/>
      <c r="L652" s="21"/>
    </row>
    <row r="653" spans="3:12">
      <c r="C653" s="23"/>
      <c r="D653"/>
      <c r="E653"/>
      <c r="F653"/>
      <c r="G653"/>
      <c r="H653"/>
      <c r="I653"/>
      <c r="J653"/>
      <c r="K653" s="21"/>
      <c r="L653" s="21"/>
    </row>
    <row r="654" spans="3:12">
      <c r="C654" s="23"/>
      <c r="D654"/>
      <c r="E654"/>
      <c r="F654"/>
      <c r="G654"/>
      <c r="H654"/>
      <c r="I654"/>
      <c r="J654"/>
      <c r="K654" s="21"/>
      <c r="L654" s="21"/>
    </row>
    <row r="655" spans="3:12">
      <c r="C655" s="23"/>
      <c r="D655"/>
      <c r="E655"/>
      <c r="F655"/>
      <c r="G655"/>
      <c r="H655"/>
      <c r="I655"/>
      <c r="J655"/>
      <c r="K655" s="21"/>
      <c r="L655" s="21"/>
    </row>
    <row r="656" spans="3:12">
      <c r="C656" s="23"/>
      <c r="D656"/>
      <c r="E656"/>
      <c r="F656"/>
      <c r="G656"/>
      <c r="H656"/>
      <c r="I656"/>
      <c r="J656"/>
      <c r="K656" s="21"/>
      <c r="L656" s="21"/>
    </row>
    <row r="657" spans="3:12">
      <c r="C657" s="23"/>
      <c r="D657"/>
      <c r="E657"/>
      <c r="F657"/>
      <c r="G657"/>
      <c r="H657"/>
      <c r="I657"/>
      <c r="J657"/>
      <c r="K657" s="21"/>
      <c r="L657" s="21"/>
    </row>
    <row r="658" spans="3:12">
      <c r="C658" s="23"/>
      <c r="D658"/>
      <c r="E658"/>
      <c r="F658"/>
      <c r="G658"/>
      <c r="H658"/>
      <c r="I658"/>
      <c r="J658"/>
      <c r="K658" s="21"/>
      <c r="L658" s="21"/>
    </row>
    <row r="659" spans="3:12">
      <c r="C659" s="23"/>
      <c r="D659"/>
      <c r="E659"/>
      <c r="F659"/>
      <c r="G659"/>
      <c r="H659"/>
      <c r="I659"/>
      <c r="J659"/>
      <c r="K659" s="21"/>
      <c r="L659" s="21"/>
    </row>
    <row r="660" spans="3:12">
      <c r="C660" s="23"/>
      <c r="D660"/>
      <c r="E660"/>
      <c r="F660"/>
      <c r="G660"/>
      <c r="H660"/>
      <c r="I660"/>
      <c r="J660"/>
      <c r="K660" s="21"/>
      <c r="L660" s="21"/>
    </row>
    <row r="661" spans="3:12">
      <c r="C661" s="23"/>
      <c r="D661"/>
      <c r="E661"/>
      <c r="F661"/>
      <c r="G661"/>
      <c r="H661"/>
      <c r="I661"/>
      <c r="J661"/>
      <c r="K661" s="21"/>
      <c r="L661" s="21"/>
    </row>
    <row r="662" spans="3:12">
      <c r="C662" s="23"/>
      <c r="D662"/>
      <c r="E662"/>
      <c r="F662"/>
      <c r="G662"/>
      <c r="H662"/>
      <c r="I662"/>
      <c r="J662"/>
      <c r="K662" s="21"/>
      <c r="L662" s="21"/>
    </row>
    <row r="663" spans="3:12">
      <c r="C663" s="23"/>
      <c r="D663"/>
      <c r="E663"/>
      <c r="F663"/>
      <c r="G663"/>
      <c r="H663"/>
      <c r="I663"/>
      <c r="J663"/>
      <c r="K663" s="21"/>
      <c r="L663" s="21"/>
    </row>
    <row r="664" spans="3:12">
      <c r="C664" s="23"/>
      <c r="D664"/>
      <c r="E664"/>
      <c r="F664"/>
      <c r="G664"/>
      <c r="H664"/>
      <c r="I664"/>
      <c r="J664"/>
      <c r="K664" s="21"/>
      <c r="L664" s="21"/>
    </row>
    <row r="665" spans="3:12">
      <c r="C665" s="23"/>
      <c r="D665"/>
      <c r="E665"/>
      <c r="F665"/>
      <c r="G665"/>
      <c r="H665"/>
      <c r="I665"/>
      <c r="J665"/>
      <c r="K665" s="21"/>
      <c r="L665" s="21"/>
    </row>
    <row r="666" spans="3:12">
      <c r="C666" s="23"/>
      <c r="D666"/>
      <c r="E666"/>
      <c r="F666"/>
      <c r="G666"/>
      <c r="H666"/>
      <c r="I666"/>
      <c r="J666"/>
      <c r="K666" s="21"/>
      <c r="L666" s="21"/>
    </row>
    <row r="667" spans="3:12">
      <c r="C667" s="23"/>
      <c r="D667"/>
      <c r="E667"/>
      <c r="F667"/>
      <c r="G667"/>
      <c r="H667"/>
      <c r="I667"/>
      <c r="J667"/>
      <c r="K667" s="21"/>
      <c r="L667" s="21"/>
    </row>
    <row r="668" spans="3:12">
      <c r="C668" s="23"/>
      <c r="D668"/>
      <c r="E668"/>
      <c r="F668"/>
      <c r="G668"/>
      <c r="H668"/>
      <c r="I668"/>
      <c r="J668"/>
      <c r="K668" s="21"/>
      <c r="L668" s="21"/>
    </row>
    <row r="669" spans="3:12">
      <c r="C669" s="23"/>
      <c r="D669"/>
      <c r="E669"/>
      <c r="F669"/>
      <c r="G669"/>
      <c r="H669"/>
      <c r="I669"/>
      <c r="J669"/>
      <c r="K669" s="21"/>
      <c r="L669" s="21"/>
    </row>
    <row r="670" spans="3:12">
      <c r="C670" s="23"/>
      <c r="D670"/>
      <c r="E670"/>
      <c r="F670"/>
      <c r="G670"/>
      <c r="H670"/>
      <c r="I670"/>
      <c r="J670"/>
      <c r="K670" s="21"/>
      <c r="L670" s="21"/>
    </row>
    <row r="671" spans="3:12">
      <c r="C671" s="23"/>
      <c r="D671"/>
      <c r="E671"/>
      <c r="F671"/>
      <c r="G671"/>
      <c r="H671"/>
      <c r="I671"/>
      <c r="J671"/>
      <c r="K671" s="21"/>
      <c r="L671" s="21"/>
    </row>
    <row r="672" spans="3:12">
      <c r="C672" s="23"/>
      <c r="D672"/>
      <c r="E672"/>
      <c r="F672"/>
      <c r="G672"/>
      <c r="H672"/>
      <c r="I672"/>
      <c r="J672"/>
      <c r="K672" s="26"/>
      <c r="L672" s="77"/>
    </row>
    <row r="673" spans="3:12">
      <c r="C673" s="23"/>
      <c r="D673"/>
      <c r="E673"/>
      <c r="F673"/>
      <c r="G673"/>
      <c r="H673"/>
      <c r="I673"/>
      <c r="J673"/>
    </row>
    <row r="674" spans="3:12">
      <c r="C674" s="23"/>
      <c r="D674"/>
      <c r="E674"/>
      <c r="F674"/>
      <c r="G674"/>
      <c r="H674"/>
      <c r="I674"/>
      <c r="J674"/>
    </row>
    <row r="675" spans="3:12">
      <c r="C675" s="23"/>
      <c r="D675"/>
      <c r="E675"/>
      <c r="F675"/>
      <c r="G675"/>
      <c r="H675"/>
      <c r="I675"/>
      <c r="J675"/>
    </row>
    <row r="676" spans="3:12">
      <c r="C676" s="23"/>
      <c r="D676"/>
      <c r="E676"/>
      <c r="F676"/>
      <c r="G676"/>
      <c r="H676"/>
      <c r="I676"/>
      <c r="J676"/>
    </row>
    <row r="677" spans="3:12">
      <c r="C677" s="23"/>
      <c r="D677"/>
      <c r="E677"/>
      <c r="F677"/>
      <c r="G677"/>
      <c r="H677"/>
      <c r="I677"/>
      <c r="J677"/>
    </row>
    <row r="678" spans="3:12">
      <c r="C678" s="23"/>
      <c r="D678"/>
      <c r="E678"/>
      <c r="F678"/>
      <c r="G678"/>
      <c r="H678"/>
      <c r="I678"/>
      <c r="J678"/>
      <c r="K678" s="21"/>
      <c r="L678" s="21"/>
    </row>
    <row r="679" spans="3:12">
      <c r="C679" s="23"/>
      <c r="D679"/>
      <c r="E679"/>
      <c r="F679"/>
      <c r="G679"/>
      <c r="H679"/>
      <c r="I679"/>
      <c r="J679"/>
      <c r="K679" s="21"/>
      <c r="L679" s="21"/>
    </row>
    <row r="680" spans="3:12">
      <c r="C680" s="23"/>
      <c r="D680"/>
      <c r="E680"/>
      <c r="F680"/>
      <c r="G680"/>
      <c r="H680"/>
      <c r="I680"/>
      <c r="J680"/>
      <c r="K680" s="21"/>
      <c r="L680" s="21"/>
    </row>
    <row r="681" spans="3:12">
      <c r="C681" s="23"/>
      <c r="D681"/>
      <c r="E681"/>
      <c r="F681"/>
      <c r="G681"/>
      <c r="H681"/>
      <c r="I681"/>
      <c r="J681"/>
      <c r="K681" s="21"/>
      <c r="L681" s="21"/>
    </row>
    <row r="682" spans="3:12">
      <c r="C682" s="23"/>
      <c r="D682"/>
      <c r="E682"/>
      <c r="F682"/>
      <c r="G682"/>
      <c r="H682"/>
      <c r="I682"/>
      <c r="J682"/>
      <c r="K682" s="21"/>
      <c r="L682" s="21"/>
    </row>
    <row r="683" spans="3:12">
      <c r="C683" s="23"/>
      <c r="D683"/>
      <c r="E683"/>
      <c r="F683"/>
      <c r="G683"/>
      <c r="H683"/>
      <c r="I683"/>
      <c r="J683"/>
      <c r="K683" s="21"/>
      <c r="L683" s="21"/>
    </row>
    <row r="684" spans="3:12">
      <c r="C684" s="23"/>
      <c r="D684"/>
      <c r="E684"/>
      <c r="F684"/>
      <c r="G684"/>
      <c r="H684"/>
      <c r="I684"/>
      <c r="J684"/>
      <c r="K684" s="21"/>
      <c r="L684" s="21"/>
    </row>
    <row r="685" spans="3:12">
      <c r="C685" s="23"/>
      <c r="D685"/>
      <c r="E685"/>
      <c r="F685"/>
      <c r="G685"/>
      <c r="H685"/>
      <c r="I685"/>
      <c r="J685"/>
      <c r="K685" s="21"/>
      <c r="L685" s="21"/>
    </row>
    <row r="686" spans="3:12">
      <c r="C686" s="23"/>
      <c r="D686"/>
      <c r="E686"/>
      <c r="F686"/>
      <c r="G686"/>
      <c r="H686"/>
      <c r="I686"/>
      <c r="J686"/>
      <c r="K686" s="21"/>
      <c r="L686" s="21"/>
    </row>
    <row r="687" spans="3:12">
      <c r="C687" s="23"/>
      <c r="D687"/>
      <c r="E687"/>
      <c r="F687"/>
      <c r="G687"/>
      <c r="H687"/>
      <c r="I687"/>
      <c r="J687"/>
      <c r="K687" s="21"/>
      <c r="L687" s="21"/>
    </row>
    <row r="688" spans="3:12">
      <c r="C688" s="23"/>
      <c r="D688"/>
      <c r="E688"/>
      <c r="F688"/>
      <c r="G688"/>
      <c r="H688"/>
      <c r="I688"/>
      <c r="J688"/>
      <c r="K688" s="21"/>
      <c r="L688" s="21"/>
    </row>
    <row r="689" spans="3:12">
      <c r="C689" s="23"/>
      <c r="D689"/>
      <c r="E689"/>
      <c r="F689"/>
      <c r="G689"/>
      <c r="H689"/>
      <c r="I689"/>
      <c r="J689"/>
      <c r="K689" s="21"/>
      <c r="L689" s="21"/>
    </row>
    <row r="690" spans="3:12">
      <c r="C690" s="23"/>
      <c r="D690"/>
      <c r="E690"/>
      <c r="F690"/>
      <c r="G690"/>
      <c r="H690"/>
      <c r="I690"/>
      <c r="J690"/>
      <c r="K690" s="21"/>
      <c r="L690" s="21"/>
    </row>
    <row r="691" spans="3:12">
      <c r="C691" s="23"/>
      <c r="D691"/>
      <c r="E691"/>
      <c r="F691"/>
      <c r="G691"/>
      <c r="H691"/>
      <c r="I691"/>
      <c r="J691"/>
      <c r="K691" s="21"/>
      <c r="L691" s="21"/>
    </row>
    <row r="692" spans="3:12">
      <c r="C692" s="23"/>
      <c r="D692"/>
      <c r="E692"/>
      <c r="F692"/>
      <c r="G692"/>
      <c r="H692"/>
      <c r="I692"/>
      <c r="J692"/>
      <c r="K692" s="21"/>
      <c r="L692" s="21"/>
    </row>
    <row r="693" spans="3:12">
      <c r="C693" s="23"/>
      <c r="D693"/>
      <c r="E693"/>
      <c r="F693"/>
      <c r="G693"/>
      <c r="H693"/>
      <c r="I693"/>
      <c r="J693"/>
      <c r="K693" s="21"/>
      <c r="L693" s="21"/>
    </row>
    <row r="694" spans="3:12">
      <c r="C694" s="23"/>
      <c r="D694"/>
      <c r="E694"/>
      <c r="F694"/>
      <c r="G694"/>
      <c r="H694"/>
      <c r="I694"/>
      <c r="J694"/>
      <c r="K694" s="21"/>
      <c r="L694" s="21"/>
    </row>
    <row r="695" spans="3:12">
      <c r="C695" s="23"/>
      <c r="D695"/>
      <c r="E695"/>
      <c r="F695"/>
      <c r="G695"/>
      <c r="H695"/>
      <c r="I695"/>
      <c r="J695"/>
      <c r="K695" s="21"/>
      <c r="L695" s="21"/>
    </row>
    <row r="696" spans="3:12">
      <c r="C696" s="23"/>
      <c r="D696"/>
      <c r="E696"/>
      <c r="F696"/>
      <c r="G696"/>
      <c r="H696"/>
      <c r="I696"/>
      <c r="J696"/>
      <c r="K696" s="21"/>
      <c r="L696" s="21"/>
    </row>
    <row r="697" spans="3:12">
      <c r="C697" s="23"/>
      <c r="D697"/>
      <c r="E697"/>
      <c r="F697"/>
      <c r="G697"/>
      <c r="H697"/>
      <c r="I697"/>
      <c r="J697"/>
      <c r="K697" s="21"/>
      <c r="L697" s="21"/>
    </row>
    <row r="698" spans="3:12">
      <c r="C698" s="23"/>
      <c r="D698"/>
      <c r="E698"/>
      <c r="F698"/>
      <c r="G698"/>
      <c r="H698"/>
      <c r="I698"/>
      <c r="J698"/>
      <c r="K698" s="21"/>
      <c r="L698" s="21"/>
    </row>
    <row r="699" spans="3:12">
      <c r="C699" s="23"/>
      <c r="D699"/>
      <c r="E699"/>
      <c r="F699"/>
      <c r="G699"/>
      <c r="H699"/>
      <c r="I699"/>
      <c r="J699"/>
      <c r="K699" s="21"/>
      <c r="L699" s="21"/>
    </row>
    <row r="700" spans="3:12">
      <c r="C700" s="23"/>
      <c r="D700"/>
      <c r="E700"/>
      <c r="F700"/>
      <c r="G700"/>
      <c r="H700"/>
      <c r="I700"/>
      <c r="J700"/>
      <c r="K700" s="21"/>
      <c r="L700" s="21"/>
    </row>
    <row r="701" spans="3:12">
      <c r="C701" s="23"/>
      <c r="D701"/>
      <c r="E701"/>
      <c r="F701"/>
      <c r="G701"/>
      <c r="H701"/>
      <c r="I701"/>
      <c r="J701"/>
      <c r="K701" s="21"/>
      <c r="L701" s="21"/>
    </row>
    <row r="702" spans="3:12">
      <c r="C702" s="23"/>
      <c r="D702"/>
      <c r="E702"/>
      <c r="F702"/>
      <c r="G702"/>
      <c r="H702"/>
      <c r="I702"/>
      <c r="J702"/>
      <c r="K702" s="26"/>
      <c r="L702" s="77"/>
    </row>
    <row r="703" spans="3:12">
      <c r="C703" s="23"/>
      <c r="D703"/>
      <c r="E703"/>
      <c r="F703"/>
      <c r="G703"/>
      <c r="H703"/>
      <c r="I703"/>
      <c r="J703"/>
    </row>
    <row r="704" spans="3:12">
      <c r="C704" s="23"/>
      <c r="D704"/>
      <c r="E704"/>
      <c r="F704"/>
      <c r="G704"/>
      <c r="H704"/>
      <c r="I704"/>
      <c r="J704"/>
    </row>
    <row r="705" spans="3:12">
      <c r="C705" s="23"/>
      <c r="D705"/>
      <c r="E705"/>
      <c r="F705"/>
      <c r="G705"/>
      <c r="H705"/>
      <c r="I705"/>
      <c r="J705"/>
    </row>
    <row r="706" spans="3:12">
      <c r="C706" s="23"/>
      <c r="D706"/>
      <c r="E706"/>
      <c r="F706"/>
      <c r="G706"/>
      <c r="H706"/>
      <c r="I706"/>
      <c r="J706"/>
    </row>
    <row r="707" spans="3:12">
      <c r="C707" s="23"/>
      <c r="D707"/>
      <c r="E707"/>
      <c r="F707"/>
      <c r="G707"/>
      <c r="H707"/>
      <c r="I707"/>
      <c r="J707"/>
    </row>
    <row r="708" spans="3:12">
      <c r="C708" s="23"/>
      <c r="D708"/>
      <c r="E708"/>
      <c r="F708"/>
      <c r="G708"/>
      <c r="H708"/>
      <c r="I708"/>
      <c r="J708"/>
      <c r="K708" s="21"/>
      <c r="L708" s="21"/>
    </row>
    <row r="709" spans="3:12">
      <c r="C709" s="23"/>
      <c r="D709"/>
      <c r="E709"/>
      <c r="F709"/>
      <c r="G709"/>
      <c r="H709"/>
      <c r="I709"/>
      <c r="J709"/>
      <c r="K709" s="21"/>
      <c r="L709" s="21"/>
    </row>
    <row r="710" spans="3:12">
      <c r="C710" s="23"/>
      <c r="D710"/>
      <c r="E710"/>
      <c r="F710"/>
      <c r="G710"/>
      <c r="H710"/>
      <c r="I710"/>
      <c r="J710"/>
      <c r="K710" s="21"/>
      <c r="L710" s="21"/>
    </row>
    <row r="711" spans="3:12">
      <c r="C711" s="23"/>
      <c r="D711"/>
      <c r="E711"/>
      <c r="F711"/>
      <c r="G711"/>
      <c r="H711"/>
      <c r="I711"/>
      <c r="J711"/>
      <c r="K711" s="21"/>
      <c r="L711" s="21"/>
    </row>
    <row r="712" spans="3:12">
      <c r="C712" s="23"/>
      <c r="D712"/>
      <c r="E712"/>
      <c r="F712"/>
      <c r="G712"/>
      <c r="H712"/>
      <c r="I712"/>
      <c r="J712"/>
      <c r="K712" s="21"/>
      <c r="L712" s="21"/>
    </row>
    <row r="713" spans="3:12">
      <c r="C713" s="23"/>
      <c r="D713"/>
      <c r="E713"/>
      <c r="F713"/>
      <c r="G713"/>
      <c r="H713"/>
      <c r="I713"/>
      <c r="J713"/>
      <c r="K713" s="21"/>
      <c r="L713" s="21"/>
    </row>
    <row r="714" spans="3:12">
      <c r="C714" s="23"/>
      <c r="D714"/>
      <c r="E714"/>
      <c r="F714"/>
      <c r="G714"/>
      <c r="H714"/>
      <c r="I714"/>
      <c r="J714"/>
      <c r="K714" s="21"/>
      <c r="L714" s="21"/>
    </row>
    <row r="715" spans="3:12">
      <c r="C715" s="23"/>
      <c r="D715"/>
      <c r="E715"/>
      <c r="F715"/>
      <c r="G715"/>
      <c r="H715"/>
      <c r="I715"/>
      <c r="J715"/>
      <c r="K715" s="21"/>
      <c r="L715" s="21"/>
    </row>
    <row r="716" spans="3:12">
      <c r="C716" s="23"/>
      <c r="D716"/>
      <c r="E716"/>
      <c r="F716"/>
      <c r="G716"/>
      <c r="H716"/>
      <c r="I716"/>
      <c r="J716"/>
      <c r="K716" s="21"/>
      <c r="L716" s="21"/>
    </row>
    <row r="717" spans="3:12">
      <c r="C717" s="23"/>
      <c r="D717"/>
      <c r="E717"/>
      <c r="F717"/>
      <c r="G717"/>
      <c r="H717"/>
      <c r="I717"/>
      <c r="J717"/>
      <c r="K717" s="21"/>
      <c r="L717" s="21"/>
    </row>
    <row r="718" spans="3:12">
      <c r="C718" s="23"/>
      <c r="D718"/>
      <c r="E718"/>
      <c r="F718"/>
      <c r="G718"/>
      <c r="H718"/>
      <c r="I718"/>
      <c r="J718"/>
      <c r="K718" s="21"/>
      <c r="L718" s="21"/>
    </row>
    <row r="719" spans="3:12">
      <c r="C719" s="23"/>
      <c r="D719"/>
      <c r="E719"/>
      <c r="F719"/>
      <c r="G719"/>
      <c r="H719"/>
      <c r="I719"/>
      <c r="J719"/>
      <c r="K719" s="21"/>
      <c r="L719" s="21"/>
    </row>
    <row r="720" spans="3:12">
      <c r="C720" s="23"/>
      <c r="D720"/>
      <c r="E720"/>
      <c r="F720"/>
      <c r="G720"/>
      <c r="H720"/>
      <c r="I720"/>
      <c r="J720"/>
      <c r="K720" s="21"/>
      <c r="L720" s="21"/>
    </row>
    <row r="721" spans="3:12">
      <c r="C721" s="23"/>
      <c r="D721"/>
      <c r="E721"/>
      <c r="F721"/>
      <c r="G721"/>
      <c r="H721"/>
      <c r="I721"/>
      <c r="J721"/>
      <c r="K721" s="21"/>
      <c r="L721" s="21"/>
    </row>
    <row r="722" spans="3:12">
      <c r="C722" s="23"/>
      <c r="D722"/>
      <c r="E722"/>
      <c r="F722"/>
      <c r="G722"/>
      <c r="H722"/>
      <c r="I722"/>
      <c r="J722"/>
      <c r="K722" s="21"/>
      <c r="L722" s="21"/>
    </row>
    <row r="723" spans="3:12">
      <c r="C723" s="23"/>
      <c r="D723"/>
      <c r="E723"/>
      <c r="F723"/>
      <c r="G723"/>
      <c r="H723"/>
      <c r="I723"/>
      <c r="J723"/>
      <c r="K723" s="21"/>
      <c r="L723" s="21"/>
    </row>
    <row r="724" spans="3:12">
      <c r="C724" s="23"/>
      <c r="D724"/>
      <c r="E724"/>
      <c r="F724"/>
      <c r="G724"/>
      <c r="H724"/>
      <c r="I724"/>
      <c r="J724"/>
      <c r="K724" s="21"/>
      <c r="L724" s="21"/>
    </row>
    <row r="725" spans="3:12">
      <c r="C725" s="23"/>
      <c r="D725"/>
      <c r="E725"/>
      <c r="F725"/>
      <c r="G725"/>
      <c r="H725"/>
      <c r="I725"/>
      <c r="J725"/>
      <c r="K725" s="21"/>
      <c r="L725" s="21"/>
    </row>
    <row r="726" spans="3:12">
      <c r="C726" s="23"/>
      <c r="D726"/>
      <c r="E726"/>
      <c r="F726"/>
      <c r="G726"/>
      <c r="H726"/>
      <c r="I726"/>
      <c r="J726"/>
      <c r="K726" s="21"/>
      <c r="L726" s="21"/>
    </row>
    <row r="727" spans="3:12">
      <c r="C727" s="23"/>
      <c r="D727"/>
      <c r="E727"/>
      <c r="F727"/>
      <c r="G727"/>
      <c r="H727"/>
      <c r="I727"/>
      <c r="J727"/>
      <c r="K727" s="21"/>
      <c r="L727" s="21"/>
    </row>
    <row r="728" spans="3:12">
      <c r="C728" s="23"/>
      <c r="D728"/>
      <c r="E728"/>
      <c r="F728"/>
      <c r="G728"/>
      <c r="H728"/>
      <c r="I728"/>
      <c r="J728"/>
      <c r="K728" s="21"/>
      <c r="L728" s="21"/>
    </row>
    <row r="729" spans="3:12">
      <c r="C729" s="23"/>
      <c r="D729"/>
      <c r="E729"/>
      <c r="F729"/>
      <c r="G729"/>
      <c r="H729"/>
      <c r="I729"/>
      <c r="J729"/>
      <c r="K729" s="21"/>
      <c r="L729" s="21"/>
    </row>
    <row r="730" spans="3:12">
      <c r="C730" s="23"/>
      <c r="D730"/>
      <c r="E730"/>
      <c r="F730"/>
      <c r="G730"/>
      <c r="H730"/>
      <c r="I730"/>
      <c r="J730"/>
      <c r="K730" s="21"/>
      <c r="L730" s="21"/>
    </row>
    <row r="731" spans="3:12">
      <c r="C731" s="23"/>
      <c r="D731"/>
      <c r="E731"/>
      <c r="F731"/>
      <c r="G731"/>
      <c r="H731"/>
      <c r="I731"/>
      <c r="J731"/>
      <c r="K731" s="21"/>
      <c r="L731" s="21"/>
    </row>
    <row r="732" spans="3:12">
      <c r="C732" s="23"/>
      <c r="D732"/>
      <c r="E732"/>
      <c r="F732"/>
      <c r="G732"/>
      <c r="H732"/>
      <c r="I732"/>
      <c r="J732"/>
      <c r="K732" s="26"/>
      <c r="L732" s="77"/>
    </row>
    <row r="733" spans="3:12">
      <c r="C733" s="23"/>
      <c r="D733"/>
      <c r="E733"/>
      <c r="F733"/>
      <c r="G733"/>
      <c r="H733"/>
      <c r="I733"/>
      <c r="J733"/>
    </row>
    <row r="734" spans="3:12">
      <c r="C734" s="23"/>
      <c r="D734"/>
      <c r="E734"/>
      <c r="F734"/>
      <c r="G734"/>
      <c r="H734"/>
      <c r="I734"/>
      <c r="J734"/>
    </row>
    <row r="735" spans="3:12">
      <c r="C735" s="23"/>
      <c r="D735"/>
      <c r="E735"/>
      <c r="F735"/>
      <c r="G735"/>
      <c r="H735"/>
      <c r="I735"/>
      <c r="J735"/>
    </row>
    <row r="736" spans="3:12">
      <c r="C736" s="23"/>
      <c r="D736"/>
      <c r="E736"/>
      <c r="F736"/>
      <c r="G736"/>
      <c r="H736"/>
      <c r="I736"/>
      <c r="J736"/>
    </row>
    <row r="737" spans="3:12">
      <c r="C737" s="23"/>
      <c r="D737"/>
      <c r="E737"/>
      <c r="F737"/>
      <c r="G737"/>
      <c r="H737"/>
      <c r="I737"/>
      <c r="J737"/>
    </row>
    <row r="738" spans="3:12">
      <c r="C738" s="23"/>
      <c r="D738"/>
      <c r="E738"/>
      <c r="F738"/>
      <c r="G738"/>
      <c r="H738"/>
      <c r="I738"/>
      <c r="J738"/>
      <c r="K738" s="21"/>
      <c r="L738" s="21"/>
    </row>
    <row r="739" spans="3:12">
      <c r="C739" s="23"/>
      <c r="D739"/>
      <c r="E739"/>
      <c r="F739"/>
      <c r="G739"/>
      <c r="H739"/>
      <c r="I739"/>
      <c r="J739"/>
      <c r="K739" s="21"/>
      <c r="L739" s="21"/>
    </row>
    <row r="740" spans="3:12">
      <c r="C740" s="23"/>
      <c r="D740"/>
      <c r="E740"/>
      <c r="F740"/>
      <c r="G740"/>
      <c r="H740"/>
      <c r="I740"/>
      <c r="J740"/>
      <c r="K740" s="21"/>
      <c r="L740" s="21"/>
    </row>
    <row r="741" spans="3:12">
      <c r="C741" s="23"/>
      <c r="D741"/>
      <c r="E741"/>
      <c r="F741"/>
      <c r="G741"/>
      <c r="H741"/>
      <c r="I741"/>
      <c r="J741"/>
      <c r="K741" s="21"/>
      <c r="L741" s="21"/>
    </row>
    <row r="742" spans="3:12">
      <c r="C742" s="23"/>
      <c r="D742"/>
      <c r="E742"/>
      <c r="F742"/>
      <c r="G742"/>
      <c r="H742"/>
      <c r="I742"/>
      <c r="J742"/>
      <c r="K742" s="21"/>
      <c r="L742" s="21"/>
    </row>
    <row r="743" spans="3:12">
      <c r="C743" s="23"/>
      <c r="D743"/>
      <c r="E743"/>
      <c r="F743"/>
      <c r="G743"/>
      <c r="H743"/>
      <c r="I743"/>
      <c r="J743"/>
      <c r="K743" s="21"/>
      <c r="L743" s="21"/>
    </row>
    <row r="744" spans="3:12">
      <c r="C744" s="23"/>
      <c r="D744"/>
      <c r="E744"/>
      <c r="F744"/>
      <c r="G744"/>
      <c r="H744"/>
      <c r="I744"/>
      <c r="J744"/>
      <c r="K744" s="21"/>
      <c r="L744" s="21"/>
    </row>
    <row r="745" spans="3:12">
      <c r="C745" s="23"/>
      <c r="D745"/>
      <c r="E745"/>
      <c r="F745"/>
      <c r="G745"/>
      <c r="H745"/>
      <c r="I745"/>
      <c r="J745"/>
      <c r="K745" s="21"/>
      <c r="L745" s="21"/>
    </row>
    <row r="746" spans="3:12">
      <c r="C746" s="23"/>
      <c r="D746"/>
      <c r="E746"/>
      <c r="F746"/>
      <c r="G746"/>
      <c r="H746"/>
      <c r="I746"/>
      <c r="J746"/>
      <c r="K746" s="21"/>
      <c r="L746" s="21"/>
    </row>
    <row r="747" spans="3:12">
      <c r="C747" s="23"/>
      <c r="D747"/>
      <c r="E747"/>
      <c r="F747"/>
      <c r="G747"/>
      <c r="H747"/>
      <c r="I747"/>
      <c r="J747"/>
      <c r="K747" s="21"/>
      <c r="L747" s="21"/>
    </row>
    <row r="748" spans="3:12">
      <c r="C748" s="23"/>
      <c r="D748"/>
      <c r="E748"/>
      <c r="F748"/>
      <c r="G748"/>
      <c r="H748"/>
      <c r="I748"/>
      <c r="J748"/>
      <c r="K748" s="21"/>
      <c r="L748" s="21"/>
    </row>
    <row r="749" spans="3:12">
      <c r="C749" s="23"/>
      <c r="D749"/>
      <c r="E749"/>
      <c r="F749"/>
      <c r="G749"/>
      <c r="H749"/>
      <c r="I749"/>
      <c r="J749"/>
      <c r="K749" s="21"/>
      <c r="L749" s="21"/>
    </row>
    <row r="750" spans="3:12">
      <c r="C750" s="23"/>
      <c r="D750"/>
      <c r="E750"/>
      <c r="F750"/>
      <c r="G750"/>
      <c r="H750"/>
      <c r="I750"/>
      <c r="J750"/>
      <c r="K750" s="21"/>
      <c r="L750" s="21"/>
    </row>
    <row r="751" spans="3:12">
      <c r="C751" s="23"/>
      <c r="D751"/>
      <c r="E751"/>
      <c r="F751"/>
      <c r="G751"/>
      <c r="H751"/>
      <c r="I751"/>
      <c r="J751"/>
      <c r="K751" s="21"/>
      <c r="L751" s="21"/>
    </row>
    <row r="752" spans="3:12">
      <c r="C752" s="23"/>
      <c r="D752"/>
      <c r="E752"/>
      <c r="F752"/>
      <c r="G752"/>
      <c r="H752"/>
      <c r="I752"/>
      <c r="J752"/>
      <c r="K752" s="21"/>
      <c r="L752" s="21"/>
    </row>
    <row r="753" spans="3:12">
      <c r="C753" s="23"/>
      <c r="D753"/>
      <c r="E753"/>
      <c r="F753"/>
      <c r="G753"/>
      <c r="H753"/>
      <c r="I753"/>
      <c r="J753"/>
      <c r="K753" s="21"/>
      <c r="L753" s="21"/>
    </row>
    <row r="754" spans="3:12">
      <c r="C754" s="23"/>
      <c r="D754"/>
      <c r="E754"/>
      <c r="F754"/>
      <c r="G754"/>
      <c r="H754"/>
      <c r="I754"/>
      <c r="J754"/>
      <c r="K754" s="21"/>
      <c r="L754" s="21"/>
    </row>
    <row r="755" spans="3:12">
      <c r="C755" s="23"/>
      <c r="D755"/>
      <c r="E755"/>
      <c r="F755"/>
      <c r="G755"/>
      <c r="H755"/>
      <c r="I755"/>
      <c r="J755"/>
      <c r="K755" s="21"/>
      <c r="L755" s="21"/>
    </row>
    <row r="756" spans="3:12">
      <c r="C756" s="23"/>
      <c r="D756"/>
      <c r="E756"/>
      <c r="F756"/>
      <c r="G756"/>
      <c r="H756"/>
      <c r="I756"/>
      <c r="J756"/>
      <c r="K756" s="21"/>
      <c r="L756" s="21"/>
    </row>
    <row r="757" spans="3:12">
      <c r="C757" s="23"/>
      <c r="D757"/>
      <c r="E757"/>
      <c r="F757"/>
      <c r="G757"/>
      <c r="H757"/>
      <c r="I757"/>
      <c r="J757"/>
      <c r="K757" s="21"/>
      <c r="L757" s="21"/>
    </row>
    <row r="758" spans="3:12">
      <c r="C758" s="23"/>
      <c r="D758"/>
      <c r="E758"/>
      <c r="F758"/>
      <c r="G758"/>
      <c r="H758"/>
      <c r="I758"/>
      <c r="J758"/>
      <c r="K758" s="21"/>
      <c r="L758" s="21"/>
    </row>
    <row r="759" spans="3:12">
      <c r="C759" s="23"/>
      <c r="D759"/>
      <c r="E759"/>
      <c r="F759"/>
      <c r="G759"/>
      <c r="H759"/>
      <c r="I759"/>
      <c r="J759"/>
      <c r="K759" s="21"/>
      <c r="L759" s="21"/>
    </row>
    <row r="760" spans="3:12">
      <c r="C760" s="23"/>
      <c r="D760"/>
      <c r="E760"/>
      <c r="F760"/>
      <c r="G760"/>
      <c r="H760"/>
      <c r="I760"/>
      <c r="J760"/>
      <c r="K760" s="21"/>
      <c r="L760" s="21"/>
    </row>
    <row r="761" spans="3:12">
      <c r="C761" s="23"/>
      <c r="D761"/>
      <c r="E761"/>
      <c r="F761"/>
      <c r="G761"/>
      <c r="H761"/>
      <c r="I761"/>
      <c r="J761"/>
      <c r="K761" s="21"/>
      <c r="L761" s="21"/>
    </row>
    <row r="762" spans="3:12">
      <c r="C762" s="23"/>
      <c r="K762" s="26"/>
      <c r="L762" s="77"/>
    </row>
    <row r="763" spans="3:12">
      <c r="C763" s="23"/>
    </row>
    <row r="764" spans="3:12">
      <c r="C764" s="23"/>
    </row>
    <row r="765" spans="3:12">
      <c r="C765" s="23"/>
    </row>
    <row r="766" spans="3:12">
      <c r="C766" s="23"/>
    </row>
    <row r="767" spans="3:12">
      <c r="C767" s="23"/>
    </row>
    <row r="768" spans="3:12">
      <c r="C768" s="23"/>
    </row>
    <row r="769" spans="3:3">
      <c r="C769" s="23"/>
    </row>
    <row r="770" spans="3:3">
      <c r="C770" s="23"/>
    </row>
    <row r="771" spans="3:3">
      <c r="C771" s="23"/>
    </row>
    <row r="772" spans="3:3">
      <c r="C772" s="23"/>
    </row>
    <row r="773" spans="3:3">
      <c r="C773" s="23"/>
    </row>
    <row r="774" spans="3:3">
      <c r="C774" s="23"/>
    </row>
    <row r="775" spans="3:3">
      <c r="C775" s="23"/>
    </row>
    <row r="776" spans="3:3">
      <c r="C776" s="23"/>
    </row>
    <row r="777" spans="3:3">
      <c r="C777" s="23"/>
    </row>
    <row r="778" spans="3:3">
      <c r="C778" s="23"/>
    </row>
    <row r="779" spans="3:3">
      <c r="C779" s="23"/>
    </row>
    <row r="780" spans="3:3">
      <c r="C780" s="23"/>
    </row>
    <row r="781" spans="3:3">
      <c r="C781" s="23"/>
    </row>
    <row r="782" spans="3:3">
      <c r="C782" s="23"/>
    </row>
    <row r="783" spans="3:3">
      <c r="C783" s="23"/>
    </row>
    <row r="784" spans="3:3">
      <c r="C784" s="23"/>
    </row>
    <row r="785" spans="3:12">
      <c r="C785" s="23"/>
    </row>
    <row r="786" spans="3:12">
      <c r="C786" s="23"/>
    </row>
    <row r="787" spans="3:12">
      <c r="C787" s="23"/>
    </row>
    <row r="788" spans="3:12">
      <c r="C788" s="23"/>
    </row>
    <row r="789" spans="3:12">
      <c r="C789" s="23"/>
    </row>
    <row r="790" spans="3:12">
      <c r="C790" s="23"/>
    </row>
    <row r="791" spans="3:12">
      <c r="C791" s="23"/>
    </row>
    <row r="792" spans="3:12">
      <c r="C792" s="23"/>
      <c r="K792" s="26"/>
      <c r="L792" s="77"/>
    </row>
    <row r="793" spans="3:12">
      <c r="C793" s="23"/>
    </row>
    <row r="794" spans="3:12">
      <c r="C794" s="23"/>
    </row>
    <row r="795" spans="3:12">
      <c r="C795" s="23"/>
    </row>
    <row r="796" spans="3:12">
      <c r="C796" s="23"/>
    </row>
    <row r="797" spans="3:12">
      <c r="C797" s="23"/>
    </row>
    <row r="798" spans="3:12">
      <c r="C798" s="23"/>
    </row>
    <row r="799" spans="3:12">
      <c r="C799" s="23"/>
    </row>
    <row r="800" spans="3:12">
      <c r="C800" s="23"/>
    </row>
    <row r="801" spans="3:3">
      <c r="C801" s="23"/>
    </row>
    <row r="802" spans="3:3">
      <c r="C802" s="23"/>
    </row>
    <row r="803" spans="3:3">
      <c r="C803" s="23"/>
    </row>
    <row r="804" spans="3:3">
      <c r="C804" s="23"/>
    </row>
    <row r="805" spans="3:3">
      <c r="C805" s="23"/>
    </row>
    <row r="806" spans="3:3">
      <c r="C806" s="23"/>
    </row>
    <row r="807" spans="3:3">
      <c r="C807" s="23"/>
    </row>
    <row r="808" spans="3:3">
      <c r="C808" s="23"/>
    </row>
    <row r="809" spans="3:3">
      <c r="C809" s="23"/>
    </row>
    <row r="810" spans="3:3">
      <c r="C810" s="23"/>
    </row>
    <row r="811" spans="3:3">
      <c r="C811" s="23"/>
    </row>
    <row r="812" spans="3:3">
      <c r="C812" s="23"/>
    </row>
    <row r="813" spans="3:3">
      <c r="C813" s="23"/>
    </row>
    <row r="814" spans="3:3">
      <c r="C814" s="23"/>
    </row>
    <row r="815" spans="3:3">
      <c r="C815" s="23"/>
    </row>
    <row r="816" spans="3:3">
      <c r="C816" s="23"/>
    </row>
    <row r="817" spans="3:3">
      <c r="C817" s="23"/>
    </row>
    <row r="818" spans="3:3">
      <c r="C818" s="23"/>
    </row>
    <row r="819" spans="3:3">
      <c r="C819" s="23"/>
    </row>
    <row r="820" spans="3:3">
      <c r="C820" s="23"/>
    </row>
    <row r="821" spans="3:3">
      <c r="C821" s="23"/>
    </row>
  </sheetData>
  <mergeCells count="18">
    <mergeCell ref="C48:AC48"/>
    <mergeCell ref="C49:AC49"/>
    <mergeCell ref="C50:AC50"/>
    <mergeCell ref="B53:B54"/>
    <mergeCell ref="C53:C54"/>
    <mergeCell ref="D53:H53"/>
    <mergeCell ref="I53:N53"/>
    <mergeCell ref="Z53:AB53"/>
    <mergeCell ref="S54:S55"/>
    <mergeCell ref="T54:T55"/>
    <mergeCell ref="C51:AC51"/>
    <mergeCell ref="B12:B13"/>
    <mergeCell ref="C12:C13"/>
    <mergeCell ref="D12:H12"/>
    <mergeCell ref="Z12:AC12"/>
    <mergeCell ref="I12:X12"/>
    <mergeCell ref="T13:T14"/>
    <mergeCell ref="U13:U14"/>
  </mergeCells>
  <pageMargins left="0.7" right="0.7" top="0.75" bottom="0.75" header="0.3" footer="0.3"/>
  <pageSetup paperSize="17" orientation="landscape" r:id="rId1"/>
  <rowBreaks count="1" manualBreakCount="1">
    <brk id="63" max="16383" man="1"/>
  </rowBreaks>
  <colBreaks count="1" manualBreakCount="1">
    <brk id="3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H32"/>
  <sheetViews>
    <sheetView zoomScaleNormal="100" workbookViewId="0">
      <pane xSplit="3" ySplit="3" topLeftCell="D4" activePane="bottomRight" state="frozen"/>
      <selection pane="topRight" activeCell="D1" sqref="D1"/>
      <selection pane="bottomLeft" activeCell="A4" sqref="A4"/>
      <selection pane="bottomRight" activeCell="AC28" sqref="AC28"/>
    </sheetView>
  </sheetViews>
  <sheetFormatPr defaultColWidth="9.140625" defaultRowHeight="11.25"/>
  <cols>
    <col min="1" max="1" width="4.5703125" style="27" customWidth="1"/>
    <col min="2" max="2" width="11.5703125" style="27" customWidth="1"/>
    <col min="3" max="3" width="29" style="27" customWidth="1"/>
    <col min="4" max="7" width="10.28515625" style="27" customWidth="1"/>
    <col min="8" max="8" width="7.140625" style="27" customWidth="1"/>
    <col min="9" max="9" width="10.140625" style="27" customWidth="1"/>
    <col min="10" max="10" width="9.140625" style="27" customWidth="1"/>
    <col min="11" max="12" width="9.42578125" style="27" customWidth="1"/>
    <col min="13" max="13" width="10.28515625" style="27" customWidth="1"/>
    <col min="14" max="14" width="9.28515625" style="27" customWidth="1"/>
    <col min="15" max="15" width="10.85546875" style="27" customWidth="1"/>
    <col min="16" max="16" width="17" style="27" customWidth="1"/>
    <col min="17" max="17" width="8.7109375" style="27" customWidth="1"/>
    <col min="18" max="18" width="8.85546875" style="27" customWidth="1"/>
    <col min="19" max="19" width="8.42578125" style="27" customWidth="1"/>
    <col min="20" max="20" width="8.85546875" style="27" customWidth="1"/>
    <col min="21" max="21" width="8.42578125" style="27" customWidth="1"/>
    <col min="22" max="22" width="9.28515625" style="27" customWidth="1"/>
    <col min="23" max="23" width="8.28515625" style="27" bestFit="1" customWidth="1"/>
    <col min="24" max="24" width="9.140625" style="27" hidden="1" customWidth="1"/>
    <col min="25" max="25" width="8.140625" style="27" customWidth="1"/>
    <col min="26" max="26" width="7.140625" style="27" bestFit="1" customWidth="1"/>
    <col min="27" max="27" width="7.5703125" style="27" customWidth="1"/>
    <col min="28" max="28" width="7" style="27" customWidth="1"/>
    <col min="29" max="32" width="10.28515625" style="27" customWidth="1"/>
    <col min="33" max="33" width="9.140625" style="81"/>
    <col min="34" max="34" width="43.85546875" style="27" customWidth="1"/>
    <col min="35" max="16384" width="9.140625" style="27"/>
  </cols>
  <sheetData>
    <row r="1" spans="1:34" s="267" customFormat="1">
      <c r="A1" s="267">
        <v>1</v>
      </c>
      <c r="B1" s="267">
        <f>A1+1</f>
        <v>2</v>
      </c>
      <c r="C1" s="267">
        <f>B1+1</f>
        <v>3</v>
      </c>
      <c r="D1" s="267">
        <f t="shared" ref="D1:AA1" si="0">C1+1</f>
        <v>4</v>
      </c>
      <c r="E1" s="267">
        <f t="shared" si="0"/>
        <v>5</v>
      </c>
      <c r="F1" s="267">
        <f t="shared" si="0"/>
        <v>6</v>
      </c>
      <c r="G1" s="267">
        <f t="shared" si="0"/>
        <v>7</v>
      </c>
      <c r="H1" s="267">
        <f t="shared" si="0"/>
        <v>8</v>
      </c>
      <c r="I1" s="267">
        <f t="shared" si="0"/>
        <v>9</v>
      </c>
      <c r="J1" s="267">
        <f t="shared" si="0"/>
        <v>10</v>
      </c>
      <c r="K1" s="267">
        <f t="shared" si="0"/>
        <v>11</v>
      </c>
      <c r="L1" s="267">
        <f t="shared" si="0"/>
        <v>12</v>
      </c>
      <c r="M1" s="267">
        <f t="shared" si="0"/>
        <v>13</v>
      </c>
      <c r="N1" s="267">
        <f t="shared" si="0"/>
        <v>14</v>
      </c>
      <c r="O1" s="267">
        <f t="shared" si="0"/>
        <v>15</v>
      </c>
      <c r="P1" s="267">
        <f t="shared" si="0"/>
        <v>16</v>
      </c>
      <c r="Q1" s="267">
        <f t="shared" si="0"/>
        <v>17</v>
      </c>
      <c r="R1" s="267">
        <f t="shared" si="0"/>
        <v>18</v>
      </c>
      <c r="S1" s="267">
        <f t="shared" si="0"/>
        <v>19</v>
      </c>
      <c r="T1" s="267">
        <f t="shared" si="0"/>
        <v>20</v>
      </c>
      <c r="U1" s="267">
        <f t="shared" si="0"/>
        <v>21</v>
      </c>
      <c r="V1" s="267">
        <f t="shared" si="0"/>
        <v>22</v>
      </c>
      <c r="W1" s="267">
        <f t="shared" si="0"/>
        <v>23</v>
      </c>
      <c r="X1" s="267">
        <f t="shared" si="0"/>
        <v>24</v>
      </c>
      <c r="Y1" s="267">
        <f t="shared" si="0"/>
        <v>25</v>
      </c>
      <c r="Z1" s="267">
        <f t="shared" si="0"/>
        <v>26</v>
      </c>
      <c r="AA1" s="267">
        <f t="shared" si="0"/>
        <v>27</v>
      </c>
      <c r="AC1" s="267">
        <v>1988</v>
      </c>
      <c r="AD1" s="267">
        <v>1982</v>
      </c>
      <c r="AE1" s="267" t="s">
        <v>401</v>
      </c>
      <c r="AF1" s="267">
        <v>1979</v>
      </c>
    </row>
    <row r="2" spans="1:34" ht="12.75" customHeight="1">
      <c r="B2" s="482" t="s">
        <v>227</v>
      </c>
      <c r="C2" s="484" t="s">
        <v>14</v>
      </c>
      <c r="D2" s="466" t="s">
        <v>24</v>
      </c>
      <c r="E2" s="466"/>
      <c r="F2" s="468"/>
      <c r="G2" s="468"/>
      <c r="H2" s="466"/>
      <c r="I2" s="144"/>
      <c r="J2" s="191"/>
      <c r="K2" s="145" t="s">
        <v>8</v>
      </c>
      <c r="L2" s="190"/>
      <c r="M2" s="145"/>
      <c r="N2" s="190"/>
      <c r="O2" s="190"/>
      <c r="P2" s="145"/>
      <c r="Q2" s="145"/>
      <c r="R2" s="190"/>
      <c r="S2" s="190"/>
      <c r="T2" s="190"/>
      <c r="U2" s="190"/>
      <c r="V2" s="190"/>
      <c r="W2" s="465" t="s">
        <v>11</v>
      </c>
      <c r="X2" s="466"/>
      <c r="Y2" s="466"/>
      <c r="Z2" s="466"/>
      <c r="AA2" s="467"/>
      <c r="AB2" s="124"/>
      <c r="AC2" s="475" t="s">
        <v>394</v>
      </c>
      <c r="AD2" s="475"/>
      <c r="AE2" s="475"/>
      <c r="AF2" s="475"/>
    </row>
    <row r="3" spans="1:34" ht="37.5" customHeight="1">
      <c r="B3" s="483"/>
      <c r="C3" s="485"/>
      <c r="D3" s="80" t="s">
        <v>13</v>
      </c>
      <c r="E3" s="131" t="s">
        <v>25</v>
      </c>
      <c r="F3" s="131" t="s">
        <v>385</v>
      </c>
      <c r="G3" s="131" t="s">
        <v>386</v>
      </c>
      <c r="H3" s="131" t="s">
        <v>244</v>
      </c>
      <c r="I3" s="131" t="s">
        <v>310</v>
      </c>
      <c r="J3" s="131" t="s">
        <v>311</v>
      </c>
      <c r="K3" s="131" t="s">
        <v>369</v>
      </c>
      <c r="L3" s="131" t="s">
        <v>370</v>
      </c>
      <c r="M3" s="131" t="s">
        <v>473</v>
      </c>
      <c r="N3" s="131" t="s">
        <v>312</v>
      </c>
      <c r="O3" s="131" t="s">
        <v>474</v>
      </c>
      <c r="P3" s="206" t="s">
        <v>322</v>
      </c>
      <c r="Q3" s="206" t="s">
        <v>319</v>
      </c>
      <c r="R3" s="206" t="s">
        <v>343</v>
      </c>
      <c r="S3" s="206" t="s">
        <v>344</v>
      </c>
      <c r="T3" s="206" t="s">
        <v>345</v>
      </c>
      <c r="U3" s="206" t="s">
        <v>346</v>
      </c>
      <c r="V3" s="206" t="s">
        <v>347</v>
      </c>
      <c r="W3" s="131" t="s">
        <v>272</v>
      </c>
      <c r="X3" s="131"/>
      <c r="Y3" s="131" t="s">
        <v>228</v>
      </c>
      <c r="Z3" s="131" t="s">
        <v>229</v>
      </c>
      <c r="AA3" s="131" t="s">
        <v>230</v>
      </c>
      <c r="AB3" s="92" t="s">
        <v>197</v>
      </c>
      <c r="AC3" s="132" t="s">
        <v>395</v>
      </c>
      <c r="AD3" s="272" t="s">
        <v>336</v>
      </c>
      <c r="AE3" s="272" t="s">
        <v>335</v>
      </c>
      <c r="AF3" s="272" t="s">
        <v>285</v>
      </c>
      <c r="AG3" s="81" t="s">
        <v>396</v>
      </c>
      <c r="AH3" s="140" t="s">
        <v>70</v>
      </c>
    </row>
    <row r="4" spans="1:34" ht="15" customHeight="1">
      <c r="A4" s="27">
        <v>1</v>
      </c>
      <c r="B4" s="58" t="s">
        <v>425</v>
      </c>
      <c r="C4" s="133" t="s">
        <v>26</v>
      </c>
      <c r="D4" s="134">
        <v>588333.69999999995</v>
      </c>
      <c r="E4" s="134">
        <v>6728012.7000000002</v>
      </c>
      <c r="F4" s="134">
        <v>-21.010064200799999</v>
      </c>
      <c r="G4" s="134">
        <v>186.85303796100001</v>
      </c>
      <c r="H4" s="134">
        <v>34.9</v>
      </c>
      <c r="I4" s="346">
        <f>J4</f>
        <v>0.31700670979198375</v>
      </c>
      <c r="J4" s="347">
        <f>'[27]2011Original Data Oil and Gas'!$N$567*(2000*453.59/(8760*3600))</f>
        <v>0.31700670979198375</v>
      </c>
      <c r="K4" s="346">
        <f>L4</f>
        <v>8.3422818366311515E-3</v>
      </c>
      <c r="L4" s="347">
        <f>'[27]2011Original Data Oil and Gas'!$N$1208*(2000*453.59/(8760*3600))</f>
        <v>8.3422818366311515E-3</v>
      </c>
      <c r="M4" s="346">
        <f>N4</f>
        <v>5.7532978183663121E-4</v>
      </c>
      <c r="N4" s="347">
        <f>'[27]2011Original Data Oil and Gas'!$N$2494*(2000*453.59/(8760*3600))</f>
        <v>5.7532978183663121E-4</v>
      </c>
      <c r="O4" s="347">
        <f>'[27]2011Original Data Oil and Gas'!$N$182*(2000*453.59/(8760*3600))</f>
        <v>0.1032716958396753</v>
      </c>
      <c r="P4" s="211" t="s">
        <v>324</v>
      </c>
      <c r="Q4" s="211" t="s">
        <v>321</v>
      </c>
      <c r="R4" s="207">
        <f>$K4*(VLOOKUP($P4 &amp;"|"&amp; $Q4,'AQRV Speciation'!$B$8:$G$22,2,FALSE))</f>
        <v>0</v>
      </c>
      <c r="S4" s="207">
        <f>$K4*(VLOOKUP($P4 &amp;"|"&amp; $Q4,'AQRV Speciation'!$B$8:$G$22,3,FALSE))</f>
        <v>2.4015659832726044E-3</v>
      </c>
      <c r="T4" s="207">
        <f>$K4*(VLOOKUP($P4 &amp;"|"&amp; $Q4,'AQRV Speciation'!$B$8:$G$22,4,FALSE))</f>
        <v>2.4015659832726044E-3</v>
      </c>
      <c r="U4" s="207">
        <f>$K4*(VLOOKUP($P4 &amp;"|"&amp; $Q4,'AQRV Speciation'!$B$8:$G$22,5,FALSE))</f>
        <v>5.9407158533585479E-3</v>
      </c>
      <c r="V4" s="207">
        <f>$K4*(VLOOKUP($P4 &amp;"|"&amp; $Q4,'AQRV Speciation'!$B$8:$G$22,6,FALSE))</f>
        <v>5.9407158533585479E-3</v>
      </c>
      <c r="W4" s="310">
        <f>VLOOKUP(B4,[32]point_params!$D$9:$AH$24, 28, FALSE)</f>
        <v>19.507200000000001</v>
      </c>
      <c r="X4" s="310">
        <f t="shared" ref="X4" si="1">W4/0.3048</f>
        <v>64</v>
      </c>
      <c r="Y4" s="311">
        <f>VLOOKUP(B4,[32]point_params!$D$9:$AH$24, 29, FALSE)</f>
        <v>588.71</v>
      </c>
      <c r="Z4" s="310">
        <f>VLOOKUP(B4,[32]point_params!$D$9:$AH$24, 30, FALSE)</f>
        <v>22.899623999999999</v>
      </c>
      <c r="AA4" s="306">
        <f>VLOOKUP(B4,[32]point_params!$D$9:$AH$24, 31, FALSE)</f>
        <v>2.1335999999999999</v>
      </c>
      <c r="AB4" s="134"/>
      <c r="AC4" s="134" t="s">
        <v>63</v>
      </c>
      <c r="AD4" s="134" t="s">
        <v>63</v>
      </c>
      <c r="AE4" s="134" t="s">
        <v>63</v>
      </c>
      <c r="AF4" s="134" t="s">
        <v>63</v>
      </c>
      <c r="AG4" s="135">
        <v>1969</v>
      </c>
      <c r="AH4" s="141"/>
    </row>
    <row r="5" spans="1:34">
      <c r="A5" s="27">
        <v>2</v>
      </c>
      <c r="B5" s="133" t="s">
        <v>426</v>
      </c>
      <c r="C5" s="133" t="s">
        <v>27</v>
      </c>
      <c r="D5" s="134">
        <v>588326.40000000002</v>
      </c>
      <c r="E5" s="134">
        <v>6728012.5</v>
      </c>
      <c r="F5" s="134">
        <v>-21.0173959346</v>
      </c>
      <c r="G5" s="134">
        <v>186.853052633</v>
      </c>
      <c r="H5" s="136">
        <v>34.9</v>
      </c>
      <c r="I5" s="346">
        <f t="shared" ref="I5:K18" si="2">J5</f>
        <v>5.1500645421106039</v>
      </c>
      <c r="J5" s="347">
        <f>'[27]2011Original Data Oil and Gas'!$N$563*(2000*453.59/(8760*3600))</f>
        <v>5.1500645421106039</v>
      </c>
      <c r="K5" s="346">
        <f t="shared" si="2"/>
        <v>0.13491483384069003</v>
      </c>
      <c r="L5" s="347">
        <f>'[27]2011Original Data Oil and Gas'!$N$1209*(2000*453.59/(8760*3600))</f>
        <v>0.13491483384069003</v>
      </c>
      <c r="M5" s="346">
        <f t="shared" ref="M5" si="3">N5</f>
        <v>8.3422818366311515E-3</v>
      </c>
      <c r="N5" s="347">
        <f>'[27]2011Original Data Oil and Gas'!$N$2495*(2000*453.59/(8760*3600))</f>
        <v>8.3422818366311515E-3</v>
      </c>
      <c r="O5" s="347">
        <f>'[27]2011Original Data Oil and Gas'!$N$188*(2000*453.59/(8760*3600))</f>
        <v>1.6759356544901065</v>
      </c>
      <c r="P5" s="211" t="s">
        <v>324</v>
      </c>
      <c r="Q5" s="211" t="s">
        <v>321</v>
      </c>
      <c r="R5" s="207">
        <f>$K5*(VLOOKUP($P5 &amp;"|"&amp; $Q5,'AQRV Speciation'!$B$8:$G$22,2,FALSE))</f>
        <v>0</v>
      </c>
      <c r="S5" s="207">
        <f>$K5*(VLOOKUP($P5 &amp;"|"&amp; $Q5,'AQRV Speciation'!$B$8:$G$22,3,FALSE))</f>
        <v>3.8839118832925922E-2</v>
      </c>
      <c r="T5" s="207">
        <f>$K5*(VLOOKUP($P5 &amp;"|"&amp; $Q5,'AQRV Speciation'!$B$8:$G$22,4,FALSE))</f>
        <v>3.8839118832925922E-2</v>
      </c>
      <c r="U5" s="207">
        <f>$K5*(VLOOKUP($P5 &amp;"|"&amp; $Q5,'AQRV Speciation'!$B$8:$G$22,5,FALSE))</f>
        <v>9.6075715007764115E-2</v>
      </c>
      <c r="V5" s="207">
        <f>$K5*(VLOOKUP($P5 &amp;"|"&amp; $Q5,'AQRV Speciation'!$B$8:$G$22,6,FALSE))</f>
        <v>9.6075715007764115E-2</v>
      </c>
      <c r="W5" s="310">
        <f>VLOOKUP(B5,[32]point_params!$D$9:$AH$24, 28, FALSE)</f>
        <v>19.507200000000001</v>
      </c>
      <c r="X5" s="310">
        <f t="shared" ref="X5:X8" si="4">W5/0.3048</f>
        <v>64</v>
      </c>
      <c r="Y5" s="311">
        <f>VLOOKUP(B5,[32]point_params!$D$9:$AH$24, 29, FALSE)</f>
        <v>588.71</v>
      </c>
      <c r="Z5" s="310">
        <f>VLOOKUP(B5,[32]point_params!$D$9:$AH$24, 30, FALSE)</f>
        <v>22.899623999999999</v>
      </c>
      <c r="AA5" s="306">
        <f>VLOOKUP(B5,[32]point_params!$D$9:$AH$24, 31, FALSE)</f>
        <v>2.1335999999999999</v>
      </c>
      <c r="AB5" s="136"/>
      <c r="AC5" s="134" t="s">
        <v>63</v>
      </c>
      <c r="AD5" s="134" t="s">
        <v>63</v>
      </c>
      <c r="AE5" s="134" t="s">
        <v>63</v>
      </c>
      <c r="AF5" s="134" t="s">
        <v>63</v>
      </c>
      <c r="AG5" s="135">
        <v>1969</v>
      </c>
      <c r="AH5" s="142"/>
    </row>
    <row r="6" spans="1:34">
      <c r="A6" s="27">
        <v>3</v>
      </c>
      <c r="B6" s="133" t="s">
        <v>427</v>
      </c>
      <c r="C6" s="133" t="s">
        <v>28</v>
      </c>
      <c r="D6" s="134">
        <v>588363</v>
      </c>
      <c r="E6" s="134">
        <v>6728013.4000000004</v>
      </c>
      <c r="F6" s="134">
        <v>-20.9806398632</v>
      </c>
      <c r="G6" s="134">
        <v>186.85287594299999</v>
      </c>
      <c r="H6" s="136">
        <v>34.9</v>
      </c>
      <c r="I6" s="346">
        <f t="shared" si="2"/>
        <v>1.7861113077118216</v>
      </c>
      <c r="J6" s="347">
        <f>'[27]2011Original Data Oil and Gas'!$N$566*(2000*453.59/(8760*3600))</f>
        <v>1.7861113077118216</v>
      </c>
      <c r="K6" s="346">
        <f t="shared" si="2"/>
        <v>3.9122425164890923E-2</v>
      </c>
      <c r="L6" s="347">
        <f>'[27]2011Original Data Oil and Gas'!$N$1206*(2000*453.59/(8760*3600))</f>
        <v>3.9122425164890923E-2</v>
      </c>
      <c r="M6" s="346">
        <f t="shared" ref="M6" si="5">N6</f>
        <v>2.3013191273465248E-3</v>
      </c>
      <c r="N6" s="347">
        <f>'[27]2011Original Data Oil and Gas'!$N$2489*(2000*453.59/(8760*3600))</f>
        <v>2.3013191273465248E-3</v>
      </c>
      <c r="O6" s="347">
        <f>'[27]2011Original Data Oil and Gas'!$N$185*(2000*453.59/(8760*3600))</f>
        <v>0.48500300608828006</v>
      </c>
      <c r="P6" s="211" t="s">
        <v>324</v>
      </c>
      <c r="Q6" s="211" t="s">
        <v>321</v>
      </c>
      <c r="R6" s="207">
        <f>$K6*(VLOOKUP($P6 &amp;"|"&amp; $Q6,'AQRV Speciation'!$B$8:$G$22,2,FALSE))</f>
        <v>0</v>
      </c>
      <c r="S6" s="207">
        <f>$K6*(VLOOKUP($P6 &amp;"|"&amp; $Q6,'AQRV Speciation'!$B$8:$G$22,3,FALSE))</f>
        <v>1.1262516335347387E-2</v>
      </c>
      <c r="T6" s="207">
        <f>$K6*(VLOOKUP($P6 &amp;"|"&amp; $Q6,'AQRV Speciation'!$B$8:$G$22,4,FALSE))</f>
        <v>1.1262516335347387E-2</v>
      </c>
      <c r="U6" s="207">
        <f>$K6*(VLOOKUP($P6 &amp;"|"&amp; $Q6,'AQRV Speciation'!$B$8:$G$22,5,FALSE))</f>
        <v>2.7859908829543537E-2</v>
      </c>
      <c r="V6" s="207">
        <f>$K6*(VLOOKUP($P6 &amp;"|"&amp; $Q6,'AQRV Speciation'!$B$8:$G$22,6,FALSE))</f>
        <v>2.7859908829543537E-2</v>
      </c>
      <c r="W6" s="310">
        <f>VLOOKUP(B6,[32]point_params!$D$9:$AH$24, 28, FALSE)</f>
        <v>19.507200000000001</v>
      </c>
      <c r="X6" s="310">
        <f t="shared" si="4"/>
        <v>64</v>
      </c>
      <c r="Y6" s="311">
        <f>VLOOKUP(B6,[32]point_params!$D$9:$AH$24, 29, FALSE)</f>
        <v>588.71</v>
      </c>
      <c r="Z6" s="310">
        <f>VLOOKUP(B6,[32]point_params!$D$9:$AH$24, 30, FALSE)</f>
        <v>22.899623999999999</v>
      </c>
      <c r="AA6" s="306">
        <f>VLOOKUP(B6,[32]point_params!$D$9:$AH$24, 31, FALSE)</f>
        <v>2.1335999999999999</v>
      </c>
      <c r="AB6" s="136"/>
      <c r="AC6" s="134" t="s">
        <v>63</v>
      </c>
      <c r="AD6" s="134" t="s">
        <v>63</v>
      </c>
      <c r="AE6" s="134" t="s">
        <v>63</v>
      </c>
      <c r="AF6" s="134" t="s">
        <v>63</v>
      </c>
      <c r="AG6" s="135">
        <v>1969</v>
      </c>
      <c r="AH6" s="142"/>
    </row>
    <row r="7" spans="1:34">
      <c r="A7" s="27">
        <v>4</v>
      </c>
      <c r="B7" s="133" t="s">
        <v>428</v>
      </c>
      <c r="C7" s="133" t="s">
        <v>29</v>
      </c>
      <c r="D7" s="134">
        <v>588355.69999999995</v>
      </c>
      <c r="E7" s="134">
        <v>6728013.2000000002</v>
      </c>
      <c r="F7" s="134">
        <v>-20.987971596600001</v>
      </c>
      <c r="G7" s="134">
        <v>186.85289062499999</v>
      </c>
      <c r="H7" s="136">
        <v>34.9</v>
      </c>
      <c r="I7" s="346">
        <f t="shared" si="2"/>
        <v>4.1679766045154745</v>
      </c>
      <c r="J7" s="347">
        <f>'[27]2011Original Data Oil and Gas'!$N$562*(2000*453.59/(8760*3600))</f>
        <v>4.1679766045154745</v>
      </c>
      <c r="K7" s="346">
        <f t="shared" si="2"/>
        <v>9.1189770421106042E-2</v>
      </c>
      <c r="L7" s="347">
        <f>'[27]2011Original Data Oil and Gas'!$N$1215*(2000*453.59/(8760*3600))</f>
        <v>9.1189770421106042E-2</v>
      </c>
      <c r="M7" s="346">
        <f t="shared" ref="M7" si="6">N7</f>
        <v>5.7532978183663123E-3</v>
      </c>
      <c r="N7" s="347">
        <f>'[27]2011Original Data Oil and Gas'!$N$2499*(2000*453.59/(8760*3600))</f>
        <v>5.7532978183663123E-3</v>
      </c>
      <c r="O7" s="347">
        <f>'[27]2011Original Data Oil and Gas'!$N$187*(2000*453.59/(8760*3600))</f>
        <v>1.1316736808726535</v>
      </c>
      <c r="P7" s="211" t="s">
        <v>324</v>
      </c>
      <c r="Q7" s="211" t="s">
        <v>321</v>
      </c>
      <c r="R7" s="207">
        <f>$K7*(VLOOKUP($P7 &amp;"|"&amp; $Q7,'AQRV Speciation'!$B$8:$G$22,2,FALSE))</f>
        <v>0</v>
      </c>
      <c r="S7" s="207">
        <f>$K7*(VLOOKUP($P7 &amp;"|"&amp; $Q7,'AQRV Speciation'!$B$8:$G$22,3,FALSE))</f>
        <v>2.6251600575772954E-2</v>
      </c>
      <c r="T7" s="207">
        <f>$K7*(VLOOKUP($P7 &amp;"|"&amp; $Q7,'AQRV Speciation'!$B$8:$G$22,4,FALSE))</f>
        <v>2.6251600575772954E-2</v>
      </c>
      <c r="U7" s="207">
        <f>$K7*(VLOOKUP($P7 &amp;"|"&amp; $Q7,'AQRV Speciation'!$B$8:$G$22,5,FALSE))</f>
        <v>6.4938169845333099E-2</v>
      </c>
      <c r="V7" s="207">
        <f>$K7*(VLOOKUP($P7 &amp;"|"&amp; $Q7,'AQRV Speciation'!$B$8:$G$22,6,FALSE))</f>
        <v>6.4938169845333099E-2</v>
      </c>
      <c r="W7" s="310">
        <f>VLOOKUP(B7,[32]point_params!$D$9:$AH$24, 28, FALSE)</f>
        <v>19.507200000000001</v>
      </c>
      <c r="X7" s="310">
        <f t="shared" si="4"/>
        <v>64</v>
      </c>
      <c r="Y7" s="311">
        <f>VLOOKUP(B7,[32]point_params!$D$9:$AH$24, 29, FALSE)</f>
        <v>588.71</v>
      </c>
      <c r="Z7" s="310">
        <f>VLOOKUP(B7,[32]point_params!$D$9:$AH$24, 30, FALSE)</f>
        <v>22.899623999999999</v>
      </c>
      <c r="AA7" s="306">
        <f>VLOOKUP(B7,[32]point_params!$D$9:$AH$24, 31, FALSE)</f>
        <v>2.1335999999999999</v>
      </c>
      <c r="AB7" s="136"/>
      <c r="AC7" s="134" t="s">
        <v>63</v>
      </c>
      <c r="AD7" s="134" t="s">
        <v>63</v>
      </c>
      <c r="AE7" s="134" t="s">
        <v>63</v>
      </c>
      <c r="AF7" s="134" t="s">
        <v>63</v>
      </c>
      <c r="AG7" s="135">
        <v>1969</v>
      </c>
      <c r="AH7" s="142"/>
    </row>
    <row r="8" spans="1:34">
      <c r="B8" s="133" t="s">
        <v>429</v>
      </c>
      <c r="C8" s="133" t="s">
        <v>30</v>
      </c>
      <c r="D8" s="134">
        <v>588348.4</v>
      </c>
      <c r="E8" s="134">
        <v>6728013</v>
      </c>
      <c r="F8" s="134">
        <v>-20.995303329999999</v>
      </c>
      <c r="G8" s="134">
        <v>186.85290530500001</v>
      </c>
      <c r="H8" s="136">
        <v>34.9</v>
      </c>
      <c r="I8" s="346">
        <f t="shared" si="2"/>
        <v>0.74649039193302891</v>
      </c>
      <c r="J8" s="347">
        <f>'[27]2011Original Data Oil and Gas'!$N$559*(2000*453.59/(8760*3600))</f>
        <v>0.74649039193302891</v>
      </c>
      <c r="K8" s="346">
        <f t="shared" si="2"/>
        <v>1.8985882800608828E-2</v>
      </c>
      <c r="L8" s="347">
        <f>'[27]2011Original Data Oil and Gas'!$N$1211*(2000*453.59/(8760*3600))</f>
        <v>1.8985882800608828E-2</v>
      </c>
      <c r="M8" s="346">
        <f t="shared" ref="M8" si="7">N8</f>
        <v>1.1506595636732624E-3</v>
      </c>
      <c r="N8" s="347">
        <f>'[27]2011Original Data Oil and Gas'!$N$2490*(2000*453.59/(8760*3600))</f>
        <v>1.1506595636732624E-3</v>
      </c>
      <c r="O8" s="347">
        <f>'[27]2011Original Data Oil and Gas'!$N$194*(2000*453.59/(8760*3600))</f>
        <v>0.23617287544393711</v>
      </c>
      <c r="P8" s="211" t="s">
        <v>324</v>
      </c>
      <c r="Q8" s="211" t="s">
        <v>321</v>
      </c>
      <c r="R8" s="207">
        <f>$K8*(VLOOKUP($P8 &amp;"|"&amp; $Q8,'AQRV Speciation'!$B$8:$G$22,2,FALSE))</f>
        <v>0</v>
      </c>
      <c r="S8" s="207">
        <f>$K8*(VLOOKUP($P8 &amp;"|"&amp; $Q8,'AQRV Speciation'!$B$8:$G$22,3,FALSE))</f>
        <v>5.4656329274479967E-3</v>
      </c>
      <c r="T8" s="207">
        <f>$K8*(VLOOKUP($P8 &amp;"|"&amp; $Q8,'AQRV Speciation'!$B$8:$G$22,4,FALSE))</f>
        <v>5.4656329274479967E-3</v>
      </c>
      <c r="U8" s="207">
        <f>$K8*(VLOOKUP($P8 &amp;"|"&amp; $Q8,'AQRV Speciation'!$B$8:$G$22,5,FALSE))</f>
        <v>1.3520249873160833E-2</v>
      </c>
      <c r="V8" s="207">
        <f>$K8*(VLOOKUP($P8 &amp;"|"&amp; $Q8,'AQRV Speciation'!$B$8:$G$22,6,FALSE))</f>
        <v>1.3520249873160833E-2</v>
      </c>
      <c r="W8" s="310">
        <f>VLOOKUP(B8,[32]point_params!$D$9:$AH$24, 28, FALSE)</f>
        <v>19.507200000000001</v>
      </c>
      <c r="X8" s="310">
        <f t="shared" si="4"/>
        <v>64</v>
      </c>
      <c r="Y8" s="311">
        <f>VLOOKUP(B8,[32]point_params!$D$9:$AH$24, 29, FALSE)</f>
        <v>588.71</v>
      </c>
      <c r="Z8" s="310">
        <f>VLOOKUP(B8,[32]point_params!$D$9:$AH$24, 30, FALSE)</f>
        <v>22.899623999999999</v>
      </c>
      <c r="AA8" s="306">
        <f>VLOOKUP(B8,[32]point_params!$D$9:$AH$24, 31, FALSE)</f>
        <v>2.1335999999999999</v>
      </c>
      <c r="AB8" s="136"/>
      <c r="AC8" s="134" t="s">
        <v>63</v>
      </c>
      <c r="AD8" s="134" t="s">
        <v>63</v>
      </c>
      <c r="AE8" s="134" t="s">
        <v>63</v>
      </c>
      <c r="AF8" s="134" t="s">
        <v>63</v>
      </c>
      <c r="AG8" s="135">
        <v>1969</v>
      </c>
      <c r="AH8" s="142"/>
    </row>
    <row r="9" spans="1:34">
      <c r="B9" s="133" t="s">
        <v>430</v>
      </c>
      <c r="C9" s="133" t="s">
        <v>31</v>
      </c>
      <c r="D9" s="134">
        <v>588341</v>
      </c>
      <c r="E9" s="134">
        <v>6728012.9000000004</v>
      </c>
      <c r="F9" s="134">
        <v>-21.002732467000001</v>
      </c>
      <c r="G9" s="134">
        <v>186.85302328700001</v>
      </c>
      <c r="H9" s="136">
        <v>34.9</v>
      </c>
      <c r="I9" s="346">
        <f t="shared" si="2"/>
        <v>3.5802772323693555</v>
      </c>
      <c r="J9" s="347">
        <f>'[27]2011Original Data Oil and Gas'!$N$568*(2000*453.59/(8760*3600))</f>
        <v>3.5802772323693555</v>
      </c>
      <c r="K9" s="346">
        <f t="shared" si="2"/>
        <v>9.1189770421106042E-2</v>
      </c>
      <c r="L9" s="347">
        <f>'[27]2011Original Data Oil and Gas'!$N$1203*(2000*453.59/(8760*3600))</f>
        <v>9.1189770421106042E-2</v>
      </c>
      <c r="M9" s="346">
        <f t="shared" ref="M9" si="8">N9</f>
        <v>5.7532978183663123E-3</v>
      </c>
      <c r="N9" s="347">
        <f>'[27]2011Original Data Oil and Gas'!$N$2500*(2000*453.59/(8760*3600))</f>
        <v>5.7532978183663123E-3</v>
      </c>
      <c r="O9" s="347">
        <f>'[27]2011Original Data Oil and Gas'!$N$181*(2000*453.59/(8760*3600))</f>
        <v>1.1333996702181635</v>
      </c>
      <c r="P9" s="211" t="s">
        <v>324</v>
      </c>
      <c r="Q9" s="211" t="s">
        <v>321</v>
      </c>
      <c r="R9" s="207">
        <f>$K9*(VLOOKUP($P9 &amp;"|"&amp; $Q9,'AQRV Speciation'!$B$8:$G$22,2,FALSE))</f>
        <v>0</v>
      </c>
      <c r="S9" s="207">
        <f>$K9*(VLOOKUP($P9 &amp;"|"&amp; $Q9,'AQRV Speciation'!$B$8:$G$22,3,FALSE))</f>
        <v>2.6251600575772954E-2</v>
      </c>
      <c r="T9" s="207">
        <f>$K9*(VLOOKUP($P9 &amp;"|"&amp; $Q9,'AQRV Speciation'!$B$8:$G$22,4,FALSE))</f>
        <v>2.6251600575772954E-2</v>
      </c>
      <c r="U9" s="207">
        <f>$K9*(VLOOKUP($P9 &amp;"|"&amp; $Q9,'AQRV Speciation'!$B$8:$G$22,5,FALSE))</f>
        <v>6.4938169845333099E-2</v>
      </c>
      <c r="V9" s="207">
        <f>$K9*(VLOOKUP($P9 &amp;"|"&amp; $Q9,'AQRV Speciation'!$B$8:$G$22,6,FALSE))</f>
        <v>6.4938169845333099E-2</v>
      </c>
      <c r="W9" s="310">
        <f>VLOOKUP(B9,[32]point_params!$D$9:$AH$24, 28, FALSE)</f>
        <v>19.507200000000001</v>
      </c>
      <c r="X9" s="310">
        <f t="shared" ref="X9:X14" si="9">W9/0.3048</f>
        <v>64</v>
      </c>
      <c r="Y9" s="311">
        <f>VLOOKUP(B9,[32]point_params!$D$9:$AH$24, 29, FALSE)</f>
        <v>588.71</v>
      </c>
      <c r="Z9" s="310">
        <f>VLOOKUP(B9,[32]point_params!$D$9:$AH$24, 30, FALSE)</f>
        <v>22.899623999999999</v>
      </c>
      <c r="AA9" s="306">
        <f>VLOOKUP(B9,[32]point_params!$D$9:$AH$24, 31, FALSE)</f>
        <v>2.1335999999999999</v>
      </c>
      <c r="AB9" s="136"/>
      <c r="AC9" s="134" t="s">
        <v>63</v>
      </c>
      <c r="AD9" s="134" t="s">
        <v>63</v>
      </c>
      <c r="AE9" s="134" t="s">
        <v>63</v>
      </c>
      <c r="AF9" s="134" t="s">
        <v>63</v>
      </c>
      <c r="AG9" s="135">
        <v>1969</v>
      </c>
      <c r="AH9" s="142"/>
    </row>
    <row r="10" spans="1:34">
      <c r="A10" s="27">
        <v>5</v>
      </c>
      <c r="B10" s="133" t="s">
        <v>431</v>
      </c>
      <c r="C10" s="133" t="s">
        <v>32</v>
      </c>
      <c r="D10" s="134">
        <v>588319.1</v>
      </c>
      <c r="E10" s="134">
        <v>6728012.2999999998</v>
      </c>
      <c r="F10" s="134">
        <v>-21.024727668600001</v>
      </c>
      <c r="G10" s="134">
        <v>186.853067302</v>
      </c>
      <c r="H10" s="136">
        <v>34.9</v>
      </c>
      <c r="I10" s="346">
        <f t="shared" si="2"/>
        <v>0.11736727549467277</v>
      </c>
      <c r="J10" s="347">
        <f>'[27]2011Original Data Oil and Gas'!$N$561*(2000*453.59/(8760*3600))</f>
        <v>0.11736727549467277</v>
      </c>
      <c r="K10" s="346">
        <f t="shared" si="2"/>
        <v>2.3588521055301875E-2</v>
      </c>
      <c r="L10" s="347">
        <f>'[27]2011Original Data Oil and Gas'!$N$1214*(2000*453.59/(8760*3600))</f>
        <v>2.3588521055301875E-2</v>
      </c>
      <c r="M10" s="346">
        <f t="shared" ref="M10" si="10">N10</f>
        <v>1.4383244545915781E-3</v>
      </c>
      <c r="N10" s="347">
        <f>'[27]2011Original Data Oil and Gas'!$N$2504*(2000*453.59/(8760*3600))</f>
        <v>1.4383244545915781E-3</v>
      </c>
      <c r="O10" s="347">
        <f>'[27]2011Original Data Oil and Gas'!$N$179*(2000*453.59/(8760*3600))</f>
        <v>1.7835223236935566E-2</v>
      </c>
      <c r="P10" s="211" t="s">
        <v>324</v>
      </c>
      <c r="Q10" s="211" t="s">
        <v>321</v>
      </c>
      <c r="R10" s="207">
        <f>$K10*(VLOOKUP($P10 &amp;"|"&amp; $Q10,'AQRV Speciation'!$B$8:$G$22,2,FALSE))</f>
        <v>0</v>
      </c>
      <c r="S10" s="207">
        <f>$K10*(VLOOKUP($P10 &amp;"|"&amp; $Q10,'AQRV Speciation'!$B$8:$G$22,3,FALSE))</f>
        <v>6.7906348492535705E-3</v>
      </c>
      <c r="T10" s="207">
        <f>$K10*(VLOOKUP($P10 &amp;"|"&amp; $Q10,'AQRV Speciation'!$B$8:$G$22,4,FALSE))</f>
        <v>6.7906348492535705E-3</v>
      </c>
      <c r="U10" s="207">
        <f>$K10*(VLOOKUP($P10 &amp;"|"&amp; $Q10,'AQRV Speciation'!$B$8:$G$22,5,FALSE))</f>
        <v>1.6797886206048305E-2</v>
      </c>
      <c r="V10" s="207">
        <f>$K10*(VLOOKUP($P10 &amp;"|"&amp; $Q10,'AQRV Speciation'!$B$8:$G$22,6,FALSE))</f>
        <v>1.6797886206048305E-2</v>
      </c>
      <c r="W10" s="310">
        <f>VLOOKUP(B10,[32]point_params!$D$9:$AH$24, 28, FALSE)</f>
        <v>19.507200000000001</v>
      </c>
      <c r="X10" s="310">
        <f t="shared" si="9"/>
        <v>64</v>
      </c>
      <c r="Y10" s="311">
        <f>VLOOKUP(B10,[32]point_params!$D$9:$AH$24, 29, FALSE)</f>
        <v>775.92777777777769</v>
      </c>
      <c r="Z10" s="310">
        <f>VLOOKUP(B10,[32]point_params!$D$9:$AH$24, 30, FALSE)</f>
        <v>98.410980222634834</v>
      </c>
      <c r="AA10" s="306">
        <f>VLOOKUP(B10,[32]point_params!$D$9:$AH$24, 31, FALSE)</f>
        <v>0.81279999999999997</v>
      </c>
      <c r="AB10" s="136"/>
      <c r="AC10" s="136" t="s">
        <v>58</v>
      </c>
      <c r="AD10" s="136" t="s">
        <v>58</v>
      </c>
      <c r="AE10" s="134" t="s">
        <v>63</v>
      </c>
      <c r="AF10" s="136" t="s">
        <v>58</v>
      </c>
      <c r="AG10" s="284">
        <v>2006</v>
      </c>
      <c r="AH10" s="142"/>
    </row>
    <row r="11" spans="1:34" s="317" customFormat="1">
      <c r="A11" s="317">
        <v>6</v>
      </c>
      <c r="B11" s="318" t="s">
        <v>432</v>
      </c>
      <c r="C11" s="318" t="s">
        <v>33</v>
      </c>
      <c r="D11" s="319">
        <v>588412.19999999995</v>
      </c>
      <c r="E11" s="319">
        <v>6728019.5999999996</v>
      </c>
      <c r="F11" s="319">
        <v>-20.931082816699998</v>
      </c>
      <c r="G11" s="319">
        <v>186.85764614000001</v>
      </c>
      <c r="H11" s="319">
        <v>35.1</v>
      </c>
      <c r="I11" s="346">
        <f t="shared" si="2"/>
        <v>8.3422818366311519E-2</v>
      </c>
      <c r="J11" s="347">
        <f>'[27]2011Original Data Oil and Gas'!$N$554*(2000*453.59/(8760*3600))</f>
        <v>8.3422818366311519E-2</v>
      </c>
      <c r="K11" s="346">
        <f>L11</f>
        <v>6.3286276002029428E-3</v>
      </c>
      <c r="L11" s="347">
        <f>'[27]2011Original Data Oil and Gas'!$N$1205*(2000*453.59/(8760*3600))</f>
        <v>6.3286276002029428E-3</v>
      </c>
      <c r="M11" s="346">
        <f t="shared" ref="M11" si="11">N11</f>
        <v>2.876648909183156E-4</v>
      </c>
      <c r="N11" s="347">
        <f>'[27]2011Original Data Oil and Gas'!$N$2501*(2000*453.59/(8760*3600))</f>
        <v>2.876648909183156E-4</v>
      </c>
      <c r="O11" s="347">
        <f>'[27]2011Original Data Oil and Gas'!$N$190*(2000*453.59/(8760*3600))</f>
        <v>7.0190233384069003E-2</v>
      </c>
      <c r="P11" s="320" t="s">
        <v>327</v>
      </c>
      <c r="Q11" s="320" t="s">
        <v>321</v>
      </c>
      <c r="R11" s="321">
        <f>$K11*(VLOOKUP($P11 &amp;"|"&amp; $Q11,'AQRV Speciation'!$B$8:$G$22,2,FALSE))</f>
        <v>0</v>
      </c>
      <c r="S11" s="321">
        <f>$K11*(VLOOKUP($P11 &amp;"|"&amp; $Q11,'AQRV Speciation'!$B$8:$G$22,3,FALSE))</f>
        <v>1.5821569000507357E-3</v>
      </c>
      <c r="T11" s="321">
        <f>$K11*(VLOOKUP($P11 &amp;"|"&amp; $Q11,'AQRV Speciation'!$B$8:$G$22,4,FALSE))</f>
        <v>1.5821569000507357E-3</v>
      </c>
      <c r="U11" s="321">
        <f>$K11*(VLOOKUP($P11 &amp;"|"&amp; $Q11,'AQRV Speciation'!$B$8:$G$22,5,FALSE))</f>
        <v>4.7464707001522079E-3</v>
      </c>
      <c r="V11" s="321">
        <f>$K11*(VLOOKUP($P11 &amp;"|"&amp; $Q11,'AQRV Speciation'!$B$8:$G$22,6,FALSE))</f>
        <v>4.7464707001522079E-3</v>
      </c>
      <c r="W11" s="237">
        <f>VLOOKUP(B11,[32]point_params!$D$9:$AH$24, 28, FALSE)</f>
        <v>19.812000000000001</v>
      </c>
      <c r="X11" s="237">
        <f t="shared" si="9"/>
        <v>65</v>
      </c>
      <c r="Y11" s="322">
        <f>VLOOKUP(B11,[32]point_params!$D$9:$AH$24, 29, FALSE)</f>
        <v>588.71</v>
      </c>
      <c r="Z11" s="237">
        <f>VLOOKUP(B11,[32]point_params!$D$9:$AH$24, 30, FALSE)</f>
        <v>9.1013280000000005</v>
      </c>
      <c r="AA11" s="238">
        <f>VLOOKUP(B11,[32]point_params!$D$9:$AH$24, 31, FALSE)</f>
        <v>0.97536000000000023</v>
      </c>
      <c r="AB11" s="319" t="s">
        <v>198</v>
      </c>
      <c r="AC11" s="319" t="s">
        <v>63</v>
      </c>
      <c r="AD11" s="319" t="s">
        <v>63</v>
      </c>
      <c r="AE11" s="319" t="s">
        <v>63</v>
      </c>
      <c r="AF11" s="319" t="s">
        <v>63</v>
      </c>
      <c r="AG11" s="323">
        <v>1969</v>
      </c>
      <c r="AH11" s="324"/>
    </row>
    <row r="12" spans="1:34" s="317" customFormat="1">
      <c r="A12" s="317">
        <v>7</v>
      </c>
      <c r="B12" s="318" t="s">
        <v>433</v>
      </c>
      <c r="C12" s="318" t="s">
        <v>34</v>
      </c>
      <c r="D12" s="319">
        <v>588417.4</v>
      </c>
      <c r="E12" s="319">
        <v>6728019.7000000002</v>
      </c>
      <c r="F12" s="319">
        <v>-20.925861464600001</v>
      </c>
      <c r="G12" s="319">
        <v>186.85759305100001</v>
      </c>
      <c r="H12" s="319">
        <v>35.1</v>
      </c>
      <c r="I12" s="346">
        <f t="shared" si="2"/>
        <v>0.12686021689497717</v>
      </c>
      <c r="J12" s="347">
        <f>'[27]2011Original Data Oil and Gas'!$N$565*(2000*453.59/(8760*3600))</f>
        <v>0.12686021689497717</v>
      </c>
      <c r="K12" s="346">
        <f t="shared" si="2"/>
        <v>9.4929414003044141E-3</v>
      </c>
      <c r="L12" s="347">
        <f>'[27]2011Original Data Oil and Gas'!$N$1216*(2000*453.59/(8760*3600))</f>
        <v>9.4929414003044141E-3</v>
      </c>
      <c r="M12" s="346">
        <f t="shared" ref="M12" si="12">N12</f>
        <v>5.7532978183663121E-4</v>
      </c>
      <c r="N12" s="347">
        <f>'[27]2011Original Data Oil and Gas'!$N$2498*(2000*453.59/(8760*3600))</f>
        <v>5.7532978183663121E-4</v>
      </c>
      <c r="O12" s="347">
        <f>'[27]2011Original Data Oil and Gas'!$N$184*(2000*453.59/(8760*3600))</f>
        <v>0.10643600963977677</v>
      </c>
      <c r="P12" s="320" t="s">
        <v>327</v>
      </c>
      <c r="Q12" s="320" t="s">
        <v>321</v>
      </c>
      <c r="R12" s="321">
        <f>$K12*(VLOOKUP($P12 &amp;"|"&amp; $Q12,'AQRV Speciation'!$B$8:$G$22,2,FALSE))</f>
        <v>0</v>
      </c>
      <c r="S12" s="321">
        <f>$K12*(VLOOKUP($P12 &amp;"|"&amp; $Q12,'AQRV Speciation'!$B$8:$G$22,3,FALSE))</f>
        <v>2.3732353500761035E-3</v>
      </c>
      <c r="T12" s="321">
        <f>$K12*(VLOOKUP($P12 &amp;"|"&amp; $Q12,'AQRV Speciation'!$B$8:$G$22,4,FALSE))</f>
        <v>2.3732353500761035E-3</v>
      </c>
      <c r="U12" s="321">
        <f>$K12*(VLOOKUP($P12 &amp;"|"&amp; $Q12,'AQRV Speciation'!$B$8:$G$22,5,FALSE))</f>
        <v>7.1197060502283119E-3</v>
      </c>
      <c r="V12" s="321">
        <f>$K12*(VLOOKUP($P12 &amp;"|"&amp; $Q12,'AQRV Speciation'!$B$8:$G$22,6,FALSE))</f>
        <v>7.1197060502283119E-3</v>
      </c>
      <c r="W12" s="237">
        <f>VLOOKUP(B12,[32]point_params!$D$9:$AH$24, 28, FALSE)</f>
        <v>19.812000000000001</v>
      </c>
      <c r="X12" s="237">
        <f t="shared" si="9"/>
        <v>65</v>
      </c>
      <c r="Y12" s="322">
        <f>VLOOKUP(B12,[32]point_params!$D$9:$AH$24, 29, FALSE)</f>
        <v>588.71</v>
      </c>
      <c r="Z12" s="237">
        <f>VLOOKUP(B12,[32]point_params!$D$9:$AH$24, 30, FALSE)</f>
        <v>9.1013280000000005</v>
      </c>
      <c r="AA12" s="238">
        <f>VLOOKUP(B12,[32]point_params!$D$9:$AH$24, 31, FALSE)</f>
        <v>0.97536000000000023</v>
      </c>
      <c r="AB12" s="319" t="s">
        <v>198</v>
      </c>
      <c r="AC12" s="319" t="s">
        <v>63</v>
      </c>
      <c r="AD12" s="319" t="s">
        <v>63</v>
      </c>
      <c r="AE12" s="319" t="s">
        <v>63</v>
      </c>
      <c r="AF12" s="319" t="s">
        <v>63</v>
      </c>
      <c r="AG12" s="323">
        <v>1969</v>
      </c>
      <c r="AH12" s="324"/>
    </row>
    <row r="13" spans="1:34" s="317" customFormat="1">
      <c r="A13" s="317">
        <v>8</v>
      </c>
      <c r="B13" s="318" t="s">
        <v>434</v>
      </c>
      <c r="C13" s="318" t="s">
        <v>35</v>
      </c>
      <c r="D13" s="319">
        <v>588422.6</v>
      </c>
      <c r="E13" s="319">
        <v>6728019.9000000004</v>
      </c>
      <c r="F13" s="319">
        <v>-20.920637161599998</v>
      </c>
      <c r="G13" s="319">
        <v>186.85764031400001</v>
      </c>
      <c r="H13" s="319">
        <v>35.1</v>
      </c>
      <c r="I13" s="346">
        <f t="shared" si="2"/>
        <v>0.14642142947742262</v>
      </c>
      <c r="J13" s="347">
        <f>'[27]2011Original Data Oil and Gas'!$N$558*(2000*453.59/(8760*3600))</f>
        <v>0.14642142947742262</v>
      </c>
      <c r="K13" s="346">
        <f t="shared" si="2"/>
        <v>1.1218930745814308E-2</v>
      </c>
      <c r="L13" s="347">
        <f>'[27]2011Original Data Oil and Gas'!$N$1213*(2000*453.59/(8760*3600))</f>
        <v>1.1218930745814308E-2</v>
      </c>
      <c r="M13" s="346">
        <f t="shared" ref="M13" si="13">N13</f>
        <v>5.7532978183663121E-4</v>
      </c>
      <c r="N13" s="347">
        <f>'[27]2011Original Data Oil and Gas'!$N$2503*(2000*453.59/(8760*3600))</f>
        <v>5.7532978183663121E-4</v>
      </c>
      <c r="O13" s="347">
        <f>'[27]2011Original Data Oil and Gas'!$N$183*(2000*453.59/(8760*3600))</f>
        <v>0.12283290842212075</v>
      </c>
      <c r="P13" s="320" t="s">
        <v>327</v>
      </c>
      <c r="Q13" s="320" t="s">
        <v>321</v>
      </c>
      <c r="R13" s="321">
        <f>$K13*(VLOOKUP($P13 &amp;"|"&amp; $Q13,'AQRV Speciation'!$B$8:$G$22,2,FALSE))</f>
        <v>0</v>
      </c>
      <c r="S13" s="321">
        <f>$K13*(VLOOKUP($P13 &amp;"|"&amp; $Q13,'AQRV Speciation'!$B$8:$G$22,3,FALSE))</f>
        <v>2.804732686453577E-3</v>
      </c>
      <c r="T13" s="321">
        <f>$K13*(VLOOKUP($P13 &amp;"|"&amp; $Q13,'AQRV Speciation'!$B$8:$G$22,4,FALSE))</f>
        <v>2.804732686453577E-3</v>
      </c>
      <c r="U13" s="321">
        <f>$K13*(VLOOKUP($P13 &amp;"|"&amp; $Q13,'AQRV Speciation'!$B$8:$G$22,5,FALSE))</f>
        <v>8.4141980593607328E-3</v>
      </c>
      <c r="V13" s="321">
        <f>$K13*(VLOOKUP($P13 &amp;"|"&amp; $Q13,'AQRV Speciation'!$B$8:$G$22,6,FALSE))</f>
        <v>8.4141980593607328E-3</v>
      </c>
      <c r="W13" s="237">
        <f>VLOOKUP(B13,[32]point_params!$D$9:$AH$24, 28, FALSE)</f>
        <v>19.812000000000001</v>
      </c>
      <c r="X13" s="237">
        <f t="shared" si="9"/>
        <v>65</v>
      </c>
      <c r="Y13" s="322">
        <f>VLOOKUP(B13,[32]point_params!$D$9:$AH$24, 29, FALSE)</f>
        <v>588.71</v>
      </c>
      <c r="Z13" s="237">
        <f>VLOOKUP(B13,[32]point_params!$D$9:$AH$24, 30, FALSE)</f>
        <v>9.1013280000000005</v>
      </c>
      <c r="AA13" s="238">
        <f>VLOOKUP(B13,[32]point_params!$D$9:$AH$24, 31, FALSE)</f>
        <v>0.97536000000000023</v>
      </c>
      <c r="AB13" s="319" t="s">
        <v>198</v>
      </c>
      <c r="AC13" s="319" t="s">
        <v>63</v>
      </c>
      <c r="AD13" s="319" t="s">
        <v>63</v>
      </c>
      <c r="AE13" s="319" t="s">
        <v>63</v>
      </c>
      <c r="AF13" s="319" t="s">
        <v>63</v>
      </c>
      <c r="AG13" s="323">
        <v>1969</v>
      </c>
      <c r="AH13" s="324"/>
    </row>
    <row r="14" spans="1:34">
      <c r="A14" s="27">
        <v>9</v>
      </c>
      <c r="B14" s="133" t="s">
        <v>435</v>
      </c>
      <c r="C14" s="133" t="s">
        <v>36</v>
      </c>
      <c r="D14" s="134">
        <v>588407.5</v>
      </c>
      <c r="E14" s="134">
        <v>6728012.5999999996</v>
      </c>
      <c r="F14" s="134">
        <v>-20.936006004399999</v>
      </c>
      <c r="G14" s="134">
        <v>186.85076005799999</v>
      </c>
      <c r="H14" s="136">
        <v>35</v>
      </c>
      <c r="I14" s="346">
        <f t="shared" si="2"/>
        <v>7.4792871638762054E-3</v>
      </c>
      <c r="J14" s="347">
        <f>'[27]2011Original Data Oil and Gas'!$N$553*(2000*453.59/(8760*3600))</f>
        <v>7.4792871638762054E-3</v>
      </c>
      <c r="K14" s="346">
        <f t="shared" si="2"/>
        <v>5.7532978183663121E-4</v>
      </c>
      <c r="L14" s="347">
        <f>'[27]2011Original Data Oil and Gas'!$N$1201*(2000*453.59/(8760*3600))</f>
        <v>5.7532978183663121E-4</v>
      </c>
      <c r="M14" s="346">
        <f t="shared" ref="M14" si="14">N14</f>
        <v>0</v>
      </c>
      <c r="N14" s="347">
        <f>'[27]2011Original Data Oil and Gas'!$N$2488*(2000*453.59/(8760*3600))</f>
        <v>0</v>
      </c>
      <c r="O14" s="347">
        <f>'[27]2011Original Data Oil and Gas'!$N$189*(2000*453.59/(8760*3600))</f>
        <v>1.7259893455098935E-3</v>
      </c>
      <c r="P14" s="211" t="s">
        <v>328</v>
      </c>
      <c r="Q14" s="211" t="s">
        <v>326</v>
      </c>
      <c r="R14" s="207">
        <f>$K14*(VLOOKUP($P14 &amp;"|"&amp; $Q14,'AQRV Speciation'!$B$8:$G$22,2,FALSE))</f>
        <v>0</v>
      </c>
      <c r="S14" s="207">
        <f>$K14*(VLOOKUP($P14 &amp;"|"&amp; $Q14,'AQRV Speciation'!$B$8:$G$22,3,FALSE))</f>
        <v>4.9565281564702579E-4</v>
      </c>
      <c r="T14" s="207">
        <f>$K14*(VLOOKUP($P14 &amp;"|"&amp; $Q14,'AQRV Speciation'!$B$8:$G$22,4,FALSE))</f>
        <v>4.9801670469628114E-4</v>
      </c>
      <c r="U14" s="207">
        <f>$K14*(VLOOKUP($P14 &amp;"|"&amp; $Q14,'AQRV Speciation'!$B$8:$G$22,5,FALSE))</f>
        <v>7.9676966189605401E-5</v>
      </c>
      <c r="V14" s="207">
        <f>$K14*(VLOOKUP($P14 &amp;"|"&amp; $Q14,'AQRV Speciation'!$B$8:$G$22,6,FALSE))</f>
        <v>7.7313077140350107E-5</v>
      </c>
      <c r="W14" s="310">
        <f>VLOOKUP(B14,[32]point_params!$D$9:$AH$24, 28, FALSE)</f>
        <v>6.2484000000000002</v>
      </c>
      <c r="X14" s="310">
        <f t="shared" si="9"/>
        <v>20.5</v>
      </c>
      <c r="Y14" s="311">
        <f>VLOOKUP(B14,[32]point_params!$D$9:$AH$24, 29, FALSE)</f>
        <v>600</v>
      </c>
      <c r="Z14" s="310">
        <f>VLOOKUP(B14,[32]point_params!$D$9:$AH$24, 30, FALSE)</f>
        <v>39.288719999999998</v>
      </c>
      <c r="AA14" s="306">
        <f>VLOOKUP(B14,[32]point_params!$D$9:$AH$24, 31, FALSE)</f>
        <v>0.24384000000000006</v>
      </c>
      <c r="AB14" s="136"/>
      <c r="AC14" s="134" t="s">
        <v>63</v>
      </c>
      <c r="AD14" s="134" t="s">
        <v>63</v>
      </c>
      <c r="AE14" s="134" t="s">
        <v>63</v>
      </c>
      <c r="AF14" s="134" t="s">
        <v>63</v>
      </c>
      <c r="AG14" s="135">
        <v>1969</v>
      </c>
      <c r="AH14" s="142"/>
    </row>
    <row r="15" spans="1:34" s="317" customFormat="1">
      <c r="A15" s="317">
        <v>10</v>
      </c>
      <c r="B15" s="318" t="s">
        <v>421</v>
      </c>
      <c r="C15" s="318" t="s">
        <v>37</v>
      </c>
      <c r="D15" s="319">
        <v>588246.69999999995</v>
      </c>
      <c r="E15" s="319">
        <v>6727999.7999999998</v>
      </c>
      <c r="F15" s="319">
        <v>-21.097752639599999</v>
      </c>
      <c r="G15" s="319">
        <v>186.84265898999999</v>
      </c>
      <c r="H15" s="319">
        <v>35</v>
      </c>
      <c r="I15" s="346">
        <f t="shared" si="2"/>
        <v>4.314973363774734E-3</v>
      </c>
      <c r="J15" s="347">
        <f>'[27]2011Original Data Oil and Gas'!$N$556*(2000*453.59/(8760*3600))</f>
        <v>4.314973363774734E-3</v>
      </c>
      <c r="K15" s="346">
        <f t="shared" si="2"/>
        <v>2.876648909183156E-4</v>
      </c>
      <c r="L15" s="347">
        <f>'[27]2011Original Data Oil and Gas'!$N$1212*(2000*453.59/(8760*3600))</f>
        <v>2.876648909183156E-4</v>
      </c>
      <c r="M15" s="346">
        <f t="shared" ref="M15" si="15">N15</f>
        <v>0</v>
      </c>
      <c r="N15" s="347">
        <f>'[27]2011Original Data Oil and Gas'!$N$2493*(2000*453.59/(8760*3600))</f>
        <v>0</v>
      </c>
      <c r="O15" s="347">
        <f>'[27]2011Original Data Oil and Gas'!$N$191*(2000*453.59/(8760*3600))</f>
        <v>8.6299467275494676E-4</v>
      </c>
      <c r="P15" s="320" t="s">
        <v>328</v>
      </c>
      <c r="Q15" s="320" t="s">
        <v>326</v>
      </c>
      <c r="R15" s="321">
        <f>$K15*(VLOOKUP($P15 &amp;"|"&amp; $Q15,'AQRV Speciation'!$B$8:$G$22,2,FALSE))</f>
        <v>0</v>
      </c>
      <c r="S15" s="321">
        <f>$K15*(VLOOKUP($P15 &amp;"|"&amp; $Q15,'AQRV Speciation'!$B$8:$G$22,3,FALSE))</f>
        <v>2.478264078235129E-4</v>
      </c>
      <c r="T15" s="321">
        <f>$K15*(VLOOKUP($P15 &amp;"|"&amp; $Q15,'AQRV Speciation'!$B$8:$G$22,4,FALSE))</f>
        <v>2.4900835234814057E-4</v>
      </c>
      <c r="U15" s="321">
        <f>$K15*(VLOOKUP($P15 &amp;"|"&amp; $Q15,'AQRV Speciation'!$B$8:$G$22,5,FALSE))</f>
        <v>3.9838483094802701E-5</v>
      </c>
      <c r="V15" s="321">
        <f>$K15*(VLOOKUP($P15 &amp;"|"&amp; $Q15,'AQRV Speciation'!$B$8:$G$22,6,FALSE))</f>
        <v>3.8656538570175054E-5</v>
      </c>
      <c r="W15" s="237">
        <f>VLOOKUP(B15,[32]point_params!$D$9:$AH$24, 28, FALSE)</f>
        <v>3.9624000000000001</v>
      </c>
      <c r="X15" s="237">
        <f t="shared" ref="X15:X18" si="16">W15/0.3048</f>
        <v>13</v>
      </c>
      <c r="Y15" s="322">
        <f>VLOOKUP(B15,[32]point_params!$D$9:$AH$24, 29, FALSE)</f>
        <v>600</v>
      </c>
      <c r="Z15" s="237">
        <f>VLOOKUP(B15,[32]point_params!$D$9:$AH$24, 30, FALSE)</f>
        <v>39.288719999999998</v>
      </c>
      <c r="AA15" s="238">
        <f>VLOOKUP(B15,[32]point_params!$D$9:$AH$24, 31, FALSE)</f>
        <v>0.24384000000000006</v>
      </c>
      <c r="AB15" s="319" t="s">
        <v>173</v>
      </c>
      <c r="AC15" s="319" t="s">
        <v>58</v>
      </c>
      <c r="AD15" s="319" t="s">
        <v>58</v>
      </c>
      <c r="AE15" s="319" t="s">
        <v>63</v>
      </c>
      <c r="AF15" s="319" t="s">
        <v>58</v>
      </c>
      <c r="AG15" s="323">
        <v>1992</v>
      </c>
      <c r="AH15" s="324"/>
    </row>
    <row r="16" spans="1:34" s="317" customFormat="1">
      <c r="A16" s="317">
        <v>11</v>
      </c>
      <c r="B16" s="318" t="s">
        <v>422</v>
      </c>
      <c r="C16" s="318" t="s">
        <v>38</v>
      </c>
      <c r="D16" s="319">
        <v>588246.6</v>
      </c>
      <c r="E16" s="319">
        <v>6728001.5</v>
      </c>
      <c r="F16" s="319">
        <v>-21.097802843699998</v>
      </c>
      <c r="G16" s="319">
        <v>186.84436795600001</v>
      </c>
      <c r="H16" s="319">
        <v>35</v>
      </c>
      <c r="I16" s="346">
        <f t="shared" si="2"/>
        <v>4.0273084728564184E-3</v>
      </c>
      <c r="J16" s="347">
        <f>'[27]2011Original Data Oil and Gas'!$N$564*(2000*453.59/(8760*3600))</f>
        <v>4.0273084728564184E-3</v>
      </c>
      <c r="K16" s="346">
        <f t="shared" si="2"/>
        <v>2.876648909183156E-4</v>
      </c>
      <c r="L16" s="347">
        <f>'[27]2011Original Data Oil and Gas'!$N$1210*(2000*453.59/(8760*3600))</f>
        <v>2.876648909183156E-4</v>
      </c>
      <c r="M16" s="346">
        <f t="shared" ref="M16" si="17">N16</f>
        <v>0</v>
      </c>
      <c r="N16" s="347">
        <f>'[27]2011Original Data Oil and Gas'!$N$2492*(2000*453.59/(8760*3600))</f>
        <v>0</v>
      </c>
      <c r="O16" s="347">
        <f>'[27]2011Original Data Oil and Gas'!$N$192*(2000*453.59/(8760*3600))</f>
        <v>8.6299467275494676E-4</v>
      </c>
      <c r="P16" s="320" t="s">
        <v>328</v>
      </c>
      <c r="Q16" s="320" t="s">
        <v>326</v>
      </c>
      <c r="R16" s="321">
        <f>$K16*(VLOOKUP($P16 &amp;"|"&amp; $Q16,'AQRV Speciation'!$B$8:$G$22,2,FALSE))</f>
        <v>0</v>
      </c>
      <c r="S16" s="321">
        <f>$K16*(VLOOKUP($P16 &amp;"|"&amp; $Q16,'AQRV Speciation'!$B$8:$G$22,3,FALSE))</f>
        <v>2.478264078235129E-4</v>
      </c>
      <c r="T16" s="321">
        <f>$K16*(VLOOKUP($P16 &amp;"|"&amp; $Q16,'AQRV Speciation'!$B$8:$G$22,4,FALSE))</f>
        <v>2.4900835234814057E-4</v>
      </c>
      <c r="U16" s="321">
        <f>$K16*(VLOOKUP($P16 &amp;"|"&amp; $Q16,'AQRV Speciation'!$B$8:$G$22,5,FALSE))</f>
        <v>3.9838483094802701E-5</v>
      </c>
      <c r="V16" s="321">
        <f>$K16*(VLOOKUP($P16 &amp;"|"&amp; $Q16,'AQRV Speciation'!$B$8:$G$22,6,FALSE))</f>
        <v>3.8656538570175054E-5</v>
      </c>
      <c r="W16" s="237">
        <f>VLOOKUP(B16,[32]point_params!$D$9:$AH$24, 28, FALSE)</f>
        <v>3.9624000000000001</v>
      </c>
      <c r="X16" s="237">
        <f t="shared" si="16"/>
        <v>13</v>
      </c>
      <c r="Y16" s="322">
        <f>VLOOKUP(B16,[32]point_params!$D$9:$AH$24, 29, FALSE)</f>
        <v>600</v>
      </c>
      <c r="Z16" s="237">
        <f>VLOOKUP(B16,[32]point_params!$D$9:$AH$24, 30, FALSE)</f>
        <v>39.288719999999998</v>
      </c>
      <c r="AA16" s="238">
        <f>VLOOKUP(B16,[32]point_params!$D$9:$AH$24, 31, FALSE)</f>
        <v>0.24384000000000006</v>
      </c>
      <c r="AB16" s="319" t="s">
        <v>173</v>
      </c>
      <c r="AC16" s="319" t="s">
        <v>58</v>
      </c>
      <c r="AD16" s="319" t="s">
        <v>58</v>
      </c>
      <c r="AE16" s="319" t="s">
        <v>63</v>
      </c>
      <c r="AF16" s="319" t="s">
        <v>58</v>
      </c>
      <c r="AG16" s="323">
        <v>1992</v>
      </c>
      <c r="AH16" s="324"/>
    </row>
    <row r="17" spans="1:34" s="317" customFormat="1">
      <c r="A17" s="317">
        <v>12</v>
      </c>
      <c r="B17" s="318" t="s">
        <v>423</v>
      </c>
      <c r="C17" s="318" t="s">
        <v>39</v>
      </c>
      <c r="D17" s="319">
        <v>588246.5</v>
      </c>
      <c r="E17" s="319">
        <v>6728007</v>
      </c>
      <c r="F17" s="319">
        <v>-21.097740948399998</v>
      </c>
      <c r="G17" s="319">
        <v>186.84989036900001</v>
      </c>
      <c r="H17" s="319">
        <v>35</v>
      </c>
      <c r="I17" s="346">
        <f t="shared" si="2"/>
        <v>3.1643138001014714E-3</v>
      </c>
      <c r="J17" s="347">
        <f>'[27]2011Original Data Oil and Gas'!$N$557*(2000*453.59/(8760*3600))</f>
        <v>3.1643138001014714E-3</v>
      </c>
      <c r="K17" s="346">
        <f t="shared" si="2"/>
        <v>2.876648909183156E-4</v>
      </c>
      <c r="L17" s="347">
        <f>'[27]2011Original Data Oil and Gas'!$N$1204*(2000*453.59/(8760*3600))</f>
        <v>2.876648909183156E-4</v>
      </c>
      <c r="M17" s="346">
        <f t="shared" ref="M17" si="18">N17</f>
        <v>0</v>
      </c>
      <c r="N17" s="347">
        <f>'[27]2011Original Data Oil and Gas'!$N$2497*(2000*453.59/(8760*3600))</f>
        <v>0</v>
      </c>
      <c r="O17" s="347">
        <f>'[27]2011Original Data Oil and Gas'!$N$180*(2000*453.59/(8760*3600))</f>
        <v>5.7532978183663121E-4</v>
      </c>
      <c r="P17" s="320" t="s">
        <v>328</v>
      </c>
      <c r="Q17" s="320" t="s">
        <v>326</v>
      </c>
      <c r="R17" s="321">
        <f>$K17*(VLOOKUP($P17 &amp;"|"&amp; $Q17,'AQRV Speciation'!$B$8:$G$22,2,FALSE))</f>
        <v>0</v>
      </c>
      <c r="S17" s="321">
        <f>$K17*(VLOOKUP($P17 &amp;"|"&amp; $Q17,'AQRV Speciation'!$B$8:$G$22,3,FALSE))</f>
        <v>2.478264078235129E-4</v>
      </c>
      <c r="T17" s="321">
        <f>$K17*(VLOOKUP($P17 &amp;"|"&amp; $Q17,'AQRV Speciation'!$B$8:$G$22,4,FALSE))</f>
        <v>2.4900835234814057E-4</v>
      </c>
      <c r="U17" s="321">
        <f>$K17*(VLOOKUP($P17 &amp;"|"&amp; $Q17,'AQRV Speciation'!$B$8:$G$22,5,FALSE))</f>
        <v>3.9838483094802701E-5</v>
      </c>
      <c r="V17" s="321">
        <f>$K17*(VLOOKUP($P17 &amp;"|"&amp; $Q17,'AQRV Speciation'!$B$8:$G$22,6,FALSE))</f>
        <v>3.8656538570175054E-5</v>
      </c>
      <c r="W17" s="237">
        <f>VLOOKUP(B17,[32]point_params!$D$9:$AH$24, 28, FALSE)</f>
        <v>3.9624000000000001</v>
      </c>
      <c r="X17" s="237">
        <f t="shared" si="16"/>
        <v>13</v>
      </c>
      <c r="Y17" s="322">
        <f>VLOOKUP(B17,[32]point_params!$D$9:$AH$24, 29, FALSE)</f>
        <v>600</v>
      </c>
      <c r="Z17" s="237">
        <f>VLOOKUP(B17,[32]point_params!$D$9:$AH$24, 30, FALSE)</f>
        <v>39.288719999999998</v>
      </c>
      <c r="AA17" s="238">
        <f>VLOOKUP(B17,[32]point_params!$D$9:$AH$24, 31, FALSE)</f>
        <v>0.24384000000000006</v>
      </c>
      <c r="AB17" s="319" t="s">
        <v>173</v>
      </c>
      <c r="AC17" s="319" t="s">
        <v>58</v>
      </c>
      <c r="AD17" s="319" t="s">
        <v>58</v>
      </c>
      <c r="AE17" s="319" t="s">
        <v>63</v>
      </c>
      <c r="AF17" s="319" t="s">
        <v>58</v>
      </c>
      <c r="AG17" s="323">
        <v>1992</v>
      </c>
      <c r="AH17" s="324"/>
    </row>
    <row r="18" spans="1:34" s="317" customFormat="1">
      <c r="A18" s="317">
        <v>13</v>
      </c>
      <c r="B18" s="318" t="s">
        <v>424</v>
      </c>
      <c r="C18" s="318" t="s">
        <v>1</v>
      </c>
      <c r="D18" s="319">
        <v>588187.6</v>
      </c>
      <c r="E18" s="319">
        <v>6728327</v>
      </c>
      <c r="F18" s="319">
        <v>-21.1474101357</v>
      </c>
      <c r="G18" s="319">
        <v>187.172762922</v>
      </c>
      <c r="H18" s="319">
        <v>26.7</v>
      </c>
      <c r="I18" s="346">
        <f t="shared" si="2"/>
        <v>0.10758666920345003</v>
      </c>
      <c r="J18" s="347">
        <f>'[27]2011Original Data Oil and Gas'!$N$560*(2000*453.59/(8760*3600))</f>
        <v>0.10758666920345003</v>
      </c>
      <c r="K18" s="346">
        <f>L18</f>
        <v>4.1711409183155759E-2</v>
      </c>
      <c r="L18" s="347">
        <f>'[27]2011Original Data Oil and Gas'!$N$1207*(2000*453.59/(8760*3600))</f>
        <v>4.1711409183155759E-2</v>
      </c>
      <c r="M18" s="346">
        <f t="shared" ref="M18" si="19">N18</f>
        <v>5.7532978183663121E-4</v>
      </c>
      <c r="N18" s="347">
        <f>'[27]2011Original Data Oil and Gas'!$N$2491*(2000*453.59/(8760*3600))</f>
        <v>5.7532978183663121E-4</v>
      </c>
      <c r="O18" s="347">
        <f>'[27]2011Original Data Oil and Gas'!$N$193*(2000*453.59/(8760*3600))</f>
        <v>0.58395972856418066</v>
      </c>
      <c r="P18" s="320" t="s">
        <v>323</v>
      </c>
      <c r="Q18" s="320" t="s">
        <v>321</v>
      </c>
      <c r="R18" s="321">
        <f>$K18*(VLOOKUP($P18 &amp;"|"&amp; $Q18,'AQRV Speciation'!$B$8:$G$22,2,FALSE))</f>
        <v>0</v>
      </c>
      <c r="S18" s="321">
        <f>$K18*(VLOOKUP($P18 &amp;"|"&amp; $Q18,'AQRV Speciation'!$B$8:$G$22,3,FALSE))</f>
        <v>1.042785229578894E-2</v>
      </c>
      <c r="T18" s="321">
        <f>$K18*(VLOOKUP($P18 &amp;"|"&amp; $Q18,'AQRV Speciation'!$B$8:$G$22,4,FALSE))</f>
        <v>1.042785229578894E-2</v>
      </c>
      <c r="U18" s="321">
        <f>$K18*(VLOOKUP($P18 &amp;"|"&amp; $Q18,'AQRV Speciation'!$B$8:$G$22,5,FALSE))</f>
        <v>3.1283556887366823E-2</v>
      </c>
      <c r="V18" s="321">
        <f>$K18*(VLOOKUP($P18 &amp;"|"&amp; $Q18,'AQRV Speciation'!$B$8:$G$22,6,FALSE))</f>
        <v>3.1283556887366823E-2</v>
      </c>
      <c r="W18" s="237">
        <f>VLOOKUP(B18,[32]point_params!$D$9:$AH$24, 28, FALSE)</f>
        <v>2.33</v>
      </c>
      <c r="X18" s="237">
        <f t="shared" si="16"/>
        <v>7.6443569553805775</v>
      </c>
      <c r="Y18" s="322">
        <f>VLOOKUP(B18,[32]point_params!$D$9:$AH$24, 29, FALSE)</f>
        <v>1273</v>
      </c>
      <c r="Z18" s="237">
        <f>VLOOKUP(B18,[32]point_params!$D$9:$AH$24, 30, FALSE)</f>
        <v>20.000976000000001</v>
      </c>
      <c r="AA18" s="238">
        <f>VLOOKUP(B18,[32]point_params!$D$9:$AH$24, 31, FALSE)</f>
        <v>0.45100000000000001</v>
      </c>
      <c r="AB18" s="319" t="s">
        <v>173</v>
      </c>
      <c r="AC18" s="319" t="s">
        <v>63</v>
      </c>
      <c r="AD18" s="319" t="s">
        <v>63</v>
      </c>
      <c r="AE18" s="319" t="s">
        <v>63</v>
      </c>
      <c r="AF18" s="319" t="s">
        <v>63</v>
      </c>
      <c r="AG18" s="323">
        <v>1992</v>
      </c>
      <c r="AH18" s="324"/>
    </row>
    <row r="19" spans="1:34" s="286" customFormat="1" ht="12.75" customHeight="1">
      <c r="A19" s="286">
        <v>14</v>
      </c>
      <c r="B19" s="287" t="s">
        <v>470</v>
      </c>
      <c r="C19" s="58" t="s">
        <v>437</v>
      </c>
      <c r="D19" s="436">
        <v>587510.4</v>
      </c>
      <c r="E19" s="436">
        <v>6728052.6299999999</v>
      </c>
      <c r="F19" s="385">
        <v>-21.835000000000001</v>
      </c>
      <c r="G19" s="385">
        <v>186.91</v>
      </c>
      <c r="H19" s="138">
        <v>0</v>
      </c>
      <c r="I19" s="139">
        <f>'[33]Summary for Modeling-2Ship'!$F$14</f>
        <v>5.2888888888888896</v>
      </c>
      <c r="J19" s="139">
        <f>'[33]Summary for Modeling-2Ship'!$I$14</f>
        <v>1.0404520025418402</v>
      </c>
      <c r="K19" s="139">
        <f>'[33]Summary for Modeling-2Ship'!$P$14</f>
        <v>0.19902199074074076</v>
      </c>
      <c r="L19" s="139">
        <f>'[33]Summary for Modeling-2Ship'!$Q$14</f>
        <v>4.3642203725032656E-2</v>
      </c>
      <c r="M19" s="139">
        <f>'[33]Summary for Modeling-2Ship'!$J$14</f>
        <v>0.90249999999999986</v>
      </c>
      <c r="N19" s="139">
        <f>'[33]Summary for Modeling-2Ship'!$M$14</f>
        <v>2.6982069723919568E-2</v>
      </c>
      <c r="O19" s="139">
        <f>'[33]Summary for Modeling-2Ship'!$R$14</f>
        <v>6.9444444444444446</v>
      </c>
      <c r="P19" s="289" t="s">
        <v>328</v>
      </c>
      <c r="Q19" s="289" t="s">
        <v>326</v>
      </c>
      <c r="R19" s="290">
        <f>$K19*(VLOOKUP($P19 &amp;"|"&amp; $Q19,'AQRV Speciation'!$B$8:$G$22,2,FALSE))</f>
        <v>0</v>
      </c>
      <c r="S19" s="290">
        <f>$K19*(VLOOKUP($P19 &amp;"|"&amp; $Q19,'AQRV Speciation'!$B$8:$G$22,3,FALSE))</f>
        <v>0.17145959274247269</v>
      </c>
      <c r="T19" s="290">
        <f>$K19*(VLOOKUP($P19 &amp;"|"&amp; $Q19,'AQRV Speciation'!$B$8:$G$22,4,FALSE))</f>
        <v>0.17227732531833756</v>
      </c>
      <c r="U19" s="290">
        <f>$K19*(VLOOKUP($P19 &amp;"|"&amp; $Q19,'AQRV Speciation'!$B$8:$G$22,5,FALSE))</f>
        <v>2.7562397998268054E-2</v>
      </c>
      <c r="V19" s="290">
        <f>$K19*(VLOOKUP($P19 &amp;"|"&amp; $Q19,'AQRV Speciation'!$B$8:$G$22,6,FALSE))</f>
        <v>2.6744665422403214E-2</v>
      </c>
      <c r="W19" s="34">
        <v>45</v>
      </c>
      <c r="X19" s="34"/>
      <c r="Y19" s="425">
        <v>589</v>
      </c>
      <c r="Z19" s="102">
        <v>4.2</v>
      </c>
      <c r="AA19" s="34">
        <v>1.68</v>
      </c>
      <c r="AB19" s="138"/>
      <c r="AC19" s="288" t="s">
        <v>63</v>
      </c>
      <c r="AD19" s="288" t="s">
        <v>63</v>
      </c>
      <c r="AE19" s="288" t="s">
        <v>63</v>
      </c>
      <c r="AF19" s="288" t="s">
        <v>63</v>
      </c>
      <c r="AG19" s="291">
        <v>1969</v>
      </c>
      <c r="AH19" s="143" t="s">
        <v>472</v>
      </c>
    </row>
    <row r="20" spans="1:34" s="286" customFormat="1" ht="12.75" customHeight="1">
      <c r="B20" s="337"/>
      <c r="C20" s="345" t="s">
        <v>517</v>
      </c>
      <c r="F20" s="338"/>
      <c r="G20" s="338"/>
      <c r="H20" s="339"/>
      <c r="I20" s="192"/>
      <c r="J20" s="192"/>
      <c r="K20" s="192"/>
      <c r="L20" s="192"/>
      <c r="M20" s="192"/>
      <c r="N20" s="192"/>
      <c r="O20" s="192"/>
      <c r="P20" s="340"/>
      <c r="Q20" s="340"/>
      <c r="R20" s="341"/>
      <c r="S20" s="341"/>
      <c r="T20" s="341"/>
      <c r="U20" s="341"/>
      <c r="V20" s="341"/>
      <c r="W20" s="162"/>
      <c r="X20" s="162"/>
      <c r="Y20" s="430"/>
      <c r="Z20" s="377"/>
      <c r="AA20" s="162"/>
      <c r="AB20" s="339"/>
      <c r="AC20" s="342"/>
      <c r="AD20" s="338"/>
      <c r="AE20" s="338"/>
      <c r="AF20" s="338"/>
      <c r="AG20" s="343"/>
      <c r="AH20" s="344"/>
    </row>
    <row r="21" spans="1:34" s="25" customFormat="1">
      <c r="B21" s="431"/>
      <c r="C21" s="437" t="s">
        <v>604</v>
      </c>
      <c r="D21" s="438"/>
      <c r="E21" s="76"/>
      <c r="F21" s="76"/>
      <c r="G21" s="76"/>
      <c r="H21" s="76"/>
      <c r="I21" s="192"/>
      <c r="J21" s="192"/>
      <c r="K21" s="192"/>
      <c r="L21" s="192"/>
      <c r="M21" s="76"/>
      <c r="N21" s="76"/>
      <c r="O21" s="76"/>
      <c r="P21" s="76"/>
      <c r="Q21" s="76"/>
      <c r="R21" s="76"/>
      <c r="S21" s="76"/>
      <c r="T21" s="76"/>
      <c r="U21" s="76"/>
      <c r="V21" s="76"/>
      <c r="W21" s="76"/>
      <c r="X21" s="76"/>
      <c r="Y21" s="76"/>
      <c r="Z21" s="76"/>
      <c r="AA21" s="76"/>
      <c r="AB21" s="76"/>
      <c r="AC21" s="432"/>
      <c r="AD21" s="76"/>
      <c r="AE21" s="76"/>
      <c r="AF21" s="76"/>
      <c r="AG21" s="195"/>
    </row>
    <row r="22" spans="1:34">
      <c r="B22" s="147" t="s">
        <v>248</v>
      </c>
      <c r="C22" s="325" t="s">
        <v>471</v>
      </c>
      <c r="D22" s="75"/>
      <c r="E22" s="75"/>
      <c r="F22" s="75"/>
      <c r="G22" s="75"/>
      <c r="H22" s="75"/>
      <c r="I22" s="75"/>
      <c r="J22" s="75"/>
      <c r="K22" s="75"/>
      <c r="L22" s="75"/>
      <c r="M22" s="75"/>
      <c r="N22" s="75"/>
      <c r="O22" s="75"/>
      <c r="P22" s="75"/>
      <c r="Q22" s="75"/>
      <c r="R22" s="75"/>
      <c r="S22" s="75"/>
      <c r="T22" s="75"/>
      <c r="U22" s="75"/>
      <c r="V22" s="75"/>
      <c r="W22" s="75"/>
      <c r="X22" s="75"/>
      <c r="Y22" s="75">
        <f>W4/0.3048</f>
        <v>64</v>
      </c>
      <c r="Z22" s="75"/>
      <c r="AA22" s="75">
        <f>AA4/0.3048</f>
        <v>6.9999999999999991</v>
      </c>
      <c r="AB22" s="75"/>
      <c r="AC22" s="146"/>
      <c r="AD22" s="75"/>
      <c r="AE22" s="75"/>
      <c r="AF22" s="75"/>
    </row>
    <row r="23" spans="1:34">
      <c r="B23" s="476" t="s">
        <v>270</v>
      </c>
      <c r="C23" s="477"/>
      <c r="D23" s="477"/>
      <c r="E23" s="477"/>
      <c r="F23" s="477"/>
      <c r="G23" s="477"/>
      <c r="H23" s="477"/>
      <c r="I23" s="477"/>
      <c r="J23" s="477"/>
      <c r="K23" s="477"/>
      <c r="L23" s="477"/>
      <c r="M23" s="477"/>
      <c r="N23" s="477"/>
      <c r="O23" s="477"/>
      <c r="P23" s="477"/>
      <c r="Q23" s="477"/>
      <c r="R23" s="477"/>
      <c r="S23" s="477"/>
      <c r="T23" s="477"/>
      <c r="U23" s="477"/>
      <c r="V23" s="477"/>
      <c r="W23" s="477"/>
      <c r="X23" s="477"/>
      <c r="Y23" s="477"/>
      <c r="Z23" s="477"/>
      <c r="AA23" s="477"/>
      <c r="AB23" s="75"/>
      <c r="AC23" s="146"/>
      <c r="AD23" s="75"/>
      <c r="AE23" s="75"/>
      <c r="AF23" s="75"/>
    </row>
    <row r="24" spans="1:34">
      <c r="B24" s="84"/>
      <c r="C24" s="478" t="s">
        <v>371</v>
      </c>
      <c r="D24" s="478"/>
      <c r="E24" s="478"/>
      <c r="F24" s="478"/>
      <c r="G24" s="478"/>
      <c r="H24" s="478"/>
      <c r="I24" s="478"/>
      <c r="J24" s="478"/>
      <c r="K24" s="478"/>
      <c r="L24" s="478"/>
      <c r="M24" s="478"/>
      <c r="N24" s="478"/>
      <c r="O24" s="478"/>
      <c r="P24" s="478"/>
      <c r="Q24" s="478"/>
      <c r="R24" s="478"/>
      <c r="S24" s="478"/>
      <c r="T24" s="478"/>
      <c r="U24" s="478"/>
      <c r="V24" s="478"/>
      <c r="W24" s="478"/>
      <c r="X24" s="478"/>
      <c r="Y24" s="478"/>
      <c r="Z24" s="478"/>
      <c r="AA24" s="478"/>
      <c r="AB24" s="478"/>
      <c r="AC24" s="479"/>
      <c r="AD24" s="270"/>
      <c r="AE24" s="270"/>
      <c r="AF24" s="270"/>
    </row>
    <row r="25" spans="1:34">
      <c r="B25" s="84"/>
      <c r="C25" s="480" t="s">
        <v>199</v>
      </c>
      <c r="D25" s="480"/>
      <c r="E25" s="480"/>
      <c r="F25" s="480"/>
      <c r="G25" s="480"/>
      <c r="H25" s="480"/>
      <c r="I25" s="480"/>
      <c r="J25" s="480"/>
      <c r="K25" s="480"/>
      <c r="L25" s="480"/>
      <c r="M25" s="480"/>
      <c r="N25" s="480"/>
      <c r="O25" s="480"/>
      <c r="P25" s="480"/>
      <c r="Q25" s="480"/>
      <c r="R25" s="480"/>
      <c r="S25" s="480"/>
      <c r="T25" s="480"/>
      <c r="U25" s="480"/>
      <c r="V25" s="480"/>
      <c r="W25" s="480"/>
      <c r="X25" s="480"/>
      <c r="Y25" s="480"/>
      <c r="Z25" s="480"/>
      <c r="AA25" s="480"/>
      <c r="AB25" s="480"/>
      <c r="AC25" s="149"/>
      <c r="AD25" s="273"/>
      <c r="AE25" s="273"/>
      <c r="AF25" s="273"/>
    </row>
    <row r="26" spans="1:34" ht="28.5" customHeight="1">
      <c r="B26" s="90"/>
      <c r="C26" s="481" t="s">
        <v>273</v>
      </c>
      <c r="D26" s="481"/>
      <c r="E26" s="481"/>
      <c r="F26" s="481"/>
      <c r="G26" s="481"/>
      <c r="H26" s="481"/>
      <c r="I26" s="481"/>
      <c r="J26" s="481"/>
      <c r="K26" s="481"/>
      <c r="L26" s="481"/>
      <c r="M26" s="481"/>
      <c r="N26" s="481"/>
      <c r="O26" s="481"/>
      <c r="P26" s="481"/>
      <c r="Q26" s="481"/>
      <c r="R26" s="481"/>
      <c r="S26" s="481"/>
      <c r="T26" s="481"/>
      <c r="U26" s="481"/>
      <c r="V26" s="481"/>
      <c r="W26" s="481"/>
      <c r="X26" s="481"/>
      <c r="Y26" s="481"/>
      <c r="Z26" s="481"/>
      <c r="AA26" s="481"/>
      <c r="AB26" s="481"/>
      <c r="AC26" s="87"/>
      <c r="AD26" s="274"/>
      <c r="AE26" s="274"/>
      <c r="AF26" s="274"/>
    </row>
    <row r="28" spans="1:34">
      <c r="B28" s="147"/>
      <c r="C28" s="75" t="s">
        <v>271</v>
      </c>
      <c r="D28" s="75"/>
      <c r="M28" s="362">
        <f>0.1039/K15</f>
        <v>361.18415308979473</v>
      </c>
    </row>
    <row r="29" spans="1:34">
      <c r="B29" s="129" t="s">
        <v>213</v>
      </c>
      <c r="C29" s="75" t="s">
        <v>214</v>
      </c>
      <c r="D29" s="75"/>
    </row>
    <row r="30" spans="1:34">
      <c r="B30" s="129" t="s">
        <v>215</v>
      </c>
      <c r="C30" s="75" t="s">
        <v>269</v>
      </c>
      <c r="D30" s="75"/>
    </row>
    <row r="31" spans="1:34">
      <c r="B31" s="129" t="s">
        <v>216</v>
      </c>
      <c r="C31" s="75" t="s">
        <v>217</v>
      </c>
      <c r="D31" s="75"/>
    </row>
    <row r="32" spans="1:34">
      <c r="B32" s="128" t="s">
        <v>218</v>
      </c>
      <c r="C32" s="148" t="s">
        <v>219</v>
      </c>
      <c r="D32" s="148"/>
    </row>
  </sheetData>
  <mergeCells count="9">
    <mergeCell ref="AC2:AF2"/>
    <mergeCell ref="B23:AA23"/>
    <mergeCell ref="C24:AC24"/>
    <mergeCell ref="C25:AB25"/>
    <mergeCell ref="C26:AB26"/>
    <mergeCell ref="B2:B3"/>
    <mergeCell ref="C2:C3"/>
    <mergeCell ref="D2:H2"/>
    <mergeCell ref="W2:AA2"/>
  </mergeCells>
  <pageMargins left="0.7" right="0.7" top="0.75" bottom="0.75" header="0.3" footer="0.3"/>
  <pageSetup paperSize="17" scale="6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C18"/>
  <sheetViews>
    <sheetView zoomScale="90" zoomScaleNormal="90" workbookViewId="0">
      <pane xSplit="3" ySplit="1" topLeftCell="D2" activePane="bottomRight" state="frozen"/>
      <selection pane="topRight" activeCell="D1" sqref="D1"/>
      <selection pane="bottomLeft" activeCell="A2" sqref="A2"/>
      <selection pane="bottomRight" activeCell="D2" sqref="D2"/>
    </sheetView>
  </sheetViews>
  <sheetFormatPr defaultColWidth="9.140625" defaultRowHeight="15"/>
  <cols>
    <col min="1" max="1" width="9.140625" style="3"/>
    <col min="2" max="2" width="11.42578125" style="3" customWidth="1"/>
    <col min="3" max="3" width="47.7109375" style="3" customWidth="1"/>
    <col min="4" max="5" width="13.42578125" style="3" customWidth="1"/>
    <col min="6" max="6" width="7.28515625" style="3" customWidth="1"/>
    <col min="7" max="8" width="12.28515625" style="3" customWidth="1"/>
    <col min="9" max="9" width="10.85546875" style="3" customWidth="1"/>
    <col min="10" max="10" width="12.85546875" style="3" customWidth="1"/>
    <col min="11" max="12" width="9.5703125" style="3" customWidth="1"/>
    <col min="13" max="17" width="10.7109375" style="3" customWidth="1"/>
    <col min="18" max="18" width="9.5703125" style="3" customWidth="1"/>
    <col min="19" max="19" width="9.140625" style="3" customWidth="1"/>
    <col min="20" max="20" width="10.42578125" style="3" bestFit="1" customWidth="1"/>
    <col min="21" max="22" width="7.5703125" style="3" customWidth="1"/>
    <col min="23" max="24" width="11.85546875" style="3" customWidth="1"/>
    <col min="25" max="25" width="8.85546875"/>
    <col min="26" max="26" width="14.28515625" style="3" customWidth="1"/>
    <col min="27" max="28" width="9.140625" style="3"/>
    <col min="29" max="29" width="9.140625" style="271"/>
    <col min="30" max="16384" width="9.140625" style="3"/>
  </cols>
  <sheetData>
    <row r="1" spans="1:29">
      <c r="A1" s="3">
        <v>1</v>
      </c>
      <c r="B1" s="3">
        <f>A1+1</f>
        <v>2</v>
      </c>
      <c r="C1" s="3">
        <f t="shared" ref="C1:X1" si="0">B1+1</f>
        <v>3</v>
      </c>
      <c r="D1" s="3">
        <f t="shared" si="0"/>
        <v>4</v>
      </c>
      <c r="E1" s="3">
        <f t="shared" si="0"/>
        <v>5</v>
      </c>
      <c r="F1" s="3">
        <f t="shared" si="0"/>
        <v>6</v>
      </c>
      <c r="G1" s="3">
        <f t="shared" si="0"/>
        <v>7</v>
      </c>
      <c r="H1" s="3">
        <f t="shared" si="0"/>
        <v>8</v>
      </c>
      <c r="I1" s="3">
        <f t="shared" si="0"/>
        <v>9</v>
      </c>
      <c r="J1" s="3">
        <f>I1+1</f>
        <v>10</v>
      </c>
      <c r="K1" s="3">
        <f t="shared" si="0"/>
        <v>11</v>
      </c>
      <c r="L1" s="3">
        <f t="shared" si="0"/>
        <v>12</v>
      </c>
      <c r="M1" s="3">
        <f t="shared" si="0"/>
        <v>13</v>
      </c>
      <c r="N1" s="3">
        <f t="shared" si="0"/>
        <v>14</v>
      </c>
      <c r="O1" s="3">
        <f t="shared" si="0"/>
        <v>15</v>
      </c>
      <c r="P1" s="3">
        <f t="shared" si="0"/>
        <v>16</v>
      </c>
      <c r="Q1" s="3">
        <f t="shared" si="0"/>
        <v>17</v>
      </c>
      <c r="R1" s="3">
        <f t="shared" si="0"/>
        <v>18</v>
      </c>
      <c r="S1" s="3">
        <f t="shared" si="0"/>
        <v>19</v>
      </c>
      <c r="T1" s="3">
        <f t="shared" si="0"/>
        <v>20</v>
      </c>
      <c r="U1" s="3">
        <f t="shared" si="0"/>
        <v>21</v>
      </c>
      <c r="V1" s="3">
        <f t="shared" si="0"/>
        <v>22</v>
      </c>
      <c r="W1" s="3">
        <f t="shared" si="0"/>
        <v>23</v>
      </c>
      <c r="X1" s="3">
        <f t="shared" si="0"/>
        <v>24</v>
      </c>
      <c r="Z1" s="3" t="s">
        <v>394</v>
      </c>
    </row>
    <row r="2" spans="1:29" ht="45">
      <c r="B2" s="1" t="s">
        <v>3</v>
      </c>
      <c r="C2" s="398" t="s">
        <v>14</v>
      </c>
      <c r="D2" s="398" t="s">
        <v>298</v>
      </c>
      <c r="E2" s="398" t="s">
        <v>299</v>
      </c>
      <c r="F2" s="399" t="s">
        <v>6</v>
      </c>
      <c r="G2" s="400" t="s">
        <v>9</v>
      </c>
      <c r="H2" s="400" t="s">
        <v>20</v>
      </c>
      <c r="I2" s="400" t="s">
        <v>21</v>
      </c>
      <c r="J2" s="400" t="s">
        <v>301</v>
      </c>
      <c r="K2" s="206" t="s">
        <v>322</v>
      </c>
      <c r="L2" s="206" t="s">
        <v>319</v>
      </c>
      <c r="M2" s="206" t="s">
        <v>343</v>
      </c>
      <c r="N2" s="206" t="s">
        <v>344</v>
      </c>
      <c r="O2" s="206" t="s">
        <v>345</v>
      </c>
      <c r="P2" s="206" t="s">
        <v>346</v>
      </c>
      <c r="Q2" s="206" t="s">
        <v>347</v>
      </c>
      <c r="R2" s="1" t="s">
        <v>22</v>
      </c>
      <c r="S2" s="1" t="s">
        <v>23</v>
      </c>
      <c r="T2" s="1" t="s">
        <v>4</v>
      </c>
      <c r="U2" s="1" t="s">
        <v>5</v>
      </c>
      <c r="V2" s="9" t="s">
        <v>44</v>
      </c>
      <c r="W2" s="1" t="s">
        <v>13</v>
      </c>
      <c r="X2" s="1" t="s">
        <v>25</v>
      </c>
      <c r="Z2" s="8" t="s">
        <v>186</v>
      </c>
      <c r="AA2" s="8" t="s">
        <v>336</v>
      </c>
      <c r="AB2" s="8" t="s">
        <v>335</v>
      </c>
      <c r="AC2" s="8" t="s">
        <v>285</v>
      </c>
    </row>
    <row r="3" spans="1:29" s="401" customFormat="1" ht="15" customHeight="1">
      <c r="A3" s="401">
        <v>1</v>
      </c>
      <c r="B3" s="402">
        <v>13001</v>
      </c>
      <c r="C3" s="403" t="s">
        <v>538</v>
      </c>
      <c r="D3" s="404">
        <v>-19.611645674799998</v>
      </c>
      <c r="E3" s="404">
        <v>193.21195181100001</v>
      </c>
      <c r="F3" s="404">
        <v>50</v>
      </c>
      <c r="G3" s="405">
        <f>VLOOKUP(B3,[34]point_params!$D$9:$AD$18,13,FALSE)</f>
        <v>0.4788</v>
      </c>
      <c r="H3" s="405">
        <f>VLOOKUP(B3,[34]point_params!$D$9:$AD$18,15,FALSE)</f>
        <v>3.3099999999999997E-2</v>
      </c>
      <c r="I3" s="405">
        <f>VLOOKUP(B3,[34]point_params!$D$9:$AD$18,19,FALSE)</f>
        <v>5.1999999999999998E-3</v>
      </c>
      <c r="J3" s="405">
        <f>VLOOKUP(B3,[34]point_params!$D$9:$AD$18,21,FALSE)</f>
        <v>0.1399</v>
      </c>
      <c r="K3" s="406" t="s">
        <v>324</v>
      </c>
      <c r="L3" s="406" t="s">
        <v>321</v>
      </c>
      <c r="M3" s="407">
        <f>$H3*(VLOOKUP($K3 &amp;"|"&amp; $L3,'AQRV Speciation'!$B$8:$G$22,2,FALSE))</f>
        <v>0</v>
      </c>
      <c r="N3" s="407">
        <f>$H3*(VLOOKUP($K3 &amp;"|"&amp; $L3,'AQRV Speciation'!$B$8:$G$22,3,FALSE))</f>
        <v>9.5287878787878796E-3</v>
      </c>
      <c r="O3" s="407">
        <f>$H3*(VLOOKUP($K3 &amp;"|"&amp; $L3,'AQRV Speciation'!$B$8:$G$22,4,FALSE))</f>
        <v>9.5287878787878796E-3</v>
      </c>
      <c r="P3" s="407">
        <f>$H3*(VLOOKUP($K3 &amp;"|"&amp; $L3,'AQRV Speciation'!$B$8:$G$22,5,FALSE))</f>
        <v>2.3571212121212121E-2</v>
      </c>
      <c r="Q3" s="407">
        <f>$H3*(VLOOKUP($K3 &amp;"|"&amp; $L3,'AQRV Speciation'!$B$8:$G$22,6,FALSE))</f>
        <v>2.3571212121212121E-2</v>
      </c>
      <c r="R3" s="408">
        <f>VLOOKUP(B3,[34]point_params!$D$9:$AD$18,23,FALSE)</f>
        <v>5</v>
      </c>
      <c r="S3" s="409">
        <f>VLOOKUP(B3,[34]point_params!$D$9:$AD$18,24,FALSE)</f>
        <v>500</v>
      </c>
      <c r="T3" s="408">
        <f>VLOOKUP(B3,[34]point_params!$D$9:$AD$18,25,FALSE)</f>
        <v>20</v>
      </c>
      <c r="U3" s="408">
        <f>VLOOKUP(B3,[34]point_params!$D$9:$AD$18,26,FALSE)</f>
        <v>1</v>
      </c>
      <c r="V3" s="408">
        <f>VLOOKUP(B3,[34]point_params!$D$9:$AD$18,27,FALSE)</f>
        <v>0.5</v>
      </c>
      <c r="W3" s="404">
        <v>589539.4</v>
      </c>
      <c r="X3" s="404">
        <v>6734383.7000000002</v>
      </c>
      <c r="Y3" s="410"/>
      <c r="Z3" s="411" t="s">
        <v>42</v>
      </c>
      <c r="AA3" s="412" t="s">
        <v>42</v>
      </c>
      <c r="AB3" s="412" t="s">
        <v>43</v>
      </c>
      <c r="AC3" s="412" t="s">
        <v>42</v>
      </c>
    </row>
    <row r="4" spans="1:29" s="401" customFormat="1">
      <c r="A4" s="401">
        <v>2</v>
      </c>
      <c r="B4" s="402">
        <v>15001</v>
      </c>
      <c r="C4" s="403" t="s">
        <v>537</v>
      </c>
      <c r="D4" s="404">
        <v>-27.883704021300002</v>
      </c>
      <c r="E4" s="404">
        <v>196.07565925599999</v>
      </c>
      <c r="F4" s="404">
        <v>0</v>
      </c>
      <c r="G4" s="405">
        <f>SUM('[27]2011Original Data Oil and Gas'!N$641:N$651)*(2000*453.59/(8760*3600))</f>
        <v>9.8807136732623029</v>
      </c>
      <c r="H4" s="405">
        <f>SUM('[27]2011Original Data Oil and Gas'!N$1289:N$1299)*(2000*453.59/(8760*3600))</f>
        <v>0.12081925418569256</v>
      </c>
      <c r="I4" s="405">
        <f>SUM('[27]2011Original Data Oil and Gas'!N$2575:N$2585)*(2000*453.59/(8760*3600))</f>
        <v>0.24681647640791474</v>
      </c>
      <c r="J4" s="405">
        <f>SUM('[27]2011Original Data Oil and Gas'!N$267:N$277)*(2000*453.59/(8760*3600))</f>
        <v>10.055038597158802</v>
      </c>
      <c r="K4" s="406" t="s">
        <v>324</v>
      </c>
      <c r="L4" s="406" t="s">
        <v>321</v>
      </c>
      <c r="M4" s="407">
        <f>$H4*(VLOOKUP($K4 &amp;"|"&amp; $L4,'AQRV Speciation'!$B$8:$G$22,2,FALSE))</f>
        <v>0</v>
      </c>
      <c r="N4" s="407">
        <f>$H4*(VLOOKUP($K4 &amp;"|"&amp; $L4,'AQRV Speciation'!$B$8:$G$22,3,FALSE))</f>
        <v>3.4781300447396343E-2</v>
      </c>
      <c r="O4" s="407">
        <f>$H4*(VLOOKUP($K4 &amp;"|"&amp; $L4,'AQRV Speciation'!$B$8:$G$22,4,FALSE))</f>
        <v>3.4781300447396343E-2</v>
      </c>
      <c r="P4" s="407">
        <f>$H4*(VLOOKUP($K4 &amp;"|"&amp; $L4,'AQRV Speciation'!$B$8:$G$22,5,FALSE))</f>
        <v>8.6037953738296216E-2</v>
      </c>
      <c r="Q4" s="407">
        <f>$H4*(VLOOKUP($K4 &amp;"|"&amp; $L4,'AQRV Speciation'!$B$8:$G$22,6,FALSE))</f>
        <v>8.6037953738296216E-2</v>
      </c>
      <c r="R4" s="408">
        <f>VLOOKUP(B4,[34]point_params!$D$9:$AD$18,23,FALSE)</f>
        <v>27.5</v>
      </c>
      <c r="S4" s="409">
        <f>VLOOKUP(B4,[34]point_params!$D$9:$AD$18,24,FALSE)</f>
        <v>850</v>
      </c>
      <c r="T4" s="408">
        <f>VLOOKUP(B4,[34]point_params!$D$9:$AD$18,25,FALSE)</f>
        <v>25</v>
      </c>
      <c r="U4" s="408">
        <f>VLOOKUP(B4,[34]point_params!$D$9:$AD$18,26,FALSE)</f>
        <v>1</v>
      </c>
      <c r="V4" s="408">
        <f>VLOOKUP(B4,[34]point_params!$D$9:$AD$18,27,FALSE)</f>
        <v>0.5</v>
      </c>
      <c r="W4" s="404">
        <v>581223.4</v>
      </c>
      <c r="X4" s="404">
        <v>6736992.7000000002</v>
      </c>
      <c r="Y4" s="410"/>
      <c r="Z4" s="411" t="s">
        <v>42</v>
      </c>
      <c r="AA4" s="412" t="s">
        <v>42</v>
      </c>
      <c r="AB4" s="412" t="s">
        <v>43</v>
      </c>
      <c r="AC4" s="412" t="s">
        <v>42</v>
      </c>
    </row>
    <row r="5" spans="1:29" hidden="1">
      <c r="B5" s="18">
        <v>18001</v>
      </c>
      <c r="C5" s="19" t="s">
        <v>393</v>
      </c>
      <c r="D5" s="20"/>
      <c r="E5" s="20"/>
      <c r="F5" s="20">
        <v>35</v>
      </c>
      <c r="G5" s="372">
        <f>VLOOKUP(B5,[34]point_params!$D$9:$AD$18,13,FALSE)</f>
        <v>0</v>
      </c>
      <c r="H5" s="307">
        <f>VLOOKUP(B5,[34]point_params!$D$9:$AD$18,15,FALSE)</f>
        <v>0</v>
      </c>
      <c r="I5" s="307">
        <f>VLOOKUP(B5,[34]point_params!$D$9:$AD$18,19,FALSE)</f>
        <v>0</v>
      </c>
      <c r="J5" s="372">
        <f>VLOOKUP(B5,[34]point_params!$D$9:$AD$18,21,FALSE)</f>
        <v>0</v>
      </c>
      <c r="K5" s="17" t="s">
        <v>324</v>
      </c>
      <c r="L5" s="17" t="s">
        <v>321</v>
      </c>
      <c r="M5" s="17">
        <f>$H5*(VLOOKUP($K5 &amp;"|"&amp; $L5,'AQRV Speciation'!$B$8:$G$22,2,FALSE))</f>
        <v>0</v>
      </c>
      <c r="N5" s="17">
        <f>$H5*(VLOOKUP($K5 &amp;"|"&amp; $L5,'AQRV Speciation'!$B$8:$G$22,3,FALSE))</f>
        <v>0</v>
      </c>
      <c r="O5" s="17">
        <f>$H5*(VLOOKUP($K5 &amp;"|"&amp; $L5,'AQRV Speciation'!$B$8:$G$22,4,FALSE))</f>
        <v>0</v>
      </c>
      <c r="P5" s="17">
        <f>$H5*(VLOOKUP($K5 &amp;"|"&amp; $L5,'AQRV Speciation'!$B$8:$G$22,5,FALSE))</f>
        <v>0</v>
      </c>
      <c r="Q5" s="17">
        <f>$H5*(VLOOKUP($K5 &amp;"|"&amp; $L5,'AQRV Speciation'!$B$8:$G$22,6,FALSE))</f>
        <v>0</v>
      </c>
      <c r="R5" s="307">
        <f>VLOOKUP(B5,[34]point_params!$D$9:$AD$18,23,FALSE)</f>
        <v>7.4</v>
      </c>
      <c r="S5" s="307">
        <f>VLOOKUP(B5,[34]point_params!$D$9:$AD$18,24,FALSE)</f>
        <v>781.67</v>
      </c>
      <c r="T5" s="307">
        <f>VLOOKUP(B5,[34]point_params!$D$9:$AD$18,25,FALSE)</f>
        <v>30.3</v>
      </c>
      <c r="U5" s="307">
        <f>VLOOKUP(B5,[34]point_params!$D$9:$AD$18,26,FALSE)</f>
        <v>3.1</v>
      </c>
      <c r="V5" s="307">
        <f>VLOOKUP(B5,[34]point_params!$D$9:$AD$18,27,FALSE)</f>
        <v>0.5</v>
      </c>
      <c r="W5" s="20">
        <v>587989.4</v>
      </c>
      <c r="X5" s="20">
        <v>6729683.7000000002</v>
      </c>
      <c r="Z5" s="486" t="s">
        <v>69</v>
      </c>
      <c r="AA5" s="486"/>
      <c r="AB5" s="486"/>
      <c r="AC5" s="486"/>
    </row>
    <row r="6" spans="1:29">
      <c r="A6" s="3">
        <v>3</v>
      </c>
      <c r="B6" s="4">
        <v>18002</v>
      </c>
      <c r="C6" s="2" t="s">
        <v>15</v>
      </c>
      <c r="D6" s="5">
        <v>-21.306303247599999</v>
      </c>
      <c r="E6" s="5">
        <v>188.54017916500001</v>
      </c>
      <c r="F6" s="6">
        <v>35</v>
      </c>
      <c r="G6" s="347">
        <f>'[27]2011Original Data Other Sources'!$N$1310*(2000*453.59/(8760*3600))</f>
        <v>0.69902568493150685</v>
      </c>
      <c r="H6" s="347">
        <f>'[27]2011Original Data Other Sources'!$N$2794*(2000*453.59/(8760*3600))</f>
        <v>1.4383244545915779E-2</v>
      </c>
      <c r="I6" s="347">
        <f>'[27]2011Original Data Other Sources'!$N$5455*(2000*453.59/(8760*3600))</f>
        <v>2.876648909183156E-4</v>
      </c>
      <c r="J6" s="347">
        <f>'[27]2011Original Data Other Sources'!$N$77*(2000*453.59/(8760*3600))</f>
        <v>0.17835223236935568</v>
      </c>
      <c r="K6" s="212" t="s">
        <v>324</v>
      </c>
      <c r="L6" s="212" t="s">
        <v>321</v>
      </c>
      <c r="M6" s="207">
        <f>$H6*(VLOOKUP($K6 &amp;"|"&amp; $L6,'AQRV Speciation'!$B$8:$G$22,2,FALSE))</f>
        <v>0</v>
      </c>
      <c r="N6" s="207">
        <f>$H6*(VLOOKUP($K6 &amp;"|"&amp; $L6,'AQRV Speciation'!$B$8:$G$22,3,FALSE))</f>
        <v>4.1406310056424219E-3</v>
      </c>
      <c r="O6" s="207">
        <f>$H6*(VLOOKUP($K6 &amp;"|"&amp; $L6,'AQRV Speciation'!$B$8:$G$22,4,FALSE))</f>
        <v>4.1406310056424219E-3</v>
      </c>
      <c r="P6" s="207">
        <f>$H6*(VLOOKUP($K6 &amp;"|"&amp; $L6,'AQRV Speciation'!$B$8:$G$22,5,FALSE))</f>
        <v>1.0242613540273358E-2</v>
      </c>
      <c r="Q6" s="207">
        <f>$H6*(VLOOKUP($K6 &amp;"|"&amp; $L6,'AQRV Speciation'!$B$8:$G$22,6,FALSE))</f>
        <v>1.0242613540273358E-2</v>
      </c>
      <c r="R6" s="304">
        <f>VLOOKUP(B6,[34]point_params!$D$9:$AD$18,23,FALSE)</f>
        <v>15.2</v>
      </c>
      <c r="S6" s="305">
        <f>VLOOKUP(B6,[34]point_params!$D$9:$AD$18,24,FALSE)</f>
        <v>428</v>
      </c>
      <c r="T6" s="304">
        <f>VLOOKUP(B6,[34]point_params!$D$9:$AD$18,25,FALSE)</f>
        <v>18.5</v>
      </c>
      <c r="U6" s="304">
        <f>VLOOKUP(B6,[34]point_params!$D$9:$AD$18,26,FALSE)</f>
        <v>2.2999999999999998</v>
      </c>
      <c r="V6" s="304">
        <f>VLOOKUP(B6,[34]point_params!$D$9:$AD$18,27,FALSE)</f>
        <v>0.5</v>
      </c>
      <c r="W6" s="5">
        <v>587989.4</v>
      </c>
      <c r="X6" s="5">
        <v>6729683.7000000002</v>
      </c>
      <c r="Z6" s="259" t="s">
        <v>43</v>
      </c>
      <c r="AA6" s="271" t="s">
        <v>43</v>
      </c>
      <c r="AB6" s="271" t="s">
        <v>43</v>
      </c>
      <c r="AC6" s="271" t="s">
        <v>43</v>
      </c>
    </row>
    <row r="7" spans="1:29">
      <c r="A7" s="3">
        <v>4</v>
      </c>
      <c r="B7" s="4">
        <v>18003</v>
      </c>
      <c r="C7" s="2" t="s">
        <v>16</v>
      </c>
      <c r="D7" s="5">
        <v>-21.306303247599999</v>
      </c>
      <c r="E7" s="5">
        <v>188.54017916500001</v>
      </c>
      <c r="F7" s="6">
        <v>35</v>
      </c>
      <c r="G7" s="347">
        <f>'[27]2011Original Data Other Sources'!$N$1311*(2000*453.59/(8760*3600))</f>
        <v>0.19561212582445459</v>
      </c>
      <c r="H7" s="347">
        <f>'[27]2011Original Data Other Sources'!$N$2795*(2000*453.59/(8760*3600))</f>
        <v>5.4656329274479967E-3</v>
      </c>
      <c r="I7" s="347">
        <f>'[27]2011Original Data Other Sources'!$N$5456*(2000*453.59/(8760*3600))</f>
        <v>0</v>
      </c>
      <c r="J7" s="347">
        <f>'[27]2011Original Data Other Sources'!$N$78*(2000*453.59/(8760*3600))</f>
        <v>0.23013191273465247</v>
      </c>
      <c r="K7" s="212" t="s">
        <v>324</v>
      </c>
      <c r="L7" s="212" t="s">
        <v>321</v>
      </c>
      <c r="M7" s="207">
        <f>$H7*(VLOOKUP($K7 &amp;"|"&amp; $L7,'AQRV Speciation'!$B$8:$G$22,2,FALSE))</f>
        <v>0</v>
      </c>
      <c r="N7" s="207">
        <f>$H7*(VLOOKUP($K7 &amp;"|"&amp; $L7,'AQRV Speciation'!$B$8:$G$22,3,FALSE))</f>
        <v>1.5734397821441203E-3</v>
      </c>
      <c r="O7" s="207">
        <f>$H7*(VLOOKUP($K7 &amp;"|"&amp; $L7,'AQRV Speciation'!$B$8:$G$22,4,FALSE))</f>
        <v>1.5734397821441203E-3</v>
      </c>
      <c r="P7" s="207">
        <f>$H7*(VLOOKUP($K7 &amp;"|"&amp; $L7,'AQRV Speciation'!$B$8:$G$22,5,FALSE))</f>
        <v>3.8921931453038765E-3</v>
      </c>
      <c r="Q7" s="207">
        <f>$H7*(VLOOKUP($K7 &amp;"|"&amp; $L7,'AQRV Speciation'!$B$8:$G$22,6,FALSE))</f>
        <v>3.8921931453038765E-3</v>
      </c>
      <c r="R7" s="304">
        <f>VLOOKUP(B7,[34]point_params!$D$9:$AD$18,23,FALSE)</f>
        <v>10.8</v>
      </c>
      <c r="S7" s="303">
        <f>VLOOKUP(B7,[34]point_params!$D$9:$AD$18,24,FALSE)</f>
        <v>759.67</v>
      </c>
      <c r="T7" s="304">
        <f>VLOOKUP(B7,[34]point_params!$D$9:$AD$18,25,FALSE)</f>
        <v>21.1</v>
      </c>
      <c r="U7" s="304">
        <f>VLOOKUP(B7,[34]point_params!$D$9:$AD$18,26,FALSE)</f>
        <v>3.9</v>
      </c>
      <c r="V7" s="304">
        <f>VLOOKUP(B7,[34]point_params!$D$9:$AD$18,27,FALSE)</f>
        <v>0.5</v>
      </c>
      <c r="W7" s="5">
        <v>587989.4</v>
      </c>
      <c r="X7" s="5">
        <v>6729683.7000000002</v>
      </c>
      <c r="Z7" s="259" t="s">
        <v>43</v>
      </c>
      <c r="AA7" s="271" t="s">
        <v>43</v>
      </c>
      <c r="AB7" s="271" t="s">
        <v>43</v>
      </c>
      <c r="AC7" s="271" t="s">
        <v>43</v>
      </c>
    </row>
    <row r="8" spans="1:29">
      <c r="A8" s="3">
        <v>5</v>
      </c>
      <c r="B8" s="4">
        <v>18004</v>
      </c>
      <c r="C8" s="2" t="s">
        <v>17</v>
      </c>
      <c r="D8" s="5">
        <v>-21.306303247599999</v>
      </c>
      <c r="E8" s="5">
        <v>188.54017916500001</v>
      </c>
      <c r="F8" s="6">
        <v>35</v>
      </c>
      <c r="G8" s="347">
        <f>'[27]2011Original Data Other Sources'!$N$1312*(2000*453.59/(8760*3600))</f>
        <v>1.6339365804160324</v>
      </c>
      <c r="H8" s="347">
        <f>'[27]2011Original Data Other Sources'!$N$2796*(2000*453.59/(8760*3600))</f>
        <v>3.7396435819381027E-2</v>
      </c>
      <c r="I8" s="347">
        <f>'[27]2011Original Data Other Sources'!$N$5457*(2000*453.59/(8760*3600))</f>
        <v>8.6299467275494676E-4</v>
      </c>
      <c r="J8" s="347">
        <f>'[27]2011Original Data Other Sources'!$N$79*(2000*453.59/(8760*3600))</f>
        <v>1.1190164256722477</v>
      </c>
      <c r="K8" s="212" t="s">
        <v>324</v>
      </c>
      <c r="L8" s="212" t="s">
        <v>321</v>
      </c>
      <c r="M8" s="207">
        <f>$H8*(VLOOKUP($K8 &amp;"|"&amp; $L8,'AQRV Speciation'!$B$8:$G$22,2,FALSE))</f>
        <v>0</v>
      </c>
      <c r="N8" s="207">
        <f>$H8*(VLOOKUP($K8 &amp;"|"&amp; $L8,'AQRV Speciation'!$B$8:$G$22,3,FALSE))</f>
        <v>1.0765640614670297E-2</v>
      </c>
      <c r="O8" s="207">
        <f>$H8*(VLOOKUP($K8 &amp;"|"&amp; $L8,'AQRV Speciation'!$B$8:$G$22,4,FALSE))</f>
        <v>1.0765640614670297E-2</v>
      </c>
      <c r="P8" s="207">
        <f>$H8*(VLOOKUP($K8 &amp;"|"&amp; $L8,'AQRV Speciation'!$B$8:$G$22,5,FALSE))</f>
        <v>2.6630795204710733E-2</v>
      </c>
      <c r="Q8" s="207">
        <f>$H8*(VLOOKUP($K8 &amp;"|"&amp; $L8,'AQRV Speciation'!$B$8:$G$22,6,FALSE))</f>
        <v>2.6630795204710733E-2</v>
      </c>
      <c r="R8" s="304">
        <f>VLOOKUP(B8,[34]point_params!$D$9:$AD$18,23,FALSE)</f>
        <v>10.8</v>
      </c>
      <c r="S8" s="303">
        <f>VLOOKUP(B8,[34]point_params!$D$9:$AD$18,24,FALSE)</f>
        <v>759.67</v>
      </c>
      <c r="T8" s="304">
        <f>VLOOKUP(B8,[34]point_params!$D$9:$AD$18,25,FALSE)</f>
        <v>21.1</v>
      </c>
      <c r="U8" s="304">
        <f>VLOOKUP(B8,[34]point_params!$D$9:$AD$18,26,FALSE)</f>
        <v>3.9</v>
      </c>
      <c r="V8" s="304">
        <f>VLOOKUP(B8,[34]point_params!$D$9:$AD$18,27,FALSE)</f>
        <v>0.5</v>
      </c>
      <c r="W8" s="5">
        <v>587989.4</v>
      </c>
      <c r="X8" s="5">
        <v>6729683.7000000002</v>
      </c>
      <c r="Z8" s="259" t="s">
        <v>43</v>
      </c>
      <c r="AA8" s="271" t="s">
        <v>42</v>
      </c>
      <c r="AB8" s="271" t="s">
        <v>43</v>
      </c>
      <c r="AC8" s="271" t="s">
        <v>42</v>
      </c>
    </row>
    <row r="9" spans="1:29">
      <c r="A9" s="3">
        <v>6</v>
      </c>
      <c r="B9" s="4">
        <v>50001</v>
      </c>
      <c r="C9" s="2" t="s">
        <v>18</v>
      </c>
      <c r="D9" s="5">
        <v>-21.223841489800002</v>
      </c>
      <c r="E9" s="5">
        <v>187.82226963299999</v>
      </c>
      <c r="F9" s="6">
        <v>30</v>
      </c>
      <c r="G9" s="347">
        <f>'[27]2011Original Data Other Sources'!$N$1726*(2000*453.59/(8760*3600))</f>
        <v>4.0273084728564184E-3</v>
      </c>
      <c r="H9" s="347">
        <f>'[27]2011Original Data Other Sources'!$N$3172*(2000*453.59/(8760*3600))</f>
        <v>0</v>
      </c>
      <c r="I9" s="347">
        <f>'[27]2011Original Data Other Sources'!$N$5871*(2000*453.59/(8760*3600))</f>
        <v>0</v>
      </c>
      <c r="J9" s="347">
        <f>'[27]2011Original Data Other Sources'!$N$494*(2000*453.59/(8760*3600))</f>
        <v>5.7532978183663121E-4</v>
      </c>
      <c r="K9" s="212" t="s">
        <v>325</v>
      </c>
      <c r="L9" s="212" t="s">
        <v>326</v>
      </c>
      <c r="M9" s="207">
        <f>$H9*(VLOOKUP($K9 &amp;"|"&amp; $L9,'AQRV Speciation'!$B$8:$G$22,2,FALSE))</f>
        <v>0</v>
      </c>
      <c r="N9" s="207">
        <f>$H9*(VLOOKUP($K9 &amp;"|"&amp; $L9,'AQRV Speciation'!$B$8:$G$22,3,FALSE))</f>
        <v>0</v>
      </c>
      <c r="O9" s="207">
        <f>$H9*(VLOOKUP($K9 &amp;"|"&amp; $L9,'AQRV Speciation'!$B$8:$G$22,4,FALSE))</f>
        <v>0</v>
      </c>
      <c r="P9" s="207">
        <f>$H9*(VLOOKUP($K9 &amp;"|"&amp; $L9,'AQRV Speciation'!$B$8:$G$22,5,FALSE))</f>
        <v>0</v>
      </c>
      <c r="Q9" s="207">
        <f>$H9*(VLOOKUP($K9 &amp;"|"&amp; $L9,'AQRV Speciation'!$B$8:$G$22,6,FALSE))</f>
        <v>0</v>
      </c>
      <c r="R9" s="304">
        <f>VLOOKUP(B9,[34]point_params!$D$9:$AD$18,23,FALSE)</f>
        <v>3.7</v>
      </c>
      <c r="S9" s="305">
        <f>VLOOKUP(B9,[34]point_params!$D$9:$AD$18,24,FALSE)</f>
        <v>600</v>
      </c>
      <c r="T9" s="304">
        <f>VLOOKUP(B9,[34]point_params!$D$9:$AD$18,25,FALSE)</f>
        <v>67</v>
      </c>
      <c r="U9" s="304">
        <f>VLOOKUP(B9,[34]point_params!$D$9:$AD$18,26,FALSE)</f>
        <v>0.1</v>
      </c>
      <c r="V9" s="304">
        <f>VLOOKUP(B9,[34]point_params!$D$9:$AD$18,27,FALSE)</f>
        <v>0.5</v>
      </c>
      <c r="W9" s="5">
        <v>588092.5</v>
      </c>
      <c r="X9" s="5">
        <v>6728971.4000000004</v>
      </c>
      <c r="Z9" s="259" t="s">
        <v>42</v>
      </c>
      <c r="AA9" s="271" t="s">
        <v>42</v>
      </c>
      <c r="AB9" s="271" t="s">
        <v>43</v>
      </c>
      <c r="AC9" s="271" t="s">
        <v>42</v>
      </c>
    </row>
    <row r="10" spans="1:29">
      <c r="A10" s="3">
        <v>7</v>
      </c>
      <c r="B10" s="4">
        <v>50002</v>
      </c>
      <c r="C10" s="2" t="s">
        <v>19</v>
      </c>
      <c r="D10" s="5">
        <v>-21.223959477200001</v>
      </c>
      <c r="E10" s="5">
        <v>187.818255282</v>
      </c>
      <c r="F10" s="6">
        <v>30</v>
      </c>
      <c r="G10" s="347">
        <f>'[27]2011Original Data Other Sources'!$N$1725*(2000*453.59/(8760*3600))</f>
        <v>3.1643138001014714E-3</v>
      </c>
      <c r="H10" s="347">
        <f>'[27]2011Original Data Other Sources'!$N$3171*(2000*453.59/(8760*3600))</f>
        <v>2.876648909183156E-4</v>
      </c>
      <c r="I10" s="347">
        <f>'[27]2011Original Data Other Sources'!$N$5870*(2000*453.59/(8760*3600))</f>
        <v>0</v>
      </c>
      <c r="J10" s="347">
        <f>'[27]2011Original Data Other Sources'!$N$493*(2000*453.59/(8760*3600))</f>
        <v>2.876648909183156E-4</v>
      </c>
      <c r="K10" s="212" t="s">
        <v>325</v>
      </c>
      <c r="L10" s="212" t="s">
        <v>326</v>
      </c>
      <c r="M10" s="207">
        <f>$H10*(VLOOKUP($K10 &amp;"|"&amp; $L10,'AQRV Speciation'!$B$8:$G$22,2,FALSE))</f>
        <v>0</v>
      </c>
      <c r="N10" s="207">
        <f>$H10*(VLOOKUP($K10 &amp;"|"&amp; $L10,'AQRV Speciation'!$B$8:$G$22,3,FALSE))</f>
        <v>2.478264078235129E-4</v>
      </c>
      <c r="O10" s="207">
        <f>$H10*(VLOOKUP($K10 &amp;"|"&amp; $L10,'AQRV Speciation'!$B$8:$G$22,4,FALSE))</f>
        <v>2.4900835234814057E-4</v>
      </c>
      <c r="P10" s="207">
        <f>$H10*(VLOOKUP($K10 &amp;"|"&amp; $L10,'AQRV Speciation'!$B$8:$G$22,5,FALSE))</f>
        <v>3.9838483094802701E-5</v>
      </c>
      <c r="Q10" s="207">
        <f>$H10*(VLOOKUP($K10 &amp;"|"&amp; $L10,'AQRV Speciation'!$B$8:$G$22,6,FALSE))</f>
        <v>3.8656538570175054E-5</v>
      </c>
      <c r="R10" s="304">
        <f>VLOOKUP(B10,[34]point_params!$D$9:$AD$18,23,FALSE)</f>
        <v>3.7</v>
      </c>
      <c r="S10" s="305">
        <f>VLOOKUP(B10,[34]point_params!$D$9:$AD$18,24,FALSE)</f>
        <v>600</v>
      </c>
      <c r="T10" s="304">
        <f>VLOOKUP(B10,[34]point_params!$D$9:$AD$18,25,FALSE)</f>
        <v>67</v>
      </c>
      <c r="U10" s="304">
        <f>VLOOKUP(B10,[34]point_params!$D$9:$AD$18,26,FALSE)</f>
        <v>0.1</v>
      </c>
      <c r="V10" s="304">
        <f>VLOOKUP(B10,[34]point_params!$D$9:$AD$18,27,FALSE)</f>
        <v>0.5</v>
      </c>
      <c r="W10" s="5">
        <v>588092.5</v>
      </c>
      <c r="X10" s="5">
        <v>6728967.4000000004</v>
      </c>
      <c r="Z10" s="259" t="s">
        <v>42</v>
      </c>
      <c r="AA10" s="271" t="s">
        <v>42</v>
      </c>
      <c r="AB10" s="271" t="s">
        <v>43</v>
      </c>
      <c r="AC10" s="271" t="s">
        <v>42</v>
      </c>
    </row>
    <row r="11" spans="1:29">
      <c r="C11" s="345" t="s">
        <v>517</v>
      </c>
    </row>
    <row r="12" spans="1:29">
      <c r="C12" s="413" t="s">
        <v>596</v>
      </c>
      <c r="D12" s="401"/>
      <c r="E12" s="401"/>
    </row>
    <row r="13" spans="1:29">
      <c r="B13" s="3" t="s">
        <v>417</v>
      </c>
      <c r="C13" s="3" t="s">
        <v>372</v>
      </c>
    </row>
    <row r="18" spans="8:8">
      <c r="H18" s="13"/>
    </row>
  </sheetData>
  <mergeCells count="1">
    <mergeCell ref="Z5:AC5"/>
  </mergeCells>
  <pageMargins left="0.7" right="0.7" top="0.75" bottom="0.75" header="0.3" footer="0.3"/>
  <pageSetup paperSize="17" scale="68" orientation="landscape" r:id="rId1"/>
  <colBreaks count="1" manualBreakCount="1">
    <brk id="2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K55"/>
  <sheetViews>
    <sheetView workbookViewId="0">
      <selection activeCell="A14" sqref="A14"/>
    </sheetView>
  </sheetViews>
  <sheetFormatPr defaultRowHeight="11.25"/>
  <cols>
    <col min="1" max="1" width="5.5703125" style="27" bestFit="1" customWidth="1"/>
    <col min="2" max="2" width="7.7109375" style="27" bestFit="1" customWidth="1"/>
    <col min="3" max="3" width="43.140625" style="27" customWidth="1"/>
    <col min="4" max="4" width="9.7109375" style="27" customWidth="1"/>
    <col min="5" max="7" width="8.28515625" style="27" customWidth="1"/>
    <col min="8" max="8" width="8.85546875" style="27" customWidth="1"/>
    <col min="9" max="9" width="5.7109375" style="27" customWidth="1"/>
    <col min="10" max="10" width="7.28515625" style="27" customWidth="1"/>
    <col min="11" max="11" width="6.140625" style="27" customWidth="1"/>
    <col min="12" max="12" width="7.28515625" style="27" customWidth="1"/>
    <col min="13" max="13" width="6.140625" style="27" customWidth="1"/>
    <col min="14" max="14" width="7.28515625" style="27" customWidth="1"/>
    <col min="15" max="15" width="5.28515625" style="27" customWidth="1"/>
    <col min="16" max="16" width="6.28515625" style="27" customWidth="1"/>
    <col min="17" max="18" width="7.28515625" style="27" customWidth="1"/>
    <col min="19" max="19" width="7.7109375" style="27" hidden="1" customWidth="1"/>
    <col min="20" max="20" width="7.42578125" style="27" hidden="1" customWidth="1"/>
    <col min="21" max="21" width="7.28515625" style="27" hidden="1" customWidth="1"/>
    <col min="22" max="22" width="8.85546875" style="27" customWidth="1"/>
    <col min="23" max="23" width="10.42578125" style="27" customWidth="1"/>
    <col min="24" max="24" width="8.5703125" style="27" customWidth="1"/>
    <col min="25" max="25" width="8.42578125" style="27" customWidth="1"/>
    <col min="26" max="26" width="9.85546875" style="27" customWidth="1"/>
    <col min="27" max="27" width="9" style="27" customWidth="1"/>
    <col min="28" max="29" width="8.42578125" style="27" customWidth="1"/>
    <col min="30" max="30" width="3.85546875" style="27" customWidth="1"/>
    <col min="31" max="31" width="8.28515625" style="27" customWidth="1"/>
    <col min="32" max="35" width="10.42578125" style="27" customWidth="1"/>
    <col min="36" max="16384" width="9.140625" style="27"/>
  </cols>
  <sheetData>
    <row r="1" spans="1:37">
      <c r="A1" s="433" t="s">
        <v>597</v>
      </c>
    </row>
    <row r="2" spans="1:37">
      <c r="A2" s="454" t="s">
        <v>3</v>
      </c>
      <c r="B2" s="449" t="s">
        <v>227</v>
      </c>
      <c r="C2" s="493" t="s">
        <v>234</v>
      </c>
      <c r="D2" s="453" t="s">
        <v>239</v>
      </c>
      <c r="E2" s="453"/>
      <c r="F2" s="453"/>
      <c r="G2" s="453"/>
      <c r="H2" s="453"/>
      <c r="I2" s="490" t="s">
        <v>500</v>
      </c>
      <c r="J2" s="491"/>
      <c r="K2" s="491"/>
      <c r="L2" s="491"/>
      <c r="M2" s="491"/>
      <c r="N2" s="491"/>
      <c r="O2" s="491"/>
      <c r="P2" s="491"/>
      <c r="Q2" s="491"/>
      <c r="R2" s="491"/>
      <c r="S2" s="491"/>
      <c r="T2" s="491"/>
      <c r="U2" s="491"/>
      <c r="V2" s="491"/>
      <c r="W2" s="491"/>
      <c r="X2" s="491"/>
      <c r="Y2" s="491"/>
      <c r="Z2" s="492"/>
      <c r="AA2" s="454" t="s">
        <v>241</v>
      </c>
      <c r="AB2" s="455"/>
      <c r="AC2" s="456"/>
      <c r="AD2" s="89"/>
      <c r="AE2" s="30"/>
      <c r="AF2" s="267">
        <v>1988</v>
      </c>
      <c r="AG2" s="267">
        <v>1982</v>
      </c>
      <c r="AH2" s="267" t="s">
        <v>401</v>
      </c>
      <c r="AI2" s="267">
        <v>1979</v>
      </c>
      <c r="AJ2" s="267"/>
    </row>
    <row r="3" spans="1:37" ht="34.5" customHeight="1">
      <c r="A3" s="454"/>
      <c r="B3" s="450"/>
      <c r="C3" s="493"/>
      <c r="D3" s="326" t="s">
        <v>475</v>
      </c>
      <c r="E3" s="326" t="s">
        <v>476</v>
      </c>
      <c r="F3" s="366" t="s">
        <v>385</v>
      </c>
      <c r="G3" s="366" t="s">
        <v>386</v>
      </c>
      <c r="H3" s="80" t="s">
        <v>244</v>
      </c>
      <c r="I3" s="329" t="s">
        <v>225</v>
      </c>
      <c r="J3" s="329" t="s">
        <v>495</v>
      </c>
      <c r="K3" s="329" t="s">
        <v>242</v>
      </c>
      <c r="L3" s="329" t="s">
        <v>494</v>
      </c>
      <c r="M3" s="329" t="s">
        <v>496</v>
      </c>
      <c r="N3" s="329" t="s">
        <v>497</v>
      </c>
      <c r="O3" s="329" t="s">
        <v>498</v>
      </c>
      <c r="P3" s="329" t="s">
        <v>499</v>
      </c>
      <c r="Q3" s="329" t="s">
        <v>501</v>
      </c>
      <c r="R3" s="131" t="s">
        <v>474</v>
      </c>
      <c r="S3" s="131" t="s">
        <v>506</v>
      </c>
      <c r="T3" s="131" t="s">
        <v>505</v>
      </c>
      <c r="U3" s="131" t="s">
        <v>507</v>
      </c>
      <c r="V3" s="329" t="s">
        <v>508</v>
      </c>
      <c r="W3" s="329" t="s">
        <v>514</v>
      </c>
      <c r="X3" s="329" t="s">
        <v>345</v>
      </c>
      <c r="Y3" s="329" t="s">
        <v>515</v>
      </c>
      <c r="Z3" s="329" t="s">
        <v>347</v>
      </c>
      <c r="AA3" s="329" t="s">
        <v>245</v>
      </c>
      <c r="AB3" s="329" t="s">
        <v>246</v>
      </c>
      <c r="AC3" s="329" t="s">
        <v>247</v>
      </c>
      <c r="AD3" s="327"/>
      <c r="AE3" s="31" t="s">
        <v>44</v>
      </c>
      <c r="AF3" s="395" t="s">
        <v>575</v>
      </c>
      <c r="AG3" s="395" t="s">
        <v>576</v>
      </c>
      <c r="AH3" s="395" t="s">
        <v>577</v>
      </c>
      <c r="AI3" s="395" t="s">
        <v>578</v>
      </c>
      <c r="AJ3" s="395" t="s">
        <v>579</v>
      </c>
      <c r="AK3" s="395" t="s">
        <v>580</v>
      </c>
    </row>
    <row r="4" spans="1:37">
      <c r="A4" s="137" t="s">
        <v>598</v>
      </c>
      <c r="B4" s="137" t="s">
        <v>540</v>
      </c>
      <c r="C4" s="332" t="s">
        <v>477</v>
      </c>
      <c r="D4" s="310">
        <v>-151.03426099999999</v>
      </c>
      <c r="E4" s="310">
        <v>60.665481</v>
      </c>
      <c r="F4" s="367">
        <v>-1.8799764754899999</v>
      </c>
      <c r="G4" s="367">
        <v>185.399759364</v>
      </c>
      <c r="H4" s="369">
        <v>47.4</v>
      </c>
      <c r="I4" s="310">
        <f t="shared" ref="I4:I30" si="0">J4</f>
        <v>2.8749229198376458</v>
      </c>
      <c r="J4" s="310">
        <f>'[27]Q-d Analysis Selected Sources'!$G$4*(2000*453.59/(8760*3600))</f>
        <v>2.8749229198376458</v>
      </c>
      <c r="K4" s="310">
        <f t="shared" ref="K4:K30" si="1">L4</f>
        <v>4.0273084728564182E-2</v>
      </c>
      <c r="L4" s="310">
        <f>'[27]Q-d Analysis Selected Sources'!$F$4*(2000*453.59/(8760*3600))</f>
        <v>4.0273084728564182E-2</v>
      </c>
      <c r="M4" s="310">
        <f t="shared" ref="M4:M30" si="2">N4</f>
        <v>4.0273084728564196E-2</v>
      </c>
      <c r="N4" s="310">
        <f>'[27]Q-d Analysis Selected Sources'!$I$4*(2000*453.59/(8760*3600))</f>
        <v>4.0273084728564196E-2</v>
      </c>
      <c r="O4" s="310">
        <f t="shared" ref="O4:O30" si="3">Q4</f>
        <v>9.8706454020801626</v>
      </c>
      <c r="P4" s="310">
        <f t="shared" ref="P4:P30" si="4">Q4</f>
        <v>9.8706454020801626</v>
      </c>
      <c r="Q4" s="310">
        <f>'[27]Q-d Analysis Selected Sources'!$H$4*(2000*453.59/(8760*3600))</f>
        <v>9.8706454020801626</v>
      </c>
      <c r="R4" s="310">
        <f>'[27]Q-d Analysis Selected Sources'!$E$4*(2000*453.59/(8760*3600))</f>
        <v>4.1932911149162866</v>
      </c>
      <c r="S4" s="310">
        <f>2*'[27]Q-d Analysis Selected Sources'!$B$4*(2000*453.59/(8760*3600))</f>
        <v>3.843876078513446E-2</v>
      </c>
      <c r="T4" s="310">
        <f>2*'[27]Q-d Analysis Selected Sources'!$C$4*(2000*453.59/(8760*3600))</f>
        <v>3.843876078513446E-2</v>
      </c>
      <c r="U4" s="310">
        <f>2*'[27]Q-d Analysis Selected Sources'!$D$4*(2000*453.59/(8760*3600))</f>
        <v>4.2107351139015738E-2</v>
      </c>
      <c r="V4" s="35">
        <v>0</v>
      </c>
      <c r="W4" s="35">
        <f t="shared" ref="W4:W15" si="5">$S4</f>
        <v>3.843876078513446E-2</v>
      </c>
      <c r="X4" s="35">
        <f t="shared" ref="X4:X15" si="6">$T4</f>
        <v>3.843876078513446E-2</v>
      </c>
      <c r="Y4" s="35">
        <f t="shared" ref="Y4:Z15" si="7">$U4</f>
        <v>4.2107351139015738E-2</v>
      </c>
      <c r="Z4" s="35">
        <f t="shared" si="7"/>
        <v>4.2107351139015738E-2</v>
      </c>
      <c r="AA4" s="102">
        <v>10</v>
      </c>
      <c r="AB4" s="34">
        <f>10/4.3</f>
        <v>2.3255813953488373</v>
      </c>
      <c r="AC4" s="34">
        <f>AA4/4.3</f>
        <v>2.3255813953488373</v>
      </c>
      <c r="AD4" s="137"/>
      <c r="AE4" s="69">
        <v>0.5</v>
      </c>
      <c r="AF4" s="392" t="s">
        <v>58</v>
      </c>
      <c r="AG4" s="392" t="s">
        <v>58</v>
      </c>
      <c r="AH4" s="392" t="s">
        <v>581</v>
      </c>
      <c r="AI4" s="392" t="s">
        <v>58</v>
      </c>
      <c r="AJ4" s="69">
        <v>1973</v>
      </c>
      <c r="AK4" s="69">
        <v>2004</v>
      </c>
    </row>
    <row r="5" spans="1:37">
      <c r="A5" s="137" t="s">
        <v>598</v>
      </c>
      <c r="B5" s="137" t="s">
        <v>541</v>
      </c>
      <c r="C5" s="332" t="s">
        <v>487</v>
      </c>
      <c r="D5" s="310">
        <v>-151.04499999999999</v>
      </c>
      <c r="E5" s="310">
        <v>61.189399999999999</v>
      </c>
      <c r="F5" s="367">
        <v>-2.4362681192300002</v>
      </c>
      <c r="G5" s="367">
        <v>244.07580316900001</v>
      </c>
      <c r="H5" s="369">
        <v>27.3</v>
      </c>
      <c r="I5" s="310">
        <f t="shared" si="0"/>
        <v>99.582393613647895</v>
      </c>
      <c r="J5" s="310">
        <f>'[27]Q-d Analysis Selected Sources'!$G$5*(2000*453.59/(8760*3600))</f>
        <v>99.582393613647895</v>
      </c>
      <c r="K5" s="310">
        <f t="shared" si="1"/>
        <v>2.7448365411910194</v>
      </c>
      <c r="L5" s="310">
        <f>'[27]Q-d Analysis Selected Sources'!$F$5*(2000*453.59/(8760*3600))</f>
        <v>2.7448365411910194</v>
      </c>
      <c r="M5" s="310">
        <f t="shared" si="2"/>
        <v>2.7742402080162356</v>
      </c>
      <c r="N5" s="310">
        <f>'[27]Q-d Analysis Selected Sources'!$I$5*(2000*453.59/(8760*3600))</f>
        <v>2.7742402080162356</v>
      </c>
      <c r="O5" s="310">
        <f t="shared" si="3"/>
        <v>0.75742165778792503</v>
      </c>
      <c r="P5" s="310">
        <f t="shared" si="4"/>
        <v>0.75742165778792503</v>
      </c>
      <c r="Q5" s="310">
        <f>'[27]Q-d Analysis Selected Sources'!$H$5*(2000*453.59/(8760*3600))</f>
        <v>0.75742165778792503</v>
      </c>
      <c r="R5" s="310">
        <f>'[27]Q-d Analysis Selected Sources'!$E$5*(2000*453.59/(8760*3600))</f>
        <v>25.224183625063421</v>
      </c>
      <c r="S5" s="310">
        <f>2*'[27]Q-d Analysis Selected Sources'!$B$5*(2000*453.59/(8760*3600))</f>
        <v>3.0733915580289195</v>
      </c>
      <c r="T5" s="310">
        <f>2*'[27]Q-d Analysis Selected Sources'!$C$5*(2000*453.59/(8760*3600))</f>
        <v>3.1321983163495686</v>
      </c>
      <c r="U5" s="310">
        <f>2*'[27]Q-d Analysis Selected Sources'!$D$5*(2000*453.59/(8760*3600))</f>
        <v>2.4162818695509896</v>
      </c>
      <c r="V5" s="35">
        <v>0</v>
      </c>
      <c r="W5" s="35">
        <f t="shared" si="5"/>
        <v>3.0733915580289195</v>
      </c>
      <c r="X5" s="35">
        <f t="shared" si="6"/>
        <v>3.1321983163495686</v>
      </c>
      <c r="Y5" s="35">
        <f t="shared" si="7"/>
        <v>2.4162818695509896</v>
      </c>
      <c r="Z5" s="35">
        <f t="shared" si="7"/>
        <v>2.4162818695509896</v>
      </c>
      <c r="AA5" s="102">
        <v>10</v>
      </c>
      <c r="AB5" s="34">
        <f t="shared" ref="AB5:AB30" si="8">10/4.3</f>
        <v>2.3255813953488373</v>
      </c>
      <c r="AC5" s="34">
        <f t="shared" ref="AC5:AC30" si="9">AA5/4.3</f>
        <v>2.3255813953488373</v>
      </c>
      <c r="AD5" s="137"/>
      <c r="AE5" s="69">
        <v>0.5</v>
      </c>
      <c r="AF5" s="392" t="s">
        <v>58</v>
      </c>
      <c r="AG5" s="392" t="s">
        <v>58</v>
      </c>
      <c r="AH5" s="392" t="s">
        <v>581</v>
      </c>
      <c r="AI5" s="392" t="s">
        <v>58</v>
      </c>
      <c r="AJ5" s="135">
        <v>1968</v>
      </c>
      <c r="AK5" s="135">
        <v>2011</v>
      </c>
    </row>
    <row r="6" spans="1:37">
      <c r="A6" s="137" t="s">
        <v>598</v>
      </c>
      <c r="B6" s="137" t="s">
        <v>542</v>
      </c>
      <c r="C6" s="332" t="s">
        <v>478</v>
      </c>
      <c r="D6" s="310">
        <v>-151.33359999999999</v>
      </c>
      <c r="E6" s="310">
        <v>60.829099999999997</v>
      </c>
      <c r="F6" s="367">
        <v>-18.229037605799999</v>
      </c>
      <c r="G6" s="367">
        <v>203.74249297099999</v>
      </c>
      <c r="H6" s="369">
        <v>0</v>
      </c>
      <c r="I6" s="310">
        <f t="shared" si="0"/>
        <v>3.0898085933536277</v>
      </c>
      <c r="J6" s="310">
        <f>'[27]Q-d Analysis Selected Sources'!$G$7*(2000*453.59/(8760*3600))</f>
        <v>3.0898085933536277</v>
      </c>
      <c r="K6" s="310">
        <f t="shared" si="1"/>
        <v>4.7752371892440394E-2</v>
      </c>
      <c r="L6" s="310">
        <f>'[27]Q-d Analysis Selected Sources'!$F$7*(2000*453.59/(8760*3600))</f>
        <v>4.7752371892440394E-2</v>
      </c>
      <c r="M6" s="310">
        <f t="shared" si="2"/>
        <v>4.7752371892440401E-2</v>
      </c>
      <c r="N6" s="310">
        <f>'[27]Q-d Analysis Selected Sources'!$I$7*(2000*453.59/(8760*3600))</f>
        <v>4.7752371892440401E-2</v>
      </c>
      <c r="O6" s="310">
        <f t="shared" si="3"/>
        <v>4.3149733637747349E-3</v>
      </c>
      <c r="P6" s="310">
        <f t="shared" si="4"/>
        <v>4.3149733637747349E-3</v>
      </c>
      <c r="Q6" s="310">
        <f>'[27]Q-d Analysis Selected Sources'!$H$7*(2000*453.59/(8760*3600))</f>
        <v>4.3149733637747349E-3</v>
      </c>
      <c r="R6" s="310">
        <f>'[27]Q-d Analysis Selected Sources'!$E$7*(2000*453.59/(8760*3600))</f>
        <v>3.5984001204972094</v>
      </c>
      <c r="S6" s="310">
        <f>2*'[27]Q-d Analysis Selected Sources'!$B$7*(2000*453.59/(8760*3600))</f>
        <v>5.6893441598173528E-2</v>
      </c>
      <c r="T6" s="310">
        <f>2*'[27]Q-d Analysis Selected Sources'!$C$7*(2000*453.59/(8760*3600))</f>
        <v>5.6893441598173528E-2</v>
      </c>
      <c r="U6" s="310">
        <f>2*'[27]Q-d Analysis Selected Sources'!$D$7*(2000*453.59/(8760*3600))</f>
        <v>3.8611302186707261E-2</v>
      </c>
      <c r="V6" s="35">
        <v>0</v>
      </c>
      <c r="W6" s="35">
        <f t="shared" si="5"/>
        <v>5.6893441598173528E-2</v>
      </c>
      <c r="X6" s="35">
        <f t="shared" si="6"/>
        <v>5.6893441598173528E-2</v>
      </c>
      <c r="Y6" s="35">
        <f t="shared" si="7"/>
        <v>3.8611302186707261E-2</v>
      </c>
      <c r="Z6" s="35">
        <f t="shared" si="7"/>
        <v>3.8611302186707261E-2</v>
      </c>
      <c r="AA6" s="102">
        <v>10</v>
      </c>
      <c r="AB6" s="34">
        <f t="shared" si="8"/>
        <v>2.3255813953488373</v>
      </c>
      <c r="AC6" s="34">
        <f t="shared" si="9"/>
        <v>2.3255813953488373</v>
      </c>
      <c r="AD6" s="137"/>
      <c r="AE6" s="69">
        <v>0.5</v>
      </c>
      <c r="AF6" s="392" t="s">
        <v>58</v>
      </c>
      <c r="AG6" s="392" t="s">
        <v>58</v>
      </c>
      <c r="AH6" s="392" t="s">
        <v>581</v>
      </c>
      <c r="AI6" s="392" t="s">
        <v>58</v>
      </c>
      <c r="AJ6" s="396">
        <v>1967</v>
      </c>
      <c r="AK6" s="396">
        <v>2008</v>
      </c>
    </row>
    <row r="7" spans="1:37">
      <c r="A7" s="137" t="s">
        <v>598</v>
      </c>
      <c r="B7" s="137" t="s">
        <v>543</v>
      </c>
      <c r="C7" s="332" t="s">
        <v>488</v>
      </c>
      <c r="D7" s="310">
        <v>-149.13</v>
      </c>
      <c r="E7" s="310">
        <v>64.31</v>
      </c>
      <c r="F7" s="367">
        <v>92.972951026499999</v>
      </c>
      <c r="G7" s="367">
        <v>598.750153748</v>
      </c>
      <c r="H7" s="369">
        <v>166.8</v>
      </c>
      <c r="I7" s="310">
        <f t="shared" si="0"/>
        <v>6.4595151255707774</v>
      </c>
      <c r="J7" s="310">
        <f>'[27]Q-d Analysis Selected Sources'!$G$8*(2000*453.59/(8760*3600))</f>
        <v>6.4595151255707774</v>
      </c>
      <c r="K7" s="310">
        <f t="shared" si="1"/>
        <v>3.8834760273972604E-2</v>
      </c>
      <c r="L7" s="310">
        <f>'[27]Q-d Analysis Selected Sources'!$F$8*(2000*453.59/(8760*3600))</f>
        <v>3.8834760273972604E-2</v>
      </c>
      <c r="M7" s="310">
        <f t="shared" si="2"/>
        <v>3.0492478437341455E-2</v>
      </c>
      <c r="N7" s="310">
        <f>'[27]Q-d Analysis Selected Sources'!$I$17*(2000*453.59/(8760*3600))</f>
        <v>3.0492478437341455E-2</v>
      </c>
      <c r="O7" s="310">
        <f t="shared" si="3"/>
        <v>5.8833223490613902</v>
      </c>
      <c r="P7" s="310">
        <f t="shared" si="4"/>
        <v>5.8833223490613902</v>
      </c>
      <c r="Q7" s="310">
        <f>'[27]Q-d Analysis Selected Sources'!$H$8*(2000*453.59/(8760*3600))</f>
        <v>5.8833223490613902</v>
      </c>
      <c r="R7" s="310">
        <f>'[27]Q-d Analysis Selected Sources'!$E$8*(2000*453.59/(8760*3600))</f>
        <v>3.6616863964992405</v>
      </c>
      <c r="S7" s="310">
        <f>2*'[27]Q-d Analysis Selected Sources'!$B$8*(2000*453.59/(8760*3600))</f>
        <v>6.4021604996194845E-2</v>
      </c>
      <c r="T7" s="310">
        <f>2*'[27]Q-d Analysis Selected Sources'!$C$8*(2000*453.59/(8760*3600))</f>
        <v>0.16182761037544394</v>
      </c>
      <c r="U7" s="310">
        <f>2*'[27]Q-d Analysis Selected Sources'!$D$8*(2000*453.59/(8760*3600))</f>
        <v>1.3647915551750382E-2</v>
      </c>
      <c r="V7" s="35">
        <v>0</v>
      </c>
      <c r="W7" s="35">
        <f t="shared" si="5"/>
        <v>6.4021604996194845E-2</v>
      </c>
      <c r="X7" s="35">
        <f t="shared" si="6"/>
        <v>0.16182761037544394</v>
      </c>
      <c r="Y7" s="35">
        <f t="shared" si="7"/>
        <v>1.3647915551750382E-2</v>
      </c>
      <c r="Z7" s="35">
        <f t="shared" si="7"/>
        <v>1.3647915551750382E-2</v>
      </c>
      <c r="AA7" s="102">
        <v>10</v>
      </c>
      <c r="AB7" s="34">
        <f t="shared" si="8"/>
        <v>2.3255813953488373</v>
      </c>
      <c r="AC7" s="34">
        <f t="shared" si="9"/>
        <v>2.3255813953488373</v>
      </c>
      <c r="AD7" s="137"/>
      <c r="AE7" s="69">
        <v>0.5</v>
      </c>
      <c r="AF7" s="392" t="s">
        <v>58</v>
      </c>
      <c r="AG7" s="392" t="s">
        <v>58</v>
      </c>
      <c r="AH7" s="392" t="s">
        <v>581</v>
      </c>
      <c r="AI7" s="392" t="s">
        <v>58</v>
      </c>
      <c r="AJ7" s="135">
        <v>1960</v>
      </c>
      <c r="AK7" s="135">
        <v>2012</v>
      </c>
    </row>
    <row r="8" spans="1:37">
      <c r="A8" s="382"/>
      <c r="B8" s="382" t="s">
        <v>544</v>
      </c>
      <c r="C8" s="387" t="s">
        <v>571</v>
      </c>
      <c r="D8" s="313">
        <v>-151.625</v>
      </c>
      <c r="E8" s="313">
        <v>60.808300000000003</v>
      </c>
      <c r="F8" s="378">
        <v>-34.170049629399998</v>
      </c>
      <c r="G8" s="378">
        <v>201.50990118300001</v>
      </c>
      <c r="H8" s="386">
        <v>0</v>
      </c>
      <c r="I8" s="313">
        <f t="shared" si="0"/>
        <v>5.7553114726027408</v>
      </c>
      <c r="J8" s="313">
        <f>'[27]Q-d Analysis Selected Sources'!$G$9*(2000*453.59/(8760*3600))+'[27]Q-d Analysis Selected Sources'!$G$38*(2000*453.59/(8760*3600))</f>
        <v>5.7553114726027408</v>
      </c>
      <c r="K8" s="313">
        <f t="shared" si="1"/>
        <v>0.20596806189751396</v>
      </c>
      <c r="L8" s="313">
        <f>'[27]Q-d Analysis Selected Sources'!$F$9*(2000*453.59/(8760*3600))+'[27]Q-d Analysis Selected Sources'!$F$38*(2000*453.59/(8760*3600))</f>
        <v>0.20596806189751396</v>
      </c>
      <c r="M8" s="313">
        <f t="shared" si="2"/>
        <v>0.20884471080669709</v>
      </c>
      <c r="N8" s="313">
        <f>'[27]Q-d Analysis Selected Sources'!$I$9*(2000*453.59/(8760*3600))+'[27]Q-d Analysis Selected Sources'!$I$38*(2000*453.59/(8760*3600))</f>
        <v>0.20884471080669709</v>
      </c>
      <c r="O8" s="313">
        <f t="shared" si="3"/>
        <v>3.9185711440892939</v>
      </c>
      <c r="P8" s="313">
        <f t="shared" si="4"/>
        <v>3.9185711440892939</v>
      </c>
      <c r="Q8" s="313">
        <f>'[27]Q-d Analysis Selected Sources'!$H$9*(2000*453.59/(8760*3600))+'[27]Q-d Analysis Selected Sources'!$H$38*(2000*453.59/(8760*3600))</f>
        <v>3.9185711440892939</v>
      </c>
      <c r="R8" s="313">
        <f>'[27]Q-d Analysis Selected Sources'!$E$9*(2000*453.59/(8760*3600))+'[27]Q-d Analysis Selected Sources'!$E$38*(2000*453.59/(8760*3600))</f>
        <v>3.5305112062404871</v>
      </c>
      <c r="S8" s="313">
        <f>2*'[27]Q-d Analysis Selected Sources'!$B$9*(2000*453.59/(8760*3600))</f>
        <v>0.2334734856405378</v>
      </c>
      <c r="T8" s="313">
        <f>2*'[27]Q-d Analysis Selected Sources'!$C$9*(2000*453.59/(8760*3600))</f>
        <v>0.2334734856405378</v>
      </c>
      <c r="U8" s="313">
        <f>2*'[27]Q-d Analysis Selected Sources'!$D$9*(2000*453.59/(8760*3600))</f>
        <v>0.16120274469939117</v>
      </c>
      <c r="V8" s="312">
        <v>0</v>
      </c>
      <c r="W8" s="312">
        <f>$S8+'[27]Q-d Analysis Selected Sources'!$F$38*(2000*453.59/(8760*3600))*$D$54</f>
        <v>0.24090827787524319</v>
      </c>
      <c r="X8" s="312">
        <f>$T8+'[27]Q-d Analysis Selected Sources'!$I$38*(2000*453.59/(8760*3600))*$F$54</f>
        <v>0.24343381973446343</v>
      </c>
      <c r="Y8" s="312">
        <f>$U8+'[27]Q-d Analysis Selected Sources'!$F$38*(2000*453.59/(8760*3600))*$E$54</f>
        <v>0.16239789919223524</v>
      </c>
      <c r="Z8" s="312">
        <f>$U8+'[27]Q-d Analysis Selected Sources'!$I$38*(2000*453.59/(8760*3600))*$G$54</f>
        <v>0.16274900624219818</v>
      </c>
      <c r="AA8" s="314">
        <v>10</v>
      </c>
      <c r="AB8" s="313">
        <f t="shared" si="8"/>
        <v>2.3255813953488373</v>
      </c>
      <c r="AC8" s="313">
        <f t="shared" si="9"/>
        <v>2.3255813953488373</v>
      </c>
      <c r="AD8" s="382"/>
      <c r="AE8" s="385">
        <v>0.5</v>
      </c>
      <c r="AF8" s="385" t="s">
        <v>58</v>
      </c>
      <c r="AG8" s="385" t="s">
        <v>58</v>
      </c>
      <c r="AH8" s="385" t="s">
        <v>58</v>
      </c>
      <c r="AI8" s="385" t="s">
        <v>58</v>
      </c>
      <c r="AJ8" s="393"/>
      <c r="AK8" s="393"/>
    </row>
    <row r="9" spans="1:37">
      <c r="A9" s="137"/>
      <c r="B9" s="137" t="s">
        <v>545</v>
      </c>
      <c r="C9" s="332" t="s">
        <v>479</v>
      </c>
      <c r="D9" s="310">
        <v>-152.14973900000001</v>
      </c>
      <c r="E9" s="310">
        <v>60.574572000000003</v>
      </c>
      <c r="F9" s="367">
        <v>-63.232493361899998</v>
      </c>
      <c r="G9" s="367">
        <v>175.690205101</v>
      </c>
      <c r="H9" s="369">
        <v>0.3</v>
      </c>
      <c r="I9" s="310">
        <f t="shared" si="0"/>
        <v>2.2230742770167433</v>
      </c>
      <c r="J9" s="310">
        <f>'[27]Q-d Analysis Selected Sources'!$G$10*(2000*453.59/(8760*3600))</f>
        <v>2.2230742770167433</v>
      </c>
      <c r="K9" s="310">
        <f t="shared" si="1"/>
        <v>3.0780143328259769E-2</v>
      </c>
      <c r="L9" s="310">
        <f>'[27]Q-d Analysis Selected Sources'!$F$10*(2000*453.59/(8760*3600))</f>
        <v>3.0780143328259769E-2</v>
      </c>
      <c r="M9" s="310">
        <f t="shared" si="2"/>
        <v>3.0780143328259769E-2</v>
      </c>
      <c r="N9" s="310">
        <f>'[27]Q-d Analysis Selected Sources'!$I$10*(2000*453.59/(8760*3600))</f>
        <v>3.0780143328259769E-2</v>
      </c>
      <c r="O9" s="310">
        <f t="shared" si="3"/>
        <v>0.11506595636732622</v>
      </c>
      <c r="P9" s="310">
        <f t="shared" si="4"/>
        <v>0.11506595636732622</v>
      </c>
      <c r="Q9" s="310">
        <f>'[27]Q-d Analysis Selected Sources'!$H$10*(2000*453.59/(8760*3600))</f>
        <v>0.11506595636732622</v>
      </c>
      <c r="R9" s="310">
        <f>'[27]Q-d Analysis Selected Sources'!$E$10*(2000*453.59/(8760*3600))</f>
        <v>0.26781601344495176</v>
      </c>
      <c r="S9" s="310">
        <f>2*'[27]Q-d Analysis Selected Sources'!$B$10*(2000*453.59/(8760*3600))</f>
        <v>5.7176964114662616E-2</v>
      </c>
      <c r="T9" s="310">
        <f>2*'[27]Q-d Analysis Selected Sources'!$C$10*(2000*453.59/(8760*3600))</f>
        <v>5.7176964114662616E-2</v>
      </c>
      <c r="U9" s="310">
        <f>2*'[27]Q-d Analysis Selected Sources'!$D$10*(2000*453.59/(8760*3600))</f>
        <v>4.3833800748351087E-3</v>
      </c>
      <c r="V9" s="35">
        <v>0</v>
      </c>
      <c r="W9" s="35">
        <f t="shared" si="5"/>
        <v>5.7176964114662616E-2</v>
      </c>
      <c r="X9" s="35">
        <f t="shared" si="6"/>
        <v>5.7176964114662616E-2</v>
      </c>
      <c r="Y9" s="35">
        <f t="shared" si="7"/>
        <v>4.3833800748351087E-3</v>
      </c>
      <c r="Z9" s="35">
        <f t="shared" si="7"/>
        <v>4.3833800748351087E-3</v>
      </c>
      <c r="AA9" s="102">
        <v>10</v>
      </c>
      <c r="AB9" s="34">
        <f t="shared" si="8"/>
        <v>2.3255813953488373</v>
      </c>
      <c r="AC9" s="34">
        <f t="shared" si="9"/>
        <v>2.3255813953488373</v>
      </c>
      <c r="AD9" s="137"/>
      <c r="AE9" s="69">
        <v>0.5</v>
      </c>
      <c r="AF9" s="392" t="s">
        <v>58</v>
      </c>
      <c r="AG9" s="392" t="s">
        <v>58</v>
      </c>
      <c r="AH9" s="392" t="s">
        <v>581</v>
      </c>
      <c r="AI9" s="392" t="s">
        <v>58</v>
      </c>
      <c r="AJ9" s="135">
        <v>1966</v>
      </c>
      <c r="AK9" s="135">
        <v>2008</v>
      </c>
    </row>
    <row r="10" spans="1:37">
      <c r="A10" s="137"/>
      <c r="B10" s="137" t="s">
        <v>546</v>
      </c>
      <c r="C10" s="332" t="s">
        <v>489</v>
      </c>
      <c r="D10" s="310">
        <v>-149.7158</v>
      </c>
      <c r="E10" s="310">
        <v>61.229700000000001</v>
      </c>
      <c r="F10" s="367">
        <v>69.450185942000005</v>
      </c>
      <c r="G10" s="367">
        <v>249.15298841800001</v>
      </c>
      <c r="H10" s="369">
        <v>108.4</v>
      </c>
      <c r="I10" s="310">
        <f t="shared" si="0"/>
        <v>52.281367935058348</v>
      </c>
      <c r="J10" s="310">
        <f>'[27]Q-d Analysis Selected Sources'!$G$11*(2000*453.59/(8760*3600))</f>
        <v>52.281367935058348</v>
      </c>
      <c r="K10" s="310">
        <f t="shared" si="1"/>
        <v>1.0790310058346018</v>
      </c>
      <c r="L10" s="310">
        <f>'[27]Q-d Analysis Selected Sources'!$F$11*(2000*453.59/(8760*3600))</f>
        <v>1.0790310058346018</v>
      </c>
      <c r="M10" s="310">
        <f t="shared" si="2"/>
        <v>1.0790310058346018</v>
      </c>
      <c r="N10" s="310">
        <f>'[27]Q-d Analysis Selected Sources'!$I$11*(2000*453.59/(8760*3600))</f>
        <v>1.0790310058346018</v>
      </c>
      <c r="O10" s="310">
        <f t="shared" si="3"/>
        <v>9.2052765093860994E-3</v>
      </c>
      <c r="P10" s="310">
        <f t="shared" si="4"/>
        <v>9.2052765093860994E-3</v>
      </c>
      <c r="Q10" s="310">
        <f>'[27]Q-d Analysis Selected Sources'!$H$11*(2000*453.59/(8760*3600))</f>
        <v>9.2052765093860994E-3</v>
      </c>
      <c r="R10" s="310">
        <f>'[27]Q-d Analysis Selected Sources'!$E$11*(2000*453.59/(8760*3600))</f>
        <v>12.116732870370372</v>
      </c>
      <c r="S10" s="310">
        <f>2*'[27]Q-d Analysis Selected Sources'!$B$11*(2000*453.59/(8760*3600))</f>
        <v>1.1869341064180621</v>
      </c>
      <c r="T10" s="310">
        <f>2*'[27]Q-d Analysis Selected Sources'!$C$11*(2000*453.59/(8760*3600))</f>
        <v>1.1869341064180621</v>
      </c>
      <c r="U10" s="310">
        <f>2*'[27]Q-d Analysis Selected Sources'!$D$11*(2000*453.59/(8760*3600))</f>
        <v>0.97112790525114157</v>
      </c>
      <c r="V10" s="35">
        <v>0</v>
      </c>
      <c r="W10" s="35">
        <f t="shared" si="5"/>
        <v>1.1869341064180621</v>
      </c>
      <c r="X10" s="35">
        <f t="shared" si="6"/>
        <v>1.1869341064180621</v>
      </c>
      <c r="Y10" s="35">
        <f t="shared" si="7"/>
        <v>0.97112790525114157</v>
      </c>
      <c r="Z10" s="35">
        <f t="shared" si="7"/>
        <v>0.97112790525114157</v>
      </c>
      <c r="AA10" s="102">
        <v>10</v>
      </c>
      <c r="AB10" s="34">
        <f t="shared" si="8"/>
        <v>2.3255813953488373</v>
      </c>
      <c r="AC10" s="34">
        <f t="shared" si="9"/>
        <v>2.3255813953488373</v>
      </c>
      <c r="AD10" s="137"/>
      <c r="AE10" s="69">
        <v>0.5</v>
      </c>
      <c r="AF10" s="392" t="s">
        <v>58</v>
      </c>
      <c r="AG10" s="392" t="s">
        <v>58</v>
      </c>
      <c r="AH10" s="392" t="s">
        <v>58</v>
      </c>
      <c r="AI10" s="392" t="s">
        <v>58</v>
      </c>
      <c r="AJ10" s="135">
        <v>1975</v>
      </c>
      <c r="AK10" s="135">
        <v>2015</v>
      </c>
    </row>
    <row r="11" spans="1:37">
      <c r="A11" s="382"/>
      <c r="B11" s="382" t="s">
        <v>547</v>
      </c>
      <c r="C11" s="387" t="s">
        <v>572</v>
      </c>
      <c r="D11" s="313">
        <v>-151.613</v>
      </c>
      <c r="E11" s="313">
        <v>60.839700000000001</v>
      </c>
      <c r="F11" s="378">
        <v>-33.487087971299999</v>
      </c>
      <c r="G11" s="378">
        <v>205.019204997</v>
      </c>
      <c r="H11" s="386">
        <v>0</v>
      </c>
      <c r="I11" s="313">
        <f t="shared" si="0"/>
        <v>9.8939462582445472</v>
      </c>
      <c r="J11" s="313">
        <f>'[27]Q-d Analysis Selected Sources'!$G$12*(2000*453.59/(8760*3600))+'[27]Q-d Analysis Selected Sources'!$G$38*(2000*453.59/(8760*3600))</f>
        <v>9.8939462582445472</v>
      </c>
      <c r="K11" s="313">
        <f t="shared" si="1"/>
        <v>0.27673362506341959</v>
      </c>
      <c r="L11" s="313">
        <f>'[27]Q-d Analysis Selected Sources'!$F$12*(2000*453.59/(8760*3600))+'[27]Q-d Analysis Selected Sources'!$F$38*(2000*453.59/(8760*3600))</f>
        <v>0.27673362506341959</v>
      </c>
      <c r="M11" s="313">
        <f t="shared" si="2"/>
        <v>0.27961027397260274</v>
      </c>
      <c r="N11" s="313">
        <f>'[27]Q-d Analysis Selected Sources'!$I$12*(2000*453.59/(8760*3600))+'[27]Q-d Analysis Selected Sources'!$I$38*(2000*453.59/(8760*3600))</f>
        <v>0.27961027397260274</v>
      </c>
      <c r="O11" s="313">
        <f t="shared" si="3"/>
        <v>1.0824829845256216</v>
      </c>
      <c r="P11" s="313">
        <f t="shared" si="4"/>
        <v>1.0824829845256216</v>
      </c>
      <c r="Q11" s="313">
        <f>'[27]Q-d Analysis Selected Sources'!$H$12*(2000*453.59/(8760*3600))+'[27]Q-d Analysis Selected Sources'!$H$38*(2000*453.59/(8760*3600))</f>
        <v>1.0824829845256216</v>
      </c>
      <c r="R11" s="313">
        <f>'[27]Q-d Analysis Selected Sources'!$E$12*(2000*453.59/(8760*3600))+'[27]Q-d Analysis Selected Sources'!$E$38*(2000*453.59/(8760*3600))</f>
        <v>2.9330312278031454</v>
      </c>
      <c r="S11" s="313">
        <f>2*'[27]Q-d Analysis Selected Sources'!$B$12*(2000*453.59/(8760*3600))</f>
        <v>0.31360455466007109</v>
      </c>
      <c r="T11" s="313">
        <f>2*'[27]Q-d Analysis Selected Sources'!$C$12*(2000*453.59/(8760*3600))</f>
        <v>0.31360455466007103</v>
      </c>
      <c r="U11" s="313">
        <f>2*'[27]Q-d Analysis Selected Sources'!$D$12*(2000*453.59/(8760*3600))</f>
        <v>0.22260280201166921</v>
      </c>
      <c r="V11" s="312">
        <v>0</v>
      </c>
      <c r="W11" s="312">
        <f>$S11+'[27]Q-d Analysis Selected Sources'!$F$38*(2000*453.59/(8760*3600))*$D$54</f>
        <v>0.32103934689477648</v>
      </c>
      <c r="X11" s="312">
        <f>$T11+'[27]Q-d Analysis Selected Sources'!$I$38*(2000*453.59/(8760*3600))*$F$54</f>
        <v>0.32356488875399664</v>
      </c>
      <c r="Y11" s="312">
        <f>$U11+'[27]Q-d Analysis Selected Sources'!$F$38*(2000*453.59/(8760*3600))*$E$54</f>
        <v>0.22379795650451328</v>
      </c>
      <c r="Z11" s="312">
        <f>$U11+'[27]Q-d Analysis Selected Sources'!$I$38*(2000*453.59/(8760*3600))*$G$54</f>
        <v>0.22414906355447622</v>
      </c>
      <c r="AA11" s="314">
        <v>10</v>
      </c>
      <c r="AB11" s="313">
        <f t="shared" si="8"/>
        <v>2.3255813953488373</v>
      </c>
      <c r="AC11" s="313">
        <f t="shared" si="9"/>
        <v>2.3255813953488373</v>
      </c>
      <c r="AD11" s="382"/>
      <c r="AE11" s="385">
        <v>0.5</v>
      </c>
      <c r="AF11" s="385" t="s">
        <v>58</v>
      </c>
      <c r="AG11" s="385" t="s">
        <v>58</v>
      </c>
      <c r="AH11" s="385" t="s">
        <v>58</v>
      </c>
      <c r="AI11" s="385" t="s">
        <v>58</v>
      </c>
      <c r="AJ11" s="394"/>
      <c r="AK11" s="394"/>
    </row>
    <row r="12" spans="1:37" ht="12.75" customHeight="1">
      <c r="A12" s="380" t="s">
        <v>599</v>
      </c>
      <c r="B12" s="382" t="s">
        <v>600</v>
      </c>
      <c r="C12" s="383" t="s">
        <v>561</v>
      </c>
      <c r="D12" s="313">
        <v>-150.99817400000001</v>
      </c>
      <c r="E12" s="313">
        <v>60.499732999999999</v>
      </c>
      <c r="F12" s="378">
        <v>0.10061918575500001</v>
      </c>
      <c r="G12" s="378">
        <v>166.873422482</v>
      </c>
      <c r="H12" s="386">
        <v>74</v>
      </c>
      <c r="I12" s="313">
        <f>J12</f>
        <v>7.0592964231354651</v>
      </c>
      <c r="J12" s="313">
        <f>'[27]Q-d Analysis Selected Sources'!$G$31*(2000*453.59/(8760*3600))</f>
        <v>7.0592964231354651</v>
      </c>
      <c r="K12" s="313">
        <f>L12</f>
        <v>1.0614834474885846</v>
      </c>
      <c r="L12" s="313">
        <f>'[27]Q-d Analysis Selected Sources'!$F$31*(2000*453.59/(8760*3600))</f>
        <v>1.0614834474885846</v>
      </c>
      <c r="M12" s="313">
        <f>N12</f>
        <v>1.0614834474885846</v>
      </c>
      <c r="N12" s="313">
        <f>'[27]Q-d Analysis Selected Sources'!$I$31*(2000*453.59/(8760*3600))</f>
        <v>1.0614834474885846</v>
      </c>
      <c r="O12" s="313">
        <f>Q12</f>
        <v>0.34807451801116185</v>
      </c>
      <c r="P12" s="313">
        <f>Q12</f>
        <v>0.34807451801116185</v>
      </c>
      <c r="Q12" s="313">
        <f>'[27]Q-d Analysis Selected Sources'!$H$31*(2000*453.59/(8760*3600))</f>
        <v>0.34807451801116185</v>
      </c>
      <c r="R12" s="313">
        <f>'[27]Q-d Analysis Selected Sources'!$E$31*(2000*453.59/(8760*3600))</f>
        <v>6.3343808980213092</v>
      </c>
      <c r="S12" s="313"/>
      <c r="T12" s="313"/>
      <c r="U12" s="313"/>
      <c r="V12" s="312">
        <v>0</v>
      </c>
      <c r="W12" s="312">
        <f>K12*$D$51</f>
        <v>0.30557856821641072</v>
      </c>
      <c r="X12" s="312">
        <f>M12*$F$51</f>
        <v>0.30557856821641072</v>
      </c>
      <c r="Y12" s="312">
        <f>K12*$E$51</f>
        <v>0.75590487927217387</v>
      </c>
      <c r="Z12" s="312">
        <f>M12*$G$51</f>
        <v>0.75590487927217387</v>
      </c>
      <c r="AA12" s="314">
        <v>10</v>
      </c>
      <c r="AB12" s="313">
        <f t="shared" si="8"/>
        <v>2.3255813953488373</v>
      </c>
      <c r="AC12" s="313">
        <f t="shared" ref="AC12:AC13" si="10">AA12/4.3</f>
        <v>2.3255813953488373</v>
      </c>
      <c r="AD12" s="382"/>
      <c r="AE12" s="385">
        <v>0.5</v>
      </c>
      <c r="AF12" s="385" t="s">
        <v>58</v>
      </c>
      <c r="AG12" s="385" t="s">
        <v>58</v>
      </c>
      <c r="AH12" s="385" t="s">
        <v>58</v>
      </c>
      <c r="AI12" s="385" t="s">
        <v>58</v>
      </c>
      <c r="AJ12" s="382"/>
      <c r="AK12" s="382"/>
    </row>
    <row r="13" spans="1:37">
      <c r="A13" s="382" t="s">
        <v>599</v>
      </c>
      <c r="B13" s="379" t="s">
        <v>601</v>
      </c>
      <c r="C13" s="383" t="s">
        <v>562</v>
      </c>
      <c r="D13" s="313">
        <v>-150.62393700000001</v>
      </c>
      <c r="E13" s="313">
        <v>60.543427000000001</v>
      </c>
      <c r="F13" s="378">
        <v>20.699418811699999</v>
      </c>
      <c r="G13" s="378">
        <v>171.80410411899999</v>
      </c>
      <c r="H13" s="386">
        <v>100</v>
      </c>
      <c r="I13" s="313">
        <f>J13</f>
        <v>2.1747465753424655</v>
      </c>
      <c r="J13" s="313">
        <f>'[27]Q-d Analysis Selected Sources'!$G$33*(2000*453.59/(8760*3600))</f>
        <v>2.1747465753424655</v>
      </c>
      <c r="K13" s="313">
        <f>L13</f>
        <v>6.040962709284628E-2</v>
      </c>
      <c r="L13" s="313">
        <f>'[27]Q-d Analysis Selected Sources'!$F$33*(2000*453.59/(8760*3600))</f>
        <v>6.040962709284628E-2</v>
      </c>
      <c r="M13" s="313">
        <f>N13</f>
        <v>6.040962709284628E-2</v>
      </c>
      <c r="N13" s="313">
        <f>'[27]Q-d Analysis Selected Sources'!$I$33*(2000*453.59/(8760*3600))</f>
        <v>6.040962709284628E-2</v>
      </c>
      <c r="O13" s="313">
        <f>Q13</f>
        <v>3.1643138001014717E-2</v>
      </c>
      <c r="P13" s="313">
        <f>Q13</f>
        <v>3.1643138001014717E-2</v>
      </c>
      <c r="Q13" s="313">
        <f>'[27]Q-d Analysis Selected Sources'!$H$33*(2000*453.59/(8760*3600))</f>
        <v>3.1643138001014717E-2</v>
      </c>
      <c r="R13" s="313">
        <f>'[27]Q-d Analysis Selected Sources'!$E$33*(2000*453.59/(8760*3600))</f>
        <v>0.75080536529680375</v>
      </c>
      <c r="S13" s="313"/>
      <c r="T13" s="313"/>
      <c r="U13" s="313"/>
      <c r="V13" s="312">
        <v>0</v>
      </c>
      <c r="W13" s="312">
        <f t="shared" ref="W13" si="11">K13*$D$51</f>
        <v>1.7390650223698172E-2</v>
      </c>
      <c r="X13" s="312">
        <f>M13*$F$51</f>
        <v>1.7390650223698172E-2</v>
      </c>
      <c r="Y13" s="312">
        <f>K13*$E$51</f>
        <v>4.3018976869148108E-2</v>
      </c>
      <c r="Z13" s="312">
        <f>M13*$G$51</f>
        <v>4.3018976869148108E-2</v>
      </c>
      <c r="AA13" s="314">
        <v>10</v>
      </c>
      <c r="AB13" s="313">
        <f t="shared" si="8"/>
        <v>2.3255813953488373</v>
      </c>
      <c r="AC13" s="313">
        <f t="shared" si="10"/>
        <v>2.3255813953488373</v>
      </c>
      <c r="AD13" s="382"/>
      <c r="AE13" s="385">
        <v>0.5</v>
      </c>
      <c r="AF13" s="385" t="s">
        <v>58</v>
      </c>
      <c r="AG13" s="385" t="s">
        <v>58</v>
      </c>
      <c r="AH13" s="385" t="s">
        <v>58</v>
      </c>
      <c r="AI13" s="385" t="s">
        <v>58</v>
      </c>
      <c r="AJ13" s="382"/>
      <c r="AK13" s="382"/>
    </row>
    <row r="14" spans="1:37">
      <c r="A14" s="137"/>
      <c r="B14" s="137" t="s">
        <v>548</v>
      </c>
      <c r="C14" s="332" t="s">
        <v>490</v>
      </c>
      <c r="D14" s="310">
        <v>-149.8663</v>
      </c>
      <c r="E14" s="310">
        <v>61.221899999999998</v>
      </c>
      <c r="F14" s="367">
        <v>61.324041487499997</v>
      </c>
      <c r="G14" s="367">
        <v>248.15508193599999</v>
      </c>
      <c r="H14" s="369">
        <v>30.5</v>
      </c>
      <c r="I14" s="310">
        <f t="shared" si="0"/>
        <v>2.2909631912734656</v>
      </c>
      <c r="J14" s="310">
        <f>'[27]Q-d Analysis Selected Sources'!$G$13*(2000*453.59/(8760*3600))</f>
        <v>2.2909631912734656</v>
      </c>
      <c r="K14" s="310">
        <f t="shared" si="1"/>
        <v>0.10931265854895991</v>
      </c>
      <c r="L14" s="310">
        <f>'[27]Q-d Analysis Selected Sources'!$F$13*(2000*453.59/(8760*3600))</f>
        <v>0.10931265854895991</v>
      </c>
      <c r="M14" s="310">
        <f t="shared" si="2"/>
        <v>0.10931265854895991</v>
      </c>
      <c r="N14" s="310">
        <f>'[27]Q-d Analysis Selected Sources'!$I$13*(2000*453.59/(8760*3600))</f>
        <v>0.10931265854895991</v>
      </c>
      <c r="O14" s="310">
        <f t="shared" si="3"/>
        <v>3.7396435819381027E-3</v>
      </c>
      <c r="P14" s="310">
        <f t="shared" si="4"/>
        <v>3.7396435819381027E-3</v>
      </c>
      <c r="Q14" s="310">
        <f>'[27]Q-d Analysis Selected Sources'!$H$13*(2000*453.59/(8760*3600))</f>
        <v>3.7396435819381027E-3</v>
      </c>
      <c r="R14" s="310">
        <f>'[27]Q-d Analysis Selected Sources'!$E$13*(2000*453.59/(8760*3600))</f>
        <v>0.75310668442415019</v>
      </c>
      <c r="S14" s="310">
        <f>2*'[27]Q-d Analysis Selected Sources'!$B$13*(2000*453.59/(8760*3600))</f>
        <v>0.1254218924403856</v>
      </c>
      <c r="T14" s="310">
        <f>2*'[27]Q-d Analysis Selected Sources'!$C$13*(2000*453.59/(8760*3600))</f>
        <v>0.1254218924403856</v>
      </c>
      <c r="U14" s="310">
        <f>2*'[27]Q-d Analysis Selected Sources'!$D$13*(2000*453.59/(8760*3600))</f>
        <v>9.3203424657534256E-2</v>
      </c>
      <c r="V14" s="35">
        <v>0</v>
      </c>
      <c r="W14" s="35">
        <f t="shared" si="5"/>
        <v>0.1254218924403856</v>
      </c>
      <c r="X14" s="35">
        <f t="shared" si="6"/>
        <v>0.1254218924403856</v>
      </c>
      <c r="Y14" s="35">
        <f t="shared" si="7"/>
        <v>9.3203424657534256E-2</v>
      </c>
      <c r="Z14" s="35">
        <f t="shared" si="7"/>
        <v>9.3203424657534256E-2</v>
      </c>
      <c r="AA14" s="102">
        <v>10</v>
      </c>
      <c r="AB14" s="34">
        <f t="shared" si="8"/>
        <v>2.3255813953488373</v>
      </c>
      <c r="AC14" s="34">
        <f t="shared" si="9"/>
        <v>2.3255813953488373</v>
      </c>
      <c r="AD14" s="137"/>
      <c r="AE14" s="69">
        <v>0.5</v>
      </c>
      <c r="AF14" s="392" t="s">
        <v>58</v>
      </c>
      <c r="AG14" s="392" t="s">
        <v>58</v>
      </c>
      <c r="AH14" s="392" t="s">
        <v>581</v>
      </c>
      <c r="AI14" s="392" t="s">
        <v>58</v>
      </c>
      <c r="AJ14" s="396">
        <v>1962</v>
      </c>
      <c r="AK14" s="396">
        <v>2011</v>
      </c>
    </row>
    <row r="15" spans="1:37">
      <c r="A15" s="137"/>
      <c r="B15" s="137" t="s">
        <v>549</v>
      </c>
      <c r="C15" s="332" t="s">
        <v>491</v>
      </c>
      <c r="D15" s="310">
        <v>-148.94963300000001</v>
      </c>
      <c r="E15" s="310">
        <v>63.854933000000003</v>
      </c>
      <c r="F15" s="367">
        <v>103.271260251</v>
      </c>
      <c r="G15" s="367">
        <v>546.94557484200004</v>
      </c>
      <c r="H15" s="369">
        <v>449.2</v>
      </c>
      <c r="I15" s="310">
        <f t="shared" si="0"/>
        <v>9.084457255200407</v>
      </c>
      <c r="J15" s="310">
        <f>'[27]Q-d Analysis Selected Sources'!$G$14*(2000*453.59/(8760*3600))</f>
        <v>9.084457255200407</v>
      </c>
      <c r="K15" s="310">
        <f t="shared" si="1"/>
        <v>0.79625641806189751</v>
      </c>
      <c r="L15" s="310">
        <f>'[27]Q-d Analysis Selected Sources'!$F$14*(2000*453.59/(8760*3600))</f>
        <v>0.79625641806189751</v>
      </c>
      <c r="M15" s="310">
        <f t="shared" si="2"/>
        <v>0.79625641806189751</v>
      </c>
      <c r="N15" s="310">
        <f>'[27]Q-d Analysis Selected Sources'!$I$14*(2000*453.59/(8760*3600))</f>
        <v>0.79625641806189751</v>
      </c>
      <c r="O15" s="310">
        <f t="shared" si="3"/>
        <v>13.238338280060884</v>
      </c>
      <c r="P15" s="310">
        <f t="shared" si="4"/>
        <v>13.238338280060884</v>
      </c>
      <c r="Q15" s="310">
        <f>'[27]Q-d Analysis Selected Sources'!$H$14*(2000*453.59/(8760*3600))</f>
        <v>13.238338280060884</v>
      </c>
      <c r="R15" s="310">
        <f>'[27]Q-d Analysis Selected Sources'!$E$14*(2000*453.59/(8760*3600))</f>
        <v>9.5274611872146142</v>
      </c>
      <c r="S15" s="310">
        <f>2*'[27]Q-d Analysis Selected Sources'!$B$14*(2000*453.59/(8760*3600))</f>
        <v>1.4795915941171993</v>
      </c>
      <c r="T15" s="310">
        <f>2*'[27]Q-d Analysis Selected Sources'!$C$14*(2000*453.59/(8760*3600))</f>
        <v>1.4795915941171993</v>
      </c>
      <c r="U15" s="310">
        <f>2*'[27]Q-d Analysis Selected Sources'!$D$14*(2000*453.59/(8760*3600))</f>
        <v>0.11292009134703196</v>
      </c>
      <c r="V15" s="35">
        <v>0</v>
      </c>
      <c r="W15" s="35">
        <f t="shared" si="5"/>
        <v>1.4795915941171993</v>
      </c>
      <c r="X15" s="35">
        <f t="shared" si="6"/>
        <v>1.4795915941171993</v>
      </c>
      <c r="Y15" s="35">
        <f t="shared" si="7"/>
        <v>0.11292009134703196</v>
      </c>
      <c r="Z15" s="35">
        <f t="shared" si="7"/>
        <v>0.11292009134703196</v>
      </c>
      <c r="AA15" s="102">
        <v>10</v>
      </c>
      <c r="AB15" s="34">
        <f t="shared" si="8"/>
        <v>2.3255813953488373</v>
      </c>
      <c r="AC15" s="34">
        <f t="shared" si="9"/>
        <v>2.3255813953488373</v>
      </c>
      <c r="AD15" s="137"/>
      <c r="AE15" s="69">
        <v>0.5</v>
      </c>
      <c r="AF15" s="392" t="s">
        <v>58</v>
      </c>
      <c r="AG15" s="392" t="s">
        <v>58</v>
      </c>
      <c r="AH15" s="392" t="s">
        <v>581</v>
      </c>
      <c r="AI15" s="392" t="s">
        <v>58</v>
      </c>
      <c r="AJ15" s="396">
        <v>1967</v>
      </c>
      <c r="AK15" s="396">
        <v>1998</v>
      </c>
    </row>
    <row r="16" spans="1:37">
      <c r="A16" s="137"/>
      <c r="B16" s="137" t="s">
        <v>550</v>
      </c>
      <c r="C16" s="332" t="s">
        <v>480</v>
      </c>
      <c r="D16" s="310">
        <v>-151.262991</v>
      </c>
      <c r="E16" s="310">
        <v>60.460621000000003</v>
      </c>
      <c r="F16" s="367">
        <v>-14.506078863500001</v>
      </c>
      <c r="G16" s="367">
        <v>162.52815955</v>
      </c>
      <c r="H16" s="369">
        <v>18.600000000000001</v>
      </c>
      <c r="I16" s="310">
        <f t="shared" si="0"/>
        <v>30.147280568239474</v>
      </c>
      <c r="J16" s="310">
        <f>'[27]Q-d Analysis Selected Sources'!$G$15*(2000*453.59/(8760*3600))</f>
        <v>30.147280568239474</v>
      </c>
      <c r="K16" s="310">
        <f t="shared" si="1"/>
        <v>0.64724600456621006</v>
      </c>
      <c r="L16" s="310">
        <f>'[27]Q-d Analysis Selected Sources'!$F$15*(2000*453.59/(8760*3600))</f>
        <v>0.64724600456621006</v>
      </c>
      <c r="M16" s="310">
        <f t="shared" si="2"/>
        <v>0.64724600456621006</v>
      </c>
      <c r="N16" s="310">
        <f>'[27]Q-d Analysis Selected Sources'!$I$15*(2000*453.59/(8760*3600))</f>
        <v>0.64724600456621006</v>
      </c>
      <c r="O16" s="310">
        <f t="shared" si="3"/>
        <v>0.11794260527650938</v>
      </c>
      <c r="P16" s="310">
        <f t="shared" si="4"/>
        <v>0.11794260527650938</v>
      </c>
      <c r="Q16" s="310">
        <f>'[27]Q-d Analysis Selected Sources'!$H$15*(2000*453.59/(8760*3600))</f>
        <v>0.11794260527650938</v>
      </c>
      <c r="R16" s="310">
        <f>'[27]Q-d Analysis Selected Sources'!$E$15*(2000*453.59/(8760*3600))</f>
        <v>7.7957185438863528</v>
      </c>
      <c r="S16" s="310">
        <f>2*'[27]Q-d Analysis Selected Sources'!$B$15*(2000*453.59/(8760*3600))</f>
        <v>0</v>
      </c>
      <c r="T16" s="310">
        <f>2*'[27]Q-d Analysis Selected Sources'!$C$15*(2000*453.59/(8760*3600))</f>
        <v>0</v>
      </c>
      <c r="U16" s="310">
        <f>2*'[27]Q-d Analysis Selected Sources'!$D$15*(2000*453.59/(8760*3600))</f>
        <v>0</v>
      </c>
      <c r="V16" s="35">
        <v>0</v>
      </c>
      <c r="W16" s="35">
        <f t="shared" ref="W16:W23" si="12">$S16</f>
        <v>0</v>
      </c>
      <c r="X16" s="35">
        <f t="shared" ref="X16:X23" si="13">$T16</f>
        <v>0</v>
      </c>
      <c r="Y16" s="35">
        <f t="shared" ref="Y16:Z23" si="14">$U16</f>
        <v>0</v>
      </c>
      <c r="Z16" s="35">
        <f t="shared" si="14"/>
        <v>0</v>
      </c>
      <c r="AA16" s="102">
        <v>10</v>
      </c>
      <c r="AB16" s="34">
        <f t="shared" si="8"/>
        <v>2.3255813953488373</v>
      </c>
      <c r="AC16" s="34">
        <f t="shared" si="9"/>
        <v>2.3255813953488373</v>
      </c>
      <c r="AD16" s="137"/>
      <c r="AE16" s="69">
        <v>0.5</v>
      </c>
      <c r="AF16" s="392" t="s">
        <v>58</v>
      </c>
      <c r="AG16" s="392" t="s">
        <v>58</v>
      </c>
      <c r="AH16" s="392" t="s">
        <v>581</v>
      </c>
      <c r="AI16" s="392" t="s">
        <v>58</v>
      </c>
      <c r="AJ16" s="396">
        <v>1980</v>
      </c>
      <c r="AK16" s="396">
        <v>2004</v>
      </c>
    </row>
    <row r="17" spans="1:37">
      <c r="A17" s="137"/>
      <c r="B17" s="137" t="s">
        <v>551</v>
      </c>
      <c r="C17" s="332" t="s">
        <v>535</v>
      </c>
      <c r="D17" s="310">
        <v>-151.27195</v>
      </c>
      <c r="E17" s="310">
        <v>60.475163999999999</v>
      </c>
      <c r="F17" s="367">
        <v>-14.994720213600001</v>
      </c>
      <c r="G17" s="367">
        <v>164.154245347</v>
      </c>
      <c r="H17" s="369">
        <v>16.2</v>
      </c>
      <c r="I17" s="310">
        <f t="shared" si="0"/>
        <v>2.6614755707762567</v>
      </c>
      <c r="J17" s="310">
        <f>'[27]Q-d Analysis Selected Sources'!$G$16*(2000*453.59/(8760*3600))</f>
        <v>2.6614755707762567</v>
      </c>
      <c r="K17" s="310">
        <f t="shared" ref="K17" si="15">L17</f>
        <v>5.2930339928970074E-2</v>
      </c>
      <c r="L17" s="310">
        <f>'[27]Q-d Analysis Selected Sources'!$F$16*(2000*453.59/(8760*3600))</f>
        <v>5.2930339928970074E-2</v>
      </c>
      <c r="M17" s="310">
        <f t="shared" ref="M17" si="16">N17</f>
        <v>5.2930339928970074E-2</v>
      </c>
      <c r="N17" s="310">
        <f>'[27]Q-d Analysis Selected Sources'!$I$16*(2000*453.59/(8760*3600))</f>
        <v>5.2930339928970074E-2</v>
      </c>
      <c r="O17" s="310">
        <f t="shared" ref="O17" si="17">Q17</f>
        <v>3.0780143328259769E-2</v>
      </c>
      <c r="P17" s="310">
        <f t="shared" ref="P17" si="18">Q17</f>
        <v>3.0780143328259769E-2</v>
      </c>
      <c r="Q17" s="310">
        <f>'[27]Q-d Analysis Selected Sources'!$H$16*(2000*453.59/(8760*3600))</f>
        <v>3.0780143328259769E-2</v>
      </c>
      <c r="R17" s="310">
        <f>'[27]Q-d Analysis Selected Sources'!$E$16*(2000*453.59/(8760*3600))</f>
        <v>0.90902105530187727</v>
      </c>
      <c r="S17" s="310">
        <f>2*'[27]Q-d Analysis Selected Sources'!$B$15*(2000*453.59/(8760*3600))</f>
        <v>0</v>
      </c>
      <c r="T17" s="310">
        <f>2*'[27]Q-d Analysis Selected Sources'!$C$15*(2000*453.59/(8760*3600))</f>
        <v>0</v>
      </c>
      <c r="U17" s="310">
        <f>2*'[27]Q-d Analysis Selected Sources'!$D$15*(2000*453.59/(8760*3600))</f>
        <v>0</v>
      </c>
      <c r="V17" s="35">
        <v>1</v>
      </c>
      <c r="W17" s="35">
        <f t="shared" si="12"/>
        <v>0</v>
      </c>
      <c r="X17" s="35">
        <f t="shared" si="13"/>
        <v>0</v>
      </c>
      <c r="Y17" s="35">
        <f t="shared" si="14"/>
        <v>0</v>
      </c>
      <c r="Z17" s="35">
        <f t="shared" si="14"/>
        <v>0</v>
      </c>
      <c r="AA17" s="102">
        <v>11</v>
      </c>
      <c r="AB17" s="34">
        <f t="shared" si="8"/>
        <v>2.3255813953488373</v>
      </c>
      <c r="AC17" s="34">
        <f t="shared" ref="AC17" si="19">AA17/4.3</f>
        <v>2.558139534883721</v>
      </c>
      <c r="AD17" s="137"/>
      <c r="AE17" s="69">
        <v>1.5</v>
      </c>
      <c r="AF17" s="392" t="s">
        <v>58</v>
      </c>
      <c r="AG17" s="392" t="s">
        <v>58</v>
      </c>
      <c r="AH17" s="392" t="s">
        <v>581</v>
      </c>
      <c r="AI17" s="392" t="s">
        <v>58</v>
      </c>
      <c r="AJ17" s="396">
        <v>1985</v>
      </c>
      <c r="AK17" s="396">
        <v>2001</v>
      </c>
    </row>
    <row r="18" spans="1:37">
      <c r="A18" s="137"/>
      <c r="B18" s="137" t="s">
        <v>552</v>
      </c>
      <c r="C18" s="332" t="s">
        <v>481</v>
      </c>
      <c r="D18" s="310">
        <v>-151.60579999999999</v>
      </c>
      <c r="E18" s="310">
        <v>60.865200000000002</v>
      </c>
      <c r="F18" s="367">
        <v>-33.072172206700003</v>
      </c>
      <c r="G18" s="367">
        <v>207.87071453499999</v>
      </c>
      <c r="H18" s="369">
        <v>0</v>
      </c>
      <c r="I18" s="310">
        <f t="shared" si="0"/>
        <v>3.715767395991882</v>
      </c>
      <c r="J18" s="310">
        <f>'[27]Q-d Analysis Selected Sources'!$G$21*(2000*453.59/(8760*3600))</f>
        <v>3.715767395991882</v>
      </c>
      <c r="K18" s="310">
        <f t="shared" si="1"/>
        <v>0.14181879122272958</v>
      </c>
      <c r="L18" s="310">
        <f>'[27]Q-d Analysis Selected Sources'!$F$21*(2000*453.59/(8760*3600))</f>
        <v>0.14181879122272958</v>
      </c>
      <c r="M18" s="310">
        <f t="shared" si="2"/>
        <v>0.14181879122272958</v>
      </c>
      <c r="N18" s="310">
        <f>'[27]Q-d Analysis Selected Sources'!$I$21*(2000*453.59/(8760*3600))</f>
        <v>0.14181879122272958</v>
      </c>
      <c r="O18" s="310">
        <f t="shared" si="3"/>
        <v>2.6381747146118726</v>
      </c>
      <c r="P18" s="310">
        <f t="shared" si="4"/>
        <v>2.6381747146118726</v>
      </c>
      <c r="Q18" s="310">
        <f>'[27]Q-d Analysis Selected Sources'!$H$21*(2000*453.59/(8760*3600))</f>
        <v>2.6381747146118726</v>
      </c>
      <c r="R18" s="310">
        <f>'[27]Q-d Analysis Selected Sources'!$E$21*(2000*453.59/(8760*3600))</f>
        <v>1.4371737950279049</v>
      </c>
      <c r="S18" s="310">
        <f>2*'[27]Q-d Analysis Selected Sources'!$B$20*(2000*453.59/(8760*3600))</f>
        <v>0.58069438685438868</v>
      </c>
      <c r="T18" s="310">
        <f>2*'[27]Q-d Analysis Selected Sources'!$C$20*(2000*453.59/(8760*3600))</f>
        <v>0.58069438685438868</v>
      </c>
      <c r="U18" s="310">
        <f>2*'[27]Q-d Analysis Selected Sources'!$D$20*(2000*453.59/(8760*3600))</f>
        <v>0.8737393016286148</v>
      </c>
      <c r="V18" s="35">
        <v>0</v>
      </c>
      <c r="W18" s="35">
        <f t="shared" si="12"/>
        <v>0.58069438685438868</v>
      </c>
      <c r="X18" s="35">
        <f t="shared" si="13"/>
        <v>0.58069438685438868</v>
      </c>
      <c r="Y18" s="35">
        <f t="shared" si="14"/>
        <v>0.8737393016286148</v>
      </c>
      <c r="Z18" s="35">
        <f t="shared" si="14"/>
        <v>0.8737393016286148</v>
      </c>
      <c r="AA18" s="102">
        <v>10</v>
      </c>
      <c r="AB18" s="34">
        <f t="shared" si="8"/>
        <v>2.3255813953488373</v>
      </c>
      <c r="AC18" s="34">
        <f t="shared" si="9"/>
        <v>2.3255813953488373</v>
      </c>
      <c r="AD18" s="137"/>
      <c r="AE18" s="69">
        <v>0.5</v>
      </c>
      <c r="AF18" s="392" t="s">
        <v>58</v>
      </c>
      <c r="AG18" s="392" t="s">
        <v>58</v>
      </c>
      <c r="AH18" s="392" t="s">
        <v>581</v>
      </c>
      <c r="AI18" s="392" t="s">
        <v>58</v>
      </c>
      <c r="AJ18" s="396">
        <v>1967</v>
      </c>
      <c r="AK18" s="396">
        <v>2006</v>
      </c>
    </row>
    <row r="19" spans="1:37">
      <c r="A19" s="137"/>
      <c r="B19" s="137" t="s">
        <v>553</v>
      </c>
      <c r="C19" s="332" t="s">
        <v>536</v>
      </c>
      <c r="D19" s="310">
        <v>-150.07833299999999</v>
      </c>
      <c r="E19" s="310">
        <v>61.427033000000002</v>
      </c>
      <c r="F19" s="367">
        <v>49.5902315716</v>
      </c>
      <c r="G19" s="367">
        <v>271.03396321700001</v>
      </c>
      <c r="H19" s="369">
        <v>42</v>
      </c>
      <c r="I19" s="310">
        <f t="shared" si="0"/>
        <v>6.1816308409436838</v>
      </c>
      <c r="J19" s="310">
        <f>'[27]Q-d Analysis Selected Sources'!$G$22*(2000*453.59/(8760*3600))</f>
        <v>6.1816308409436838</v>
      </c>
      <c r="K19" s="310">
        <f t="shared" ref="K19" si="20">L19</f>
        <v>8.629946727549468E-3</v>
      </c>
      <c r="L19" s="310">
        <f>'[27]Q-d Analysis Selected Sources'!$F$22*(2000*453.59/(8760*3600))</f>
        <v>8.629946727549468E-3</v>
      </c>
      <c r="M19" s="310">
        <f t="shared" ref="M19" si="21">N19</f>
        <v>8.629946727549468E-3</v>
      </c>
      <c r="N19" s="310">
        <f>'[27]Q-d Analysis Selected Sources'!$I$22*(2000*453.59/(8760*3600))</f>
        <v>8.629946727549468E-3</v>
      </c>
      <c r="O19" s="310">
        <f t="shared" ref="O19" si="22">Q19</f>
        <v>0</v>
      </c>
      <c r="P19" s="310">
        <f t="shared" ref="P19" si="23">Q19</f>
        <v>0</v>
      </c>
      <c r="Q19" s="310">
        <f>'[27]Q-d Analysis Selected Sources'!$H$22*(2000*453.59/(8760*3600))</f>
        <v>0</v>
      </c>
      <c r="R19" s="310">
        <f>'[27]Q-d Analysis Selected Sources'!$E$22*(2000*453.59/(8760*3600))</f>
        <v>0.87852857686453578</v>
      </c>
      <c r="S19" s="310">
        <f>2*'[27]Q-d Analysis Selected Sources'!$B$20*(2000*453.59/(8760*3600))</f>
        <v>0.58069438685438868</v>
      </c>
      <c r="T19" s="310">
        <f>2*'[27]Q-d Analysis Selected Sources'!$C$20*(2000*453.59/(8760*3600))</f>
        <v>0.58069438685438868</v>
      </c>
      <c r="U19" s="310">
        <f>2*'[27]Q-d Analysis Selected Sources'!$D$20*(2000*453.59/(8760*3600))</f>
        <v>0.8737393016286148</v>
      </c>
      <c r="V19" s="35">
        <v>1</v>
      </c>
      <c r="W19" s="35">
        <f t="shared" si="12"/>
        <v>0.58069438685438868</v>
      </c>
      <c r="X19" s="35">
        <f t="shared" si="13"/>
        <v>0.58069438685438868</v>
      </c>
      <c r="Y19" s="35">
        <f t="shared" si="14"/>
        <v>0.8737393016286148</v>
      </c>
      <c r="Z19" s="35">
        <f t="shared" si="14"/>
        <v>0.8737393016286148</v>
      </c>
      <c r="AA19" s="102">
        <v>11</v>
      </c>
      <c r="AB19" s="34">
        <f t="shared" si="8"/>
        <v>2.3255813953488373</v>
      </c>
      <c r="AC19" s="34">
        <f t="shared" ref="AC19" si="24">AA19/4.3</f>
        <v>2.558139534883721</v>
      </c>
      <c r="AD19" s="137"/>
      <c r="AE19" s="69">
        <v>1.5</v>
      </c>
      <c r="AF19" s="392" t="s">
        <v>58</v>
      </c>
      <c r="AG19" s="392" t="s">
        <v>58</v>
      </c>
      <c r="AH19" s="392" t="s">
        <v>581</v>
      </c>
      <c r="AI19" s="392" t="s">
        <v>58</v>
      </c>
      <c r="AJ19" s="396">
        <v>1998</v>
      </c>
      <c r="AK19" s="396">
        <v>2006</v>
      </c>
    </row>
    <row r="20" spans="1:37">
      <c r="A20" s="137"/>
      <c r="B20" s="137" t="s">
        <v>554</v>
      </c>
      <c r="C20" s="332" t="s">
        <v>482</v>
      </c>
      <c r="D20" s="310">
        <v>-151.49549999999999</v>
      </c>
      <c r="E20" s="310">
        <v>60.795699999999997</v>
      </c>
      <c r="F20" s="367">
        <v>-27.098844834400001</v>
      </c>
      <c r="G20" s="367">
        <v>200.050292472</v>
      </c>
      <c r="H20" s="369">
        <v>0</v>
      </c>
      <c r="I20" s="310">
        <f t="shared" si="0"/>
        <v>9.1549351534753942</v>
      </c>
      <c r="J20" s="310">
        <f>'[27]Q-d Analysis Selected Sources'!$G$24*(2000*453.59/(8760*3600))</f>
        <v>9.1549351534753942</v>
      </c>
      <c r="K20" s="310">
        <f t="shared" si="1"/>
        <v>0.13972778389713345</v>
      </c>
      <c r="L20" s="310">
        <f>'[27]Q-d Analysis Selected Sources'!$F$24*(2000*453.59/(8760*3600))</f>
        <v>0.13972778389713345</v>
      </c>
      <c r="M20" s="310">
        <f t="shared" si="2"/>
        <v>0.14354478056823949</v>
      </c>
      <c r="N20" s="310">
        <f>'[27]Q-d Analysis Selected Sources'!$I$24*(2000*453.59/(8760*3600))</f>
        <v>0.14354478056823949</v>
      </c>
      <c r="O20" s="310">
        <f t="shared" si="3"/>
        <v>1.003662804414003</v>
      </c>
      <c r="P20" s="310">
        <f t="shared" si="4"/>
        <v>1.003662804414003</v>
      </c>
      <c r="Q20" s="310">
        <f>'[27]Q-d Analysis Selected Sources'!$H$24*(2000*453.59/(8760*3600))</f>
        <v>1.003662804414003</v>
      </c>
      <c r="R20" s="310">
        <f>'[27]Q-d Analysis Selected Sources'!$E$24*(2000*453.59/(8760*3600))</f>
        <v>6.3363945522577376</v>
      </c>
      <c r="S20" s="310">
        <f>2*'[27]Q-d Analysis Selected Sources'!$B$22*(2000*453.59/(8760*3600))</f>
        <v>9.4929414003044141E-3</v>
      </c>
      <c r="T20" s="310">
        <f>2*'[27]Q-d Analysis Selected Sources'!$C$22*(2000*453.59/(8760*3600))</f>
        <v>9.4929414003044141E-3</v>
      </c>
      <c r="U20" s="310">
        <f>2*'[27]Q-d Analysis Selected Sources'!$D$22*(2000*453.59/(8760*3600))</f>
        <v>7.7669520547945211E-3</v>
      </c>
      <c r="V20" s="35">
        <v>0</v>
      </c>
      <c r="W20" s="35">
        <f t="shared" si="12"/>
        <v>9.4929414003044141E-3</v>
      </c>
      <c r="X20" s="35">
        <f t="shared" si="13"/>
        <v>9.4929414003044141E-3</v>
      </c>
      <c r="Y20" s="35">
        <f t="shared" si="14"/>
        <v>7.7669520547945211E-3</v>
      </c>
      <c r="Z20" s="35">
        <f t="shared" si="14"/>
        <v>7.7669520547945211E-3</v>
      </c>
      <c r="AA20" s="102">
        <v>10</v>
      </c>
      <c r="AB20" s="34">
        <f t="shared" si="8"/>
        <v>2.3255813953488373</v>
      </c>
      <c r="AC20" s="34">
        <f t="shared" si="9"/>
        <v>2.3255813953488373</v>
      </c>
      <c r="AD20" s="137"/>
      <c r="AE20" s="69">
        <v>0.5</v>
      </c>
      <c r="AF20" s="297" t="s">
        <v>58</v>
      </c>
      <c r="AG20" s="297" t="s">
        <v>58</v>
      </c>
      <c r="AH20" s="297" t="s">
        <v>58</v>
      </c>
      <c r="AI20" s="297" t="s">
        <v>58</v>
      </c>
      <c r="AJ20" s="396">
        <v>1965</v>
      </c>
      <c r="AK20" s="396">
        <v>2013</v>
      </c>
    </row>
    <row r="21" spans="1:37">
      <c r="A21" s="137"/>
      <c r="B21" s="137" t="s">
        <v>555</v>
      </c>
      <c r="C21" s="332" t="s">
        <v>483</v>
      </c>
      <c r="D21" s="310">
        <v>-151.50229999999999</v>
      </c>
      <c r="E21" s="310">
        <v>60.7639</v>
      </c>
      <c r="F21" s="367">
        <v>-27.493056683100001</v>
      </c>
      <c r="G21" s="367">
        <v>196.49433740200001</v>
      </c>
      <c r="H21" s="369">
        <v>0</v>
      </c>
      <c r="I21" s="310">
        <f t="shared" si="0"/>
        <v>9.8807136732623029</v>
      </c>
      <c r="J21" s="310">
        <f>'[27]Q-d Analysis Selected Sources'!$G$25*(2000*453.59/(8760*3600))</f>
        <v>9.8807136732623029</v>
      </c>
      <c r="K21" s="310">
        <f t="shared" si="1"/>
        <v>0.11831749016235416</v>
      </c>
      <c r="L21" s="310">
        <f>'[27]Q-d Analysis Selected Sources'!$F$25*(2000*453.59/(8760*3600))</f>
        <v>0.11831749016235416</v>
      </c>
      <c r="M21" s="310">
        <f t="shared" si="2"/>
        <v>0.12081925418569256</v>
      </c>
      <c r="N21" s="310">
        <f>'[27]Q-d Analysis Selected Sources'!$I$25*(2000*453.59/(8760*3600))</f>
        <v>0.12081925418569256</v>
      </c>
      <c r="O21" s="310">
        <f t="shared" si="3"/>
        <v>0.24681647640791474</v>
      </c>
      <c r="P21" s="310">
        <f t="shared" si="4"/>
        <v>0.24681647640791474</v>
      </c>
      <c r="Q21" s="310">
        <f>'[27]Q-d Analysis Selected Sources'!$H$25*(2000*453.59/(8760*3600))</f>
        <v>0.24681647640791474</v>
      </c>
      <c r="R21" s="310">
        <f>'[27]Q-d Analysis Selected Sources'!$E$25*(2000*453.59/(8760*3600))</f>
        <v>10.055038597158802</v>
      </c>
      <c r="S21" s="310">
        <f>2*'[27]Q-d Analysis Selected Sources'!$B$23*(2000*453.59/(8760*3600))</f>
        <v>0.37971765601217655</v>
      </c>
      <c r="T21" s="310">
        <f>2*'[27]Q-d Analysis Selected Sources'!$C$23*(2000*453.59/(8760*3600))</f>
        <v>0.37971765601217655</v>
      </c>
      <c r="U21" s="310">
        <f>2*'[27]Q-d Analysis Selected Sources'!$D$23*(2000*453.59/(8760*3600))</f>
        <v>0.31067808219178084</v>
      </c>
      <c r="V21" s="35">
        <v>0</v>
      </c>
      <c r="W21" s="35">
        <f t="shared" si="12"/>
        <v>0.37971765601217655</v>
      </c>
      <c r="X21" s="35">
        <f t="shared" si="13"/>
        <v>0.37971765601217655</v>
      </c>
      <c r="Y21" s="35">
        <f t="shared" si="14"/>
        <v>0.31067808219178084</v>
      </c>
      <c r="Z21" s="35">
        <f t="shared" si="14"/>
        <v>0.31067808219178084</v>
      </c>
      <c r="AA21" s="102">
        <v>10</v>
      </c>
      <c r="AB21" s="34">
        <f t="shared" si="8"/>
        <v>2.3255813953488373</v>
      </c>
      <c r="AC21" s="34">
        <f t="shared" si="9"/>
        <v>2.3255813953488373</v>
      </c>
      <c r="AD21" s="137"/>
      <c r="AE21" s="69">
        <v>0.5</v>
      </c>
      <c r="AF21" s="297" t="s">
        <v>58</v>
      </c>
      <c r="AG21" s="297" t="s">
        <v>58</v>
      </c>
      <c r="AH21" s="297" t="s">
        <v>58</v>
      </c>
      <c r="AI21" s="297" t="s">
        <v>58</v>
      </c>
      <c r="AJ21" s="396">
        <v>1967</v>
      </c>
      <c r="AK21" s="396">
        <v>2013</v>
      </c>
    </row>
    <row r="22" spans="1:37">
      <c r="A22" s="137"/>
      <c r="B22" s="137" t="s">
        <v>556</v>
      </c>
      <c r="C22" s="332" t="s">
        <v>484</v>
      </c>
      <c r="D22" s="310">
        <v>-151.6</v>
      </c>
      <c r="E22" s="310">
        <v>60.830500000000001</v>
      </c>
      <c r="F22" s="367">
        <v>-32.784652432199998</v>
      </c>
      <c r="G22" s="367">
        <v>203.98406778200001</v>
      </c>
      <c r="H22" s="369">
        <v>0</v>
      </c>
      <c r="I22" s="310">
        <f t="shared" si="0"/>
        <v>5.2372270040588536</v>
      </c>
      <c r="J22" s="310">
        <f>'[27]Q-d Analysis Selected Sources'!$G$26*(2000*453.59/(8760*3600))</f>
        <v>5.2372270040588536</v>
      </c>
      <c r="K22" s="310">
        <f t="shared" si="1"/>
        <v>0.23272089675291729</v>
      </c>
      <c r="L22" s="310">
        <f>'[27]Q-d Analysis Selected Sources'!$F$26*(2000*453.59/(8760*3600))</f>
        <v>0.23272089675291729</v>
      </c>
      <c r="M22" s="310">
        <f t="shared" si="2"/>
        <v>0.23272089675291729</v>
      </c>
      <c r="N22" s="310">
        <f>'[27]Q-d Analysis Selected Sources'!$I$26*(2000*453.59/(8760*3600))</f>
        <v>0.23272089675291729</v>
      </c>
      <c r="O22" s="310">
        <f t="shared" si="3"/>
        <v>1.3232584982242517E-2</v>
      </c>
      <c r="P22" s="310">
        <f t="shared" si="4"/>
        <v>1.3232584982242517E-2</v>
      </c>
      <c r="Q22" s="310">
        <f>'[27]Q-d Analysis Selected Sources'!$H$26*(2000*453.59/(8760*3600))</f>
        <v>1.3232584982242517E-2</v>
      </c>
      <c r="R22" s="310">
        <f>'[27]Q-d Analysis Selected Sources'!$E$26*(2000*453.59/(8760*3600))</f>
        <v>1.5841705542871638</v>
      </c>
      <c r="S22" s="310">
        <f>2*'[27]Q-d Analysis Selected Sources'!$B$24*(2000*453.59/(8760*3600))</f>
        <v>0.1145086344076611</v>
      </c>
      <c r="T22" s="310">
        <f>2*'[27]Q-d Analysis Selected Sources'!$C$24*(2000*453.59/(8760*3600))</f>
        <v>0.12214251268391679</v>
      </c>
      <c r="U22" s="310">
        <f>2*'[27]Q-d Analysis Selected Sources'!$D$24*(2000*453.59/(8760*3600))</f>
        <v>9.9934783105022837E-2</v>
      </c>
      <c r="V22" s="35">
        <v>0</v>
      </c>
      <c r="W22" s="35">
        <f t="shared" si="12"/>
        <v>0.1145086344076611</v>
      </c>
      <c r="X22" s="35">
        <f t="shared" si="13"/>
        <v>0.12214251268391679</v>
      </c>
      <c r="Y22" s="35">
        <f t="shared" si="14"/>
        <v>9.9934783105022837E-2</v>
      </c>
      <c r="Z22" s="35">
        <f t="shared" si="14"/>
        <v>9.9934783105022837E-2</v>
      </c>
      <c r="AA22" s="102">
        <v>10</v>
      </c>
      <c r="AB22" s="34">
        <f t="shared" si="8"/>
        <v>2.3255813953488373</v>
      </c>
      <c r="AC22" s="34">
        <f t="shared" si="9"/>
        <v>2.3255813953488373</v>
      </c>
      <c r="AD22" s="137"/>
      <c r="AE22" s="69">
        <v>0.5</v>
      </c>
      <c r="AF22" s="392" t="s">
        <v>58</v>
      </c>
      <c r="AG22" s="392" t="s">
        <v>58</v>
      </c>
      <c r="AH22" s="392" t="s">
        <v>581</v>
      </c>
      <c r="AI22" s="392" t="s">
        <v>58</v>
      </c>
      <c r="AJ22" s="396">
        <v>1986</v>
      </c>
      <c r="AK22" s="396">
        <v>2009</v>
      </c>
    </row>
    <row r="23" spans="1:37">
      <c r="A23" s="137"/>
      <c r="B23" s="137" t="s">
        <v>557</v>
      </c>
      <c r="C23" s="332" t="s">
        <v>485</v>
      </c>
      <c r="D23" s="310">
        <v>-150.86046099999999</v>
      </c>
      <c r="E23" s="310">
        <v>60.729194999999997</v>
      </c>
      <c r="F23" s="367">
        <v>7.6443879797100003</v>
      </c>
      <c r="G23" s="367">
        <v>192.53208871000001</v>
      </c>
      <c r="H23" s="369">
        <v>44</v>
      </c>
      <c r="I23" s="310">
        <f t="shared" si="0"/>
        <v>30.818115093860978</v>
      </c>
      <c r="J23" s="310">
        <f>'[27]Q-d Analysis Selected Sources'!$G$27*(2000*453.59/(8760*3600))</f>
        <v>30.818115093860978</v>
      </c>
      <c r="K23" s="310">
        <f t="shared" si="1"/>
        <v>0.48171030744736171</v>
      </c>
      <c r="L23" s="310">
        <f>'[27]Q-d Analysis Selected Sources'!$F$27*(2000*453.59/(8760*3600))</f>
        <v>0.48171030744736171</v>
      </c>
      <c r="M23" s="310">
        <f t="shared" si="2"/>
        <v>0.4841400114155251</v>
      </c>
      <c r="N23" s="310">
        <f>'[27]Q-d Analysis Selected Sources'!$I$27*(2000*453.59/(8760*3600))</f>
        <v>0.4841400114155251</v>
      </c>
      <c r="O23" s="310">
        <f t="shared" si="3"/>
        <v>2.0136542364282092E-3</v>
      </c>
      <c r="P23" s="310">
        <f t="shared" si="4"/>
        <v>2.0136542364282092E-3</v>
      </c>
      <c r="Q23" s="310">
        <f>'[27]Q-d Analysis Selected Sources'!$H$27*(2000*453.59/(8760*3600))</f>
        <v>2.0136542364282092E-3</v>
      </c>
      <c r="R23" s="310">
        <f>'[27]Q-d Analysis Selected Sources'!$E$27*(2000*453.59/(8760*3600))</f>
        <v>5.7757356798579416</v>
      </c>
      <c r="S23" s="310">
        <f>2*'[27]Q-d Analysis Selected Sources'!$B$25*(2000*453.59/(8760*3600))</f>
        <v>7.505355356291224E-2</v>
      </c>
      <c r="T23" s="310">
        <f>2*'[27]Q-d Analysis Selected Sources'!$C$25*(2000*453.59/(8760*3600))</f>
        <v>8.0057139142567221E-2</v>
      </c>
      <c r="U23" s="310">
        <f>2*'[27]Q-d Analysis Selected Sources'!$D$25*(2000*453.59/(8760*3600))</f>
        <v>6.5501295662100459E-2</v>
      </c>
      <c r="V23" s="35">
        <v>0</v>
      </c>
      <c r="W23" s="35">
        <f t="shared" si="12"/>
        <v>7.505355356291224E-2</v>
      </c>
      <c r="X23" s="35">
        <f t="shared" si="13"/>
        <v>8.0057139142567221E-2</v>
      </c>
      <c r="Y23" s="35">
        <f t="shared" si="14"/>
        <v>6.5501295662100459E-2</v>
      </c>
      <c r="Z23" s="35">
        <f t="shared" si="14"/>
        <v>6.5501295662100459E-2</v>
      </c>
      <c r="AA23" s="102">
        <v>10</v>
      </c>
      <c r="AB23" s="34">
        <f t="shared" si="8"/>
        <v>2.3255813953488373</v>
      </c>
      <c r="AC23" s="34">
        <f t="shared" si="9"/>
        <v>2.3255813953488373</v>
      </c>
      <c r="AD23" s="137"/>
      <c r="AE23" s="69">
        <v>0.5</v>
      </c>
      <c r="AF23" s="392" t="s">
        <v>58</v>
      </c>
      <c r="AG23" s="392" t="s">
        <v>58</v>
      </c>
      <c r="AH23" s="392" t="s">
        <v>581</v>
      </c>
      <c r="AI23" s="392" t="s">
        <v>58</v>
      </c>
      <c r="AJ23" s="69">
        <v>1962</v>
      </c>
      <c r="AK23" s="69">
        <v>2007</v>
      </c>
    </row>
    <row r="24" spans="1:37" ht="11.25" customHeight="1">
      <c r="A24" s="137"/>
      <c r="B24" s="137" t="s">
        <v>560</v>
      </c>
      <c r="C24" s="487" t="s">
        <v>492</v>
      </c>
      <c r="D24" s="310">
        <v>-150.0249</v>
      </c>
      <c r="E24" s="310">
        <v>61.183500000000002</v>
      </c>
      <c r="F24" s="367">
        <v>52.797980743399997</v>
      </c>
      <c r="G24" s="367">
        <v>243.73488748599999</v>
      </c>
      <c r="H24" s="369">
        <v>26.5</v>
      </c>
      <c r="I24" s="310">
        <f t="shared" si="0"/>
        <v>65.440999835238401</v>
      </c>
      <c r="J24" s="310">
        <f>'[27]Q-d Analysis Selected Sources'!$G$28*(2000*453.59/(8760*3600))</f>
        <v>65.440999835238401</v>
      </c>
      <c r="K24" s="310">
        <f t="shared" si="1"/>
        <v>1.7110941437576104</v>
      </c>
      <c r="L24" s="310">
        <f>'[27]Q-d Analysis Selected Sources'!$F$28*(2000*453.59/(8760*3600))</f>
        <v>1.7110941437576104</v>
      </c>
      <c r="M24" s="310">
        <f t="shared" si="2"/>
        <v>1.7697119350114157</v>
      </c>
      <c r="N24" s="310">
        <f>'[27]Q-d Analysis Selected Sources'!$I$28*(2000*453.59/(8760*3600))</f>
        <v>1.7697119350114157</v>
      </c>
      <c r="O24" s="310">
        <f t="shared" si="3"/>
        <v>6.2592148099530709</v>
      </c>
      <c r="P24" s="310">
        <f t="shared" si="4"/>
        <v>6.2592148099530709</v>
      </c>
      <c r="Q24" s="310">
        <f>'[27]Q-d Analysis Selected Sources'!$H$28*(2000*453.59/(8760*3600))</f>
        <v>6.2592148099530709</v>
      </c>
      <c r="R24" s="310">
        <f>'[27]Q-d Analysis Selected Sources'!E28*(2000*453.59/(8760*3600))</f>
        <v>113.67990099737885</v>
      </c>
      <c r="S24" s="308"/>
      <c r="T24" s="308"/>
      <c r="U24" s="308"/>
      <c r="V24" s="35">
        <v>0</v>
      </c>
      <c r="W24" s="35">
        <f>SUM(W25:W28)</f>
        <v>0.68485779650875789</v>
      </c>
      <c r="X24" s="35">
        <f t="shared" ref="X24:Z24" si="25">SUM(X25:X28)</f>
        <v>0.74234268415813243</v>
      </c>
      <c r="Y24" s="35">
        <f t="shared" si="25"/>
        <v>1.0262363472488525</v>
      </c>
      <c r="Z24" s="35">
        <f t="shared" si="25"/>
        <v>1.0273692508532832</v>
      </c>
      <c r="AA24" s="102">
        <v>10</v>
      </c>
      <c r="AB24" s="34">
        <f t="shared" si="8"/>
        <v>2.3255813953488373</v>
      </c>
      <c r="AC24" s="34">
        <f t="shared" si="9"/>
        <v>2.3255813953488373</v>
      </c>
      <c r="AD24" s="137"/>
      <c r="AE24" s="69">
        <v>0.5</v>
      </c>
      <c r="AF24" s="69" t="s">
        <v>58</v>
      </c>
      <c r="AG24" s="69" t="s">
        <v>58</v>
      </c>
      <c r="AH24" s="69" t="s">
        <v>58</v>
      </c>
      <c r="AI24" s="69" t="s">
        <v>58</v>
      </c>
      <c r="AJ24" s="137"/>
      <c r="AK24" s="137"/>
    </row>
    <row r="25" spans="1:37" ht="11.25" hidden="1" customHeight="1">
      <c r="A25" s="137"/>
      <c r="B25" s="137"/>
      <c r="C25" s="488"/>
      <c r="D25" s="308"/>
      <c r="E25" s="308"/>
      <c r="F25" s="368"/>
      <c r="G25" s="368"/>
      <c r="H25" s="370"/>
      <c r="I25" s="308"/>
      <c r="J25" s="308"/>
      <c r="K25" s="308">
        <f>$K$24*0.25</f>
        <v>0.42777353593940259</v>
      </c>
      <c r="L25" s="308">
        <f>$L$24*0.25</f>
        <v>0.42777353593940259</v>
      </c>
      <c r="M25" s="308">
        <f>$M$24*0.25</f>
        <v>0.44242798375285391</v>
      </c>
      <c r="N25" s="308">
        <f>$N$24*0.25</f>
        <v>0.44242798375285391</v>
      </c>
      <c r="O25" s="308"/>
      <c r="P25" s="308"/>
      <c r="Q25" s="308"/>
      <c r="R25" s="308"/>
      <c r="S25" s="308"/>
      <c r="T25" s="308"/>
      <c r="U25" s="308"/>
      <c r="V25" s="357"/>
      <c r="W25" s="357">
        <f>K25*$D$45</f>
        <v>4.2691798886752376E-2</v>
      </c>
      <c r="X25" s="357">
        <f>M25*$F$45</f>
        <v>4.7995737990267351E-2</v>
      </c>
      <c r="Y25" s="357">
        <f>K25*$E$45</f>
        <v>0.3850817370526502</v>
      </c>
      <c r="Z25" s="357">
        <f>M25*$G$45</f>
        <v>0.39443224576258656</v>
      </c>
      <c r="AA25" s="181"/>
      <c r="AB25" s="308"/>
      <c r="AC25" s="308"/>
      <c r="AD25" s="356"/>
      <c r="AE25" s="182"/>
      <c r="AF25" s="137"/>
      <c r="AG25" s="137"/>
      <c r="AH25" s="137"/>
      <c r="AI25" s="137"/>
      <c r="AJ25" s="137"/>
      <c r="AK25" s="137"/>
    </row>
    <row r="26" spans="1:37" ht="11.25" hidden="1" customHeight="1">
      <c r="A26" s="137"/>
      <c r="B26" s="137"/>
      <c r="C26" s="488"/>
      <c r="D26" s="308"/>
      <c r="E26" s="308"/>
      <c r="F26" s="368"/>
      <c r="G26" s="368"/>
      <c r="H26" s="370"/>
      <c r="I26" s="308"/>
      <c r="J26" s="308"/>
      <c r="K26" s="308">
        <f t="shared" ref="K26:K28" si="26">$K$24*0.25</f>
        <v>0.42777353593940259</v>
      </c>
      <c r="L26" s="308">
        <f>$L$24*0.25</f>
        <v>0.42777353593940259</v>
      </c>
      <c r="M26" s="308">
        <f t="shared" ref="M26:M27" si="27">$M$24*0.25</f>
        <v>0.44242798375285391</v>
      </c>
      <c r="N26" s="308">
        <f t="shared" ref="N26:N28" si="28">$N$24*0.25</f>
        <v>0.44242798375285391</v>
      </c>
      <c r="O26" s="308"/>
      <c r="P26" s="308"/>
      <c r="Q26" s="308"/>
      <c r="R26" s="308"/>
      <c r="S26" s="308"/>
      <c r="T26" s="308"/>
      <c r="U26" s="308"/>
      <c r="V26" s="357"/>
      <c r="W26" s="357">
        <f>K26*$D$46</f>
        <v>0.36853151747297452</v>
      </c>
      <c r="X26" s="357">
        <f>M26*$F$46</f>
        <v>0.38297431054348263</v>
      </c>
      <c r="Y26" s="357">
        <f>K26*$E$46</f>
        <v>5.9242018466428056E-2</v>
      </c>
      <c r="Z26" s="357">
        <f>M26*$G$46</f>
        <v>5.9453673209371304E-2</v>
      </c>
      <c r="AA26" s="181"/>
      <c r="AB26" s="308"/>
      <c r="AC26" s="308"/>
      <c r="AD26" s="356"/>
      <c r="AE26" s="182"/>
      <c r="AF26" s="137"/>
      <c r="AG26" s="137"/>
      <c r="AH26" s="137"/>
      <c r="AI26" s="137"/>
      <c r="AJ26" s="137"/>
      <c r="AK26" s="137"/>
    </row>
    <row r="27" spans="1:37" hidden="1">
      <c r="A27" s="137"/>
      <c r="B27" s="137"/>
      <c r="C27" s="488"/>
      <c r="D27" s="308"/>
      <c r="E27" s="308"/>
      <c r="F27" s="368"/>
      <c r="G27" s="368"/>
      <c r="H27" s="371"/>
      <c r="I27" s="308"/>
      <c r="J27" s="308"/>
      <c r="K27" s="308">
        <f t="shared" si="26"/>
        <v>0.42777353593940259</v>
      </c>
      <c r="L27" s="308">
        <f>$L$24*0.25</f>
        <v>0.42777353593940259</v>
      </c>
      <c r="M27" s="308">
        <f t="shared" si="27"/>
        <v>0.44242798375285391</v>
      </c>
      <c r="N27" s="308">
        <f t="shared" si="28"/>
        <v>0.44242798375285391</v>
      </c>
      <c r="O27" s="308"/>
      <c r="P27" s="308"/>
      <c r="Q27" s="308"/>
      <c r="R27" s="308"/>
      <c r="S27" s="308"/>
      <c r="T27" s="308"/>
      <c r="U27" s="308"/>
      <c r="V27" s="357"/>
      <c r="W27" s="357">
        <f>K27*$D$47</f>
        <v>0.10694338398485065</v>
      </c>
      <c r="X27" s="357">
        <f>M27*$F$47</f>
        <v>0.11060699593821348</v>
      </c>
      <c r="Y27" s="357">
        <f>K27*$E$47</f>
        <v>0.320830151954552</v>
      </c>
      <c r="Z27" s="357">
        <f>M27*$G$47</f>
        <v>0.33182098781464048</v>
      </c>
      <c r="AA27" s="181"/>
      <c r="AB27" s="308"/>
      <c r="AC27" s="308"/>
      <c r="AD27" s="356"/>
      <c r="AE27" s="182"/>
      <c r="AF27" s="137"/>
      <c r="AG27" s="137"/>
      <c r="AH27" s="137"/>
      <c r="AI27" s="137"/>
      <c r="AJ27" s="137"/>
      <c r="AK27" s="137"/>
    </row>
    <row r="28" spans="1:37" hidden="1">
      <c r="A28" s="137"/>
      <c r="B28" s="137"/>
      <c r="C28" s="489"/>
      <c r="D28" s="308"/>
      <c r="E28" s="308"/>
      <c r="F28" s="368"/>
      <c r="G28" s="368"/>
      <c r="H28" s="371"/>
      <c r="I28" s="308"/>
      <c r="J28" s="308"/>
      <c r="K28" s="308">
        <f t="shared" si="26"/>
        <v>0.42777353593940259</v>
      </c>
      <c r="L28" s="308">
        <f>$L$24*0.25</f>
        <v>0.42777353593940259</v>
      </c>
      <c r="M28" s="308">
        <f>$M$24*0.25</f>
        <v>0.44242798375285391</v>
      </c>
      <c r="N28" s="308">
        <f t="shared" si="28"/>
        <v>0.44242798375285391</v>
      </c>
      <c r="O28" s="308"/>
      <c r="P28" s="308"/>
      <c r="Q28" s="308"/>
      <c r="R28" s="308"/>
      <c r="S28" s="308"/>
      <c r="T28" s="308"/>
      <c r="U28" s="308"/>
      <c r="V28" s="357"/>
      <c r="W28" s="357">
        <f>K28*$D$48</f>
        <v>0.16669109616418037</v>
      </c>
      <c r="X28" s="357">
        <f>M28*$F$48</f>
        <v>0.20076563968616903</v>
      </c>
      <c r="Y28" s="357">
        <f>K28*$E$48</f>
        <v>0.26108243977522227</v>
      </c>
      <c r="Z28" s="357">
        <f>M28*$G$48</f>
        <v>0.24166234406668494</v>
      </c>
      <c r="AA28" s="181"/>
      <c r="AB28" s="308"/>
      <c r="AC28" s="308"/>
      <c r="AD28" s="356"/>
      <c r="AE28" s="182"/>
      <c r="AF28" s="137"/>
      <c r="AG28" s="137"/>
      <c r="AH28" s="137"/>
      <c r="AI28" s="137"/>
      <c r="AJ28" s="137"/>
      <c r="AK28" s="137"/>
    </row>
    <row r="29" spans="1:37">
      <c r="A29" s="137"/>
      <c r="B29" s="137" t="s">
        <v>558</v>
      </c>
      <c r="C29" s="332" t="s">
        <v>486</v>
      </c>
      <c r="D29" s="310">
        <v>-150.94800000000001</v>
      </c>
      <c r="E29" s="310">
        <v>61.07</v>
      </c>
      <c r="F29" s="367">
        <v>2.8239388560299998</v>
      </c>
      <c r="G29" s="367">
        <v>230.68812899599999</v>
      </c>
      <c r="H29" s="371">
        <v>0</v>
      </c>
      <c r="I29" s="310">
        <f t="shared" si="0"/>
        <v>4.373657001522071</v>
      </c>
      <c r="J29" s="310">
        <f>'[27]Q-d Analysis Selected Sources'!$G$29*(2000*453.59/(8760*3600))</f>
        <v>4.373657001522071</v>
      </c>
      <c r="K29" s="310">
        <f t="shared" si="1"/>
        <v>9.0179261192288196E-2</v>
      </c>
      <c r="L29" s="310">
        <f>'[27]Q-d Analysis Selected Sources'!$F$29*(2000*453.59/(8760*3600))</f>
        <v>9.0179261192288196E-2</v>
      </c>
      <c r="M29" s="310">
        <f t="shared" si="2"/>
        <v>9.0326775748351101E-2</v>
      </c>
      <c r="N29" s="310">
        <f>'[27]Q-d Analysis Selected Sources'!$I$29*(2000*453.59/(8760*3600))</f>
        <v>9.0326775748351101E-2</v>
      </c>
      <c r="O29" s="310">
        <f t="shared" si="3"/>
        <v>4.6026382546930497E-3</v>
      </c>
      <c r="P29" s="310">
        <f t="shared" si="4"/>
        <v>4.6026382546930497E-3</v>
      </c>
      <c r="Q29" s="310">
        <f>'[27]Q-d Analysis Selected Sources'!$H$29*(2000*453.59/(8760*3600))</f>
        <v>4.6026382546930497E-3</v>
      </c>
      <c r="R29" s="310">
        <f>'[27]Q-d Analysis Selected Sources'!$E$29*(2000*453.59/(8760*3600))</f>
        <v>3.1108081303906658</v>
      </c>
      <c r="S29" s="310">
        <f>2*'[27]Q-d Analysis Selected Sources'!$B$27*(2000*453.59/(8760*3600))</f>
        <v>0.5387079125025368</v>
      </c>
      <c r="T29" s="310">
        <f>2*'[27]Q-d Analysis Selected Sources'!$C$27*(2000*453.59/(8760*3600))</f>
        <v>0.54356732043886347</v>
      </c>
      <c r="U29" s="310">
        <f>2*'[27]Q-d Analysis Selected Sources'!$D$27*(2000*453.59/(8760*3600))</f>
        <v>0.42471270239218673</v>
      </c>
      <c r="V29" s="35">
        <v>0</v>
      </c>
      <c r="W29" s="35">
        <f>$S29</f>
        <v>0.5387079125025368</v>
      </c>
      <c r="X29" s="35">
        <f>$T29</f>
        <v>0.54356732043886347</v>
      </c>
      <c r="Y29" s="35">
        <f>$U29</f>
        <v>0.42471270239218673</v>
      </c>
      <c r="Z29" s="35">
        <f>$U29</f>
        <v>0.42471270239218673</v>
      </c>
      <c r="AA29" s="102">
        <v>10</v>
      </c>
      <c r="AB29" s="34">
        <f t="shared" si="8"/>
        <v>2.3255813953488373</v>
      </c>
      <c r="AC29" s="34">
        <f t="shared" si="9"/>
        <v>2.3255813953488373</v>
      </c>
      <c r="AD29" s="137"/>
      <c r="AE29" s="69">
        <v>0.5</v>
      </c>
      <c r="AF29" s="392" t="s">
        <v>58</v>
      </c>
      <c r="AG29" s="392" t="s">
        <v>58</v>
      </c>
      <c r="AH29" s="392" t="s">
        <v>581</v>
      </c>
      <c r="AI29" s="392" t="s">
        <v>58</v>
      </c>
      <c r="AJ29" s="69">
        <v>1968</v>
      </c>
      <c r="AK29" s="69">
        <v>2002</v>
      </c>
    </row>
    <row r="30" spans="1:37">
      <c r="A30" s="137"/>
      <c r="B30" s="388" t="s">
        <v>559</v>
      </c>
      <c r="C30" s="332" t="s">
        <v>493</v>
      </c>
      <c r="D30" s="310">
        <v>-146.35329999999999</v>
      </c>
      <c r="E30" s="310">
        <v>61.135199999999998</v>
      </c>
      <c r="F30" s="367">
        <v>251.78043745100001</v>
      </c>
      <c r="G30" s="367">
        <v>245.30554309199999</v>
      </c>
      <c r="H30" s="371">
        <v>106.4</v>
      </c>
      <c r="I30" s="310">
        <f t="shared" si="0"/>
        <v>4.0316234462201921</v>
      </c>
      <c r="J30" s="310">
        <f>'[27]Q-d Analysis Selected Sources'!$G$30*(2000*453.59/(8760*3600))</f>
        <v>4.0316234462201921</v>
      </c>
      <c r="K30" s="310">
        <f t="shared" si="1"/>
        <v>9.8610632845636745E-2</v>
      </c>
      <c r="L30" s="310">
        <f>'[27]Q-d Analysis Selected Sources'!$F$30*(2000*453.59/(8760*3600))</f>
        <v>9.8610632845636745E-2</v>
      </c>
      <c r="M30" s="310">
        <f t="shared" si="2"/>
        <v>0.10097037671232877</v>
      </c>
      <c r="N30" s="310">
        <f>'[27]Q-d Analysis Selected Sources'!$I$30*(2000*453.59/(8760*3600))</f>
        <v>0.10097037671232877</v>
      </c>
      <c r="O30" s="310">
        <f t="shared" si="3"/>
        <v>0.64149270674784364</v>
      </c>
      <c r="P30" s="310">
        <f t="shared" si="4"/>
        <v>0.64149270674784364</v>
      </c>
      <c r="Q30" s="310">
        <f>'[27]Q-d Analysis Selected Sources'!$H$30*(2000*453.59/(8760*3600))</f>
        <v>0.64149270674784364</v>
      </c>
      <c r="R30" s="310">
        <f>'[27]Q-d Analysis Selected Sources'!$E$30*(2000*453.59/(8760*3600))</f>
        <v>1.1003182077625571</v>
      </c>
      <c r="S30" s="310">
        <f>2*'[27]Q-d Analysis Selected Sources'!$B$28*(2000*453.59/(8760*3600))</f>
        <v>0</v>
      </c>
      <c r="T30" s="310">
        <f>2*'[27]Q-d Analysis Selected Sources'!$C$28*(2000*453.59/(8760*3600))</f>
        <v>0</v>
      </c>
      <c r="U30" s="310">
        <f>2*'[27]Q-d Analysis Selected Sources'!$D$28*(2000*453.59/(8760*3600))</f>
        <v>0</v>
      </c>
      <c r="V30" s="35">
        <v>0</v>
      </c>
      <c r="W30" s="35">
        <f>$S30</f>
        <v>0</v>
      </c>
      <c r="X30" s="35">
        <f>$T30</f>
        <v>0</v>
      </c>
      <c r="Y30" s="35">
        <f>$U30</f>
        <v>0</v>
      </c>
      <c r="Z30" s="35">
        <f>$U30</f>
        <v>0</v>
      </c>
      <c r="AA30" s="102">
        <v>10</v>
      </c>
      <c r="AB30" s="34">
        <f t="shared" si="8"/>
        <v>2.3255813953488373</v>
      </c>
      <c r="AC30" s="34">
        <f t="shared" si="9"/>
        <v>2.3255813953488373</v>
      </c>
      <c r="AD30" s="137"/>
      <c r="AE30" s="69">
        <v>0.5</v>
      </c>
      <c r="AF30" s="392" t="s">
        <v>581</v>
      </c>
      <c r="AG30" s="392" t="s">
        <v>581</v>
      </c>
      <c r="AH30" s="392" t="s">
        <v>581</v>
      </c>
      <c r="AI30" s="392" t="s">
        <v>581</v>
      </c>
      <c r="AJ30" s="396">
        <v>1966</v>
      </c>
      <c r="AK30" s="396">
        <v>1976</v>
      </c>
    </row>
    <row r="31" spans="1:37">
      <c r="A31" s="147"/>
      <c r="B31" s="75"/>
      <c r="C31" s="381" t="s">
        <v>565</v>
      </c>
      <c r="D31" s="125"/>
      <c r="E31" s="125"/>
      <c r="F31" s="375"/>
      <c r="G31" s="375"/>
      <c r="H31" s="384"/>
      <c r="I31" s="125"/>
      <c r="J31" s="125"/>
      <c r="K31" s="125"/>
      <c r="L31" s="125"/>
      <c r="M31" s="125"/>
      <c r="N31" s="125"/>
      <c r="O31" s="125"/>
      <c r="P31" s="125"/>
      <c r="Q31" s="125"/>
      <c r="R31" s="125"/>
      <c r="S31" s="125"/>
      <c r="T31" s="125"/>
      <c r="U31" s="125"/>
      <c r="V31" s="376"/>
      <c r="W31" s="376"/>
      <c r="X31" s="376"/>
      <c r="Y31" s="376"/>
      <c r="Z31" s="376"/>
      <c r="AA31" s="377"/>
      <c r="AB31" s="162"/>
      <c r="AC31" s="162"/>
      <c r="AD31" s="75"/>
      <c r="AE31" s="82"/>
    </row>
    <row r="32" spans="1:37">
      <c r="A32" s="147"/>
      <c r="B32" s="75"/>
      <c r="C32" s="374"/>
      <c r="D32" s="125"/>
      <c r="E32" s="125"/>
      <c r="F32" s="375"/>
      <c r="G32" s="375"/>
      <c r="H32" s="384"/>
      <c r="I32" s="125"/>
      <c r="J32" s="125"/>
      <c r="K32" s="125"/>
      <c r="L32" s="125"/>
      <c r="M32" s="125"/>
      <c r="N32" s="125"/>
      <c r="O32" s="125"/>
      <c r="P32" s="125"/>
      <c r="Q32" s="125"/>
      <c r="R32" s="125"/>
      <c r="S32" s="125"/>
      <c r="T32" s="125"/>
      <c r="U32" s="125"/>
      <c r="V32" s="376"/>
      <c r="W32" s="376"/>
      <c r="X32" s="376"/>
      <c r="Y32" s="376"/>
      <c r="Z32" s="376"/>
      <c r="AA32" s="377"/>
      <c r="AB32" s="162"/>
      <c r="AC32" s="162"/>
      <c r="AD32" s="75"/>
      <c r="AE32" s="82"/>
    </row>
    <row r="33" spans="1:29">
      <c r="A33" s="88" t="s">
        <v>248</v>
      </c>
      <c r="B33" s="334"/>
      <c r="C33" s="75"/>
      <c r="D33" s="75"/>
      <c r="E33" s="74"/>
      <c r="F33" s="74"/>
      <c r="G33" s="74"/>
      <c r="H33" s="67"/>
      <c r="I33" s="73"/>
      <c r="J33" s="73"/>
      <c r="K33" s="73"/>
      <c r="L33" s="73"/>
      <c r="M33" s="73"/>
      <c r="N33" s="73"/>
      <c r="O33" s="73"/>
      <c r="P33" s="73"/>
      <c r="Q33" s="73"/>
      <c r="R33" s="73"/>
      <c r="S33" s="73"/>
      <c r="T33" s="73"/>
      <c r="U33" s="73"/>
      <c r="AA33" s="73"/>
      <c r="AB33" s="73"/>
      <c r="AC33" s="73"/>
    </row>
    <row r="34" spans="1:29" ht="15" customHeight="1">
      <c r="A34" s="84" t="s">
        <v>235</v>
      </c>
      <c r="B34" s="334" t="s">
        <v>503</v>
      </c>
      <c r="C34" s="334"/>
      <c r="D34" s="334"/>
      <c r="E34" s="334"/>
      <c r="F34" s="334"/>
      <c r="G34" s="334"/>
      <c r="H34" s="334"/>
      <c r="I34" s="334"/>
      <c r="J34" s="334"/>
      <c r="K34" s="334"/>
      <c r="L34" s="334"/>
      <c r="M34" s="334"/>
      <c r="N34" s="334"/>
      <c r="O34" s="334"/>
      <c r="P34" s="334"/>
      <c r="Q34" s="334"/>
      <c r="R34" s="334"/>
      <c r="S34" s="334"/>
      <c r="T34" s="334"/>
      <c r="U34" s="334"/>
      <c r="V34" s="334"/>
      <c r="W34" s="334"/>
      <c r="X34" s="334"/>
      <c r="Y34" s="334"/>
      <c r="Z34" s="334"/>
      <c r="AA34" s="334"/>
      <c r="AB34" s="334"/>
      <c r="AC34" s="334"/>
    </row>
    <row r="35" spans="1:29" ht="13.5" customHeight="1">
      <c r="A35" s="85" t="s">
        <v>236</v>
      </c>
      <c r="B35" s="334" t="s">
        <v>502</v>
      </c>
      <c r="C35" s="334"/>
      <c r="D35" s="334"/>
      <c r="E35" s="334"/>
      <c r="F35" s="334"/>
      <c r="G35" s="334"/>
      <c r="H35" s="334"/>
      <c r="I35" s="334"/>
      <c r="J35" s="334"/>
      <c r="K35" s="334"/>
      <c r="L35" s="334"/>
      <c r="M35" s="334"/>
      <c r="N35" s="334"/>
      <c r="O35" s="334"/>
      <c r="P35" s="334"/>
      <c r="Q35" s="334"/>
      <c r="R35" s="334"/>
      <c r="S35" s="334"/>
      <c r="T35" s="334"/>
      <c r="U35" s="334"/>
      <c r="V35" s="334"/>
      <c r="W35" s="334"/>
      <c r="X35" s="334"/>
      <c r="Y35" s="334"/>
      <c r="Z35" s="334"/>
      <c r="AA35" s="334"/>
      <c r="AB35" s="334"/>
      <c r="AC35" s="334"/>
    </row>
    <row r="36" spans="1:29" ht="13.5" customHeight="1">
      <c r="A36" s="74"/>
      <c r="B36" s="328" t="s">
        <v>504</v>
      </c>
      <c r="C36" s="328"/>
      <c r="D36" s="328"/>
      <c r="E36" s="328"/>
      <c r="F36" s="365"/>
      <c r="G36" s="365"/>
      <c r="H36" s="328"/>
      <c r="I36" s="328"/>
      <c r="J36" s="328"/>
      <c r="K36" s="328"/>
      <c r="L36" s="328"/>
      <c r="M36" s="328"/>
      <c r="N36" s="328"/>
      <c r="O36" s="328"/>
      <c r="P36" s="328"/>
      <c r="Q36" s="328"/>
      <c r="R36" s="328"/>
      <c r="S36" s="328"/>
      <c r="T36" s="328"/>
      <c r="U36" s="328"/>
      <c r="V36" s="328"/>
      <c r="W36" s="328"/>
      <c r="X36" s="328"/>
      <c r="Y36" s="328"/>
      <c r="Z36" s="328"/>
      <c r="AA36" s="328"/>
      <c r="AB36" s="328"/>
    </row>
    <row r="37" spans="1:29" ht="11.25" customHeight="1">
      <c r="A37" s="333" t="s">
        <v>237</v>
      </c>
      <c r="B37" s="334" t="s">
        <v>521</v>
      </c>
      <c r="C37" s="334"/>
      <c r="D37" s="334"/>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row>
    <row r="38" spans="1:29">
      <c r="B38" s="25" t="s">
        <v>522</v>
      </c>
      <c r="C38" s="25"/>
      <c r="D38" s="25"/>
      <c r="E38" s="25"/>
      <c r="F38" s="25"/>
      <c r="G38" s="25"/>
      <c r="H38" s="25"/>
    </row>
    <row r="39" spans="1:29">
      <c r="B39" s="25" t="s">
        <v>523</v>
      </c>
      <c r="C39" s="25"/>
      <c r="D39" s="25"/>
      <c r="E39" s="25"/>
      <c r="F39" s="25"/>
      <c r="G39" s="25"/>
      <c r="H39" s="25"/>
    </row>
    <row r="40" spans="1:29">
      <c r="A40" s="333" t="s">
        <v>238</v>
      </c>
      <c r="B40" s="27" t="s">
        <v>509</v>
      </c>
    </row>
    <row r="41" spans="1:29">
      <c r="A41" s="333" t="s">
        <v>510</v>
      </c>
      <c r="B41" s="27" t="s">
        <v>512</v>
      </c>
    </row>
    <row r="42" spans="1:29">
      <c r="A42" s="335" t="s">
        <v>511</v>
      </c>
      <c r="B42" s="27" t="s">
        <v>513</v>
      </c>
    </row>
    <row r="43" spans="1:29">
      <c r="A43" s="335" t="s">
        <v>516</v>
      </c>
      <c r="B43" s="27" t="s">
        <v>527</v>
      </c>
    </row>
    <row r="44" spans="1:29">
      <c r="D44" s="27" t="s">
        <v>528</v>
      </c>
      <c r="E44" s="27" t="s">
        <v>529</v>
      </c>
      <c r="F44" s="27" t="s">
        <v>530</v>
      </c>
      <c r="G44" s="27" t="s">
        <v>531</v>
      </c>
    </row>
    <row r="45" spans="1:29">
      <c r="C45" s="359" t="s">
        <v>566</v>
      </c>
      <c r="D45" s="360">
        <f>'AQRV Speciation'!$D$7</f>
        <v>9.98E-2</v>
      </c>
      <c r="E45" s="360">
        <f>'AQRV Speciation'!$F$7</f>
        <v>0.9002</v>
      </c>
      <c r="F45" s="360">
        <f>'AQRV Speciation'!$E$7</f>
        <v>0.1084826</v>
      </c>
      <c r="G45" s="360">
        <f>'AQRV Speciation'!$G$7</f>
        <v>0.89151740000000002</v>
      </c>
    </row>
    <row r="46" spans="1:29">
      <c r="C46" s="120" t="s">
        <v>567</v>
      </c>
      <c r="D46" s="336">
        <f>'AQRV Speciation'!$D$11</f>
        <v>0.86151079136690645</v>
      </c>
      <c r="E46" s="336">
        <f>'AQRV Speciation'!$F$11</f>
        <v>0.13848920863309352</v>
      </c>
      <c r="F46" s="336">
        <f>'AQRV Speciation'!$E$11</f>
        <v>0.86561954624781856</v>
      </c>
      <c r="G46" s="336">
        <f>'AQRV Speciation'!$G$11</f>
        <v>0.13438045375218152</v>
      </c>
    </row>
    <row r="47" spans="1:29">
      <c r="C47" s="120" t="s">
        <v>568</v>
      </c>
      <c r="D47" s="336">
        <f>'AQRV Speciation'!$D$14</f>
        <v>0.25</v>
      </c>
      <c r="E47" s="336">
        <f>'AQRV Speciation'!$F$14</f>
        <v>0.75000000000000011</v>
      </c>
      <c r="F47" s="336">
        <f>'AQRV Speciation'!$E$14</f>
        <v>0.25</v>
      </c>
      <c r="G47" s="336">
        <f>'AQRV Speciation'!$G$14</f>
        <v>0.75000000000000011</v>
      </c>
    </row>
    <row r="48" spans="1:29">
      <c r="C48" s="120" t="s">
        <v>569</v>
      </c>
      <c r="D48" s="336">
        <f>'AQRV Speciation'!$D$15</f>
        <v>0.38967136150234744</v>
      </c>
      <c r="E48" s="336">
        <f>'AQRV Speciation'!$F$15</f>
        <v>0.61032863849765262</v>
      </c>
      <c r="F48" s="336">
        <f>'AQRV Speciation'!$E$15</f>
        <v>0.45378151260504207</v>
      </c>
      <c r="G48" s="336">
        <f>'AQRV Speciation'!$G$15</f>
        <v>0.54621848739495804</v>
      </c>
    </row>
    <row r="49" spans="1:9">
      <c r="A49" s="335" t="s">
        <v>563</v>
      </c>
      <c r="B49" s="27" t="s">
        <v>564</v>
      </c>
      <c r="C49" s="120"/>
      <c r="D49" s="336"/>
      <c r="E49" s="336"/>
      <c r="F49" s="336"/>
      <c r="G49" s="336"/>
      <c r="H49" s="336"/>
      <c r="I49" s="336"/>
    </row>
    <row r="50" spans="1:9">
      <c r="D50" s="27" t="s">
        <v>528</v>
      </c>
      <c r="E50" s="27" t="s">
        <v>529</v>
      </c>
      <c r="F50" s="27" t="s">
        <v>530</v>
      </c>
      <c r="G50" s="27" t="s">
        <v>531</v>
      </c>
      <c r="H50" s="336"/>
      <c r="I50" s="336"/>
    </row>
    <row r="51" spans="1:9">
      <c r="C51" s="120" t="s">
        <v>570</v>
      </c>
      <c r="D51" s="360">
        <f>'AQRV Speciation'!$D$8</f>
        <v>0.2878787878787879</v>
      </c>
      <c r="E51" s="360">
        <f>'AQRV Speciation'!$F$8</f>
        <v>0.71212121212121215</v>
      </c>
      <c r="F51" s="360">
        <f>'AQRV Speciation'!$E$8</f>
        <v>0.2878787878787879</v>
      </c>
      <c r="G51" s="360">
        <f>'AQRV Speciation'!$G$8</f>
        <v>0.71212121212121215</v>
      </c>
      <c r="H51" s="336"/>
      <c r="I51" s="336"/>
    </row>
    <row r="52" spans="1:9">
      <c r="A52" s="335" t="s">
        <v>573</v>
      </c>
      <c r="B52" s="27" t="s">
        <v>574</v>
      </c>
      <c r="C52" s="120"/>
      <c r="D52" s="336"/>
      <c r="E52" s="336"/>
      <c r="F52" s="336"/>
      <c r="G52" s="336"/>
      <c r="H52" s="336"/>
      <c r="I52" s="336"/>
    </row>
    <row r="53" spans="1:9">
      <c r="D53" s="27" t="s">
        <v>528</v>
      </c>
      <c r="E53" s="27" t="s">
        <v>529</v>
      </c>
      <c r="F53" s="27" t="s">
        <v>530</v>
      </c>
      <c r="G53" s="27" t="s">
        <v>531</v>
      </c>
    </row>
    <row r="54" spans="1:9">
      <c r="C54" s="120" t="s">
        <v>567</v>
      </c>
      <c r="D54" s="336">
        <f>'AQRV Speciation'!$D$11</f>
        <v>0.86151079136690645</v>
      </c>
      <c r="E54" s="336">
        <f>'AQRV Speciation'!$F$11</f>
        <v>0.13848920863309352</v>
      </c>
      <c r="F54" s="336">
        <f>'AQRV Speciation'!$E$11</f>
        <v>0.86561954624781856</v>
      </c>
      <c r="G54" s="336">
        <f>'AQRV Speciation'!$G$11</f>
        <v>0.13438045375218152</v>
      </c>
    </row>
    <row r="55" spans="1:9">
      <c r="A55" s="120" t="s">
        <v>582</v>
      </c>
      <c r="B55" s="27" t="s">
        <v>583</v>
      </c>
    </row>
  </sheetData>
  <sortState ref="A3:AD22">
    <sortCondition ref="C3:C22"/>
  </sortState>
  <mergeCells count="7">
    <mergeCell ref="C24:C28"/>
    <mergeCell ref="AA2:AC2"/>
    <mergeCell ref="I2:Z2"/>
    <mergeCell ref="A2:A3"/>
    <mergeCell ref="B2:B3"/>
    <mergeCell ref="C2:C3"/>
    <mergeCell ref="D2:H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AO113"/>
  <sheetViews>
    <sheetView zoomScaleNormal="100" workbookViewId="0">
      <pane ySplit="2" topLeftCell="A3" activePane="bottomLeft" state="frozen"/>
      <selection activeCell="H16" sqref="H16"/>
      <selection pane="bottomLeft" activeCell="H16" sqref="H16"/>
    </sheetView>
  </sheetViews>
  <sheetFormatPr defaultColWidth="9.140625" defaultRowHeight="12.75"/>
  <cols>
    <col min="1" max="1" width="4.7109375" style="166" customWidth="1"/>
    <col min="2" max="2" width="3.42578125" style="166" customWidth="1"/>
    <col min="3" max="3" width="11.42578125" style="166" customWidth="1"/>
    <col min="4" max="4" width="13.7109375" style="166" customWidth="1"/>
    <col min="5" max="5" width="3.5703125" style="166" customWidth="1"/>
    <col min="6" max="6" width="6.5703125" style="166" customWidth="1"/>
    <col min="7" max="7" width="3" style="166" customWidth="1"/>
    <col min="8" max="8" width="6" style="166" customWidth="1"/>
    <col min="9" max="9" width="2.28515625" style="166" customWidth="1"/>
    <col min="10" max="10" width="5.7109375" style="166" customWidth="1"/>
    <col min="11" max="11" width="2.85546875" style="166" customWidth="1"/>
    <col min="12" max="12" width="7.42578125" style="166" customWidth="1"/>
    <col min="13" max="13" width="3.42578125" style="166" customWidth="1"/>
    <col min="14" max="14" width="6.28515625" style="166" customWidth="1"/>
    <col min="15" max="15" width="2.140625" style="166" customWidth="1"/>
    <col min="16" max="16" width="8.28515625" style="166" customWidth="1"/>
    <col min="17" max="17" width="2.7109375" style="166" customWidth="1"/>
    <col min="18" max="18" width="4.42578125" style="166" customWidth="1"/>
    <col min="19" max="19" width="2.85546875" style="166" customWidth="1"/>
    <col min="20" max="20" width="8" style="166" customWidth="1"/>
    <col min="21" max="21" width="2.5703125" style="166" customWidth="1"/>
    <col min="22" max="22" width="4.28515625" style="166" customWidth="1"/>
    <col min="23" max="23" width="3.140625" style="166" customWidth="1"/>
    <col min="24" max="24" width="9.140625" style="166"/>
    <col min="25" max="25" width="2.85546875" style="166" customWidth="1"/>
    <col min="26" max="26" width="3.85546875" style="166" customWidth="1"/>
    <col min="27" max="27" width="2.85546875" style="166" customWidth="1"/>
    <col min="28" max="28" width="3.85546875" style="166" customWidth="1"/>
    <col min="29" max="29" width="2.5703125" style="166" customWidth="1"/>
    <col min="30" max="30" width="9.140625" style="166"/>
    <col min="31" max="31" width="2.85546875" style="166" customWidth="1"/>
    <col min="32" max="32" width="9.140625" style="166"/>
    <col min="33" max="33" width="3.140625" style="166" customWidth="1"/>
    <col min="34" max="34" width="8.7109375" style="166" customWidth="1"/>
    <col min="35" max="35" width="3.140625" style="166" customWidth="1"/>
    <col min="36" max="36" width="8.7109375" style="166" customWidth="1"/>
    <col min="37" max="37" width="3.140625" style="166" customWidth="1"/>
    <col min="38" max="38" width="8.7109375" style="166" customWidth="1"/>
    <col min="39" max="39" width="3.140625" style="166" customWidth="1"/>
    <col min="40" max="40" width="8.7109375" style="166" customWidth="1"/>
    <col min="41" max="41" width="6.140625" style="167" customWidth="1"/>
    <col min="42" max="16384" width="9.140625" style="166"/>
  </cols>
  <sheetData>
    <row r="1" spans="1:41">
      <c r="C1" s="198" t="s">
        <v>381</v>
      </c>
      <c r="T1" s="263" t="s">
        <v>380</v>
      </c>
    </row>
    <row r="2" spans="1:41" s="198" customFormat="1">
      <c r="H2" s="261" t="s">
        <v>279</v>
      </c>
      <c r="I2" s="261"/>
      <c r="J2" s="261" t="s">
        <v>280</v>
      </c>
      <c r="K2" s="261"/>
      <c r="L2" s="261" t="s">
        <v>281</v>
      </c>
      <c r="M2" s="261"/>
      <c r="N2" s="261" t="s">
        <v>282</v>
      </c>
      <c r="O2" s="261"/>
      <c r="P2" s="261" t="s">
        <v>283</v>
      </c>
      <c r="Q2" s="261"/>
      <c r="R2" s="261" t="s">
        <v>284</v>
      </c>
      <c r="S2" s="261"/>
      <c r="T2" s="261" t="s">
        <v>285</v>
      </c>
      <c r="U2" s="261"/>
      <c r="V2" s="261" t="s">
        <v>286</v>
      </c>
      <c r="W2" s="261"/>
      <c r="X2" s="261" t="s">
        <v>287</v>
      </c>
      <c r="Y2" s="261"/>
      <c r="Z2" s="261" t="s">
        <v>288</v>
      </c>
      <c r="AA2" s="261"/>
      <c r="AB2" s="261" t="s">
        <v>289</v>
      </c>
      <c r="AC2" s="261"/>
      <c r="AD2" s="261" t="s">
        <v>290</v>
      </c>
      <c r="AE2" s="261"/>
      <c r="AF2" s="261" t="s">
        <v>291</v>
      </c>
      <c r="AG2" s="261"/>
      <c r="AH2" s="261" t="s">
        <v>292</v>
      </c>
      <c r="AI2" s="261"/>
      <c r="AJ2" s="261" t="s">
        <v>336</v>
      </c>
      <c r="AK2" s="261"/>
      <c r="AL2" s="261" t="s">
        <v>335</v>
      </c>
      <c r="AM2" s="261"/>
      <c r="AN2" s="261" t="s">
        <v>301</v>
      </c>
      <c r="AO2" s="262"/>
    </row>
    <row r="3" spans="1:41">
      <c r="A3" s="166">
        <v>1</v>
      </c>
      <c r="B3" s="166" t="s">
        <v>293</v>
      </c>
      <c r="C3" s="166" t="s">
        <v>294</v>
      </c>
      <c r="D3" s="166" t="str">
        <f>VLOOKUP(A3,Tesoro_emis!$A$5:$B$50,2,FALSE)</f>
        <v>TR1</v>
      </c>
      <c r="E3" s="166" t="s">
        <v>293</v>
      </c>
    </row>
    <row r="4" spans="1:41">
      <c r="A4" s="166">
        <v>1</v>
      </c>
      <c r="B4" s="166" t="s">
        <v>293</v>
      </c>
      <c r="C4" s="166" t="s">
        <v>295</v>
      </c>
      <c r="D4" s="168">
        <f>VLOOKUP(A4,Tesoro_emis!$A$5:$AA$50,7,FALSE)</f>
        <v>-20.289932373900001</v>
      </c>
      <c r="E4" s="168" t="s">
        <v>296</v>
      </c>
      <c r="F4" s="168">
        <f>VLOOKUP(A4,Tesoro_emis!$A$5:$AA$50,8,FALSE)</f>
        <v>187.64031474199999</v>
      </c>
      <c r="G4" s="168" t="s">
        <v>296</v>
      </c>
      <c r="H4" s="169">
        <f>VLOOKUP(A4,Tesoro_emis!$A$5:$AA$50,24,FALSE)</f>
        <v>15.849600000000001</v>
      </c>
      <c r="I4" s="166" t="s">
        <v>296</v>
      </c>
      <c r="J4" s="170">
        <f>VLOOKUP(A4,Tesoro_emis!$A$5:$AA$50,6,FALSE)</f>
        <v>40</v>
      </c>
      <c r="K4" s="166" t="s">
        <v>296</v>
      </c>
      <c r="L4" s="168">
        <f>VLOOKUP(A4,Tesoro_emis!$A$5:$AA$50,27,FALSE)</f>
        <v>1.524</v>
      </c>
      <c r="M4" s="166" t="s">
        <v>296</v>
      </c>
      <c r="N4" s="169">
        <f>VLOOKUP(A4,Tesoro_emis!$A$5:$AA$50,26,FALSE)</f>
        <v>6.7056000000000004</v>
      </c>
      <c r="O4" s="166" t="s">
        <v>296</v>
      </c>
      <c r="P4" s="169">
        <f>VLOOKUP(A4,Tesoro_emis!$A$5:$AA$50,25,FALSE)</f>
        <v>602.03888888888889</v>
      </c>
      <c r="Q4" s="166" t="s">
        <v>296</v>
      </c>
      <c r="R4" s="170">
        <v>1</v>
      </c>
      <c r="S4" s="166" t="s">
        <v>296</v>
      </c>
      <c r="T4" s="171">
        <f>VLOOKUP(A4,Tesoro_emis!$A$5:$AA$50,14,FALSE)</f>
        <v>2.6465169964485034E-2</v>
      </c>
      <c r="U4" s="166" t="s">
        <v>296</v>
      </c>
      <c r="V4" s="170">
        <v>0</v>
      </c>
      <c r="W4" s="171" t="s">
        <v>296</v>
      </c>
      <c r="X4" s="171">
        <f>VLOOKUP(A4,Tesoro_emis!$A$5:$AA$50,9,FALSE)</f>
        <v>2.6844887620497211</v>
      </c>
      <c r="Y4" s="166" t="s">
        <v>296</v>
      </c>
      <c r="Z4" s="170">
        <v>0</v>
      </c>
      <c r="AA4" s="166" t="s">
        <v>296</v>
      </c>
      <c r="AB4" s="170">
        <v>0</v>
      </c>
      <c r="AC4" s="166" t="s">
        <v>296</v>
      </c>
      <c r="AD4" s="171">
        <f>VLOOKUP(A4,Tesoro_emis!$A$5:$AA$50,19,FALSE)</f>
        <v>0</v>
      </c>
      <c r="AE4" s="166" t="s">
        <v>296</v>
      </c>
      <c r="AF4" s="171">
        <f>VLOOKUP(A4,Tesoro_emis!$A$5:$AA$50,21,FALSE)</f>
        <v>1.819480435058346E-2</v>
      </c>
      <c r="AG4" s="166" t="s">
        <v>296</v>
      </c>
      <c r="AH4" s="171">
        <f>VLOOKUP($A$4,Tesoro_emis!$A$5:$AA$50,23,FALSE)</f>
        <v>5.4584413051750387E-2</v>
      </c>
      <c r="AI4" s="166" t="s">
        <v>296</v>
      </c>
      <c r="AJ4" s="171">
        <f>VLOOKUP($A$4,Tesoro_emis!$A$5:$AA$50,11,FALSE)</f>
        <v>7.277921740233384E-2</v>
      </c>
      <c r="AK4" s="166" t="s">
        <v>296</v>
      </c>
      <c r="AL4" s="171">
        <f>VLOOKUP($A$4,Tesoro_emis!$A$5:$AA$50,11,FALSE)</f>
        <v>7.277921740233384E-2</v>
      </c>
      <c r="AM4" s="166" t="s">
        <v>296</v>
      </c>
      <c r="AN4" s="171">
        <f>VLOOKUP($A$4,Tesoro_emis!$A$5:$AA$50,16,FALSE)</f>
        <v>0.80517402968036533</v>
      </c>
      <c r="AO4" s="167" t="s">
        <v>293</v>
      </c>
    </row>
    <row r="5" spans="1:41">
      <c r="A5" s="166">
        <v>1</v>
      </c>
      <c r="B5" s="166" t="s">
        <v>293</v>
      </c>
      <c r="C5" s="166" t="s">
        <v>297</v>
      </c>
      <c r="H5" s="168"/>
      <c r="I5" s="168"/>
      <c r="J5" s="168"/>
      <c r="K5" s="168"/>
      <c r="L5" s="168"/>
    </row>
    <row r="6" spans="1:41">
      <c r="A6" s="166">
        <f t="shared" ref="A6:A69" si="0">A3+1</f>
        <v>2</v>
      </c>
      <c r="B6" s="166" t="s">
        <v>293</v>
      </c>
      <c r="C6" s="166" t="s">
        <v>294</v>
      </c>
      <c r="D6" s="166" t="str">
        <f>VLOOKUP(A6,Tesoro_emis!$A$5:$B$50,2,FALSE)</f>
        <v>TR2</v>
      </c>
      <c r="E6" s="166" t="s">
        <v>293</v>
      </c>
    </row>
    <row r="7" spans="1:41">
      <c r="A7" s="166">
        <f t="shared" si="0"/>
        <v>2</v>
      </c>
      <c r="B7" s="166" t="s">
        <v>293</v>
      </c>
      <c r="C7" s="166" t="s">
        <v>295</v>
      </c>
      <c r="D7" s="168">
        <f>VLOOKUP(A7,Tesoro_emis!$A$5:$AA$50,7,FALSE)</f>
        <v>-20.289299015600001</v>
      </c>
      <c r="E7" s="168" t="s">
        <v>296</v>
      </c>
      <c r="F7" s="168">
        <f>VLOOKUP(A7,Tesoro_emis!$A$5:$AA$50,8,FALSE)</f>
        <v>187.647669732</v>
      </c>
      <c r="G7" s="168" t="s">
        <v>296</v>
      </c>
      <c r="H7" s="169">
        <f>VLOOKUP(A7,Tesoro_emis!$A$5:$AA$50,24,FALSE)</f>
        <v>26.517600000000002</v>
      </c>
      <c r="I7" s="166" t="s">
        <v>296</v>
      </c>
      <c r="J7" s="170">
        <f>VLOOKUP(A7,Tesoro_emis!$A$5:$AA$50,6,FALSE)</f>
        <v>40</v>
      </c>
      <c r="K7" s="166" t="s">
        <v>296</v>
      </c>
      <c r="L7" s="168">
        <f>VLOOKUP(A7,Tesoro_emis!$A$5:$AA$50,27,FALSE)</f>
        <v>1.2192000000000001</v>
      </c>
      <c r="M7" s="166" t="s">
        <v>296</v>
      </c>
      <c r="N7" s="169">
        <f>VLOOKUP(A7,Tesoro_emis!$A$5:$AA$50,26,FALSE)</f>
        <v>6.0960000000000001</v>
      </c>
      <c r="O7" s="166" t="s">
        <v>296</v>
      </c>
      <c r="P7" s="169">
        <f>VLOOKUP(A7,Tesoro_emis!$A$5:$AA$50,25,FALSE)</f>
        <v>530.92777777777769</v>
      </c>
      <c r="Q7" s="166" t="s">
        <v>296</v>
      </c>
      <c r="R7" s="170">
        <v>1</v>
      </c>
      <c r="S7" s="166" t="s">
        <v>296</v>
      </c>
      <c r="T7" s="171">
        <f>VLOOKUP(A7,Tesoro_emis!$A$5:$AA$50,14,FALSE)</f>
        <v>3.4232122019279554E-2</v>
      </c>
      <c r="U7" s="166" t="s">
        <v>296</v>
      </c>
      <c r="V7" s="170">
        <v>0</v>
      </c>
      <c r="W7" s="171" t="s">
        <v>296</v>
      </c>
      <c r="X7" s="171">
        <f>VLOOKUP(A7,Tesoro_emis!$A$5:$AA$50,9,FALSE)</f>
        <v>0.76461328006088281</v>
      </c>
      <c r="Y7" s="166" t="s">
        <v>296</v>
      </c>
      <c r="Z7" s="170">
        <v>0</v>
      </c>
      <c r="AA7" s="166" t="s">
        <v>296</v>
      </c>
      <c r="AB7" s="170">
        <v>0</v>
      </c>
      <c r="AC7" s="166" t="s">
        <v>296</v>
      </c>
      <c r="AD7" s="171">
        <f>VLOOKUP(A7,Tesoro_emis!$A$5:$AA$50,19,FALSE)</f>
        <v>0</v>
      </c>
      <c r="AE7" s="166" t="s">
        <v>296</v>
      </c>
      <c r="AF7" s="171">
        <f>VLOOKUP(A7,Tesoro_emis!$A$5:$AA$50,21,FALSE)</f>
        <v>2.3732353500761035E-2</v>
      </c>
      <c r="AG7" s="166" t="s">
        <v>296</v>
      </c>
      <c r="AH7" s="171">
        <f>VLOOKUP($A$7,Tesoro_emis!$A$5:$AA$50,23,FALSE)</f>
        <v>7.119706050228311E-2</v>
      </c>
      <c r="AI7" s="166" t="s">
        <v>296</v>
      </c>
      <c r="AJ7" s="171">
        <f>VLOOKUP($A$7,Tesoro_emis!$A$5:$AA$50,11,FALSE)</f>
        <v>9.4929414003044138E-2</v>
      </c>
      <c r="AK7" s="166" t="s">
        <v>296</v>
      </c>
      <c r="AL7" s="171">
        <f>VLOOKUP($A$7,Tesoro_emis!$A$5:$AA$50,11,FALSE)</f>
        <v>9.4929414003044138E-2</v>
      </c>
      <c r="AM7" s="166" t="s">
        <v>296</v>
      </c>
      <c r="AN7" s="171">
        <f>VLOOKUP($A$7,Tesoro_emis!$A$5:$AA$50,16,FALSE)</f>
        <v>1.0494015220700152</v>
      </c>
      <c r="AO7" s="167" t="s">
        <v>293</v>
      </c>
    </row>
    <row r="8" spans="1:41">
      <c r="A8" s="166">
        <f t="shared" si="0"/>
        <v>2</v>
      </c>
      <c r="B8" s="166" t="s">
        <v>293</v>
      </c>
      <c r="C8" s="166" t="s">
        <v>297</v>
      </c>
      <c r="H8" s="168"/>
      <c r="I8" s="168"/>
      <c r="J8" s="168"/>
      <c r="K8" s="168"/>
      <c r="L8" s="168"/>
    </row>
    <row r="9" spans="1:41">
      <c r="A9" s="166">
        <f t="shared" si="0"/>
        <v>3</v>
      </c>
      <c r="B9" s="166" t="s">
        <v>293</v>
      </c>
      <c r="C9" s="166" t="s">
        <v>294</v>
      </c>
      <c r="D9" s="166" t="str">
        <f>VLOOKUP(A9,Tesoro_emis!$A$5:$B$50,2,FALSE)</f>
        <v>TR3_5</v>
      </c>
      <c r="E9" s="166" t="s">
        <v>293</v>
      </c>
    </row>
    <row r="10" spans="1:41">
      <c r="A10" s="166">
        <f t="shared" si="0"/>
        <v>3</v>
      </c>
      <c r="B10" s="166" t="s">
        <v>293</v>
      </c>
      <c r="C10" s="166" t="s">
        <v>295</v>
      </c>
      <c r="D10" s="168">
        <f>VLOOKUP(A10,Tesoro_emis!$A$5:$AA$50,7,FALSE)</f>
        <v>-20.199890773</v>
      </c>
      <c r="E10" s="168" t="s">
        <v>296</v>
      </c>
      <c r="F10" s="168">
        <f>VLOOKUP(A10,Tesoro_emis!$A$5:$AA$50,8,FALSE)</f>
        <v>187.645197271</v>
      </c>
      <c r="G10" s="168" t="s">
        <v>296</v>
      </c>
      <c r="H10" s="169">
        <f>VLOOKUP(A10,Tesoro_emis!$A$5:$AA$50,24,FALSE)</f>
        <v>32.308800000000005</v>
      </c>
      <c r="I10" s="166" t="s">
        <v>296</v>
      </c>
      <c r="J10" s="170">
        <f>VLOOKUP(A10,Tesoro_emis!$A$5:$AA$50,6,FALSE)</f>
        <v>40</v>
      </c>
      <c r="K10" s="166" t="s">
        <v>296</v>
      </c>
      <c r="L10" s="168">
        <f>VLOOKUP(A10,Tesoro_emis!$A$5:$AA$50,27,FALSE)</f>
        <v>2.1335999999999999</v>
      </c>
      <c r="M10" s="166" t="s">
        <v>296</v>
      </c>
      <c r="N10" s="169">
        <f>VLOOKUP(A10,Tesoro_emis!$A$5:$AA$50,26,FALSE)</f>
        <v>4.2671999999999999</v>
      </c>
      <c r="O10" s="166" t="s">
        <v>296</v>
      </c>
      <c r="P10" s="169">
        <f>VLOOKUP(A10,Tesoro_emis!$A$5:$AA$50,25,FALSE)</f>
        <v>729.81666666666661</v>
      </c>
      <c r="Q10" s="166" t="s">
        <v>296</v>
      </c>
      <c r="R10" s="170">
        <v>1</v>
      </c>
      <c r="S10" s="166" t="s">
        <v>296</v>
      </c>
      <c r="T10" s="171">
        <f>VLOOKUP(A10,Tesoro_emis!$A$5:$AA$50,14,FALSE)</f>
        <v>2.3300856164383564E-2</v>
      </c>
      <c r="U10" s="166" t="s">
        <v>296</v>
      </c>
      <c r="V10" s="170">
        <v>0</v>
      </c>
      <c r="W10" s="171" t="s">
        <v>296</v>
      </c>
      <c r="X10" s="171">
        <f>VLOOKUP(A10,Tesoro_emis!$A$5:$AA$50,9,FALSE)</f>
        <v>0.84400878995433792</v>
      </c>
      <c r="Y10" s="166" t="s">
        <v>296</v>
      </c>
      <c r="Z10" s="170">
        <v>0</v>
      </c>
      <c r="AA10" s="166" t="s">
        <v>296</v>
      </c>
      <c r="AB10" s="170">
        <v>0</v>
      </c>
      <c r="AC10" s="166" t="s">
        <v>296</v>
      </c>
      <c r="AD10" s="171">
        <f>VLOOKUP(A10,Tesoro_emis!$A$5:$AA$50,19,FALSE)</f>
        <v>0</v>
      </c>
      <c r="AE10" s="166" t="s">
        <v>296</v>
      </c>
      <c r="AF10" s="171">
        <f>VLOOKUP(A10,Tesoro_emis!$A$5:$AA$50,21,FALSE)</f>
        <v>1.6037317668696094E-2</v>
      </c>
      <c r="AG10" s="166" t="s">
        <v>296</v>
      </c>
      <c r="AH10" s="171">
        <f>VLOOKUP($A$10,Tesoro_emis!$A$5:$AA$50,23,FALSE)</f>
        <v>4.8111953006088296E-2</v>
      </c>
      <c r="AI10" s="166" t="s">
        <v>296</v>
      </c>
      <c r="AJ10" s="171">
        <f>VLOOKUP($A$10,Tesoro_emis!$A$5:$AA$50,11,FALSE)</f>
        <v>6.4149270674784376E-2</v>
      </c>
      <c r="AK10" s="166" t="s">
        <v>296</v>
      </c>
      <c r="AL10" s="171">
        <f>VLOOKUP($A$10,Tesoro_emis!$A$5:$AA$50,11,FALSE)</f>
        <v>6.4149270674784376E-2</v>
      </c>
      <c r="AM10" s="166" t="s">
        <v>296</v>
      </c>
      <c r="AN10" s="171">
        <f>VLOOKUP($A$10,Tesoro_emis!$A$5:$AA$50,16,FALSE)</f>
        <v>0.70880629122272965</v>
      </c>
      <c r="AO10" s="167" t="s">
        <v>293</v>
      </c>
    </row>
    <row r="11" spans="1:41">
      <c r="A11" s="166">
        <f t="shared" si="0"/>
        <v>3</v>
      </c>
      <c r="B11" s="166" t="s">
        <v>293</v>
      </c>
      <c r="C11" s="166" t="s">
        <v>297</v>
      </c>
      <c r="H11" s="168"/>
      <c r="I11" s="168"/>
      <c r="J11" s="168"/>
      <c r="K11" s="168"/>
      <c r="L11" s="168"/>
    </row>
    <row r="12" spans="1:41">
      <c r="A12" s="166">
        <f t="shared" si="0"/>
        <v>4</v>
      </c>
      <c r="B12" s="166" t="s">
        <v>293</v>
      </c>
      <c r="C12" s="166" t="s">
        <v>294</v>
      </c>
      <c r="D12" s="166" t="str">
        <f>VLOOKUP(A12,Tesoro_emis!$A$5:$B$50,2,FALSE)</f>
        <v>TR6</v>
      </c>
      <c r="E12" s="166" t="s">
        <v>293</v>
      </c>
    </row>
    <row r="13" spans="1:41">
      <c r="A13" s="166">
        <f t="shared" si="0"/>
        <v>4</v>
      </c>
      <c r="B13" s="166" t="s">
        <v>293</v>
      </c>
      <c r="C13" s="166" t="s">
        <v>295</v>
      </c>
      <c r="D13" s="168">
        <f>VLOOKUP(A13,Tesoro_emis!$A$5:$AA$50,7,FALSE)</f>
        <v>-20.199976046300002</v>
      </c>
      <c r="E13" s="168" t="s">
        <v>296</v>
      </c>
      <c r="F13" s="168">
        <f>VLOOKUP(A13,Tesoro_emis!$A$5:$AA$50,8,FALSE)</f>
        <v>187.65594735100001</v>
      </c>
      <c r="G13" s="168" t="s">
        <v>296</v>
      </c>
      <c r="H13" s="169">
        <f>VLOOKUP(A13,Tesoro_emis!$A$5:$AA$50,24,FALSE)</f>
        <v>46.329599999999999</v>
      </c>
      <c r="I13" s="166" t="s">
        <v>296</v>
      </c>
      <c r="J13" s="170">
        <f>VLOOKUP(A13,Tesoro_emis!$A$5:$AA$50,6,FALSE)</f>
        <v>40</v>
      </c>
      <c r="K13" s="166" t="s">
        <v>296</v>
      </c>
      <c r="L13" s="168">
        <f>VLOOKUP(A13,Tesoro_emis!$A$5:$AA$50,27,FALSE)</f>
        <v>1.524</v>
      </c>
      <c r="M13" s="166" t="s">
        <v>296</v>
      </c>
      <c r="N13" s="169">
        <f>VLOOKUP(A13,Tesoro_emis!$A$5:$AA$50,26,FALSE)</f>
        <v>6.0960000000000001</v>
      </c>
      <c r="O13" s="166" t="s">
        <v>296</v>
      </c>
      <c r="P13" s="169">
        <f>VLOOKUP(A13,Tesoro_emis!$A$5:$AA$50,25,FALSE)</f>
        <v>533.15</v>
      </c>
      <c r="Q13" s="166" t="s">
        <v>296</v>
      </c>
      <c r="R13" s="170">
        <v>1</v>
      </c>
      <c r="S13" s="166" t="s">
        <v>296</v>
      </c>
      <c r="T13" s="171">
        <f>VLOOKUP(A13,Tesoro_emis!$A$5:$AA$50,14,FALSE)</f>
        <v>9.4929414003044141E-3</v>
      </c>
      <c r="U13" s="166" t="s">
        <v>296</v>
      </c>
      <c r="V13" s="170">
        <v>0</v>
      </c>
      <c r="W13" s="171" t="s">
        <v>296</v>
      </c>
      <c r="X13" s="171">
        <f>VLOOKUP(A13,Tesoro_emis!$A$5:$AA$50,9,FALSE)</f>
        <v>0.28363758244545917</v>
      </c>
      <c r="Y13" s="166" t="s">
        <v>296</v>
      </c>
      <c r="Z13" s="170">
        <v>0</v>
      </c>
      <c r="AA13" s="166" t="s">
        <v>296</v>
      </c>
      <c r="AB13" s="170">
        <v>0</v>
      </c>
      <c r="AC13" s="166" t="s">
        <v>296</v>
      </c>
      <c r="AD13" s="171">
        <f>VLOOKUP(A13,Tesoro_emis!$A$5:$AA$50,19,FALSE)</f>
        <v>0</v>
      </c>
      <c r="AE13" s="166" t="s">
        <v>296</v>
      </c>
      <c r="AF13" s="171">
        <f>VLOOKUP(A13,Tesoro_emis!$A$5:$AA$50,21,FALSE)</f>
        <v>6.6162924911212584E-3</v>
      </c>
      <c r="AG13" s="166" t="s">
        <v>296</v>
      </c>
      <c r="AH13" s="171">
        <f>VLOOKUP($A$13,Tesoro_emis!$A$5:$AA$50,23,FALSE)</f>
        <v>1.984887747336378E-2</v>
      </c>
      <c r="AI13" s="166" t="s">
        <v>296</v>
      </c>
      <c r="AJ13" s="171">
        <f>VLOOKUP($A$13,Tesoro_emis!$A$5:$AA$50,11,FALSE)</f>
        <v>2.6465169964485034E-2</v>
      </c>
      <c r="AK13" s="166" t="s">
        <v>296</v>
      </c>
      <c r="AL13" s="171">
        <f>VLOOKUP($A$13,Tesoro_emis!$A$5:$AA$50,11,FALSE)</f>
        <v>2.6465169964485034E-2</v>
      </c>
      <c r="AM13" s="166" t="s">
        <v>296</v>
      </c>
      <c r="AN13" s="171">
        <f>VLOOKUP($A$13,Tesoro_emis!$A$5:$AA$50,16,FALSE)</f>
        <v>0.29226752917300863</v>
      </c>
      <c r="AO13" s="167" t="s">
        <v>293</v>
      </c>
    </row>
    <row r="14" spans="1:41">
      <c r="A14" s="166">
        <f t="shared" si="0"/>
        <v>4</v>
      </c>
      <c r="B14" s="166" t="s">
        <v>293</v>
      </c>
      <c r="C14" s="166" t="s">
        <v>297</v>
      </c>
      <c r="H14" s="168"/>
      <c r="I14" s="168"/>
      <c r="J14" s="168"/>
      <c r="K14" s="168"/>
      <c r="L14" s="168"/>
    </row>
    <row r="15" spans="1:41">
      <c r="A15" s="166">
        <f t="shared" si="0"/>
        <v>5</v>
      </c>
      <c r="B15" s="166" t="s">
        <v>293</v>
      </c>
      <c r="C15" s="166" t="s">
        <v>294</v>
      </c>
      <c r="D15" s="166" t="str">
        <f>VLOOKUP(A15,Tesoro_emis!$A$5:$B$50,2,FALSE)</f>
        <v>TR7</v>
      </c>
      <c r="E15" s="166" t="s">
        <v>293</v>
      </c>
    </row>
    <row r="16" spans="1:41">
      <c r="A16" s="166">
        <f t="shared" si="0"/>
        <v>5</v>
      </c>
      <c r="B16" s="166" t="s">
        <v>293</v>
      </c>
      <c r="C16" s="166" t="s">
        <v>295</v>
      </c>
      <c r="D16" s="168">
        <f>VLOOKUP(A16,Tesoro_emis!$A$5:$AA$50,7,FALSE)</f>
        <v>-20.203762836999999</v>
      </c>
      <c r="E16" s="168" t="s">
        <v>296</v>
      </c>
      <c r="F16" s="168">
        <f>VLOOKUP(A16,Tesoro_emis!$A$5:$AA$50,8,FALSE)</f>
        <v>187.663793078</v>
      </c>
      <c r="G16" s="168" t="s">
        <v>296</v>
      </c>
      <c r="H16" s="169">
        <f>VLOOKUP(A16,Tesoro_emis!$A$5:$AA$50,24,FALSE)</f>
        <v>46.329599999999999</v>
      </c>
      <c r="I16" s="166" t="s">
        <v>296</v>
      </c>
      <c r="J16" s="170">
        <f>VLOOKUP(A16,Tesoro_emis!$A$5:$AA$50,6,FALSE)</f>
        <v>40</v>
      </c>
      <c r="K16" s="166" t="s">
        <v>296</v>
      </c>
      <c r="L16" s="168">
        <f>VLOOKUP(A16,Tesoro_emis!$A$5:$AA$50,27,FALSE)</f>
        <v>1.524</v>
      </c>
      <c r="M16" s="166" t="s">
        <v>296</v>
      </c>
      <c r="N16" s="169">
        <f>VLOOKUP(A16,Tesoro_emis!$A$5:$AA$50,26,FALSE)</f>
        <v>6.0960000000000001</v>
      </c>
      <c r="O16" s="166" t="s">
        <v>296</v>
      </c>
      <c r="P16" s="169">
        <f>VLOOKUP(A16,Tesoro_emis!$A$5:$AA$50,25,FALSE)</f>
        <v>533.15</v>
      </c>
      <c r="Q16" s="166" t="s">
        <v>296</v>
      </c>
      <c r="R16" s="170">
        <v>1</v>
      </c>
      <c r="S16" s="166" t="s">
        <v>296</v>
      </c>
      <c r="T16" s="171">
        <f>VLOOKUP(A16,Tesoro_emis!$A$5:$AA$50,14,FALSE)</f>
        <v>6.0409627092846271E-3</v>
      </c>
      <c r="U16" s="166" t="s">
        <v>296</v>
      </c>
      <c r="V16" s="170">
        <v>0</v>
      </c>
      <c r="W16" s="171" t="s">
        <v>296</v>
      </c>
      <c r="X16" s="171">
        <f>VLOOKUP(A16,Tesoro_emis!$A$5:$AA$50,9,FALSE)</f>
        <v>0.18151654616945712</v>
      </c>
      <c r="Y16" s="166" t="s">
        <v>296</v>
      </c>
      <c r="Z16" s="170">
        <v>0</v>
      </c>
      <c r="AA16" s="166" t="s">
        <v>296</v>
      </c>
      <c r="AB16" s="170">
        <v>0</v>
      </c>
      <c r="AC16" s="166" t="s">
        <v>296</v>
      </c>
      <c r="AD16" s="171">
        <f>VLOOKUP(A16,Tesoro_emis!$A$5:$AA$50,19,FALSE)</f>
        <v>0</v>
      </c>
      <c r="AE16" s="166" t="s">
        <v>296</v>
      </c>
      <c r="AF16" s="171">
        <f>VLOOKUP(A16,Tesoro_emis!$A$5:$AA$50,21,FALSE)</f>
        <v>4.2430571410451545E-3</v>
      </c>
      <c r="AG16" s="166" t="s">
        <v>296</v>
      </c>
      <c r="AH16" s="171">
        <f>VLOOKUP($A$16,Tesoro_emis!$A$5:$AA$50,23,FALSE)</f>
        <v>1.2729171423135465E-2</v>
      </c>
      <c r="AI16" s="166" t="s">
        <v>296</v>
      </c>
      <c r="AJ16" s="171">
        <f>VLOOKUP($A$16,Tesoro_emis!$A$5:$AA$50,11,FALSE)</f>
        <v>1.6972228564180618E-2</v>
      </c>
      <c r="AK16" s="166" t="s">
        <v>296</v>
      </c>
      <c r="AL16" s="171">
        <f>VLOOKUP($A$16,Tesoro_emis!$A$5:$AA$50,11,FALSE)</f>
        <v>1.6972228564180618E-2</v>
      </c>
      <c r="AM16" s="166" t="s">
        <v>296</v>
      </c>
      <c r="AN16" s="171">
        <f>VLOOKUP($A$16,Tesoro_emis!$A$5:$AA$50,16,FALSE)</f>
        <v>0.18698217909690512</v>
      </c>
      <c r="AO16" s="167" t="s">
        <v>293</v>
      </c>
    </row>
    <row r="17" spans="1:41">
      <c r="A17" s="166">
        <f t="shared" si="0"/>
        <v>5</v>
      </c>
      <c r="B17" s="166" t="s">
        <v>293</v>
      </c>
      <c r="C17" s="166" t="s">
        <v>297</v>
      </c>
      <c r="H17" s="168"/>
      <c r="I17" s="168"/>
      <c r="J17" s="168"/>
      <c r="K17" s="168"/>
      <c r="L17" s="168"/>
    </row>
    <row r="18" spans="1:41">
      <c r="A18" s="166">
        <f t="shared" si="0"/>
        <v>6</v>
      </c>
      <c r="B18" s="166" t="s">
        <v>293</v>
      </c>
      <c r="C18" s="166" t="s">
        <v>294</v>
      </c>
      <c r="D18" s="166" t="str">
        <f>VLOOKUP(A18,Tesoro_emis!$A$5:$B$50,2,FALSE)</f>
        <v>TR8</v>
      </c>
      <c r="E18" s="166" t="s">
        <v>293</v>
      </c>
    </row>
    <row r="19" spans="1:41">
      <c r="A19" s="166">
        <f t="shared" si="0"/>
        <v>6</v>
      </c>
      <c r="B19" s="166" t="s">
        <v>293</v>
      </c>
      <c r="C19" s="166" t="s">
        <v>295</v>
      </c>
      <c r="D19" s="168">
        <f>VLOOKUP(A19,Tesoro_emis!$A$5:$AA$50,7,FALSE)</f>
        <v>-20.1281080766</v>
      </c>
      <c r="E19" s="168" t="s">
        <v>296</v>
      </c>
      <c r="F19" s="168">
        <f>VLOOKUP(A19,Tesoro_emis!$A$5:$AA$50,8,FALSE)</f>
        <v>187.65764817199999</v>
      </c>
      <c r="G19" s="168" t="s">
        <v>296</v>
      </c>
      <c r="H19" s="169">
        <f>VLOOKUP(A19,Tesoro_emis!$A$5:$AA$50,24,FALSE)</f>
        <v>25.908000000000001</v>
      </c>
      <c r="I19" s="166" t="s">
        <v>296</v>
      </c>
      <c r="J19" s="170">
        <f>VLOOKUP(A19,Tesoro_emis!$A$5:$AA$50,6,FALSE)</f>
        <v>40</v>
      </c>
      <c r="K19" s="166" t="s">
        <v>296</v>
      </c>
      <c r="L19" s="168">
        <f>VLOOKUP(A19,Tesoro_emis!$A$5:$AA$50,27,FALSE)</f>
        <v>1.2192000000000001</v>
      </c>
      <c r="M19" s="166" t="s">
        <v>296</v>
      </c>
      <c r="N19" s="169">
        <f>VLOOKUP(A19,Tesoro_emis!$A$5:$AA$50,26,FALSE)</f>
        <v>5.1816000000000004</v>
      </c>
      <c r="O19" s="166" t="s">
        <v>296</v>
      </c>
      <c r="P19" s="169">
        <f>VLOOKUP(A19,Tesoro_emis!$A$5:$AA$50,25,FALSE)</f>
        <v>532.03888888888889</v>
      </c>
      <c r="Q19" s="166" t="s">
        <v>296</v>
      </c>
      <c r="R19" s="170">
        <v>1</v>
      </c>
      <c r="S19" s="166" t="s">
        <v>296</v>
      </c>
      <c r="T19" s="171">
        <f>VLOOKUP(A19,Tesoro_emis!$A$5:$AA$50,14,FALSE)</f>
        <v>5.4656329274479967E-3</v>
      </c>
      <c r="U19" s="166" t="s">
        <v>296</v>
      </c>
      <c r="V19" s="170">
        <v>0</v>
      </c>
      <c r="W19" s="171" t="s">
        <v>296</v>
      </c>
      <c r="X19" s="171">
        <f>VLOOKUP(A19,Tesoro_emis!$A$5:$AA$50,9,FALSE)</f>
        <v>0.15879101978691018</v>
      </c>
      <c r="Y19" s="166" t="s">
        <v>296</v>
      </c>
      <c r="Z19" s="170">
        <v>0</v>
      </c>
      <c r="AA19" s="166" t="s">
        <v>296</v>
      </c>
      <c r="AB19" s="170">
        <v>0</v>
      </c>
      <c r="AC19" s="166" t="s">
        <v>296</v>
      </c>
      <c r="AD19" s="171">
        <f>VLOOKUP(A19,Tesoro_emis!$A$5:$AA$50,19,FALSE)</f>
        <v>0</v>
      </c>
      <c r="AE19" s="166" t="s">
        <v>296</v>
      </c>
      <c r="AF19" s="171">
        <f>VLOOKUP(A19,Tesoro_emis!$A$5:$AA$50,21,FALSE)</f>
        <v>3.667727359208524E-3</v>
      </c>
      <c r="AG19" s="166" t="s">
        <v>296</v>
      </c>
      <c r="AH19" s="171">
        <f>VLOOKUP($A$19,Tesoro_emis!$A$5:$AA$50,23,FALSE)</f>
        <v>1.1003182077625573E-2</v>
      </c>
      <c r="AI19" s="166" t="s">
        <v>296</v>
      </c>
      <c r="AJ19" s="171">
        <f>VLOOKUP($A$19,Tesoro_emis!$A$5:$AA$50,11,FALSE)</f>
        <v>1.4670909436834096E-2</v>
      </c>
      <c r="AK19" s="166" t="s">
        <v>296</v>
      </c>
      <c r="AL19" s="171">
        <f>VLOOKUP($A$19,Tesoro_emis!$A$5:$AA$50,11,FALSE)</f>
        <v>1.4670909436834096E-2</v>
      </c>
      <c r="AM19" s="166" t="s">
        <v>296</v>
      </c>
      <c r="AN19" s="171">
        <f>VLOOKUP($A$19,Tesoro_emis!$A$5:$AA$50,16,FALSE)</f>
        <v>0.16339365804160325</v>
      </c>
      <c r="AO19" s="167" t="s">
        <v>293</v>
      </c>
    </row>
    <row r="20" spans="1:41">
      <c r="A20" s="166">
        <f t="shared" si="0"/>
        <v>6</v>
      </c>
      <c r="B20" s="166" t="s">
        <v>293</v>
      </c>
      <c r="C20" s="166" t="s">
        <v>297</v>
      </c>
      <c r="H20" s="168"/>
      <c r="I20" s="168"/>
      <c r="J20" s="168"/>
      <c r="K20" s="168"/>
      <c r="L20" s="168"/>
    </row>
    <row r="21" spans="1:41">
      <c r="A21" s="166">
        <f t="shared" si="0"/>
        <v>7</v>
      </c>
      <c r="B21" s="166" t="s">
        <v>293</v>
      </c>
      <c r="C21" s="166" t="s">
        <v>294</v>
      </c>
      <c r="D21" s="166" t="str">
        <f>VLOOKUP(A21,Tesoro_emis!$A$5:$B$50,2,FALSE)</f>
        <v>TR9</v>
      </c>
      <c r="E21" s="166" t="s">
        <v>293</v>
      </c>
    </row>
    <row r="22" spans="1:41">
      <c r="A22" s="166">
        <f t="shared" si="0"/>
        <v>7</v>
      </c>
      <c r="B22" s="166" t="s">
        <v>293</v>
      </c>
      <c r="C22" s="166" t="s">
        <v>295</v>
      </c>
      <c r="D22" s="168">
        <f>VLOOKUP(A22,Tesoro_emis!$A$5:$AA$50,7,FALSE)</f>
        <v>-20.145582118099998</v>
      </c>
      <c r="E22" s="168" t="s">
        <v>296</v>
      </c>
      <c r="F22" s="168">
        <f>VLOOKUP(A22,Tesoro_emis!$A$5:$AA$50,8,FALSE)</f>
        <v>187.65776092199999</v>
      </c>
      <c r="G22" s="168" t="s">
        <v>296</v>
      </c>
      <c r="H22" s="169">
        <f>VLOOKUP(A22,Tesoro_emis!$A$5:$AA$50,24,FALSE)</f>
        <v>23.4696</v>
      </c>
      <c r="I22" s="166" t="s">
        <v>296</v>
      </c>
      <c r="J22" s="170">
        <f>VLOOKUP(A22,Tesoro_emis!$A$5:$AA$50,6,FALSE)</f>
        <v>40</v>
      </c>
      <c r="K22" s="166" t="s">
        <v>296</v>
      </c>
      <c r="L22" s="168">
        <f>VLOOKUP(A22,Tesoro_emis!$A$5:$AA$50,27,FALSE)</f>
        <v>1.2192000000000001</v>
      </c>
      <c r="M22" s="166" t="s">
        <v>296</v>
      </c>
      <c r="N22" s="169">
        <f>VLOOKUP(A22,Tesoro_emis!$A$5:$AA$50,26,FALSE)</f>
        <v>3.048</v>
      </c>
      <c r="O22" s="166" t="s">
        <v>296</v>
      </c>
      <c r="P22" s="169">
        <f>VLOOKUP(A22,Tesoro_emis!$A$5:$AA$50,25,FALSE)</f>
        <v>508.70555555555552</v>
      </c>
      <c r="Q22" s="166" t="s">
        <v>296</v>
      </c>
      <c r="R22" s="170">
        <v>1</v>
      </c>
      <c r="S22" s="166" t="s">
        <v>296</v>
      </c>
      <c r="T22" s="171">
        <f>VLOOKUP(A22,Tesoro_emis!$A$5:$AA$50,14,FALSE)</f>
        <v>3.1643138001014714E-3</v>
      </c>
      <c r="U22" s="166" t="s">
        <v>296</v>
      </c>
      <c r="V22" s="170">
        <v>0</v>
      </c>
      <c r="W22" s="171" t="s">
        <v>296</v>
      </c>
      <c r="X22" s="171">
        <f>VLOOKUP(A22,Tesoro_emis!$A$5:$AA$50,9,FALSE)</f>
        <v>9.4641749112125834E-2</v>
      </c>
      <c r="Y22" s="166" t="s">
        <v>296</v>
      </c>
      <c r="Z22" s="170">
        <v>0</v>
      </c>
      <c r="AA22" s="166" t="s">
        <v>296</v>
      </c>
      <c r="AB22" s="170">
        <v>0</v>
      </c>
      <c r="AC22" s="166" t="s">
        <v>296</v>
      </c>
      <c r="AD22" s="171">
        <f>VLOOKUP(A22,Tesoro_emis!$A$5:$AA$50,19,FALSE)</f>
        <v>0</v>
      </c>
      <c r="AE22" s="166" t="s">
        <v>296</v>
      </c>
      <c r="AF22" s="171">
        <f>VLOOKUP(A22,Tesoro_emis!$A$5:$AA$50,21,FALSE)</f>
        <v>2.2294029046169457E-3</v>
      </c>
      <c r="AG22" s="166" t="s">
        <v>296</v>
      </c>
      <c r="AH22" s="171">
        <f>VLOOKUP($A$22,Tesoro_emis!$A$5:$AA$50,23,FALSE)</f>
        <v>6.688208713850838E-3</v>
      </c>
      <c r="AI22" s="166" t="s">
        <v>296</v>
      </c>
      <c r="AJ22" s="171">
        <f>VLOOKUP($A$22,Tesoro_emis!$A$5:$AA$50,11,FALSE)</f>
        <v>8.9176116184677828E-3</v>
      </c>
      <c r="AK22" s="166" t="s">
        <v>296</v>
      </c>
      <c r="AL22" s="171">
        <f>VLOOKUP($A$22,Tesoro_emis!$A$5:$AA$50,11,FALSE)</f>
        <v>8.9176116184677828E-3</v>
      </c>
      <c r="AM22" s="166" t="s">
        <v>296</v>
      </c>
      <c r="AN22" s="171">
        <f>VLOOKUP($A$22,Tesoro_emis!$A$5:$AA$50,16,FALSE)</f>
        <v>9.723073313039067E-2</v>
      </c>
      <c r="AO22" s="167" t="s">
        <v>293</v>
      </c>
    </row>
    <row r="23" spans="1:41">
      <c r="A23" s="166">
        <f t="shared" si="0"/>
        <v>7</v>
      </c>
      <c r="B23" s="166" t="s">
        <v>293</v>
      </c>
      <c r="C23" s="166" t="s">
        <v>297</v>
      </c>
      <c r="H23" s="168"/>
      <c r="I23" s="168"/>
      <c r="J23" s="168"/>
      <c r="K23" s="168"/>
      <c r="L23" s="168"/>
    </row>
    <row r="24" spans="1:41">
      <c r="A24" s="166">
        <f t="shared" si="0"/>
        <v>8</v>
      </c>
      <c r="B24" s="166" t="s">
        <v>293</v>
      </c>
      <c r="C24" s="166" t="s">
        <v>294</v>
      </c>
      <c r="D24" s="166" t="str">
        <f>VLOOKUP(A24,Tesoro_emis!$A$5:$B$50,2,FALSE)</f>
        <v>TR10</v>
      </c>
      <c r="E24" s="166" t="s">
        <v>293</v>
      </c>
    </row>
    <row r="25" spans="1:41">
      <c r="A25" s="166">
        <f t="shared" si="0"/>
        <v>8</v>
      </c>
      <c r="B25" s="166" t="s">
        <v>293</v>
      </c>
      <c r="C25" s="166" t="s">
        <v>295</v>
      </c>
      <c r="D25" s="168">
        <f>VLOOKUP(A25,Tesoro_emis!$A$5:$AA$50,7,FALSE)</f>
        <v>-20.1509069807</v>
      </c>
      <c r="E25" s="168" t="s">
        <v>296</v>
      </c>
      <c r="F25" s="168">
        <f>VLOOKUP(A25,Tesoro_emis!$A$5:$AA$50,8,FALSE)</f>
        <v>187.65771682100001</v>
      </c>
      <c r="G25" s="168" t="s">
        <v>296</v>
      </c>
      <c r="H25" s="169">
        <f>VLOOKUP(A25,Tesoro_emis!$A$5:$AA$50,24,FALSE)</f>
        <v>22.86</v>
      </c>
      <c r="I25" s="166" t="s">
        <v>296</v>
      </c>
      <c r="J25" s="170">
        <f>VLOOKUP(A25,Tesoro_emis!$A$5:$AA$50,6,FALSE)</f>
        <v>40</v>
      </c>
      <c r="K25" s="166" t="s">
        <v>296</v>
      </c>
      <c r="L25" s="168">
        <f>VLOOKUP(A25,Tesoro_emis!$A$5:$AA$50,27,FALSE)</f>
        <v>1.2192000000000001</v>
      </c>
      <c r="M25" s="166" t="s">
        <v>296</v>
      </c>
      <c r="N25" s="169">
        <f>VLOOKUP(A25,Tesoro_emis!$A$5:$AA$50,26,FALSE)</f>
        <v>7.62</v>
      </c>
      <c r="O25" s="166" t="s">
        <v>296</v>
      </c>
      <c r="P25" s="169">
        <f>VLOOKUP(A25,Tesoro_emis!$A$5:$AA$50,25,FALSE)</f>
        <v>564.26111111111118</v>
      </c>
      <c r="Q25" s="166" t="s">
        <v>296</v>
      </c>
      <c r="R25" s="170">
        <v>1</v>
      </c>
      <c r="S25" s="166" t="s">
        <v>296</v>
      </c>
      <c r="T25" s="171">
        <f>VLOOKUP(A25,Tesoro_emis!$A$5:$AA$50,14,FALSE)</f>
        <v>1.1506595636732625E-2</v>
      </c>
      <c r="U25" s="166" t="s">
        <v>296</v>
      </c>
      <c r="V25" s="170">
        <v>0</v>
      </c>
      <c r="W25" s="171" t="s">
        <v>296</v>
      </c>
      <c r="X25" s="171">
        <f>VLOOKUP(A25,Tesoro_emis!$A$5:$AA$50,9,FALSE)</f>
        <v>0.25918606671740235</v>
      </c>
      <c r="Y25" s="166" t="s">
        <v>296</v>
      </c>
      <c r="Z25" s="170">
        <v>0</v>
      </c>
      <c r="AA25" s="166" t="s">
        <v>296</v>
      </c>
      <c r="AB25" s="170">
        <v>0</v>
      </c>
      <c r="AC25" s="166" t="s">
        <v>296</v>
      </c>
      <c r="AD25" s="171">
        <f>VLOOKUP(A25,Tesoro_emis!$A$5:$AA$50,19,FALSE)</f>
        <v>0</v>
      </c>
      <c r="AE25" s="166" t="s">
        <v>296</v>
      </c>
      <c r="AF25" s="171">
        <f>VLOOKUP(A25,Tesoro_emis!$A$5:$AA$50,21,FALSE)</f>
        <v>8.0546169457128367E-3</v>
      </c>
      <c r="AG25" s="166" t="s">
        <v>296</v>
      </c>
      <c r="AH25" s="171">
        <f>VLOOKUP($A$25,Tesoro_emis!$A$5:$AA$50,23,FALSE)</f>
        <v>2.4163850837138515E-2</v>
      </c>
      <c r="AI25" s="166" t="s">
        <v>296</v>
      </c>
      <c r="AJ25" s="171">
        <f>VLOOKUP($A$25,Tesoro_emis!$A$5:$AA$50,11,FALSE)</f>
        <v>3.2218467782851347E-2</v>
      </c>
      <c r="AK25" s="166" t="s">
        <v>296</v>
      </c>
      <c r="AL25" s="171">
        <f>VLOOKUP($A$25,Tesoro_emis!$A$5:$AA$50,11,FALSE)</f>
        <v>3.2218467782851347E-2</v>
      </c>
      <c r="AM25" s="166" t="s">
        <v>296</v>
      </c>
      <c r="AN25" s="171">
        <f>VLOOKUP($A$25,Tesoro_emis!$A$5:$AA$50,16,FALSE)</f>
        <v>0.35584147006595634</v>
      </c>
      <c r="AO25" s="167" t="s">
        <v>293</v>
      </c>
    </row>
    <row r="26" spans="1:41">
      <c r="A26" s="166">
        <f t="shared" si="0"/>
        <v>8</v>
      </c>
      <c r="B26" s="166" t="s">
        <v>293</v>
      </c>
      <c r="C26" s="166" t="s">
        <v>297</v>
      </c>
      <c r="H26" s="168"/>
      <c r="I26" s="168"/>
      <c r="J26" s="168"/>
      <c r="K26" s="168"/>
      <c r="L26" s="168"/>
    </row>
    <row r="27" spans="1:41">
      <c r="A27" s="166">
        <f t="shared" si="0"/>
        <v>9</v>
      </c>
      <c r="B27" s="166" t="s">
        <v>293</v>
      </c>
      <c r="C27" s="166" t="s">
        <v>294</v>
      </c>
      <c r="D27" s="166" t="str">
        <f>VLOOKUP(A27,Tesoro_emis!$A$5:$B$50,2,FALSE)</f>
        <v>TR11</v>
      </c>
      <c r="E27" s="166" t="s">
        <v>293</v>
      </c>
    </row>
    <row r="28" spans="1:41">
      <c r="A28" s="166">
        <f t="shared" si="0"/>
        <v>9</v>
      </c>
      <c r="B28" s="166" t="s">
        <v>293</v>
      </c>
      <c r="C28" s="166" t="s">
        <v>295</v>
      </c>
      <c r="D28" s="168">
        <f>VLOOKUP(A28,Tesoro_emis!$A$5:$AA$50,7,FALSE)</f>
        <v>-20.156228888499999</v>
      </c>
      <c r="E28" s="168" t="s">
        <v>296</v>
      </c>
      <c r="F28" s="168">
        <f>VLOOKUP(A28,Tesoro_emis!$A$5:$AA$50,8,FALSE)</f>
        <v>187.657773077</v>
      </c>
      <c r="G28" s="168" t="s">
        <v>296</v>
      </c>
      <c r="H28" s="169">
        <f>VLOOKUP(A28,Tesoro_emis!$A$5:$AA$50,24,FALSE)</f>
        <v>23.4696</v>
      </c>
      <c r="I28" s="166" t="s">
        <v>296</v>
      </c>
      <c r="J28" s="170">
        <f>VLOOKUP(A28,Tesoro_emis!$A$5:$AA$50,6,FALSE)</f>
        <v>40</v>
      </c>
      <c r="K28" s="166" t="s">
        <v>296</v>
      </c>
      <c r="L28" s="168">
        <f>VLOOKUP(A28,Tesoro_emis!$A$5:$AA$50,27,FALSE)</f>
        <v>1.524</v>
      </c>
      <c r="M28" s="166" t="s">
        <v>296</v>
      </c>
      <c r="N28" s="169">
        <f>VLOOKUP(A28,Tesoro_emis!$A$5:$AA$50,26,FALSE)</f>
        <v>5.4864000000000006</v>
      </c>
      <c r="O28" s="166" t="s">
        <v>296</v>
      </c>
      <c r="P28" s="169">
        <f>VLOOKUP(A28,Tesoro_emis!$A$5:$AA$50,25,FALSE)</f>
        <v>561.48333333333335</v>
      </c>
      <c r="Q28" s="166" t="s">
        <v>296</v>
      </c>
      <c r="R28" s="170">
        <v>1</v>
      </c>
      <c r="S28" s="166" t="s">
        <v>296</v>
      </c>
      <c r="T28" s="171">
        <f>VLOOKUP(A28,Tesoro_emis!$A$5:$AA$50,14,FALSE)</f>
        <v>1.1794260527650938E-2</v>
      </c>
      <c r="U28" s="166" t="s">
        <v>296</v>
      </c>
      <c r="V28" s="170">
        <v>0</v>
      </c>
      <c r="W28" s="171" t="s">
        <v>296</v>
      </c>
      <c r="X28" s="171">
        <f>VLOOKUP(A28,Tesoro_emis!$A$5:$AA$50,9,FALSE)</f>
        <v>0.34836218290208015</v>
      </c>
      <c r="Y28" s="166" t="s">
        <v>296</v>
      </c>
      <c r="Z28" s="170">
        <v>0</v>
      </c>
      <c r="AA28" s="166" t="s">
        <v>296</v>
      </c>
      <c r="AB28" s="170">
        <v>0</v>
      </c>
      <c r="AC28" s="166" t="s">
        <v>296</v>
      </c>
      <c r="AD28" s="171">
        <f>VLOOKUP(A28,Tesoro_emis!$A$5:$AA$50,19,FALSE)</f>
        <v>0</v>
      </c>
      <c r="AE28" s="166" t="s">
        <v>296</v>
      </c>
      <c r="AF28" s="171">
        <f>VLOOKUP(A28,Tesoro_emis!$A$5:$AA$50,21,FALSE)</f>
        <v>8.1265331684424146E-3</v>
      </c>
      <c r="AG28" s="166" t="s">
        <v>296</v>
      </c>
      <c r="AH28" s="171">
        <f>VLOOKUP($A$28,Tesoro_emis!$A$5:$AA$50,23,FALSE)</f>
        <v>2.4379599505327247E-2</v>
      </c>
      <c r="AI28" s="166" t="s">
        <v>296</v>
      </c>
      <c r="AJ28" s="171">
        <f>VLOOKUP($A$28,Tesoro_emis!$A$5:$AA$50,11,FALSE)</f>
        <v>3.2506132673769658E-2</v>
      </c>
      <c r="AK28" s="166" t="s">
        <v>296</v>
      </c>
      <c r="AL28" s="171">
        <f>VLOOKUP($A$28,Tesoro_emis!$A$5:$AA$50,11,FALSE)</f>
        <v>3.2506132673769658E-2</v>
      </c>
      <c r="AM28" s="166" t="s">
        <v>296</v>
      </c>
      <c r="AN28" s="171">
        <f>VLOOKUP($A$28,Tesoro_emis!$A$5:$AA$50,16,FALSE)</f>
        <v>0.35871811897513955</v>
      </c>
      <c r="AO28" s="167" t="s">
        <v>293</v>
      </c>
    </row>
    <row r="29" spans="1:41">
      <c r="A29" s="166">
        <f t="shared" si="0"/>
        <v>9</v>
      </c>
      <c r="B29" s="166" t="s">
        <v>293</v>
      </c>
      <c r="C29" s="166" t="s">
        <v>297</v>
      </c>
      <c r="H29" s="168"/>
      <c r="I29" s="168"/>
      <c r="J29" s="168"/>
      <c r="K29" s="168"/>
      <c r="L29" s="168"/>
    </row>
    <row r="30" spans="1:41">
      <c r="A30" s="166">
        <f t="shared" si="0"/>
        <v>10</v>
      </c>
      <c r="B30" s="166" t="s">
        <v>293</v>
      </c>
      <c r="C30" s="166" t="s">
        <v>294</v>
      </c>
      <c r="D30" s="166" t="str">
        <f>VLOOKUP(A30,Tesoro_emis!$A$5:$B$50,2,FALSE)</f>
        <v>TR12</v>
      </c>
      <c r="E30" s="166" t="s">
        <v>293</v>
      </c>
    </row>
    <row r="31" spans="1:41">
      <c r="A31" s="166">
        <f t="shared" si="0"/>
        <v>10</v>
      </c>
      <c r="B31" s="166" t="s">
        <v>293</v>
      </c>
      <c r="C31" s="166" t="s">
        <v>295</v>
      </c>
      <c r="D31" s="168">
        <f>VLOOKUP(A31,Tesoro_emis!$A$5:$AA$50,7,FALSE)</f>
        <v>-20.465466985799999</v>
      </c>
      <c r="E31" s="168" t="s">
        <v>296</v>
      </c>
      <c r="F31" s="168">
        <f>VLOOKUP(A31,Tesoro_emis!$A$5:$AA$50,8,FALSE)</f>
        <v>187.48413784499999</v>
      </c>
      <c r="G31" s="168" t="s">
        <v>296</v>
      </c>
      <c r="H31" s="169">
        <f>VLOOKUP(A31,Tesoro_emis!$A$5:$AA$50,24,FALSE)</f>
        <v>16.763999999999999</v>
      </c>
      <c r="I31" s="166" t="s">
        <v>296</v>
      </c>
      <c r="J31" s="170">
        <f>VLOOKUP(A31,Tesoro_emis!$A$5:$AA$50,6,FALSE)</f>
        <v>40</v>
      </c>
      <c r="K31" s="166" t="s">
        <v>296</v>
      </c>
      <c r="L31" s="168">
        <f>VLOOKUP(A31,Tesoro_emis!$A$5:$AA$50,27,FALSE)</f>
        <v>0.9144000000000001</v>
      </c>
      <c r="M31" s="166" t="s">
        <v>296</v>
      </c>
      <c r="N31" s="169">
        <f>VLOOKUP(A31,Tesoro_emis!$A$5:$AA$50,26,FALSE)</f>
        <v>10.668000000000001</v>
      </c>
      <c r="O31" s="166" t="s">
        <v>296</v>
      </c>
      <c r="P31" s="169">
        <f>VLOOKUP(A31,Tesoro_emis!$A$5:$AA$50,25,FALSE)</f>
        <v>553.15</v>
      </c>
      <c r="Q31" s="166" t="s">
        <v>296</v>
      </c>
      <c r="R31" s="170">
        <v>1</v>
      </c>
      <c r="S31" s="166" t="s">
        <v>296</v>
      </c>
      <c r="T31" s="171">
        <f>VLOOKUP(A31,Tesoro_emis!$A$5:$AA$50,14,FALSE)</f>
        <v>6.0409627092846271E-3</v>
      </c>
      <c r="U31" s="166" t="s">
        <v>296</v>
      </c>
      <c r="V31" s="170">
        <v>0</v>
      </c>
      <c r="W31" s="171" t="s">
        <v>296</v>
      </c>
      <c r="X31" s="171">
        <f>VLOOKUP(A31,Tesoro_emis!$A$5:$AA$50,9,FALSE)</f>
        <v>0.216036333079655</v>
      </c>
      <c r="Y31" s="166" t="s">
        <v>296</v>
      </c>
      <c r="Z31" s="170">
        <v>0</v>
      </c>
      <c r="AA31" s="166" t="s">
        <v>296</v>
      </c>
      <c r="AB31" s="170">
        <v>0</v>
      </c>
      <c r="AC31" s="166" t="s">
        <v>296</v>
      </c>
      <c r="AD31" s="171">
        <f>VLOOKUP(A31,Tesoro_emis!$A$5:$AA$50,19,FALSE)</f>
        <v>0</v>
      </c>
      <c r="AE31" s="166" t="s">
        <v>296</v>
      </c>
      <c r="AF31" s="171">
        <f>VLOOKUP(A31,Tesoro_emis!$A$5:$AA$50,21,FALSE)</f>
        <v>4.0992246955859971E-3</v>
      </c>
      <c r="AG31" s="166" t="s">
        <v>296</v>
      </c>
      <c r="AH31" s="171">
        <f>VLOOKUP($A$31,Tesoro_emis!$A$5:$AA$50,23,FALSE)</f>
        <v>1.2297674086757993E-2</v>
      </c>
      <c r="AI31" s="166" t="s">
        <v>296</v>
      </c>
      <c r="AJ31" s="171">
        <f>VLOOKUP($A$31,Tesoro_emis!$A$5:$AA$50,11,FALSE)</f>
        <v>1.6396898782343988E-2</v>
      </c>
      <c r="AK31" s="166" t="s">
        <v>296</v>
      </c>
      <c r="AL31" s="171">
        <f>VLOOKUP($A$31,Tesoro_emis!$A$5:$AA$50,11,FALSE)</f>
        <v>1.6396898782343988E-2</v>
      </c>
      <c r="AM31" s="166" t="s">
        <v>296</v>
      </c>
      <c r="AN31" s="171">
        <f>VLOOKUP($A$31,Tesoro_emis!$A$5:$AA$50,16,FALSE)</f>
        <v>0.18151654616945712</v>
      </c>
      <c r="AO31" s="167" t="s">
        <v>293</v>
      </c>
    </row>
    <row r="32" spans="1:41">
      <c r="A32" s="166">
        <f t="shared" si="0"/>
        <v>10</v>
      </c>
      <c r="B32" s="166" t="s">
        <v>293</v>
      </c>
      <c r="C32" s="166" t="s">
        <v>297</v>
      </c>
      <c r="H32" s="168"/>
      <c r="I32" s="168"/>
      <c r="J32" s="168"/>
      <c r="K32" s="168"/>
      <c r="L32" s="168"/>
    </row>
    <row r="33" spans="1:41">
      <c r="A33" s="166">
        <f t="shared" si="0"/>
        <v>11</v>
      </c>
      <c r="B33" s="166" t="s">
        <v>293</v>
      </c>
      <c r="C33" s="166" t="s">
        <v>294</v>
      </c>
      <c r="D33" s="166" t="str">
        <f>VLOOKUP(A33,Tesoro_emis!$A$5:$B$50,2,FALSE)</f>
        <v>TR15</v>
      </c>
      <c r="E33" s="166" t="s">
        <v>293</v>
      </c>
    </row>
    <row r="34" spans="1:41">
      <c r="A34" s="166">
        <f t="shared" si="0"/>
        <v>11</v>
      </c>
      <c r="B34" s="166" t="s">
        <v>293</v>
      </c>
      <c r="C34" s="166" t="s">
        <v>295</v>
      </c>
      <c r="D34" s="168">
        <f>VLOOKUP(A34,Tesoro_emis!$A$5:$AA$50,7,FALSE)</f>
        <v>-20.274505763099999</v>
      </c>
      <c r="E34" s="168" t="s">
        <v>296</v>
      </c>
      <c r="F34" s="168">
        <f>VLOOKUP(A34,Tesoro_emis!$A$5:$AA$50,8,FALSE)</f>
        <v>187.679837574</v>
      </c>
      <c r="G34" s="168" t="s">
        <v>296</v>
      </c>
      <c r="H34" s="169">
        <f>VLOOKUP(A34,Tesoro_emis!$A$5:$AA$50,24,FALSE)</f>
        <v>12.192</v>
      </c>
      <c r="I34" s="166" t="s">
        <v>296</v>
      </c>
      <c r="J34" s="170">
        <f>VLOOKUP(A34,Tesoro_emis!$A$5:$AA$50,6,FALSE)</f>
        <v>40</v>
      </c>
      <c r="K34" s="166" t="s">
        <v>296</v>
      </c>
      <c r="L34" s="168">
        <f>VLOOKUP(A34,Tesoro_emis!$A$5:$AA$50,27,FALSE)</f>
        <v>0.60960000000000003</v>
      </c>
      <c r="M34" s="166" t="s">
        <v>296</v>
      </c>
      <c r="N34" s="169">
        <f>VLOOKUP(A34,Tesoro_emis!$A$5:$AA$50,26,FALSE)</f>
        <v>9.1440000000000001</v>
      </c>
      <c r="O34" s="166" t="s">
        <v>296</v>
      </c>
      <c r="P34" s="169">
        <f>VLOOKUP(A34,Tesoro_emis!$A$5:$AA$50,25,FALSE)</f>
        <v>555.92777777777769</v>
      </c>
      <c r="Q34" s="166" t="s">
        <v>296</v>
      </c>
      <c r="R34" s="170">
        <v>1</v>
      </c>
      <c r="S34" s="166" t="s">
        <v>296</v>
      </c>
      <c r="T34" s="171">
        <f>VLOOKUP(A34,Tesoro_emis!$A$5:$AA$50,14,FALSE)</f>
        <v>0</v>
      </c>
      <c r="U34" s="166" t="s">
        <v>296</v>
      </c>
      <c r="V34" s="170">
        <v>0</v>
      </c>
      <c r="W34" s="171" t="s">
        <v>296</v>
      </c>
      <c r="X34" s="171">
        <f>VLOOKUP(A34,Tesoro_emis!$A$5:$AA$50,9,FALSE)</f>
        <v>1.7259893455098935E-3</v>
      </c>
      <c r="Y34" s="166" t="s">
        <v>296</v>
      </c>
      <c r="Z34" s="170">
        <v>0</v>
      </c>
      <c r="AA34" s="166" t="s">
        <v>296</v>
      </c>
      <c r="AB34" s="170">
        <v>0</v>
      </c>
      <c r="AC34" s="166" t="s">
        <v>296</v>
      </c>
      <c r="AD34" s="171">
        <f>VLOOKUP(A34,Tesoro_emis!$A$5:$AA$50,19,FALSE)</f>
        <v>0</v>
      </c>
      <c r="AE34" s="166" t="s">
        <v>296</v>
      </c>
      <c r="AF34" s="171">
        <f>VLOOKUP(A34,Tesoro_emis!$A$5:$AA$50,21,FALSE)</f>
        <v>0</v>
      </c>
      <c r="AG34" s="166" t="s">
        <v>296</v>
      </c>
      <c r="AH34" s="171">
        <f>VLOOKUP($A$34,Tesoro_emis!$A$5:$AA$50,23,FALSE)</f>
        <v>0</v>
      </c>
      <c r="AI34" s="166" t="s">
        <v>296</v>
      </c>
      <c r="AJ34" s="171">
        <f>VLOOKUP($A$34,Tesoro_emis!$A$5:$AA$50,11,FALSE)</f>
        <v>0</v>
      </c>
      <c r="AK34" s="166" t="s">
        <v>296</v>
      </c>
      <c r="AL34" s="171">
        <f>VLOOKUP($A$34,Tesoro_emis!$A$5:$AA$50,11,FALSE)</f>
        <v>0</v>
      </c>
      <c r="AM34" s="166" t="s">
        <v>296</v>
      </c>
      <c r="AN34" s="171">
        <f>VLOOKUP($A$34,Tesoro_emis!$A$5:$AA$50,16,FALSE)</f>
        <v>1.4383244545915781E-3</v>
      </c>
      <c r="AO34" s="167" t="s">
        <v>293</v>
      </c>
    </row>
    <row r="35" spans="1:41">
      <c r="A35" s="166">
        <f t="shared" si="0"/>
        <v>11</v>
      </c>
      <c r="B35" s="166" t="s">
        <v>293</v>
      </c>
      <c r="C35" s="166" t="s">
        <v>297</v>
      </c>
      <c r="H35" s="168"/>
      <c r="I35" s="168"/>
      <c r="J35" s="168"/>
      <c r="K35" s="168"/>
      <c r="L35" s="168"/>
    </row>
    <row r="36" spans="1:41">
      <c r="A36" s="166">
        <f t="shared" si="0"/>
        <v>12</v>
      </c>
      <c r="B36" s="166" t="s">
        <v>293</v>
      </c>
      <c r="C36" s="166" t="s">
        <v>294</v>
      </c>
      <c r="D36" s="166" t="str">
        <f>VLOOKUP(A36,Tesoro_emis!$A$5:$B$50,2,FALSE)</f>
        <v>TR16</v>
      </c>
      <c r="E36" s="166" t="s">
        <v>293</v>
      </c>
    </row>
    <row r="37" spans="1:41">
      <c r="A37" s="166">
        <f t="shared" si="0"/>
        <v>12</v>
      </c>
      <c r="B37" s="166" t="s">
        <v>293</v>
      </c>
      <c r="C37" s="166" t="s">
        <v>295</v>
      </c>
      <c r="D37" s="168">
        <f>VLOOKUP(A37,Tesoro_emis!$A$5:$AA$50,7,FALSE)</f>
        <v>-20.2805656347</v>
      </c>
      <c r="E37" s="168" t="s">
        <v>296</v>
      </c>
      <c r="F37" s="168">
        <f>VLOOKUP(A37,Tesoro_emis!$A$5:$AA$50,8,FALSE)</f>
        <v>187.678710185</v>
      </c>
      <c r="G37" s="168" t="s">
        <v>296</v>
      </c>
      <c r="H37" s="169">
        <f>VLOOKUP(A37,Tesoro_emis!$A$5:$AA$50,24,FALSE)</f>
        <v>12.192</v>
      </c>
      <c r="I37" s="166" t="s">
        <v>296</v>
      </c>
      <c r="J37" s="170">
        <f>VLOOKUP(A37,Tesoro_emis!$A$5:$AA$50,6,FALSE)</f>
        <v>40</v>
      </c>
      <c r="K37" s="166" t="s">
        <v>296</v>
      </c>
      <c r="L37" s="168">
        <f>VLOOKUP(A37,Tesoro_emis!$A$5:$AA$50,27,FALSE)</f>
        <v>0.60960000000000003</v>
      </c>
      <c r="M37" s="166" t="s">
        <v>296</v>
      </c>
      <c r="N37" s="169">
        <f>VLOOKUP(A37,Tesoro_emis!$A$5:$AA$50,26,FALSE)</f>
        <v>9.1440000000000001</v>
      </c>
      <c r="O37" s="166" t="s">
        <v>296</v>
      </c>
      <c r="P37" s="169">
        <f>VLOOKUP(A37,Tesoro_emis!$A$5:$AA$50,25,FALSE)</f>
        <v>555.92777777777769</v>
      </c>
      <c r="Q37" s="166" t="s">
        <v>296</v>
      </c>
      <c r="R37" s="170">
        <v>1</v>
      </c>
      <c r="S37" s="166" t="s">
        <v>296</v>
      </c>
      <c r="T37" s="171">
        <f>VLOOKUP(A37,Tesoro_emis!$A$5:$AA$50,14,FALSE)</f>
        <v>1.7259893455098935E-3</v>
      </c>
      <c r="U37" s="166" t="s">
        <v>296</v>
      </c>
      <c r="V37" s="170">
        <v>0</v>
      </c>
      <c r="W37" s="171" t="s">
        <v>296</v>
      </c>
      <c r="X37" s="171">
        <f>VLOOKUP(A37,Tesoro_emis!$A$5:$AA$50,9,FALSE)</f>
        <v>6.2135616438356168E-2</v>
      </c>
      <c r="Y37" s="166" t="s">
        <v>296</v>
      </c>
      <c r="Z37" s="170">
        <v>0</v>
      </c>
      <c r="AA37" s="166" t="s">
        <v>296</v>
      </c>
      <c r="AB37" s="170">
        <v>0</v>
      </c>
      <c r="AC37" s="166" t="s">
        <v>296</v>
      </c>
      <c r="AD37" s="171">
        <f>VLOOKUP(A37,Tesoro_emis!$A$5:$AA$50,19,FALSE)</f>
        <v>0</v>
      </c>
      <c r="AE37" s="166" t="s">
        <v>296</v>
      </c>
      <c r="AF37" s="171">
        <f>VLOOKUP(A37,Tesoro_emis!$A$5:$AA$50,21,FALSE)</f>
        <v>2.2527080587111782E-3</v>
      </c>
      <c r="AG37" s="166" t="s">
        <v>296</v>
      </c>
      <c r="AH37" s="171">
        <f>VLOOKUP($A$37,Tesoro_emis!$A$5:$AA$50,23,FALSE)</f>
        <v>2.3499301959818714E-3</v>
      </c>
      <c r="AI37" s="166" t="s">
        <v>296</v>
      </c>
      <c r="AJ37" s="171">
        <f>VLOOKUP($A$37,Tesoro_emis!$A$5:$AA$50,11,FALSE)</f>
        <v>4.6026382546930497E-3</v>
      </c>
      <c r="AK37" s="166" t="s">
        <v>296</v>
      </c>
      <c r="AL37" s="171">
        <f>VLOOKUP($A$37,Tesoro_emis!$A$5:$AA$50,11,FALSE)</f>
        <v>4.6026382546930497E-3</v>
      </c>
      <c r="AM37" s="166" t="s">
        <v>296</v>
      </c>
      <c r="AN37" s="171">
        <f>VLOOKUP($A$37,Tesoro_emis!$A$5:$AA$50,16,FALSE)</f>
        <v>5.2355010147133438E-2</v>
      </c>
      <c r="AO37" s="167" t="s">
        <v>293</v>
      </c>
    </row>
    <row r="38" spans="1:41">
      <c r="A38" s="166">
        <f t="shared" si="0"/>
        <v>12</v>
      </c>
      <c r="B38" s="166" t="s">
        <v>293</v>
      </c>
      <c r="C38" s="166" t="s">
        <v>297</v>
      </c>
      <c r="H38" s="168"/>
      <c r="I38" s="168"/>
      <c r="J38" s="168"/>
      <c r="K38" s="168"/>
      <c r="L38" s="168"/>
    </row>
    <row r="39" spans="1:41">
      <c r="A39" s="166">
        <f t="shared" si="0"/>
        <v>13</v>
      </c>
      <c r="B39" s="166" t="s">
        <v>293</v>
      </c>
      <c r="C39" s="166" t="s">
        <v>294</v>
      </c>
      <c r="D39" s="166" t="str">
        <f>VLOOKUP(A39,Tesoro_emis!$A$5:$B$50,2,FALSE)</f>
        <v>TR17</v>
      </c>
      <c r="E39" s="166" t="s">
        <v>293</v>
      </c>
    </row>
    <row r="40" spans="1:41">
      <c r="A40" s="166">
        <f t="shared" si="0"/>
        <v>13</v>
      </c>
      <c r="B40" s="166" t="s">
        <v>293</v>
      </c>
      <c r="C40" s="166" t="s">
        <v>295</v>
      </c>
      <c r="D40" s="168">
        <f>VLOOKUP(A40,Tesoro_emis!$A$5:$AA$50,7,FALSE)</f>
        <v>-20.174655756700002</v>
      </c>
      <c r="E40" s="168" t="s">
        <v>296</v>
      </c>
      <c r="F40" s="168">
        <f>VLOOKUP(A40,Tesoro_emis!$A$5:$AA$50,8,FALSE)</f>
        <v>187.39354538800001</v>
      </c>
      <c r="G40" s="168" t="s">
        <v>296</v>
      </c>
      <c r="H40" s="169">
        <f>VLOOKUP(A40,Tesoro_emis!$A$5:$AA$50,24,FALSE)</f>
        <v>4.8768000000000002</v>
      </c>
      <c r="I40" s="166" t="s">
        <v>296</v>
      </c>
      <c r="J40" s="170">
        <f>VLOOKUP(A40,Tesoro_emis!$A$5:$AA$50,6,FALSE)</f>
        <v>40</v>
      </c>
      <c r="K40" s="166" t="s">
        <v>296</v>
      </c>
      <c r="L40" s="168">
        <f>VLOOKUP(A40,Tesoro_emis!$A$5:$AA$50,27,FALSE)</f>
        <v>0.12</v>
      </c>
      <c r="M40" s="166" t="s">
        <v>296</v>
      </c>
      <c r="N40" s="169">
        <f>VLOOKUP(A40,Tesoro_emis!$A$5:$AA$50,26,FALSE)</f>
        <v>65.836799999999997</v>
      </c>
      <c r="O40" s="166" t="s">
        <v>296</v>
      </c>
      <c r="P40" s="169">
        <f>VLOOKUP(A40,Tesoro_emis!$A$5:$AA$50,25,FALSE)</f>
        <v>599.81666666666661</v>
      </c>
      <c r="Q40" s="166" t="s">
        <v>296</v>
      </c>
      <c r="R40" s="170">
        <v>1</v>
      </c>
      <c r="S40" s="166" t="s">
        <v>296</v>
      </c>
      <c r="T40" s="171">
        <f>VLOOKUP(A40,Tesoro_emis!$A$5:$AA$50,14,FALSE)</f>
        <v>8.6299467275494676E-4</v>
      </c>
      <c r="U40" s="166" t="s">
        <v>296</v>
      </c>
      <c r="V40" s="170">
        <v>0</v>
      </c>
      <c r="W40" s="171" t="s">
        <v>296</v>
      </c>
      <c r="X40" s="171">
        <f>VLOOKUP(A40,Tesoro_emis!$A$5:$AA$50,9,FALSE)</f>
        <v>3.4519786910197872E-2</v>
      </c>
      <c r="Y40" s="166" t="s">
        <v>296</v>
      </c>
      <c r="Z40" s="170">
        <v>0</v>
      </c>
      <c r="AA40" s="166" t="s">
        <v>296</v>
      </c>
      <c r="AB40" s="170">
        <v>0</v>
      </c>
      <c r="AC40" s="166" t="s">
        <v>296</v>
      </c>
      <c r="AD40" s="171">
        <f>VLOOKUP(A40,Tesoro_emis!$A$5:$AA$50,19,FALSE)</f>
        <v>0</v>
      </c>
      <c r="AE40" s="166" t="s">
        <v>296</v>
      </c>
      <c r="AF40" s="171">
        <f>VLOOKUP(A40,Tesoro_emis!$A$5:$AA$50,21,FALSE)</f>
        <v>6.4724600456621002E-4</v>
      </c>
      <c r="AG40" s="166" t="s">
        <v>296</v>
      </c>
      <c r="AH40" s="171">
        <f>VLOOKUP($A$40,Tesoro_emis!$A$5:$AA$50,23,FALSE)</f>
        <v>1.9417380136986303E-3</v>
      </c>
      <c r="AI40" s="166" t="s">
        <v>296</v>
      </c>
      <c r="AJ40" s="171">
        <f>VLOOKUP($A$40,Tesoro_emis!$A$5:$AA$50,11,FALSE)</f>
        <v>2.5889840182648401E-3</v>
      </c>
      <c r="AK40" s="166" t="s">
        <v>296</v>
      </c>
      <c r="AL40" s="171">
        <f>VLOOKUP($A$40,Tesoro_emis!$A$5:$AA$50,11,FALSE)</f>
        <v>2.5889840182648401E-3</v>
      </c>
      <c r="AM40" s="166" t="s">
        <v>296</v>
      </c>
      <c r="AN40" s="171">
        <f>VLOOKUP($A$40,Tesoro_emis!$A$5:$AA$50,16,FALSE)</f>
        <v>2.9054153982749874E-2</v>
      </c>
      <c r="AO40" s="167" t="s">
        <v>293</v>
      </c>
    </row>
    <row r="41" spans="1:41">
      <c r="A41" s="166">
        <f t="shared" si="0"/>
        <v>13</v>
      </c>
      <c r="B41" s="166" t="s">
        <v>293</v>
      </c>
      <c r="C41" s="166" t="s">
        <v>297</v>
      </c>
      <c r="H41" s="168"/>
      <c r="I41" s="168"/>
      <c r="J41" s="168"/>
      <c r="K41" s="168"/>
      <c r="L41" s="168"/>
    </row>
    <row r="42" spans="1:41">
      <c r="A42" s="166">
        <f t="shared" si="0"/>
        <v>14</v>
      </c>
      <c r="B42" s="166" t="s">
        <v>293</v>
      </c>
      <c r="C42" s="166" t="s">
        <v>294</v>
      </c>
      <c r="D42" s="166" t="str">
        <f>VLOOKUP(A42,Tesoro_emis!$A$5:$B$50,2,FALSE)</f>
        <v>TR18</v>
      </c>
      <c r="E42" s="166" t="s">
        <v>293</v>
      </c>
    </row>
    <row r="43" spans="1:41">
      <c r="A43" s="166">
        <f t="shared" si="0"/>
        <v>14</v>
      </c>
      <c r="B43" s="166" t="s">
        <v>293</v>
      </c>
      <c r="C43" s="166" t="s">
        <v>295</v>
      </c>
      <c r="D43" s="168">
        <f>VLOOKUP(A43,Tesoro_emis!$A$5:$AA$50,7,FALSE)</f>
        <v>-20.2866904117</v>
      </c>
      <c r="E43" s="168" t="s">
        <v>296</v>
      </c>
      <c r="F43" s="168">
        <f>VLOOKUP(A43,Tesoro_emis!$A$5:$AA$50,8,FALSE)</f>
        <v>187.67879004100001</v>
      </c>
      <c r="G43" s="168" t="s">
        <v>296</v>
      </c>
      <c r="H43" s="169">
        <f>VLOOKUP(A43,Tesoro_emis!$A$5:$AA$50,24,FALSE)</f>
        <v>12.192</v>
      </c>
      <c r="I43" s="166" t="s">
        <v>296</v>
      </c>
      <c r="J43" s="170">
        <f>VLOOKUP(A43,Tesoro_emis!$A$5:$AA$50,6,FALSE)</f>
        <v>40</v>
      </c>
      <c r="K43" s="166" t="s">
        <v>296</v>
      </c>
      <c r="L43" s="168">
        <f>VLOOKUP(A43,Tesoro_emis!$A$5:$AA$50,27,FALSE)</f>
        <v>0.60960000000000003</v>
      </c>
      <c r="M43" s="166" t="s">
        <v>296</v>
      </c>
      <c r="N43" s="169">
        <f>VLOOKUP(A43,Tesoro_emis!$A$5:$AA$50,26,FALSE)</f>
        <v>8.5343999999999998</v>
      </c>
      <c r="O43" s="166" t="s">
        <v>296</v>
      </c>
      <c r="P43" s="169">
        <f>VLOOKUP(A43,Tesoro_emis!$A$5:$AA$50,25,FALSE)</f>
        <v>450.37222222222221</v>
      </c>
      <c r="Q43" s="166" t="s">
        <v>296</v>
      </c>
      <c r="R43" s="170">
        <v>1</v>
      </c>
      <c r="S43" s="166" t="s">
        <v>296</v>
      </c>
      <c r="T43" s="171">
        <f>VLOOKUP(A43,Tesoro_emis!$A$5:$AA$50,14,FALSE)</f>
        <v>2.876648909183156E-4</v>
      </c>
      <c r="U43" s="166" t="s">
        <v>296</v>
      </c>
      <c r="V43" s="170">
        <v>0</v>
      </c>
      <c r="W43" s="171" t="s">
        <v>296</v>
      </c>
      <c r="X43" s="171">
        <f>VLOOKUP(A43,Tesoro_emis!$A$5:$AA$50,9,FALSE)</f>
        <v>5.8395972856418059E-2</v>
      </c>
      <c r="Y43" s="166" t="s">
        <v>296</v>
      </c>
      <c r="Z43" s="170">
        <v>0</v>
      </c>
      <c r="AA43" s="166" t="s">
        <v>296</v>
      </c>
      <c r="AB43" s="170">
        <v>0</v>
      </c>
      <c r="AC43" s="166" t="s">
        <v>296</v>
      </c>
      <c r="AD43" s="171">
        <f>VLOOKUP(A43,Tesoro_emis!$A$5:$AA$50,19,FALSE)</f>
        <v>0</v>
      </c>
      <c r="AE43" s="166" t="s">
        <v>296</v>
      </c>
      <c r="AF43" s="171">
        <f>VLOOKUP(A43,Tesoro_emis!$A$5:$AA$50,21,FALSE)</f>
        <v>2.1119138050417299E-3</v>
      </c>
      <c r="AG43" s="166" t="s">
        <v>296</v>
      </c>
      <c r="AH43" s="171">
        <f>VLOOKUP($A$43,Tesoro_emis!$A$5:$AA$50,23,FALSE)</f>
        <v>2.2030595587330046E-3</v>
      </c>
      <c r="AI43" s="166" t="s">
        <v>296</v>
      </c>
      <c r="AJ43" s="171">
        <f>VLOOKUP($A$43,Tesoro_emis!$A$5:$AA$50,11,FALSE)</f>
        <v>4.314973363774734E-3</v>
      </c>
      <c r="AK43" s="166" t="s">
        <v>296</v>
      </c>
      <c r="AL43" s="171">
        <f>VLOOKUP($A$43,Tesoro_emis!$A$5:$AA$50,11,FALSE)</f>
        <v>4.314973363774734E-3</v>
      </c>
      <c r="AM43" s="166" t="s">
        <v>296</v>
      </c>
      <c r="AN43" s="171">
        <f>VLOOKUP($A$43,Tesoro_emis!$A$5:$AA$50,16,FALSE)</f>
        <v>4.8903031456113646E-2</v>
      </c>
      <c r="AO43" s="167" t="s">
        <v>293</v>
      </c>
    </row>
    <row r="44" spans="1:41">
      <c r="A44" s="166">
        <f t="shared" si="0"/>
        <v>14</v>
      </c>
      <c r="B44" s="166" t="s">
        <v>293</v>
      </c>
      <c r="C44" s="166" t="s">
        <v>297</v>
      </c>
      <c r="H44" s="168"/>
      <c r="I44" s="168"/>
      <c r="J44" s="168"/>
      <c r="K44" s="168"/>
      <c r="L44" s="168"/>
    </row>
    <row r="45" spans="1:41">
      <c r="A45" s="166">
        <f t="shared" si="0"/>
        <v>15</v>
      </c>
      <c r="B45" s="166" t="s">
        <v>293</v>
      </c>
      <c r="C45" s="166" t="s">
        <v>294</v>
      </c>
      <c r="D45" s="166" t="str">
        <f>VLOOKUP(A45,Tesoro_emis!$A$5:$B$50,2,FALSE)</f>
        <v>TR19</v>
      </c>
      <c r="E45" s="166" t="s">
        <v>293</v>
      </c>
    </row>
    <row r="46" spans="1:41">
      <c r="A46" s="166">
        <f t="shared" si="0"/>
        <v>15</v>
      </c>
      <c r="B46" s="166" t="s">
        <v>293</v>
      </c>
      <c r="C46" s="166" t="s">
        <v>295</v>
      </c>
      <c r="D46" s="168">
        <f>VLOOKUP(A46,Tesoro_emis!$A$5:$AA$50,7,FALSE)</f>
        <v>-20.1685376328</v>
      </c>
      <c r="E46" s="168" t="s">
        <v>296</v>
      </c>
      <c r="F46" s="168">
        <f>VLOOKUP(A46,Tesoro_emis!$A$5:$AA$50,8,FALSE)</f>
        <v>187.65251059799999</v>
      </c>
      <c r="G46" s="168" t="s">
        <v>296</v>
      </c>
      <c r="H46" s="169">
        <f>VLOOKUP(A46,Tesoro_emis!$A$5:$AA$50,24,FALSE)</f>
        <v>4.5720000000000001</v>
      </c>
      <c r="I46" s="166" t="s">
        <v>296</v>
      </c>
      <c r="J46" s="170">
        <f>VLOOKUP(A46,Tesoro_emis!$A$5:$AA$50,6,FALSE)</f>
        <v>40</v>
      </c>
      <c r="K46" s="166" t="s">
        <v>296</v>
      </c>
      <c r="L46" s="168">
        <f>VLOOKUP(A46,Tesoro_emis!$A$5:$AA$50,27,FALSE)</f>
        <v>0.9144000000000001</v>
      </c>
      <c r="M46" s="166" t="s">
        <v>296</v>
      </c>
      <c r="N46" s="169">
        <f>VLOOKUP(A46,Tesoro_emis!$A$5:$AA$50,26,FALSE)</f>
        <v>2.4384000000000001</v>
      </c>
      <c r="O46" s="166" t="s">
        <v>296</v>
      </c>
      <c r="P46" s="169">
        <f>VLOOKUP(A46,Tesoro_emis!$A$5:$AA$50,25,FALSE)</f>
        <v>449.81666666666666</v>
      </c>
      <c r="Q46" s="166" t="s">
        <v>296</v>
      </c>
      <c r="R46" s="170">
        <v>1</v>
      </c>
      <c r="S46" s="166" t="s">
        <v>296</v>
      </c>
      <c r="T46" s="171">
        <f>VLOOKUP(A46,Tesoro_emis!$A$5:$AA$50,14,FALSE)</f>
        <v>2.876648909183156E-4</v>
      </c>
      <c r="U46" s="166" t="s">
        <v>296</v>
      </c>
      <c r="V46" s="170">
        <v>0</v>
      </c>
      <c r="W46" s="171" t="s">
        <v>296</v>
      </c>
      <c r="X46" s="171">
        <f>VLOOKUP(A46,Tesoro_emis!$A$5:$AA$50,9,FALSE)</f>
        <v>6.6738254693049212E-2</v>
      </c>
      <c r="Y46" s="166" t="s">
        <v>296</v>
      </c>
      <c r="Z46" s="170">
        <v>0</v>
      </c>
      <c r="AA46" s="166" t="s">
        <v>296</v>
      </c>
      <c r="AB46" s="170">
        <v>0</v>
      </c>
      <c r="AC46" s="166" t="s">
        <v>296</v>
      </c>
      <c r="AD46" s="171">
        <f>VLOOKUP(A46,Tesoro_emis!$A$5:$AA$50,19,FALSE)</f>
        <v>0</v>
      </c>
      <c r="AE46" s="166" t="s">
        <v>296</v>
      </c>
      <c r="AF46" s="171">
        <f>VLOOKUP(A46,Tesoro_emis!$A$5:$AA$50,21,FALSE)</f>
        <v>1.29449200913242E-3</v>
      </c>
      <c r="AG46" s="166" t="s">
        <v>296</v>
      </c>
      <c r="AH46" s="171">
        <f>VLOOKUP($A$46,Tesoro_emis!$A$5:$AA$50,23,FALSE)</f>
        <v>3.8834760273972605E-3</v>
      </c>
      <c r="AI46" s="166" t="s">
        <v>296</v>
      </c>
      <c r="AJ46" s="171">
        <f>VLOOKUP($A$46,Tesoro_emis!$A$5:$AA$50,11,FALSE)</f>
        <v>5.1779680365296801E-3</v>
      </c>
      <c r="AK46" s="166" t="s">
        <v>296</v>
      </c>
      <c r="AL46" s="171">
        <f>VLOOKUP($A$46,Tesoro_emis!$A$5:$AA$50,11,FALSE)</f>
        <v>5.1779680365296801E-3</v>
      </c>
      <c r="AM46" s="166" t="s">
        <v>296</v>
      </c>
      <c r="AN46" s="171">
        <f>VLOOKUP($A$46,Tesoro_emis!$A$5:$AA$50,16,FALSE)</f>
        <v>5.6094653729071541E-2</v>
      </c>
      <c r="AO46" s="167" t="s">
        <v>293</v>
      </c>
    </row>
    <row r="47" spans="1:41">
      <c r="A47" s="166">
        <f t="shared" si="0"/>
        <v>15</v>
      </c>
      <c r="B47" s="166" t="s">
        <v>293</v>
      </c>
      <c r="C47" s="166" t="s">
        <v>297</v>
      </c>
      <c r="H47" s="168"/>
      <c r="I47" s="168"/>
      <c r="J47" s="168"/>
      <c r="K47" s="168"/>
      <c r="L47" s="168"/>
    </row>
    <row r="48" spans="1:41">
      <c r="A48" s="166">
        <f t="shared" si="0"/>
        <v>16</v>
      </c>
      <c r="B48" s="166" t="s">
        <v>293</v>
      </c>
      <c r="C48" s="166" t="s">
        <v>294</v>
      </c>
      <c r="D48" s="166" t="str">
        <f>VLOOKUP(A48,Tesoro_emis!$A$5:$B$50,2,FALSE)</f>
        <v>TR20</v>
      </c>
      <c r="E48" s="166" t="s">
        <v>293</v>
      </c>
    </row>
    <row r="49" spans="1:41">
      <c r="A49" s="166">
        <f t="shared" si="0"/>
        <v>16</v>
      </c>
      <c r="B49" s="166" t="s">
        <v>293</v>
      </c>
      <c r="C49" s="166" t="s">
        <v>295</v>
      </c>
      <c r="D49" s="168">
        <f>VLOOKUP(A49,Tesoro_emis!$A$5:$AA$50,7,FALSE)</f>
        <v>-20.083795095799999</v>
      </c>
      <c r="E49" s="168" t="s">
        <v>296</v>
      </c>
      <c r="F49" s="168">
        <f>VLOOKUP(A49,Tesoro_emis!$A$5:$AA$50,8,FALSE)</f>
        <v>187.63434594200001</v>
      </c>
      <c r="G49" s="168" t="s">
        <v>296</v>
      </c>
      <c r="H49" s="169">
        <f>VLOOKUP(A49,Tesoro_emis!$A$5:$AA$50,24,FALSE)</f>
        <v>21.336000000000002</v>
      </c>
      <c r="I49" s="166" t="s">
        <v>296</v>
      </c>
      <c r="J49" s="170">
        <f>VLOOKUP(A49,Tesoro_emis!$A$5:$AA$50,6,FALSE)</f>
        <v>40</v>
      </c>
      <c r="K49" s="166" t="s">
        <v>296</v>
      </c>
      <c r="L49" s="168">
        <f>VLOOKUP(A49,Tesoro_emis!$A$5:$AA$50,27,FALSE)</f>
        <v>1.2192000000000001</v>
      </c>
      <c r="M49" s="166" t="s">
        <v>296</v>
      </c>
      <c r="N49" s="169">
        <f>VLOOKUP(A49,Tesoro_emis!$A$5:$AA$50,26,FALSE)</f>
        <v>21.031200000000002</v>
      </c>
      <c r="O49" s="166" t="s">
        <v>296</v>
      </c>
      <c r="P49" s="169">
        <f>VLOOKUP(A49,Tesoro_emis!$A$5:$AA$50,25,FALSE)</f>
        <v>446.48333333333335</v>
      </c>
      <c r="Q49" s="166" t="s">
        <v>296</v>
      </c>
      <c r="R49" s="170">
        <v>1</v>
      </c>
      <c r="S49" s="166" t="s">
        <v>296</v>
      </c>
      <c r="T49" s="171">
        <f>VLOOKUP(A49,Tesoro_emis!$A$5:$AA$50,14,FALSE)</f>
        <v>2.9629483764586507E-2</v>
      </c>
      <c r="U49" s="166" t="s">
        <v>296</v>
      </c>
      <c r="V49" s="170">
        <v>0</v>
      </c>
      <c r="W49" s="171" t="s">
        <v>296</v>
      </c>
      <c r="X49" s="171">
        <f>VLOOKUP(A49,Tesoro_emis!$A$5:$AA$50,9,FALSE)</f>
        <v>0.44214093734145105</v>
      </c>
      <c r="Y49" s="166" t="s">
        <v>296</v>
      </c>
      <c r="Z49" s="170">
        <v>0</v>
      </c>
      <c r="AA49" s="166" t="s">
        <v>296</v>
      </c>
      <c r="AB49" s="170">
        <v>0</v>
      </c>
      <c r="AC49" s="166" t="s">
        <v>296</v>
      </c>
      <c r="AD49" s="171">
        <f>VLOOKUP(A49,Tesoro_emis!$A$5:$AA$50,19,FALSE)</f>
        <v>0</v>
      </c>
      <c r="AE49" s="166" t="s">
        <v>296</v>
      </c>
      <c r="AF49" s="171">
        <f>VLOOKUP(A49,Tesoro_emis!$A$5:$AA$50,21,FALSE)</f>
        <v>1.0284019850329782E-2</v>
      </c>
      <c r="AG49" s="166" t="s">
        <v>296</v>
      </c>
      <c r="AH49" s="171">
        <f>VLOOKUP($A$49,Tesoro_emis!$A$5:$AA$50,23,FALSE)</f>
        <v>3.0852059550989352E-2</v>
      </c>
      <c r="AI49" s="166" t="s">
        <v>296</v>
      </c>
      <c r="AJ49" s="171">
        <f>VLOOKUP($A$49,Tesoro_emis!$A$5:$AA$50,11,FALSE)</f>
        <v>4.113607940131913E-2</v>
      </c>
      <c r="AK49" s="166" t="s">
        <v>296</v>
      </c>
      <c r="AL49" s="171">
        <f>VLOOKUP($A$49,Tesoro_emis!$A$5:$AA$50,11,FALSE)</f>
        <v>4.113607940131913E-2</v>
      </c>
      <c r="AM49" s="166" t="s">
        <v>296</v>
      </c>
      <c r="AN49" s="171">
        <f>VLOOKUP($A$49,Tesoro_emis!$A$5:$AA$50,16,FALSE)</f>
        <v>0.4553735223236936</v>
      </c>
      <c r="AO49" s="167" t="s">
        <v>293</v>
      </c>
    </row>
    <row r="50" spans="1:41">
      <c r="A50" s="166">
        <f t="shared" si="0"/>
        <v>16</v>
      </c>
      <c r="B50" s="166" t="s">
        <v>293</v>
      </c>
      <c r="C50" s="166" t="s">
        <v>297</v>
      </c>
      <c r="H50" s="168"/>
      <c r="I50" s="168"/>
      <c r="J50" s="168"/>
      <c r="K50" s="168"/>
      <c r="L50" s="168"/>
    </row>
    <row r="51" spans="1:41">
      <c r="A51" s="166">
        <f t="shared" si="0"/>
        <v>17</v>
      </c>
      <c r="B51" s="166" t="s">
        <v>293</v>
      </c>
      <c r="C51" s="166" t="s">
        <v>294</v>
      </c>
      <c r="D51" s="166" t="str">
        <f>VLOOKUP(A51,Tesoro_emis!$A$5:$B$50,2,FALSE)</f>
        <v>TR21_26</v>
      </c>
      <c r="E51" s="166" t="s">
        <v>293</v>
      </c>
    </row>
    <row r="52" spans="1:41">
      <c r="A52" s="166">
        <f t="shared" si="0"/>
        <v>17</v>
      </c>
      <c r="B52" s="166" t="s">
        <v>293</v>
      </c>
      <c r="C52" s="166" t="s">
        <v>295</v>
      </c>
      <c r="D52" s="168">
        <f>VLOOKUP(A52,Tesoro_emis!$A$5:$AA$50,7,FALSE)</f>
        <v>-20.098797271900001</v>
      </c>
      <c r="E52" s="168" t="s">
        <v>296</v>
      </c>
      <c r="F52" s="168">
        <f>VLOOKUP(A52,Tesoro_emis!$A$5:$AA$50,8,FALSE)</f>
        <v>187.68722382799999</v>
      </c>
      <c r="G52" s="168" t="s">
        <v>296</v>
      </c>
      <c r="H52" s="169">
        <f>VLOOKUP(A52,Tesoro_emis!$A$5:$AA$50,24,FALSE)</f>
        <v>30.48</v>
      </c>
      <c r="I52" s="166" t="s">
        <v>296</v>
      </c>
      <c r="J52" s="170">
        <f>VLOOKUP(A52,Tesoro_emis!$A$5:$AA$50,6,FALSE)</f>
        <v>40</v>
      </c>
      <c r="K52" s="166" t="s">
        <v>296</v>
      </c>
      <c r="L52" s="168">
        <f>VLOOKUP(A52,Tesoro_emis!$A$5:$AA$50,27,FALSE)</f>
        <v>0.9144000000000001</v>
      </c>
      <c r="M52" s="166" t="s">
        <v>296</v>
      </c>
      <c r="N52" s="169">
        <f>VLOOKUP(A52,Tesoro_emis!$A$5:$AA$50,26,FALSE)</f>
        <v>0.9144000000000001</v>
      </c>
      <c r="O52" s="166" t="s">
        <v>296</v>
      </c>
      <c r="P52" s="169">
        <f>VLOOKUP(A52,Tesoro_emis!$A$5:$AA$50,25,FALSE)</f>
        <v>449.81666666666666</v>
      </c>
      <c r="Q52" s="166" t="s">
        <v>296</v>
      </c>
      <c r="R52" s="170">
        <v>1</v>
      </c>
      <c r="S52" s="166" t="s">
        <v>296</v>
      </c>
      <c r="T52" s="171">
        <f>VLOOKUP(A52,Tesoro_emis!$A$5:$AA$50,14,FALSE)</f>
        <v>0</v>
      </c>
      <c r="U52" s="166" t="s">
        <v>296</v>
      </c>
      <c r="V52" s="170">
        <v>0</v>
      </c>
      <c r="W52" s="171" t="s">
        <v>296</v>
      </c>
      <c r="X52" s="171">
        <f>VLOOKUP(A52,Tesoro_emis!$A$5:$AA$50,9,FALSE)</f>
        <v>4.0560749619482493E-2</v>
      </c>
      <c r="Y52" s="166" t="s">
        <v>296</v>
      </c>
      <c r="Z52" s="170">
        <v>0</v>
      </c>
      <c r="AA52" s="166" t="s">
        <v>296</v>
      </c>
      <c r="AB52" s="170">
        <v>0</v>
      </c>
      <c r="AC52" s="166" t="s">
        <v>296</v>
      </c>
      <c r="AD52" s="171">
        <f>VLOOKUP(A52,Tesoro_emis!$A$5:$AA$50,19,FALSE)</f>
        <v>0</v>
      </c>
      <c r="AE52" s="166" t="s">
        <v>296</v>
      </c>
      <c r="AF52" s="171">
        <f>VLOOKUP(A52,Tesoro_emis!$A$5:$AA$50,21,FALSE)</f>
        <v>7.9107845002536785E-4</v>
      </c>
      <c r="AG52" s="166" t="s">
        <v>296</v>
      </c>
      <c r="AH52" s="171">
        <f>VLOOKUP($A$52,Tesoro_emis!$A$5:$AA$50,23,FALSE)</f>
        <v>2.373235350076104E-3</v>
      </c>
      <c r="AI52" s="166" t="s">
        <v>296</v>
      </c>
      <c r="AJ52" s="171">
        <f>VLOOKUP($A$52,Tesoro_emis!$A$5:$AA$50,11,FALSE)</f>
        <v>3.1643138001014714E-3</v>
      </c>
      <c r="AK52" s="166" t="s">
        <v>296</v>
      </c>
      <c r="AL52" s="171">
        <f>VLOOKUP($A$52,Tesoro_emis!$A$5:$AA$50,11,FALSE)</f>
        <v>3.1643138001014714E-3</v>
      </c>
      <c r="AM52" s="166" t="s">
        <v>296</v>
      </c>
      <c r="AN52" s="171">
        <f>VLOOKUP($A$52,Tesoro_emis!$A$5:$AA$50,16,FALSE)</f>
        <v>3.4519786910197872E-2</v>
      </c>
      <c r="AO52" s="167" t="s">
        <v>293</v>
      </c>
    </row>
    <row r="53" spans="1:41">
      <c r="A53" s="166">
        <f t="shared" si="0"/>
        <v>17</v>
      </c>
      <c r="B53" s="166" t="s">
        <v>293</v>
      </c>
      <c r="C53" s="166" t="s">
        <v>297</v>
      </c>
      <c r="H53" s="168"/>
      <c r="I53" s="168"/>
      <c r="J53" s="168"/>
      <c r="K53" s="168"/>
      <c r="L53" s="168"/>
    </row>
    <row r="54" spans="1:41">
      <c r="A54" s="166">
        <f t="shared" si="0"/>
        <v>18</v>
      </c>
      <c r="B54" s="166" t="s">
        <v>293</v>
      </c>
      <c r="C54" s="166" t="s">
        <v>294</v>
      </c>
      <c r="D54" s="166" t="str">
        <f>VLOOKUP(A54,Tesoro_emis!$A$5:$B$50,2,FALSE)</f>
        <v>TR27</v>
      </c>
      <c r="E54" s="166" t="s">
        <v>293</v>
      </c>
    </row>
    <row r="55" spans="1:41">
      <c r="A55" s="166">
        <f t="shared" si="0"/>
        <v>18</v>
      </c>
      <c r="B55" s="166" t="s">
        <v>293</v>
      </c>
      <c r="C55" s="166" t="s">
        <v>295</v>
      </c>
      <c r="D55" s="168">
        <f>VLOOKUP(A55,Tesoro_emis!$A$5:$AA$50,7,FALSE)</f>
        <v>-20.192723496100001</v>
      </c>
      <c r="E55" s="168" t="s">
        <v>296</v>
      </c>
      <c r="F55" s="168">
        <f>VLOOKUP(A55,Tesoro_emis!$A$5:$AA$50,8,FALSE)</f>
        <v>187.66346805500001</v>
      </c>
      <c r="G55" s="168" t="s">
        <v>296</v>
      </c>
      <c r="H55" s="169">
        <f>VLOOKUP(A55,Tesoro_emis!$A$5:$AA$50,24,FALSE)</f>
        <v>14.020800000000001</v>
      </c>
      <c r="I55" s="166" t="s">
        <v>296</v>
      </c>
      <c r="J55" s="170">
        <f>VLOOKUP(A55,Tesoro_emis!$A$5:$AA$50,6,FALSE)</f>
        <v>40</v>
      </c>
      <c r="K55" s="166" t="s">
        <v>296</v>
      </c>
      <c r="L55" s="168">
        <f>VLOOKUP(A55,Tesoro_emis!$A$5:$AA$50,27,FALSE)</f>
        <v>0.9144000000000001</v>
      </c>
      <c r="M55" s="166" t="s">
        <v>296</v>
      </c>
      <c r="N55" s="169">
        <f>VLOOKUP(A55,Tesoro_emis!$A$5:$AA$50,26,FALSE)</f>
        <v>0.60960000000000003</v>
      </c>
      <c r="O55" s="166" t="s">
        <v>296</v>
      </c>
      <c r="P55" s="169">
        <f>VLOOKUP(A55,Tesoro_emis!$A$5:$AA$50,25,FALSE)</f>
        <v>589.26111111111118</v>
      </c>
      <c r="Q55" s="166" t="s">
        <v>296</v>
      </c>
      <c r="R55" s="170">
        <v>1</v>
      </c>
      <c r="S55" s="166" t="s">
        <v>296</v>
      </c>
      <c r="T55" s="171">
        <f>VLOOKUP(A55,Tesoro_emis!$A$5:$AA$50,14,FALSE)</f>
        <v>2.876648909183156E-4</v>
      </c>
      <c r="U55" s="166" t="s">
        <v>296</v>
      </c>
      <c r="V55" s="170">
        <v>0</v>
      </c>
      <c r="W55" s="171" t="s">
        <v>296</v>
      </c>
      <c r="X55" s="171">
        <f>VLOOKUP(A55,Tesoro_emis!$A$5:$AA$50,9,FALSE)</f>
        <v>7.0190233384069003E-2</v>
      </c>
      <c r="Y55" s="166" t="s">
        <v>296</v>
      </c>
      <c r="Z55" s="170">
        <v>0</v>
      </c>
      <c r="AA55" s="166" t="s">
        <v>296</v>
      </c>
      <c r="AB55" s="170">
        <v>0</v>
      </c>
      <c r="AC55" s="166" t="s">
        <v>296</v>
      </c>
      <c r="AD55" s="171">
        <f>VLOOKUP(A55,Tesoro_emis!$A$5:$AA$50,19,FALSE)</f>
        <v>0</v>
      </c>
      <c r="AE55" s="166" t="s">
        <v>296</v>
      </c>
      <c r="AF55" s="171">
        <f>VLOOKUP(A55,Tesoro_emis!$A$5:$AA$50,21,FALSE)</f>
        <v>1.29449200913242E-3</v>
      </c>
      <c r="AG55" s="166" t="s">
        <v>296</v>
      </c>
      <c r="AH55" s="171">
        <f>VLOOKUP($A$55,Tesoro_emis!$A$5:$AA$50,23,FALSE)</f>
        <v>3.8834760273972605E-3</v>
      </c>
      <c r="AI55" s="166" t="s">
        <v>296</v>
      </c>
      <c r="AJ55" s="171">
        <f>VLOOKUP($A$55,Tesoro_emis!$A$5:$AA$50,11,FALSE)</f>
        <v>5.1779680365296801E-3</v>
      </c>
      <c r="AK55" s="166" t="s">
        <v>296</v>
      </c>
      <c r="AL55" s="171">
        <f>VLOOKUP($A$55,Tesoro_emis!$A$5:$AA$50,11,FALSE)</f>
        <v>5.1779680365296801E-3</v>
      </c>
      <c r="AM55" s="166" t="s">
        <v>296</v>
      </c>
      <c r="AN55" s="171">
        <f>VLOOKUP($A$55,Tesoro_emis!$A$5:$AA$50,16,FALSE)</f>
        <v>5.7820643074581429E-2</v>
      </c>
      <c r="AO55" s="167" t="s">
        <v>293</v>
      </c>
    </row>
    <row r="56" spans="1:41">
      <c r="A56" s="166">
        <f t="shared" si="0"/>
        <v>18</v>
      </c>
      <c r="B56" s="166" t="s">
        <v>293</v>
      </c>
      <c r="C56" s="166" t="s">
        <v>297</v>
      </c>
      <c r="H56" s="168"/>
      <c r="I56" s="168"/>
      <c r="J56" s="168"/>
      <c r="K56" s="168"/>
      <c r="L56" s="168"/>
    </row>
    <row r="57" spans="1:41">
      <c r="A57" s="166">
        <f t="shared" si="0"/>
        <v>19</v>
      </c>
      <c r="B57" s="166" t="s">
        <v>293</v>
      </c>
      <c r="C57" s="166" t="s">
        <v>294</v>
      </c>
      <c r="D57" s="166" t="str">
        <f>VLOOKUP(A57,Tesoro_emis!$A$5:$B$50,2,FALSE)</f>
        <v>TR28</v>
      </c>
      <c r="E57" s="166" t="s">
        <v>293</v>
      </c>
    </row>
    <row r="58" spans="1:41">
      <c r="A58" s="166">
        <f t="shared" si="0"/>
        <v>19</v>
      </c>
      <c r="B58" s="166" t="s">
        <v>293</v>
      </c>
      <c r="C58" s="166" t="s">
        <v>295</v>
      </c>
      <c r="D58" s="168">
        <f>VLOOKUP(A58,Tesoro_emis!$A$5:$AA$50,7,FALSE)</f>
        <v>-20.187897464999999</v>
      </c>
      <c r="E58" s="168" t="s">
        <v>296</v>
      </c>
      <c r="F58" s="168">
        <f>VLOOKUP(A58,Tesoro_emis!$A$5:$AA$50,8,FALSE)</f>
        <v>187.66362729799999</v>
      </c>
      <c r="G58" s="168" t="s">
        <v>296</v>
      </c>
      <c r="H58" s="169">
        <f>VLOOKUP(A58,Tesoro_emis!$A$5:$AA$50,24,FALSE)</f>
        <v>15.849600000000001</v>
      </c>
      <c r="I58" s="166" t="s">
        <v>296</v>
      </c>
      <c r="J58" s="170">
        <f>VLOOKUP(A58,Tesoro_emis!$A$5:$AA$50,6,FALSE)</f>
        <v>40</v>
      </c>
      <c r="K58" s="166" t="s">
        <v>296</v>
      </c>
      <c r="L58" s="168">
        <f>VLOOKUP(A58,Tesoro_emis!$A$5:$AA$50,27,FALSE)</f>
        <v>0.9144000000000001</v>
      </c>
      <c r="M58" s="166" t="s">
        <v>296</v>
      </c>
      <c r="N58" s="169">
        <f>VLOOKUP(A58,Tesoro_emis!$A$5:$AA$50,26,FALSE)</f>
        <v>2.7432000000000003</v>
      </c>
      <c r="O58" s="166" t="s">
        <v>296</v>
      </c>
      <c r="P58" s="169">
        <f>VLOOKUP(A58,Tesoro_emis!$A$5:$AA$50,25,FALSE)</f>
        <v>490.37222222222221</v>
      </c>
      <c r="Q58" s="166" t="s">
        <v>296</v>
      </c>
      <c r="R58" s="170">
        <v>1</v>
      </c>
      <c r="S58" s="166" t="s">
        <v>296</v>
      </c>
      <c r="T58" s="171">
        <f>VLOOKUP(A58,Tesoro_emis!$A$5:$AA$50,14,FALSE)</f>
        <v>2.876648909183156E-4</v>
      </c>
      <c r="U58" s="166" t="s">
        <v>296</v>
      </c>
      <c r="V58" s="170">
        <v>0</v>
      </c>
      <c r="W58" s="171" t="s">
        <v>296</v>
      </c>
      <c r="X58" s="171">
        <f>VLOOKUP(A58,Tesoro_emis!$A$5:$AA$50,9,FALSE)</f>
        <v>0.12714788178589548</v>
      </c>
      <c r="Y58" s="166" t="s">
        <v>296</v>
      </c>
      <c r="Z58" s="170">
        <v>0</v>
      </c>
      <c r="AA58" s="166" t="s">
        <v>296</v>
      </c>
      <c r="AB58" s="170">
        <v>0</v>
      </c>
      <c r="AC58" s="166" t="s">
        <v>296</v>
      </c>
      <c r="AD58" s="171">
        <f>VLOOKUP(A58,Tesoro_emis!$A$5:$AA$50,19,FALSE)</f>
        <v>0</v>
      </c>
      <c r="AE58" s="166" t="s">
        <v>296</v>
      </c>
      <c r="AF58" s="171">
        <f>VLOOKUP(A58,Tesoro_emis!$A$5:$AA$50,21,FALSE)</f>
        <v>2.3732353500761035E-3</v>
      </c>
      <c r="AG58" s="166" t="s">
        <v>296</v>
      </c>
      <c r="AH58" s="171">
        <f>VLOOKUP($A$58,Tesoro_emis!$A$5:$AA$50,23,FALSE)</f>
        <v>7.1197060502283119E-3</v>
      </c>
      <c r="AI58" s="166" t="s">
        <v>296</v>
      </c>
      <c r="AJ58" s="171">
        <f>VLOOKUP($A$58,Tesoro_emis!$A$5:$AA$50,11,FALSE)</f>
        <v>9.4929414003044141E-3</v>
      </c>
      <c r="AK58" s="166" t="s">
        <v>296</v>
      </c>
      <c r="AL58" s="171">
        <f>VLOOKUP($A$58,Tesoro_emis!$A$5:$AA$50,11,FALSE)</f>
        <v>9.4929414003044141E-3</v>
      </c>
      <c r="AM58" s="166" t="s">
        <v>296</v>
      </c>
      <c r="AN58" s="171">
        <f>VLOOKUP($A$58,Tesoro_emis!$A$5:$AA$50,16,FALSE)</f>
        <v>0.10471002029426688</v>
      </c>
      <c r="AO58" s="167" t="s">
        <v>293</v>
      </c>
    </row>
    <row r="59" spans="1:41">
      <c r="A59" s="166">
        <f t="shared" si="0"/>
        <v>19</v>
      </c>
      <c r="B59" s="166" t="s">
        <v>293</v>
      </c>
      <c r="C59" s="166" t="s">
        <v>297</v>
      </c>
      <c r="H59" s="168"/>
      <c r="I59" s="168"/>
      <c r="J59" s="168"/>
      <c r="K59" s="168"/>
      <c r="L59" s="168"/>
    </row>
    <row r="60" spans="1:41">
      <c r="A60" s="166">
        <f t="shared" si="0"/>
        <v>20</v>
      </c>
      <c r="B60" s="166" t="s">
        <v>293</v>
      </c>
      <c r="C60" s="166" t="s">
        <v>294</v>
      </c>
      <c r="D60" s="166" t="str">
        <f>VLOOKUP(A60,Tesoro_emis!$A$5:$B$50,2,FALSE)</f>
        <v>TR29</v>
      </c>
      <c r="E60" s="166" t="s">
        <v>293</v>
      </c>
    </row>
    <row r="61" spans="1:41">
      <c r="A61" s="166">
        <f t="shared" si="0"/>
        <v>20</v>
      </c>
      <c r="B61" s="166" t="s">
        <v>293</v>
      </c>
      <c r="C61" s="166" t="s">
        <v>295</v>
      </c>
      <c r="D61" s="168">
        <f>VLOOKUP(A61,Tesoro_emis!$A$5:$AA$50,7,FALSE)</f>
        <v>-20.351564974399999</v>
      </c>
      <c r="E61" s="168" t="s">
        <v>296</v>
      </c>
      <c r="F61" s="168">
        <f>VLOOKUP(A61,Tesoro_emis!$A$5:$AA$50,8,FALSE)</f>
        <v>187.67048648599999</v>
      </c>
      <c r="G61" s="168" t="s">
        <v>296</v>
      </c>
      <c r="H61" s="169">
        <f>VLOOKUP(A61,Tesoro_emis!$A$5:$AA$50,24,FALSE)</f>
        <v>23.1648</v>
      </c>
      <c r="I61" s="166" t="s">
        <v>296</v>
      </c>
      <c r="J61" s="170">
        <f>VLOOKUP(A61,Tesoro_emis!$A$5:$AA$50,6,FALSE)</f>
        <v>40</v>
      </c>
      <c r="K61" s="166" t="s">
        <v>296</v>
      </c>
      <c r="L61" s="168">
        <f>VLOOKUP(A61,Tesoro_emis!$A$5:$AA$50,27,FALSE)</f>
        <v>1.2192000000000001</v>
      </c>
      <c r="M61" s="166" t="s">
        <v>296</v>
      </c>
      <c r="N61" s="169">
        <f>VLOOKUP(A61,Tesoro_emis!$A$5:$AA$50,26,FALSE)</f>
        <v>10.668000000000001</v>
      </c>
      <c r="O61" s="166" t="s">
        <v>296</v>
      </c>
      <c r="P61" s="169">
        <f>VLOOKUP(A61,Tesoro_emis!$A$5:$AA$50,25,FALSE)</f>
        <v>477.03888888888889</v>
      </c>
      <c r="Q61" s="166" t="s">
        <v>296</v>
      </c>
      <c r="R61" s="170">
        <v>1</v>
      </c>
      <c r="S61" s="166" t="s">
        <v>296</v>
      </c>
      <c r="T61" s="171">
        <f>VLOOKUP(A61,Tesoro_emis!$A$5:$AA$50,14,FALSE)</f>
        <v>1.8698217909690514E-2</v>
      </c>
      <c r="U61" s="166" t="s">
        <v>296</v>
      </c>
      <c r="V61" s="170">
        <v>0</v>
      </c>
      <c r="W61" s="171" t="s">
        <v>296</v>
      </c>
      <c r="X61" s="171">
        <f>VLOOKUP(A61,Tesoro_emis!$A$5:$AA$50,9,FALSE)</f>
        <v>0.41567576737696599</v>
      </c>
      <c r="Y61" s="166" t="s">
        <v>296</v>
      </c>
      <c r="Z61" s="170">
        <v>0</v>
      </c>
      <c r="AA61" s="166" t="s">
        <v>296</v>
      </c>
      <c r="AB61" s="170">
        <v>0</v>
      </c>
      <c r="AC61" s="166" t="s">
        <v>296</v>
      </c>
      <c r="AD61" s="171">
        <f>VLOOKUP(A61,Tesoro_emis!$A$5:$AA$50,19,FALSE)</f>
        <v>0</v>
      </c>
      <c r="AE61" s="166" t="s">
        <v>296</v>
      </c>
      <c r="AF61" s="171">
        <f>VLOOKUP(A61,Tesoro_emis!$A$5:$AA$50,21,FALSE)</f>
        <v>1.2873003868594622E-2</v>
      </c>
      <c r="AG61" s="166" t="s">
        <v>296</v>
      </c>
      <c r="AH61" s="171">
        <f>VLOOKUP($A$61,Tesoro_emis!$A$5:$AA$50,23,FALSE)</f>
        <v>3.8619011605783876E-2</v>
      </c>
      <c r="AI61" s="166" t="s">
        <v>296</v>
      </c>
      <c r="AJ61" s="171">
        <f>VLOOKUP($A$61,Tesoro_emis!$A$5:$AA$50,11,FALSE)</f>
        <v>5.149201547437849E-2</v>
      </c>
      <c r="AK61" s="166" t="s">
        <v>296</v>
      </c>
      <c r="AL61" s="171">
        <f>VLOOKUP($A$61,Tesoro_emis!$A$5:$AA$50,11,FALSE)</f>
        <v>5.149201547437849E-2</v>
      </c>
      <c r="AM61" s="166" t="s">
        <v>296</v>
      </c>
      <c r="AN61" s="171">
        <f>VLOOKUP($A$61,Tesoro_emis!$A$5:$AA$50,16,FALSE)</f>
        <v>0.57043947869101974</v>
      </c>
      <c r="AO61" s="167" t="s">
        <v>293</v>
      </c>
    </row>
    <row r="62" spans="1:41">
      <c r="A62" s="166">
        <f t="shared" si="0"/>
        <v>20</v>
      </c>
      <c r="B62" s="166" t="s">
        <v>293</v>
      </c>
      <c r="C62" s="166" t="s">
        <v>297</v>
      </c>
      <c r="H62" s="168"/>
      <c r="I62" s="168"/>
      <c r="J62" s="168"/>
      <c r="K62" s="168"/>
      <c r="L62" s="168"/>
    </row>
    <row r="63" spans="1:41">
      <c r="A63" s="166">
        <f t="shared" si="0"/>
        <v>21</v>
      </c>
      <c r="B63" s="166" t="s">
        <v>293</v>
      </c>
      <c r="C63" s="166" t="s">
        <v>294</v>
      </c>
      <c r="D63" s="166" t="str">
        <f>VLOOKUP(A63,Tesoro_emis!$A$5:$B$50,2,FALSE)</f>
        <v>TR32</v>
      </c>
      <c r="E63" s="166" t="s">
        <v>293</v>
      </c>
    </row>
    <row r="64" spans="1:41">
      <c r="A64" s="166">
        <f t="shared" si="0"/>
        <v>21</v>
      </c>
      <c r="B64" s="166" t="s">
        <v>293</v>
      </c>
      <c r="C64" s="166" t="s">
        <v>295</v>
      </c>
      <c r="D64" s="168">
        <f>VLOOKUP(A64,Tesoro_emis!$A$5:$AA$50,7,FALSE)</f>
        <v>-20.009060184799999</v>
      </c>
      <c r="E64" s="168" t="s">
        <v>296</v>
      </c>
      <c r="F64" s="168">
        <f>VLOOKUP(A64,Tesoro_emis!$A$5:$AA$50,8,FALSE)</f>
        <v>187.733393302</v>
      </c>
      <c r="G64" s="168" t="s">
        <v>296</v>
      </c>
      <c r="H64" s="169">
        <f>VLOOKUP(A64,Tesoro_emis!$A$5:$AA$50,24,FALSE)</f>
        <v>8.5343999999999998</v>
      </c>
      <c r="I64" s="166" t="s">
        <v>296</v>
      </c>
      <c r="J64" s="170">
        <f>VLOOKUP(A64,Tesoro_emis!$A$5:$AA$50,6,FALSE)</f>
        <v>40</v>
      </c>
      <c r="K64" s="166" t="s">
        <v>296</v>
      </c>
      <c r="L64" s="168">
        <f>VLOOKUP(A64,Tesoro_emis!$A$5:$AA$50,27,FALSE)</f>
        <v>1.2192000000000001</v>
      </c>
      <c r="M64" s="166" t="s">
        <v>296</v>
      </c>
      <c r="N64" s="169">
        <f>VLOOKUP(A64,Tesoro_emis!$A$5:$AA$50,26,FALSE)</f>
        <v>22.555200000000003</v>
      </c>
      <c r="O64" s="166" t="s">
        <v>296</v>
      </c>
      <c r="P64" s="169">
        <f>VLOOKUP(A64,Tesoro_emis!$A$5:$AA$50,25,FALSE)</f>
        <v>433.15</v>
      </c>
      <c r="Q64" s="166" t="s">
        <v>296</v>
      </c>
      <c r="R64" s="170">
        <v>1</v>
      </c>
      <c r="S64" s="166" t="s">
        <v>296</v>
      </c>
      <c r="T64" s="171">
        <f>VLOOKUP(A64,Tesoro_emis!$A$5:$AA$50,14,FALSE)</f>
        <v>2.876648909183156E-4</v>
      </c>
      <c r="U64" s="166" t="s">
        <v>296</v>
      </c>
      <c r="V64" s="170">
        <v>0</v>
      </c>
      <c r="W64" s="171" t="s">
        <v>296</v>
      </c>
      <c r="X64" s="171">
        <f>VLOOKUP(A64,Tesoro_emis!$A$5:$AA$50,9,FALSE)</f>
        <v>0.11794260527650938</v>
      </c>
      <c r="Y64" s="166" t="s">
        <v>296</v>
      </c>
      <c r="Z64" s="170">
        <v>0</v>
      </c>
      <c r="AA64" s="166" t="s">
        <v>296</v>
      </c>
      <c r="AB64" s="170">
        <v>0</v>
      </c>
      <c r="AC64" s="166" t="s">
        <v>296</v>
      </c>
      <c r="AD64" s="171">
        <f>VLOOKUP(A64,Tesoro_emis!$A$5:$AA$50,19,FALSE)</f>
        <v>0</v>
      </c>
      <c r="AE64" s="166" t="s">
        <v>296</v>
      </c>
      <c r="AF64" s="171">
        <f>VLOOKUP(A64,Tesoro_emis!$A$5:$AA$50,21,FALSE)</f>
        <v>1.9875028827083625E-3</v>
      </c>
      <c r="AG64" s="166" t="s">
        <v>296</v>
      </c>
      <c r="AH64" s="171">
        <f>VLOOKUP($A$64,Tesoro_emis!$A$5:$AA$50,23,FALSE)</f>
        <v>4.9164544993312125E-3</v>
      </c>
      <c r="AI64" s="166" t="s">
        <v>296</v>
      </c>
      <c r="AJ64" s="171">
        <f>VLOOKUP($A$64,Tesoro_emis!$A$5:$AA$50,11,FALSE)</f>
        <v>6.9039573820395741E-3</v>
      </c>
      <c r="AK64" s="166" t="s">
        <v>296</v>
      </c>
      <c r="AL64" s="171">
        <f>VLOOKUP($A$64,Tesoro_emis!$A$5:$AA$50,11,FALSE)</f>
        <v>6.9039573820395741E-3</v>
      </c>
      <c r="AM64" s="166" t="s">
        <v>296</v>
      </c>
      <c r="AN64" s="171">
        <f>VLOOKUP($A$64,Tesoro_emis!$A$5:$AA$50,16,FALSE)</f>
        <v>7.5080536529680358E-2</v>
      </c>
      <c r="AO64" s="167" t="s">
        <v>293</v>
      </c>
    </row>
    <row r="65" spans="1:41">
      <c r="A65" s="166">
        <f t="shared" si="0"/>
        <v>21</v>
      </c>
      <c r="B65" s="166" t="s">
        <v>293</v>
      </c>
      <c r="C65" s="166" t="s">
        <v>297</v>
      </c>
      <c r="H65" s="168"/>
      <c r="I65" s="168"/>
      <c r="J65" s="168"/>
      <c r="K65" s="168"/>
      <c r="L65" s="168"/>
    </row>
    <row r="66" spans="1:41">
      <c r="A66" s="166">
        <f t="shared" si="0"/>
        <v>22</v>
      </c>
      <c r="B66" s="166" t="s">
        <v>293</v>
      </c>
      <c r="C66" s="166" t="s">
        <v>294</v>
      </c>
      <c r="D66" s="166" t="str">
        <f>VLOOKUP(A66,Tesoro_emis!$A$5:$B$50,2,FALSE)</f>
        <v>TR33</v>
      </c>
      <c r="E66" s="166" t="s">
        <v>293</v>
      </c>
    </row>
    <row r="67" spans="1:41">
      <c r="A67" s="166">
        <f t="shared" si="0"/>
        <v>22</v>
      </c>
      <c r="B67" s="166" t="s">
        <v>293</v>
      </c>
      <c r="C67" s="166" t="s">
        <v>295</v>
      </c>
      <c r="D67" s="168">
        <f>VLOOKUP(A67,Tesoro_emis!$A$5:$AA$50,7,FALSE)</f>
        <v>-20.009060184799999</v>
      </c>
      <c r="E67" s="168" t="s">
        <v>296</v>
      </c>
      <c r="F67" s="168">
        <f>VLOOKUP(A67,Tesoro_emis!$A$5:$AA$50,8,FALSE)</f>
        <v>187.733393302</v>
      </c>
      <c r="G67" s="168" t="s">
        <v>296</v>
      </c>
      <c r="H67" s="169">
        <f>VLOOKUP(A67,Tesoro_emis!$A$5:$AA$50,24,FALSE)</f>
        <v>8.5343999999999998</v>
      </c>
      <c r="I67" s="166" t="s">
        <v>296</v>
      </c>
      <c r="J67" s="170">
        <f>VLOOKUP(A67,Tesoro_emis!$A$5:$AA$50,6,FALSE)</f>
        <v>40</v>
      </c>
      <c r="K67" s="166" t="s">
        <v>296</v>
      </c>
      <c r="L67" s="168">
        <f>VLOOKUP(A67,Tesoro_emis!$A$5:$AA$50,27,FALSE)</f>
        <v>1.2192000000000001</v>
      </c>
      <c r="M67" s="166" t="s">
        <v>296</v>
      </c>
      <c r="N67" s="169">
        <f>VLOOKUP(A67,Tesoro_emis!$A$5:$AA$50,26,FALSE)</f>
        <v>22.555200000000003</v>
      </c>
      <c r="O67" s="166" t="s">
        <v>296</v>
      </c>
      <c r="P67" s="169">
        <f>VLOOKUP(A67,Tesoro_emis!$A$5:$AA$50,25,FALSE)</f>
        <v>433.15</v>
      </c>
      <c r="Q67" s="166" t="s">
        <v>296</v>
      </c>
      <c r="R67" s="170">
        <v>1</v>
      </c>
      <c r="S67" s="166" t="s">
        <v>296</v>
      </c>
      <c r="T67" s="171">
        <f>VLOOKUP(A67,Tesoro_emis!$A$5:$AA$50,14,FALSE)</f>
        <v>0</v>
      </c>
      <c r="U67" s="166" t="s">
        <v>296</v>
      </c>
      <c r="V67" s="170">
        <v>0</v>
      </c>
      <c r="W67" s="171" t="s">
        <v>296</v>
      </c>
      <c r="X67" s="171">
        <f>VLOOKUP(A67,Tesoro_emis!$A$5:$AA$50,9,FALSE)</f>
        <v>6.5875260020294271E-2</v>
      </c>
      <c r="Y67" s="166" t="s">
        <v>296</v>
      </c>
      <c r="Z67" s="170">
        <v>0</v>
      </c>
      <c r="AA67" s="166" t="s">
        <v>296</v>
      </c>
      <c r="AB67" s="170">
        <v>0</v>
      </c>
      <c r="AC67" s="166" t="s">
        <v>296</v>
      </c>
      <c r="AD67" s="171">
        <f>VLOOKUP(A67,Tesoro_emis!$A$5:$AA$50,19,FALSE)</f>
        <v>0</v>
      </c>
      <c r="AE67" s="166" t="s">
        <v>296</v>
      </c>
      <c r="AF67" s="171">
        <f>VLOOKUP(A67,Tesoro_emis!$A$5:$AA$50,21,FALSE)</f>
        <v>1.0765640614670297E-3</v>
      </c>
      <c r="AG67" s="166" t="s">
        <v>296</v>
      </c>
      <c r="AH67" s="171">
        <f>VLOOKUP($A$67,Tesoro_emis!$A$5:$AA$50,23,FALSE)</f>
        <v>2.6630795204710734E-3</v>
      </c>
      <c r="AI67" s="166" t="s">
        <v>296</v>
      </c>
      <c r="AJ67" s="171">
        <f>VLOOKUP($A$67,Tesoro_emis!$A$5:$AA$50,11,FALSE)</f>
        <v>3.7396435819381027E-3</v>
      </c>
      <c r="AK67" s="166" t="s">
        <v>296</v>
      </c>
      <c r="AL67" s="171">
        <f>VLOOKUP($A$67,Tesoro_emis!$A$5:$AA$50,11,FALSE)</f>
        <v>3.7396435819381027E-3</v>
      </c>
      <c r="AM67" s="166" t="s">
        <v>296</v>
      </c>
      <c r="AN67" s="171">
        <f>VLOOKUP($A$67,Tesoro_emis!$A$5:$AA$50,16,FALSE)</f>
        <v>4.1999074074074078E-2</v>
      </c>
      <c r="AO67" s="167" t="s">
        <v>293</v>
      </c>
    </row>
    <row r="68" spans="1:41">
      <c r="A68" s="166">
        <f t="shared" si="0"/>
        <v>22</v>
      </c>
      <c r="B68" s="166" t="s">
        <v>293</v>
      </c>
      <c r="C68" s="166" t="s">
        <v>297</v>
      </c>
      <c r="H68" s="168"/>
      <c r="I68" s="168"/>
      <c r="J68" s="168"/>
      <c r="K68" s="168"/>
      <c r="L68" s="168"/>
    </row>
    <row r="69" spans="1:41">
      <c r="A69" s="166">
        <f t="shared" si="0"/>
        <v>23</v>
      </c>
      <c r="B69" s="166" t="s">
        <v>293</v>
      </c>
      <c r="C69" s="166" t="s">
        <v>294</v>
      </c>
      <c r="D69" s="166" t="str">
        <f>VLOOKUP(A69,Tesoro_emis!$A$5:$B$50,2,FALSE)</f>
        <v>TR34</v>
      </c>
      <c r="E69" s="166" t="s">
        <v>293</v>
      </c>
    </row>
    <row r="70" spans="1:41">
      <c r="A70" s="166">
        <f t="shared" ref="A70:A113" si="1">A67+1</f>
        <v>23</v>
      </c>
      <c r="B70" s="166" t="s">
        <v>293</v>
      </c>
      <c r="C70" s="166" t="s">
        <v>295</v>
      </c>
      <c r="D70" s="168">
        <f>VLOOKUP(A70,Tesoro_emis!$A$5:$AA$50,7,FALSE)</f>
        <v>-20.261487114400001</v>
      </c>
      <c r="E70" s="168" t="s">
        <v>296</v>
      </c>
      <c r="F70" s="168">
        <f>VLOOKUP(A70,Tesoro_emis!$A$5:$AA$50,8,FALSE)</f>
        <v>187.69154083800001</v>
      </c>
      <c r="G70" s="168" t="s">
        <v>296</v>
      </c>
      <c r="H70" s="169">
        <f>VLOOKUP(A70,Tesoro_emis!$A$5:$AA$50,24,FALSE)</f>
        <v>7</v>
      </c>
      <c r="I70" s="166" t="s">
        <v>296</v>
      </c>
      <c r="J70" s="170">
        <f>VLOOKUP(A70,Tesoro_emis!$A$5:$AA$50,6,FALSE)</f>
        <v>40</v>
      </c>
      <c r="K70" s="166" t="s">
        <v>296</v>
      </c>
      <c r="L70" s="168">
        <f>VLOOKUP(A70,Tesoro_emis!$A$5:$AA$50,27,FALSE)</f>
        <v>0.30480000000000002</v>
      </c>
      <c r="M70" s="166" t="s">
        <v>296</v>
      </c>
      <c r="N70" s="169">
        <f>VLOOKUP(A70,Tesoro_emis!$A$5:$AA$50,26,FALSE)</f>
        <v>48.768000000000001</v>
      </c>
      <c r="O70" s="166" t="s">
        <v>296</v>
      </c>
      <c r="P70" s="169">
        <f>VLOOKUP(A70,Tesoro_emis!$A$5:$AA$50,25,FALSE)</f>
        <v>599.81666666666661</v>
      </c>
      <c r="Q70" s="166" t="s">
        <v>296</v>
      </c>
      <c r="R70" s="170">
        <v>1</v>
      </c>
      <c r="S70" s="166" t="s">
        <v>296</v>
      </c>
      <c r="T70" s="171">
        <f>VLOOKUP(A70,Tesoro_emis!$A$5:$AA$50,14,FALSE)</f>
        <v>0</v>
      </c>
      <c r="U70" s="166" t="s">
        <v>296</v>
      </c>
      <c r="V70" s="170">
        <v>0</v>
      </c>
      <c r="W70" s="171" t="s">
        <v>296</v>
      </c>
      <c r="X70" s="171">
        <f>VLOOKUP(A70,Tesoro_emis!$A$5:$AA$50,9,FALSE)</f>
        <v>2.8766489091831562E-3</v>
      </c>
      <c r="Y70" s="166" t="s">
        <v>296</v>
      </c>
      <c r="Z70" s="170">
        <v>0</v>
      </c>
      <c r="AA70" s="166" t="s">
        <v>296</v>
      </c>
      <c r="AB70" s="170">
        <v>0</v>
      </c>
      <c r="AC70" s="166" t="s">
        <v>296</v>
      </c>
      <c r="AD70" s="171">
        <f>VLOOKUP(A70,Tesoro_emis!$A$5:$AA$50,19,FALSE)</f>
        <v>0</v>
      </c>
      <c r="AE70" s="166" t="s">
        <v>296</v>
      </c>
      <c r="AF70" s="171">
        <f>VLOOKUP(A70,Tesoro_emis!$A$5:$AA$50,21,FALSE)</f>
        <v>2.4900835234814057E-4</v>
      </c>
      <c r="AG70" s="166" t="s">
        <v>296</v>
      </c>
      <c r="AH70" s="171">
        <f>VLOOKUP($A$70,Tesoro_emis!$A$5:$AA$50,23,FALSE)</f>
        <v>3.8656538570175054E-5</v>
      </c>
      <c r="AI70" s="166" t="s">
        <v>296</v>
      </c>
      <c r="AJ70" s="171">
        <f>VLOOKUP($A$70,Tesoro_emis!$A$5:$AA$50,11,FALSE)</f>
        <v>2.876648909183156E-4</v>
      </c>
      <c r="AK70" s="166" t="s">
        <v>296</v>
      </c>
      <c r="AL70" s="171">
        <f>VLOOKUP($A$70,Tesoro_emis!$A$5:$AA$50,11,FALSE)</f>
        <v>2.876648909183156E-4</v>
      </c>
      <c r="AM70" s="166" t="s">
        <v>296</v>
      </c>
      <c r="AN70" s="171">
        <f>VLOOKUP($A$70,Tesoro_emis!$A$5:$AA$50,16,FALSE)</f>
        <v>5.7532978183663121E-4</v>
      </c>
      <c r="AO70" s="167" t="s">
        <v>293</v>
      </c>
    </row>
    <row r="71" spans="1:41">
      <c r="A71" s="166">
        <f t="shared" si="1"/>
        <v>23</v>
      </c>
      <c r="B71" s="166" t="s">
        <v>293</v>
      </c>
      <c r="C71" s="166" t="s">
        <v>297</v>
      </c>
      <c r="H71" s="168"/>
      <c r="I71" s="168"/>
      <c r="J71" s="168"/>
      <c r="K71" s="168"/>
      <c r="L71" s="168"/>
    </row>
    <row r="72" spans="1:41">
      <c r="A72" s="166">
        <f t="shared" si="1"/>
        <v>24</v>
      </c>
      <c r="B72" s="166" t="s">
        <v>293</v>
      </c>
      <c r="C72" s="166" t="s">
        <v>294</v>
      </c>
      <c r="D72" s="166" t="str">
        <f>VLOOKUP(A72,Tesoro_emis!$A$5:$B$50,2,FALSE)</f>
        <v>TR35</v>
      </c>
      <c r="E72" s="166" t="s">
        <v>293</v>
      </c>
    </row>
    <row r="73" spans="1:41">
      <c r="A73" s="166">
        <f t="shared" si="1"/>
        <v>24</v>
      </c>
      <c r="B73" s="166" t="s">
        <v>293</v>
      </c>
      <c r="C73" s="166" t="s">
        <v>295</v>
      </c>
      <c r="D73" s="168">
        <f>VLOOKUP(A73,Tesoro_emis!$A$5:$AA$50,7,FALSE)</f>
        <v>-20.138085306400001</v>
      </c>
      <c r="E73" s="168" t="s">
        <v>296</v>
      </c>
      <c r="F73" s="168">
        <f>VLOOKUP(A73,Tesoro_emis!$A$5:$AA$50,8,FALSE)</f>
        <v>187.55418294500001</v>
      </c>
      <c r="G73" s="168" t="s">
        <v>296</v>
      </c>
      <c r="H73" s="169">
        <f>VLOOKUP(A73,Tesoro_emis!$A$5:$AA$50,24,FALSE)</f>
        <v>3.048</v>
      </c>
      <c r="I73" s="166" t="s">
        <v>296</v>
      </c>
      <c r="J73" s="170">
        <f>VLOOKUP(A73,Tesoro_emis!$A$5:$AA$50,6,FALSE)</f>
        <v>40</v>
      </c>
      <c r="K73" s="166" t="s">
        <v>296</v>
      </c>
      <c r="L73" s="168">
        <f>VLOOKUP(A73,Tesoro_emis!$A$5:$AA$50,27,FALSE)</f>
        <v>0.30480000000000002</v>
      </c>
      <c r="M73" s="166" t="s">
        <v>296</v>
      </c>
      <c r="N73" s="169">
        <f>VLOOKUP(A73,Tesoro_emis!$A$5:$AA$50,26,FALSE)</f>
        <v>10.668000000000001</v>
      </c>
      <c r="O73" s="166" t="s">
        <v>296</v>
      </c>
      <c r="P73" s="169">
        <f>VLOOKUP(A73,Tesoro_emis!$A$5:$AA$50,25,FALSE)</f>
        <v>599.81666666666661</v>
      </c>
      <c r="Q73" s="166" t="s">
        <v>296</v>
      </c>
      <c r="R73" s="170">
        <v>1</v>
      </c>
      <c r="S73" s="166" t="s">
        <v>296</v>
      </c>
      <c r="T73" s="171">
        <f>VLOOKUP(A73,Tesoro_emis!$A$5:$AA$50,14,FALSE)</f>
        <v>0</v>
      </c>
      <c r="U73" s="166" t="s">
        <v>296</v>
      </c>
      <c r="V73" s="170">
        <v>0</v>
      </c>
      <c r="W73" s="171" t="s">
        <v>296</v>
      </c>
      <c r="X73" s="171">
        <f>VLOOKUP(A73,Tesoro_emis!$A$5:$AA$50,9,FALSE)</f>
        <v>1.1506595636732624E-3</v>
      </c>
      <c r="Y73" s="166" t="s">
        <v>296</v>
      </c>
      <c r="Z73" s="170">
        <v>0</v>
      </c>
      <c r="AA73" s="166" t="s">
        <v>296</v>
      </c>
      <c r="AB73" s="170">
        <v>0</v>
      </c>
      <c r="AC73" s="166" t="s">
        <v>296</v>
      </c>
      <c r="AD73" s="171">
        <f>VLOOKUP(A73,Tesoro_emis!$A$5:$AA$50,19,FALSE)</f>
        <v>0</v>
      </c>
      <c r="AE73" s="166" t="s">
        <v>296</v>
      </c>
      <c r="AF73" s="171">
        <f>VLOOKUP(A73,Tesoro_emis!$A$5:$AA$50,21,FALSE)</f>
        <v>0</v>
      </c>
      <c r="AG73" s="166" t="s">
        <v>296</v>
      </c>
      <c r="AH73" s="171">
        <f>VLOOKUP($A$73,Tesoro_emis!$A$5:$AA$50,23,FALSE)</f>
        <v>0</v>
      </c>
      <c r="AI73" s="166" t="s">
        <v>296</v>
      </c>
      <c r="AJ73" s="171">
        <f>VLOOKUP($A$73,Tesoro_emis!$A$5:$AA$50,11,FALSE)</f>
        <v>0</v>
      </c>
      <c r="AK73" s="166" t="s">
        <v>296</v>
      </c>
      <c r="AL73" s="171">
        <f>VLOOKUP($A$73,Tesoro_emis!$A$5:$AA$50,11,FALSE)</f>
        <v>0</v>
      </c>
      <c r="AM73" s="166" t="s">
        <v>296</v>
      </c>
      <c r="AN73" s="171">
        <f>VLOOKUP($A$73,Tesoro_emis!$A$5:$AA$50,16,FALSE)</f>
        <v>2.876648909183156E-4</v>
      </c>
      <c r="AO73" s="167" t="s">
        <v>293</v>
      </c>
    </row>
    <row r="74" spans="1:41">
      <c r="A74" s="166">
        <f t="shared" si="1"/>
        <v>24</v>
      </c>
      <c r="B74" s="166" t="s">
        <v>293</v>
      </c>
      <c r="C74" s="166" t="s">
        <v>297</v>
      </c>
      <c r="H74" s="168"/>
      <c r="I74" s="168"/>
      <c r="J74" s="168"/>
      <c r="K74" s="168"/>
      <c r="L74" s="168"/>
    </row>
    <row r="75" spans="1:41">
      <c r="A75" s="166">
        <f t="shared" si="1"/>
        <v>25</v>
      </c>
      <c r="B75" s="166" t="s">
        <v>293</v>
      </c>
      <c r="C75" s="166" t="s">
        <v>294</v>
      </c>
      <c r="D75" s="166" t="str">
        <f>VLOOKUP(A75,Tesoro_emis!$A$5:$B$50,2,FALSE)</f>
        <v>TR36</v>
      </c>
      <c r="E75" s="166" t="s">
        <v>293</v>
      </c>
    </row>
    <row r="76" spans="1:41">
      <c r="A76" s="166">
        <f t="shared" si="1"/>
        <v>25</v>
      </c>
      <c r="B76" s="166" t="s">
        <v>293</v>
      </c>
      <c r="C76" s="166" t="s">
        <v>295</v>
      </c>
      <c r="D76" s="168">
        <f>VLOOKUP(A76,Tesoro_emis!$A$5:$AA$50,7,FALSE)</f>
        <v>-20.431061834000001</v>
      </c>
      <c r="E76" s="168" t="s">
        <v>296</v>
      </c>
      <c r="F76" s="168">
        <f>VLOOKUP(A76,Tesoro_emis!$A$5:$AA$50,8,FALSE)</f>
        <v>187.47974036799999</v>
      </c>
      <c r="G76" s="168" t="s">
        <v>296</v>
      </c>
      <c r="H76" s="169">
        <f>VLOOKUP(A76,Tesoro_emis!$A$5:$AA$50,24,FALSE)</f>
        <v>4.5720000000000001</v>
      </c>
      <c r="I76" s="166" t="s">
        <v>296</v>
      </c>
      <c r="J76" s="170">
        <f>VLOOKUP(A76,Tesoro_emis!$A$5:$AA$50,6,FALSE)</f>
        <v>37</v>
      </c>
      <c r="K76" s="166" t="s">
        <v>296</v>
      </c>
      <c r="L76" s="168">
        <f>VLOOKUP(A76,Tesoro_emis!$A$5:$AA$50,27,FALSE)</f>
        <v>0.30480000000000002</v>
      </c>
      <c r="M76" s="166" t="s">
        <v>296</v>
      </c>
      <c r="N76" s="169">
        <f>VLOOKUP(A76,Tesoro_emis!$A$5:$AA$50,26,FALSE)</f>
        <v>32.004000000000005</v>
      </c>
      <c r="O76" s="166" t="s">
        <v>296</v>
      </c>
      <c r="P76" s="169">
        <f>VLOOKUP(A76,Tesoro_emis!$A$5:$AA$50,25,FALSE)</f>
        <v>599.81666666666661</v>
      </c>
      <c r="Q76" s="166" t="s">
        <v>296</v>
      </c>
      <c r="R76" s="170">
        <v>1</v>
      </c>
      <c r="S76" s="166" t="s">
        <v>296</v>
      </c>
      <c r="T76" s="171">
        <f>VLOOKUP(A76,Tesoro_emis!$A$5:$AA$50,14,FALSE)</f>
        <v>1.1712659508441484E-2</v>
      </c>
      <c r="U76" s="166" t="s">
        <v>296</v>
      </c>
      <c r="V76" s="170">
        <v>0</v>
      </c>
      <c r="W76" s="171" t="s">
        <v>296</v>
      </c>
      <c r="X76" s="171">
        <f>VLOOKUP(A76,Tesoro_emis!$A$5:$AA$50,9,FALSE)</f>
        <v>0.41078763774733629</v>
      </c>
      <c r="Y76" s="166" t="s">
        <v>296</v>
      </c>
      <c r="Z76" s="170">
        <v>0</v>
      </c>
      <c r="AA76" s="166" t="s">
        <v>296</v>
      </c>
      <c r="AB76" s="170">
        <v>0</v>
      </c>
      <c r="AC76" s="166" t="s">
        <v>296</v>
      </c>
      <c r="AD76" s="171">
        <f>VLOOKUP(A76,Tesoro_emis!$A$5:$AA$50,19,FALSE)</f>
        <v>0</v>
      </c>
      <c r="AE76" s="166" t="s">
        <v>296</v>
      </c>
      <c r="AF76" s="171">
        <f>VLOOKUP(A76,Tesoro_emis!$A$5:$AA$50,21,FALSE)</f>
        <v>6.0937225288295056E-3</v>
      </c>
      <c r="AG76" s="166" t="s">
        <v>296</v>
      </c>
      <c r="AH76" s="171">
        <f>VLOOKUP($A$76,Tesoro_emis!$A$5:$AA$50,23,FALSE)</f>
        <v>9.4600127967716123E-4</v>
      </c>
      <c r="AI76" s="166" t="s">
        <v>296</v>
      </c>
      <c r="AJ76" s="171">
        <f>VLOOKUP($A$76,Tesoro_emis!$A$5:$AA$50,11,FALSE)</f>
        <v>7.0397238085066665E-3</v>
      </c>
      <c r="AK76" s="166" t="s">
        <v>296</v>
      </c>
      <c r="AL76" s="171">
        <f>VLOOKUP($A$76,Tesoro_emis!$A$5:$AA$50,11,FALSE)</f>
        <v>7.0397238085066665E-3</v>
      </c>
      <c r="AM76" s="166" t="s">
        <v>296</v>
      </c>
      <c r="AN76" s="171">
        <f>VLOOKUP($A$76,Tesoro_emis!$A$5:$AA$50,16,FALSE)</f>
        <v>0.22367145235555552</v>
      </c>
      <c r="AO76" s="167" t="s">
        <v>293</v>
      </c>
    </row>
    <row r="77" spans="1:41">
      <c r="A77" s="166">
        <f t="shared" si="1"/>
        <v>25</v>
      </c>
      <c r="B77" s="166" t="s">
        <v>293</v>
      </c>
      <c r="C77" s="166" t="s">
        <v>297</v>
      </c>
      <c r="H77" s="168"/>
      <c r="I77" s="168"/>
      <c r="J77" s="168"/>
      <c r="K77" s="168"/>
      <c r="L77" s="168"/>
    </row>
    <row r="78" spans="1:41">
      <c r="A78" s="166">
        <f t="shared" si="1"/>
        <v>26</v>
      </c>
      <c r="B78" s="166" t="s">
        <v>293</v>
      </c>
      <c r="C78" s="166" t="s">
        <v>294</v>
      </c>
      <c r="D78" s="166" t="str">
        <f>VLOOKUP(A78,Tesoro_emis!$A$5:$B$50,2,FALSE)</f>
        <v>TR37</v>
      </c>
      <c r="E78" s="166" t="s">
        <v>293</v>
      </c>
    </row>
    <row r="79" spans="1:41">
      <c r="A79" s="166">
        <f t="shared" si="1"/>
        <v>26</v>
      </c>
      <c r="B79" s="166" t="s">
        <v>293</v>
      </c>
      <c r="C79" s="166" t="s">
        <v>295</v>
      </c>
      <c r="D79" s="168">
        <f>VLOOKUP(A79,Tesoro_emis!$A$5:$AA$50,7,FALSE)</f>
        <v>-20.431253876100001</v>
      </c>
      <c r="E79" s="168" t="s">
        <v>296</v>
      </c>
      <c r="F79" s="168">
        <f>VLOOKUP(A79,Tesoro_emis!$A$5:$AA$50,8,FALSE)</f>
        <v>187.469802093</v>
      </c>
      <c r="G79" s="168" t="s">
        <v>296</v>
      </c>
      <c r="H79" s="169">
        <f>VLOOKUP(A79,Tesoro_emis!$A$5:$AA$50,24,FALSE)</f>
        <v>6.0960000000000001</v>
      </c>
      <c r="I79" s="166" t="s">
        <v>296</v>
      </c>
      <c r="J79" s="170">
        <f>VLOOKUP(A79,Tesoro_emis!$A$5:$AA$50,6,FALSE)</f>
        <v>37</v>
      </c>
      <c r="K79" s="166" t="s">
        <v>296</v>
      </c>
      <c r="L79" s="168">
        <f>VLOOKUP(A79,Tesoro_emis!$A$5:$AA$50,27,FALSE)</f>
        <v>0.30480000000000002</v>
      </c>
      <c r="M79" s="166" t="s">
        <v>296</v>
      </c>
      <c r="N79" s="169">
        <f>VLOOKUP(A79,Tesoro_emis!$A$5:$AA$50,26,FALSE)</f>
        <v>32.004000000000005</v>
      </c>
      <c r="O79" s="166" t="s">
        <v>296</v>
      </c>
      <c r="P79" s="169">
        <f>VLOOKUP(A79,Tesoro_emis!$A$5:$AA$50,25,FALSE)</f>
        <v>599.81666666666661</v>
      </c>
      <c r="Q79" s="166" t="s">
        <v>296</v>
      </c>
      <c r="R79" s="170">
        <v>1</v>
      </c>
      <c r="S79" s="166" t="s">
        <v>296</v>
      </c>
      <c r="T79" s="171">
        <f>VLOOKUP(A79,Tesoro_emis!$A$5:$AA$50,14,FALSE)</f>
        <v>0</v>
      </c>
      <c r="U79" s="166" t="s">
        <v>296</v>
      </c>
      <c r="V79" s="170">
        <v>0</v>
      </c>
      <c r="W79" s="171" t="s">
        <v>296</v>
      </c>
      <c r="X79" s="171">
        <f>VLOOKUP(A79,Tesoro_emis!$A$5:$AA$50,9,FALSE)</f>
        <v>2.0999537037037039E-2</v>
      </c>
      <c r="Y79" s="166" t="s">
        <v>296</v>
      </c>
      <c r="Z79" s="170">
        <v>0</v>
      </c>
      <c r="AA79" s="166" t="s">
        <v>296</v>
      </c>
      <c r="AB79" s="170">
        <v>0</v>
      </c>
      <c r="AC79" s="166" t="s">
        <v>296</v>
      </c>
      <c r="AD79" s="171">
        <f>VLOOKUP(A79,Tesoro_emis!$A$5:$AA$50,19,FALSE)</f>
        <v>0</v>
      </c>
      <c r="AE79" s="166" t="s">
        <v>296</v>
      </c>
      <c r="AF79" s="171">
        <f>VLOOKUP(A79,Tesoro_emis!$A$5:$AA$50,21,FALSE)</f>
        <v>0</v>
      </c>
      <c r="AG79" s="166" t="s">
        <v>296</v>
      </c>
      <c r="AH79" s="171">
        <f>VLOOKUP($A$79,Tesoro_emis!$A$5:$AA$50,23,FALSE)</f>
        <v>0</v>
      </c>
      <c r="AI79" s="166" t="s">
        <v>296</v>
      </c>
      <c r="AJ79" s="171">
        <f>VLOOKUP($A$79,Tesoro_emis!$A$5:$AA$50,11,FALSE)</f>
        <v>0</v>
      </c>
      <c r="AK79" s="166" t="s">
        <v>296</v>
      </c>
      <c r="AL79" s="171">
        <f>VLOOKUP($A$79,Tesoro_emis!$A$5:$AA$50,11,FALSE)</f>
        <v>0</v>
      </c>
      <c r="AM79" s="166" t="s">
        <v>296</v>
      </c>
      <c r="AN79" s="171">
        <f>VLOOKUP($A$79,Tesoro_emis!$A$5:$AA$50,16,FALSE)</f>
        <v>1.7259893455098935E-3</v>
      </c>
      <c r="AO79" s="167" t="s">
        <v>293</v>
      </c>
    </row>
    <row r="80" spans="1:41">
      <c r="A80" s="166">
        <f t="shared" si="1"/>
        <v>26</v>
      </c>
      <c r="B80" s="166" t="s">
        <v>293</v>
      </c>
      <c r="C80" s="166" t="s">
        <v>297</v>
      </c>
      <c r="H80" s="168"/>
      <c r="I80" s="168"/>
      <c r="J80" s="168"/>
      <c r="K80" s="168"/>
      <c r="L80" s="168"/>
    </row>
    <row r="81" spans="1:41">
      <c r="A81" s="166">
        <f t="shared" si="1"/>
        <v>27</v>
      </c>
      <c r="B81" s="166" t="s">
        <v>293</v>
      </c>
      <c r="C81" s="166" t="s">
        <v>294</v>
      </c>
      <c r="D81" s="166" t="str">
        <f>VLOOKUP(A81,Tesoro_emis!$A$5:$B$50,2,FALSE)</f>
        <v>TR38</v>
      </c>
      <c r="E81" s="166" t="s">
        <v>293</v>
      </c>
    </row>
    <row r="82" spans="1:41">
      <c r="A82" s="166">
        <f t="shared" si="1"/>
        <v>27</v>
      </c>
      <c r="B82" s="166" t="s">
        <v>293</v>
      </c>
      <c r="C82" s="166" t="s">
        <v>295</v>
      </c>
      <c r="D82" s="168">
        <f>VLOOKUP(A82,Tesoro_emis!$A$5:$AA$50,7,FALSE)</f>
        <v>-20.667068516200001</v>
      </c>
      <c r="E82" s="168" t="s">
        <v>296</v>
      </c>
      <c r="F82" s="168">
        <f>VLOOKUP(A82,Tesoro_emis!$A$5:$AA$50,8,FALSE)</f>
        <v>187.515110327</v>
      </c>
      <c r="G82" s="168" t="s">
        <v>296</v>
      </c>
      <c r="H82" s="169">
        <f>VLOOKUP(A82,Tesoro_emis!$A$5:$AA$50,24,FALSE)</f>
        <v>3.6576000000000004</v>
      </c>
      <c r="I82" s="166" t="s">
        <v>296</v>
      </c>
      <c r="J82" s="170">
        <f>VLOOKUP(A82,Tesoro_emis!$A$5:$AA$50,6,FALSE)</f>
        <v>30</v>
      </c>
      <c r="K82" s="166" t="s">
        <v>296</v>
      </c>
      <c r="L82" s="168">
        <f>VLOOKUP(A82,Tesoro_emis!$A$5:$AA$50,27,FALSE)</f>
        <v>3.0480000000000004E-2</v>
      </c>
      <c r="M82" s="166" t="s">
        <v>296</v>
      </c>
      <c r="N82" s="169">
        <f>VLOOKUP(A82,Tesoro_emis!$A$5:$AA$50,26,FALSE)</f>
        <v>18.288</v>
      </c>
      <c r="O82" s="166" t="s">
        <v>296</v>
      </c>
      <c r="P82" s="169">
        <f>VLOOKUP(A82,Tesoro_emis!$A$5:$AA$50,25,FALSE)</f>
        <v>599.81666666666661</v>
      </c>
      <c r="Q82" s="166" t="s">
        <v>296</v>
      </c>
      <c r="R82" s="170">
        <v>1</v>
      </c>
      <c r="S82" s="166" t="s">
        <v>296</v>
      </c>
      <c r="T82" s="171">
        <f>VLOOKUP(A82,Tesoro_emis!$A$5:$AA$50,14,FALSE)</f>
        <v>0</v>
      </c>
      <c r="U82" s="166" t="s">
        <v>296</v>
      </c>
      <c r="V82" s="170">
        <v>0</v>
      </c>
      <c r="W82" s="171" t="s">
        <v>296</v>
      </c>
      <c r="X82" s="171">
        <f>VLOOKUP(A82,Tesoro_emis!$A$5:$AA$50,9,FALSE)</f>
        <v>0.11017565322171487</v>
      </c>
      <c r="Y82" s="166" t="s">
        <v>296</v>
      </c>
      <c r="Z82" s="170">
        <v>0</v>
      </c>
      <c r="AA82" s="166" t="s">
        <v>296</v>
      </c>
      <c r="AB82" s="170">
        <v>0</v>
      </c>
      <c r="AC82" s="166" t="s">
        <v>296</v>
      </c>
      <c r="AD82" s="171">
        <f>VLOOKUP(A82,Tesoro_emis!$A$5:$AA$50,19,FALSE)</f>
        <v>0</v>
      </c>
      <c r="AE82" s="166" t="s">
        <v>296</v>
      </c>
      <c r="AF82" s="171">
        <f>VLOOKUP(A82,Tesoro_emis!$A$5:$AA$50,21,FALSE)</f>
        <v>6.7232255133997951E-3</v>
      </c>
      <c r="AG82" s="166" t="s">
        <v>296</v>
      </c>
      <c r="AH82" s="171">
        <f>VLOOKUP($A$82,Tesoro_emis!$A$5:$AA$50,23,FALSE)</f>
        <v>1.0437265413947264E-3</v>
      </c>
      <c r="AI82" s="166" t="s">
        <v>296</v>
      </c>
      <c r="AJ82" s="171">
        <f>VLOOKUP($A$82,Tesoro_emis!$A$5:$AA$50,11,FALSE)</f>
        <v>7.7669520547945211E-3</v>
      </c>
      <c r="AK82" s="166" t="s">
        <v>296</v>
      </c>
      <c r="AL82" s="171">
        <f>VLOOKUP($A$82,Tesoro_emis!$A$5:$AA$50,11,FALSE)</f>
        <v>7.7669520547945211E-3</v>
      </c>
      <c r="AM82" s="166" t="s">
        <v>296</v>
      </c>
      <c r="AN82" s="171">
        <f>VLOOKUP($A$82,Tesoro_emis!$A$5:$AA$50,16,FALSE)</f>
        <v>2.3588521055301875E-2</v>
      </c>
      <c r="AO82" s="167" t="s">
        <v>293</v>
      </c>
    </row>
    <row r="83" spans="1:41">
      <c r="A83" s="166">
        <f t="shared" si="1"/>
        <v>27</v>
      </c>
      <c r="B83" s="166" t="s">
        <v>293</v>
      </c>
      <c r="C83" s="166" t="s">
        <v>297</v>
      </c>
      <c r="H83" s="168"/>
      <c r="I83" s="168"/>
      <c r="J83" s="168"/>
      <c r="K83" s="168"/>
      <c r="L83" s="168"/>
    </row>
    <row r="84" spans="1:41">
      <c r="A84" s="166">
        <f t="shared" si="1"/>
        <v>28</v>
      </c>
      <c r="B84" s="166" t="s">
        <v>293</v>
      </c>
      <c r="C84" s="166" t="s">
        <v>294</v>
      </c>
      <c r="D84" s="166" t="str">
        <f>VLOOKUP(A84,Tesoro_emis!$A$5:$B$50,2,FALSE)</f>
        <v>TR40</v>
      </c>
      <c r="E84" s="166" t="s">
        <v>293</v>
      </c>
    </row>
    <row r="85" spans="1:41">
      <c r="A85" s="166">
        <f t="shared" si="1"/>
        <v>28</v>
      </c>
      <c r="B85" s="166" t="s">
        <v>293</v>
      </c>
      <c r="C85" s="166" t="s">
        <v>295</v>
      </c>
      <c r="D85" s="168">
        <f>VLOOKUP(A85,Tesoro_emis!$A$5:$AA$50,7,FALSE)</f>
        <v>-19.977861687600001</v>
      </c>
      <c r="E85" s="168" t="s">
        <v>296</v>
      </c>
      <c r="F85" s="168">
        <f>VLOOKUP(A85,Tesoro_emis!$A$5:$AA$50,8,FALSE)</f>
        <v>187.708166758</v>
      </c>
      <c r="G85" s="168" t="s">
        <v>296</v>
      </c>
      <c r="H85" s="169">
        <f>VLOOKUP(A85,Tesoro_emis!$A$5:$AA$50,24,FALSE)</f>
        <v>3.66</v>
      </c>
      <c r="I85" s="166" t="s">
        <v>296</v>
      </c>
      <c r="J85" s="170">
        <f>VLOOKUP(A85,Tesoro_emis!$A$5:$AA$50,6,FALSE)</f>
        <v>40</v>
      </c>
      <c r="K85" s="166" t="s">
        <v>296</v>
      </c>
      <c r="L85" s="168">
        <f>VLOOKUP(A85,Tesoro_emis!$A$5:$AA$50,27,FALSE)</f>
        <v>0.24</v>
      </c>
      <c r="M85" s="166" t="s">
        <v>296</v>
      </c>
      <c r="N85" s="169">
        <f>VLOOKUP(A85,Tesoro_emis!$A$5:$AA$50,26,FALSE)</f>
        <v>39.29</v>
      </c>
      <c r="O85" s="166" t="s">
        <v>296</v>
      </c>
      <c r="P85" s="169">
        <f>VLOOKUP(A85,Tesoro_emis!$A$5:$AA$50,25,FALSE)</f>
        <v>600</v>
      </c>
      <c r="Q85" s="166" t="s">
        <v>296</v>
      </c>
      <c r="R85" s="170">
        <v>1</v>
      </c>
      <c r="S85" s="166" t="s">
        <v>296</v>
      </c>
      <c r="T85" s="171">
        <f>VLOOKUP(A85,Tesoro_emis!$A$5:$AA$50,14,FALSE)</f>
        <v>0.196504479562464</v>
      </c>
      <c r="U85" s="166" t="s">
        <v>296</v>
      </c>
      <c r="V85" s="170">
        <v>0</v>
      </c>
      <c r="W85" s="171" t="s">
        <v>296</v>
      </c>
      <c r="X85" s="171">
        <f>VLOOKUP(A85,Tesoro_emis!$A$5:$AA$50,9,FALSE)</f>
        <v>0.11874869528158294</v>
      </c>
      <c r="Y85" s="166" t="s">
        <v>296</v>
      </c>
      <c r="Z85" s="170">
        <v>0</v>
      </c>
      <c r="AA85" s="166" t="s">
        <v>296</v>
      </c>
      <c r="AB85" s="170">
        <v>0</v>
      </c>
      <c r="AC85" s="166" t="s">
        <v>296</v>
      </c>
      <c r="AD85" s="171">
        <f>VLOOKUP(A85,Tesoro_emis!$A$5:$AA$50,19,FALSE)</f>
        <v>0</v>
      </c>
      <c r="AE85" s="166" t="s">
        <v>296</v>
      </c>
      <c r="AF85" s="171">
        <f>VLOOKUP(A85,Tesoro_emis!$A$5:$AA$50,21,FALSE)</f>
        <v>0</v>
      </c>
      <c r="AG85" s="166" t="s">
        <v>296</v>
      </c>
      <c r="AH85" s="171">
        <f>VLOOKUP($A$85,Tesoro_emis!$A$5:$AA$50,23,FALSE)</f>
        <v>0</v>
      </c>
      <c r="AI85" s="166" t="s">
        <v>296</v>
      </c>
      <c r="AJ85" s="171">
        <f>VLOOKUP($A$85,Tesoro_emis!$A$5:$AA$50,11,FALSE)</f>
        <v>3.1044619843333329E-2</v>
      </c>
      <c r="AK85" s="166" t="s">
        <v>296</v>
      </c>
      <c r="AL85" s="171">
        <f>VLOOKUP($A$85,Tesoro_emis!$A$5:$AA$50,11,FALSE)</f>
        <v>3.1044619843333329E-2</v>
      </c>
      <c r="AM85" s="166" t="s">
        <v>296</v>
      </c>
      <c r="AN85" s="171">
        <f>VLOOKUP($A$85,Tesoro_emis!$A$5:$AA$50,16,FALSE)</f>
        <v>0.46052228388888883</v>
      </c>
      <c r="AO85" s="167" t="s">
        <v>293</v>
      </c>
    </row>
    <row r="86" spans="1:41">
      <c r="A86" s="166">
        <f t="shared" si="1"/>
        <v>28</v>
      </c>
      <c r="B86" s="166" t="s">
        <v>293</v>
      </c>
      <c r="C86" s="166" t="s">
        <v>297</v>
      </c>
      <c r="H86" s="168"/>
      <c r="I86" s="168"/>
      <c r="J86" s="168"/>
      <c r="K86" s="168"/>
      <c r="L86" s="168"/>
    </row>
    <row r="87" spans="1:41">
      <c r="A87" s="166">
        <f t="shared" si="1"/>
        <v>29</v>
      </c>
      <c r="B87" s="166" t="s">
        <v>293</v>
      </c>
      <c r="C87" s="166" t="s">
        <v>294</v>
      </c>
      <c r="D87" s="166" t="str">
        <f>VLOOKUP(A87,Tesoro_emis!$A$5:$B$50,2,FALSE)</f>
        <v>TR41</v>
      </c>
      <c r="E87" s="166" t="s">
        <v>293</v>
      </c>
    </row>
    <row r="88" spans="1:41">
      <c r="A88" s="166">
        <f t="shared" si="1"/>
        <v>29</v>
      </c>
      <c r="B88" s="166" t="s">
        <v>293</v>
      </c>
      <c r="C88" s="166" t="s">
        <v>295</v>
      </c>
      <c r="D88" s="168">
        <f>VLOOKUP(A88,Tesoro_emis!$A$5:$AA$50,7,FALSE)</f>
        <v>-20.262041844300001</v>
      </c>
      <c r="E88" s="168" t="s">
        <v>296</v>
      </c>
      <c r="F88" s="168">
        <f>VLOOKUP(A88,Tesoro_emis!$A$5:$AA$50,8,FALSE)</f>
        <v>187.53000946399999</v>
      </c>
      <c r="G88" s="168" t="s">
        <v>296</v>
      </c>
      <c r="H88" s="169">
        <f>VLOOKUP(A88,Tesoro_emis!$A$5:$AA$50,24,FALSE)</f>
        <v>2.4384000000000001</v>
      </c>
      <c r="I88" s="166" t="s">
        <v>296</v>
      </c>
      <c r="J88" s="170">
        <f>VLOOKUP(A88,Tesoro_emis!$A$5:$AA$50,6,FALSE)</f>
        <v>40</v>
      </c>
      <c r="K88" s="166" t="s">
        <v>296</v>
      </c>
      <c r="L88" s="168">
        <f>VLOOKUP(A88,Tesoro_emis!$A$5:$AA$50,27,FALSE)</f>
        <v>0.30480000000000002</v>
      </c>
      <c r="M88" s="166" t="s">
        <v>296</v>
      </c>
      <c r="N88" s="169">
        <f>VLOOKUP(A88,Tesoro_emis!$A$5:$AA$50,26,FALSE)</f>
        <v>10.363200000000001</v>
      </c>
      <c r="O88" s="166" t="s">
        <v>296</v>
      </c>
      <c r="P88" s="169">
        <f>VLOOKUP(A88,Tesoro_emis!$A$5:$AA$50,25,FALSE)</f>
        <v>599.81666666666661</v>
      </c>
      <c r="Q88" s="166" t="s">
        <v>296</v>
      </c>
      <c r="R88" s="170">
        <v>1</v>
      </c>
      <c r="S88" s="166" t="s">
        <v>296</v>
      </c>
      <c r="T88" s="171">
        <f>VLOOKUP(A88,Tesoro_emis!$A$5:$AA$50,14,FALSE)</f>
        <v>0</v>
      </c>
      <c r="U88" s="166" t="s">
        <v>296</v>
      </c>
      <c r="V88" s="170">
        <v>0</v>
      </c>
      <c r="W88" s="171" t="s">
        <v>296</v>
      </c>
      <c r="X88" s="171">
        <f>VLOOKUP(A88,Tesoro_emis!$A$5:$AA$50,9,FALSE)</f>
        <v>0</v>
      </c>
      <c r="Y88" s="166" t="s">
        <v>296</v>
      </c>
      <c r="Z88" s="170">
        <v>0</v>
      </c>
      <c r="AA88" s="166" t="s">
        <v>296</v>
      </c>
      <c r="AB88" s="170">
        <v>0</v>
      </c>
      <c r="AC88" s="166" t="s">
        <v>296</v>
      </c>
      <c r="AD88" s="171">
        <f>VLOOKUP(A88,Tesoro_emis!$A$5:$AA$50,19,FALSE)</f>
        <v>0</v>
      </c>
      <c r="AE88" s="166" t="s">
        <v>296</v>
      </c>
      <c r="AF88" s="171">
        <f>VLOOKUP(A88,Tesoro_emis!$A$5:$AA$50,21,FALSE)</f>
        <v>0</v>
      </c>
      <c r="AG88" s="166" t="s">
        <v>296</v>
      </c>
      <c r="AH88" s="171">
        <f>VLOOKUP($A$88,Tesoro_emis!$A$5:$AA$50,23,FALSE)</f>
        <v>0</v>
      </c>
      <c r="AI88" s="166" t="s">
        <v>296</v>
      </c>
      <c r="AJ88" s="171">
        <f>VLOOKUP($A$88,Tesoro_emis!$A$5:$AA$50,11,FALSE)</f>
        <v>0</v>
      </c>
      <c r="AK88" s="166" t="s">
        <v>296</v>
      </c>
      <c r="AL88" s="171">
        <f>VLOOKUP($A$88,Tesoro_emis!$A$5:$AA$50,11,FALSE)</f>
        <v>0</v>
      </c>
      <c r="AM88" s="166" t="s">
        <v>296</v>
      </c>
      <c r="AN88" s="171">
        <f>VLOOKUP($A$88,Tesoro_emis!$A$5:$AA$50,16,FALSE)</f>
        <v>0</v>
      </c>
      <c r="AO88" s="167" t="s">
        <v>293</v>
      </c>
    </row>
    <row r="89" spans="1:41">
      <c r="A89" s="166">
        <f t="shared" si="1"/>
        <v>29</v>
      </c>
      <c r="B89" s="166" t="s">
        <v>293</v>
      </c>
      <c r="C89" s="166" t="s">
        <v>297</v>
      </c>
      <c r="H89" s="168"/>
      <c r="I89" s="168"/>
      <c r="J89" s="168"/>
      <c r="K89" s="168"/>
      <c r="L89" s="168"/>
    </row>
    <row r="90" spans="1:41">
      <c r="A90" s="166">
        <f t="shared" si="1"/>
        <v>30</v>
      </c>
      <c r="B90" s="166" t="s">
        <v>293</v>
      </c>
      <c r="C90" s="166" t="s">
        <v>294</v>
      </c>
      <c r="D90" s="166" t="str">
        <f>VLOOKUP(A90,Tesoro_emis!$A$5:$B$50,2,FALSE)</f>
        <v>TR42</v>
      </c>
      <c r="E90" s="166" t="s">
        <v>293</v>
      </c>
    </row>
    <row r="91" spans="1:41">
      <c r="A91" s="166">
        <f t="shared" si="1"/>
        <v>30</v>
      </c>
      <c r="B91" s="166" t="s">
        <v>293</v>
      </c>
      <c r="C91" s="166" t="s">
        <v>295</v>
      </c>
      <c r="D91" s="168">
        <f>VLOOKUP(A91,Tesoro_emis!$A$5:$AA$50,7,FALSE)</f>
        <v>-19.917252036499999</v>
      </c>
      <c r="E91" s="168" t="s">
        <v>296</v>
      </c>
      <c r="F91" s="168">
        <f>VLOOKUP(A91,Tesoro_emis!$A$5:$AA$50,8,FALSE)</f>
        <v>187.62773335899999</v>
      </c>
      <c r="G91" s="168" t="s">
        <v>296</v>
      </c>
      <c r="H91" s="169">
        <f>VLOOKUP(A91,Tesoro_emis!$A$5:$AA$50,24,FALSE)</f>
        <v>30.48</v>
      </c>
      <c r="I91" s="166" t="s">
        <v>296</v>
      </c>
      <c r="J91" s="170">
        <f>VLOOKUP(A91,Tesoro_emis!$A$5:$AA$50,6,FALSE)</f>
        <v>40</v>
      </c>
      <c r="K91" s="166" t="s">
        <v>296</v>
      </c>
      <c r="L91" s="168">
        <f>VLOOKUP(A91,Tesoro_emis!$A$5:$AA$50,27,FALSE)</f>
        <v>0.30480000000000002</v>
      </c>
      <c r="M91" s="166" t="s">
        <v>296</v>
      </c>
      <c r="N91" s="169">
        <f>VLOOKUP(A91,Tesoro_emis!$A$5:$AA$50,26,FALSE)</f>
        <v>20</v>
      </c>
      <c r="O91" s="166" t="s">
        <v>296</v>
      </c>
      <c r="P91" s="169">
        <f>VLOOKUP(A91,Tesoro_emis!$A$5:$AA$50,25,FALSE)</f>
        <v>1273</v>
      </c>
      <c r="Q91" s="166" t="s">
        <v>296</v>
      </c>
      <c r="R91" s="170">
        <v>1</v>
      </c>
      <c r="S91" s="166" t="s">
        <v>296</v>
      </c>
      <c r="T91" s="171">
        <f>VLOOKUP(A91,Tesoro_emis!$A$5:$AA$50,14,FALSE)</f>
        <v>1.0164915216254575E-2</v>
      </c>
      <c r="U91" s="166" t="s">
        <v>296</v>
      </c>
      <c r="V91" s="170">
        <v>0</v>
      </c>
      <c r="W91" s="171" t="s">
        <v>296</v>
      </c>
      <c r="X91" s="171">
        <f>VLOOKUP(A91,Tesoro_emis!$A$5:$AA$50,9,FALSE)</f>
        <v>3.7058202614379081E-2</v>
      </c>
      <c r="Y91" s="166" t="s">
        <v>296</v>
      </c>
      <c r="Z91" s="170">
        <v>0</v>
      </c>
      <c r="AA91" s="166" t="s">
        <v>296</v>
      </c>
      <c r="AB91" s="170">
        <v>0</v>
      </c>
      <c r="AC91" s="166" t="s">
        <v>296</v>
      </c>
      <c r="AD91" s="171">
        <f>VLOOKUP(A91,Tesoro_emis!$A$5:$AA$50,19,FALSE)</f>
        <v>0</v>
      </c>
      <c r="AE91" s="166" t="s">
        <v>296</v>
      </c>
      <c r="AF91" s="171">
        <f>VLOOKUP(A91,Tesoro_emis!$A$5:$AA$50,21,FALSE)</f>
        <v>7.0410584967320257E-4</v>
      </c>
      <c r="AG91" s="166" t="s">
        <v>296</v>
      </c>
      <c r="AH91" s="171">
        <f>VLOOKUP($A$91,Tesoro_emis!$A$5:$AA$50,23,FALSE)</f>
        <v>2.1123175490196078E-3</v>
      </c>
      <c r="AI91" s="166" t="s">
        <v>296</v>
      </c>
      <c r="AJ91" s="171">
        <f>VLOOKUP($A$91,Tesoro_emis!$A$5:$AA$50,11,FALSE)</f>
        <v>2.8164233986928103E-3</v>
      </c>
      <c r="AK91" s="166" t="s">
        <v>296</v>
      </c>
      <c r="AL91" s="171">
        <f>VLOOKUP($A$91,Tesoro_emis!$A$5:$AA$50,11,FALSE)</f>
        <v>2.8164233986928103E-3</v>
      </c>
      <c r="AM91" s="166" t="s">
        <v>296</v>
      </c>
      <c r="AN91" s="171">
        <f>VLOOKUP($A$91,Tesoro_emis!$A$5:$AA$50,16,FALSE)</f>
        <v>3.1128890196078431E-2</v>
      </c>
      <c r="AO91" s="167" t="s">
        <v>293</v>
      </c>
    </row>
    <row r="92" spans="1:41">
      <c r="A92" s="166">
        <f t="shared" si="1"/>
        <v>30</v>
      </c>
      <c r="B92" s="166" t="s">
        <v>293</v>
      </c>
      <c r="C92" s="166" t="s">
        <v>297</v>
      </c>
      <c r="H92" s="168"/>
      <c r="I92" s="168"/>
      <c r="J92" s="168"/>
      <c r="K92" s="168"/>
      <c r="L92" s="168"/>
    </row>
    <row r="93" spans="1:41">
      <c r="A93" s="166">
        <f t="shared" si="1"/>
        <v>31</v>
      </c>
      <c r="B93" s="166" t="s">
        <v>293</v>
      </c>
      <c r="C93" s="166" t="s">
        <v>294</v>
      </c>
      <c r="D93" s="166" t="str">
        <f>VLOOKUP(A93,Tesoro_emis!$A$5:$B$50,2,FALSE)</f>
        <v>TR43</v>
      </c>
      <c r="E93" s="166" t="s">
        <v>293</v>
      </c>
    </row>
    <row r="94" spans="1:41">
      <c r="A94" s="166">
        <f t="shared" si="1"/>
        <v>31</v>
      </c>
      <c r="B94" s="166" t="s">
        <v>293</v>
      </c>
      <c r="C94" s="166" t="s">
        <v>295</v>
      </c>
      <c r="D94" s="168">
        <f>VLOOKUP(A94,Tesoro_emis!$A$5:$AA$50,7,FALSE)</f>
        <v>-20.076566478899998</v>
      </c>
      <c r="E94" s="168" t="s">
        <v>296</v>
      </c>
      <c r="F94" s="168">
        <f>VLOOKUP(A94,Tesoro_emis!$A$5:$AA$50,8,FALSE)</f>
        <v>187.688805081</v>
      </c>
      <c r="G94" s="168" t="s">
        <v>296</v>
      </c>
      <c r="H94" s="169">
        <f>VLOOKUP(A94,Tesoro_emis!$A$5:$AA$50,24,FALSE)</f>
        <v>31.394400000000001</v>
      </c>
      <c r="I94" s="166" t="s">
        <v>296</v>
      </c>
      <c r="J94" s="170">
        <f>VLOOKUP(A94,Tesoro_emis!$A$5:$AA$50,6,FALSE)</f>
        <v>40</v>
      </c>
      <c r="K94" s="166" t="s">
        <v>296</v>
      </c>
      <c r="L94" s="168">
        <f>VLOOKUP(A94,Tesoro_emis!$A$5:$AA$50,27,FALSE)</f>
        <v>1.524</v>
      </c>
      <c r="M94" s="166" t="s">
        <v>296</v>
      </c>
      <c r="N94" s="169">
        <f>VLOOKUP(A94,Tesoro_emis!$A$5:$AA$50,26,FALSE)</f>
        <v>20</v>
      </c>
      <c r="O94" s="166" t="s">
        <v>296</v>
      </c>
      <c r="P94" s="169">
        <f>VLOOKUP(A94,Tesoro_emis!$A$5:$AA$50,25,FALSE)</f>
        <v>1273</v>
      </c>
      <c r="Q94" s="166" t="s">
        <v>296</v>
      </c>
      <c r="R94" s="170">
        <v>1</v>
      </c>
      <c r="S94" s="166" t="s">
        <v>296</v>
      </c>
      <c r="T94" s="171">
        <f>VLOOKUP(A94,Tesoro_emis!$A$5:$AA$50,14,FALSE)</f>
        <v>0</v>
      </c>
      <c r="U94" s="166" t="s">
        <v>296</v>
      </c>
      <c r="V94" s="170">
        <v>0</v>
      </c>
      <c r="W94" s="171" t="s">
        <v>296</v>
      </c>
      <c r="X94" s="171">
        <f>VLOOKUP(A94,Tesoro_emis!$A$5:$AA$50,9,FALSE)</f>
        <v>1.7259893455098935E-3</v>
      </c>
      <c r="Y94" s="166" t="s">
        <v>296</v>
      </c>
      <c r="Z94" s="170">
        <v>0</v>
      </c>
      <c r="AA94" s="166" t="s">
        <v>296</v>
      </c>
      <c r="AB94" s="170">
        <v>0</v>
      </c>
      <c r="AC94" s="166" t="s">
        <v>296</v>
      </c>
      <c r="AD94" s="171">
        <f>VLOOKUP(A94,Tesoro_emis!$A$5:$AA$50,19,FALSE)</f>
        <v>0</v>
      </c>
      <c r="AE94" s="166" t="s">
        <v>296</v>
      </c>
      <c r="AF94" s="171">
        <f>VLOOKUP(A94,Tesoro_emis!$A$5:$AA$50,21,FALSE)</f>
        <v>0</v>
      </c>
      <c r="AG94" s="166" t="s">
        <v>296</v>
      </c>
      <c r="AH94" s="171">
        <f>VLOOKUP($A$94,Tesoro_emis!$A$5:$AA$50,23,FALSE)</f>
        <v>0</v>
      </c>
      <c r="AI94" s="166" t="s">
        <v>296</v>
      </c>
      <c r="AJ94" s="171">
        <f>VLOOKUP($A$94,Tesoro_emis!$A$5:$AA$50,11,FALSE)</f>
        <v>0</v>
      </c>
      <c r="AK94" s="166" t="s">
        <v>296</v>
      </c>
      <c r="AL94" s="171">
        <f>VLOOKUP($A$94,Tesoro_emis!$A$5:$AA$50,11,FALSE)</f>
        <v>0</v>
      </c>
      <c r="AM94" s="166" t="s">
        <v>296</v>
      </c>
      <c r="AN94" s="171">
        <f>VLOOKUP($A$94,Tesoro_emis!$A$5:$AA$50,16,FALSE)</f>
        <v>1.4383244545915781E-3</v>
      </c>
      <c r="AO94" s="167" t="s">
        <v>293</v>
      </c>
    </row>
    <row r="95" spans="1:41">
      <c r="A95" s="166">
        <f t="shared" si="1"/>
        <v>31</v>
      </c>
      <c r="B95" s="166" t="s">
        <v>293</v>
      </c>
      <c r="C95" s="166" t="s">
        <v>297</v>
      </c>
      <c r="H95" s="168"/>
      <c r="I95" s="168"/>
      <c r="J95" s="168"/>
      <c r="K95" s="168"/>
      <c r="L95" s="168"/>
    </row>
    <row r="96" spans="1:41">
      <c r="A96" s="166">
        <f t="shared" si="1"/>
        <v>32</v>
      </c>
      <c r="B96" s="166" t="s">
        <v>293</v>
      </c>
      <c r="C96" s="166" t="s">
        <v>294</v>
      </c>
      <c r="D96" s="166" t="str">
        <f>VLOOKUP(A96,Tesoro_emis!$A$5:$B$50,2,FALSE)</f>
        <v>TR44</v>
      </c>
      <c r="E96" s="166" t="s">
        <v>293</v>
      </c>
    </row>
    <row r="97" spans="1:41">
      <c r="A97" s="166">
        <f t="shared" si="1"/>
        <v>32</v>
      </c>
      <c r="B97" s="166" t="s">
        <v>293</v>
      </c>
      <c r="C97" s="166" t="s">
        <v>295</v>
      </c>
      <c r="D97" s="168">
        <f>VLOOKUP(A97,Tesoro_emis!$A$5:$AA$50,7,FALSE)</f>
        <v>-20.027458087199999</v>
      </c>
      <c r="E97" s="168" t="s">
        <v>296</v>
      </c>
      <c r="F97" s="168">
        <f>VLOOKUP(A97,Tesoro_emis!$A$5:$AA$50,8,FALSE)</f>
        <v>187.50773432</v>
      </c>
      <c r="G97" s="168" t="s">
        <v>296</v>
      </c>
      <c r="H97" s="169">
        <f>VLOOKUP(A97,Tesoro_emis!$A$5:$AA$50,24,FALSE)</f>
        <v>3.048</v>
      </c>
      <c r="I97" s="166" t="s">
        <v>296</v>
      </c>
      <c r="J97" s="170">
        <f>VLOOKUP(A97,Tesoro_emis!$A$5:$AA$50,6,FALSE)</f>
        <v>40</v>
      </c>
      <c r="K97" s="166" t="s">
        <v>296</v>
      </c>
      <c r="L97" s="168">
        <f>VLOOKUP(A97,Tesoro_emis!$A$5:$AA$50,27,FALSE)</f>
        <v>0.30480000000000002</v>
      </c>
      <c r="M97" s="166" t="s">
        <v>296</v>
      </c>
      <c r="N97" s="169">
        <f>VLOOKUP(A97,Tesoro_emis!$A$5:$AA$50,26,FALSE)</f>
        <v>1.8288000000000002</v>
      </c>
      <c r="O97" s="166" t="s">
        <v>296</v>
      </c>
      <c r="P97" s="169">
        <f>VLOOKUP(A97,Tesoro_emis!$A$5:$AA$50,25,FALSE)</f>
        <v>1060.9277777777779</v>
      </c>
      <c r="Q97" s="166" t="s">
        <v>296</v>
      </c>
      <c r="R97" s="170">
        <v>1</v>
      </c>
      <c r="S97" s="166" t="s">
        <v>296</v>
      </c>
      <c r="T97" s="171">
        <f>VLOOKUP(A97,Tesoro_emis!$A$5:$AA$50,14,FALSE)</f>
        <v>1.0457731703965613E-3</v>
      </c>
      <c r="U97" s="166" t="s">
        <v>296</v>
      </c>
      <c r="V97" s="170">
        <v>0</v>
      </c>
      <c r="W97" s="171" t="s">
        <v>296</v>
      </c>
      <c r="X97" s="171">
        <f>VLOOKUP(A97,Tesoro_emis!$A$5:$AA$50,9,FALSE)</f>
        <v>6.1763671023965135E-3</v>
      </c>
      <c r="Y97" s="166" t="s">
        <v>296</v>
      </c>
      <c r="Z97" s="170">
        <v>0</v>
      </c>
      <c r="AA97" s="166" t="s">
        <v>296</v>
      </c>
      <c r="AB97" s="170">
        <v>0</v>
      </c>
      <c r="AC97" s="166" t="s">
        <v>296</v>
      </c>
      <c r="AD97" s="171">
        <f>VLOOKUP(A97,Tesoro_emis!$A$5:$AA$50,19,FALSE)</f>
        <v>0</v>
      </c>
      <c r="AE97" s="166" t="s">
        <v>296</v>
      </c>
      <c r="AF97" s="171">
        <f>VLOOKUP(A97,Tesoro_emis!$A$5:$AA$50,21,FALSE)</f>
        <v>1.1735097494553376E-4</v>
      </c>
      <c r="AG97" s="166" t="s">
        <v>296</v>
      </c>
      <c r="AH97" s="171">
        <f>VLOOKUP($A$97,Tesoro_emis!$A$5:$AA$50,23,FALSE)</f>
        <v>3.5205292483660134E-4</v>
      </c>
      <c r="AI97" s="166" t="s">
        <v>296</v>
      </c>
      <c r="AJ97" s="171">
        <f>VLOOKUP($A$97,Tesoro_emis!$A$5:$AA$50,11,FALSE)</f>
        <v>4.6940389978213505E-4</v>
      </c>
      <c r="AK97" s="166" t="s">
        <v>296</v>
      </c>
      <c r="AL97" s="171">
        <f>VLOOKUP($A$97,Tesoro_emis!$A$5:$AA$50,11,FALSE)</f>
        <v>4.6940389978213505E-4</v>
      </c>
      <c r="AM97" s="166" t="s">
        <v>296</v>
      </c>
      <c r="AN97" s="171">
        <f>VLOOKUP($A$97,Tesoro_emis!$A$5:$AA$50,16,FALSE)</f>
        <v>5.1881483660130715E-3</v>
      </c>
      <c r="AO97" s="167" t="s">
        <v>293</v>
      </c>
    </row>
    <row r="98" spans="1:41">
      <c r="A98" s="166">
        <f t="shared" si="1"/>
        <v>32</v>
      </c>
      <c r="B98" s="166" t="s">
        <v>293</v>
      </c>
      <c r="C98" s="166" t="s">
        <v>297</v>
      </c>
      <c r="H98" s="168"/>
      <c r="I98" s="168"/>
      <c r="J98" s="168"/>
      <c r="K98" s="168"/>
      <c r="L98" s="168"/>
    </row>
    <row r="99" spans="1:41">
      <c r="A99" s="166">
        <f t="shared" si="1"/>
        <v>33</v>
      </c>
      <c r="B99" s="166" t="s">
        <v>293</v>
      </c>
      <c r="C99" s="166" t="s">
        <v>294</v>
      </c>
      <c r="D99" s="166" t="str">
        <f>VLOOKUP(A99,Tesoro_emis!$A$5:$B$50,2,FALSE)</f>
        <v>TR45</v>
      </c>
      <c r="E99" s="166" t="s">
        <v>293</v>
      </c>
    </row>
    <row r="100" spans="1:41">
      <c r="A100" s="166">
        <f t="shared" si="1"/>
        <v>33</v>
      </c>
      <c r="B100" s="166" t="s">
        <v>293</v>
      </c>
      <c r="C100" s="166" t="s">
        <v>295</v>
      </c>
      <c r="D100" s="168">
        <f>VLOOKUP(A100,Tesoro_emis!$A$5:$AA$50,7,FALSE)</f>
        <v>-20.569722158299999</v>
      </c>
      <c r="E100" s="168" t="s">
        <v>296</v>
      </c>
      <c r="F100" s="168">
        <f>VLOOKUP(A100,Tesoro_emis!$A$5:$AA$50,8,FALSE)</f>
        <v>187.68976158800001</v>
      </c>
      <c r="G100" s="168" t="s">
        <v>296</v>
      </c>
      <c r="H100" s="169">
        <f>VLOOKUP(A100,Tesoro_emis!$A$5:$AA$50,24,FALSE)</f>
        <v>2.4384000000000001</v>
      </c>
      <c r="I100" s="166" t="s">
        <v>296</v>
      </c>
      <c r="J100" s="170">
        <f>VLOOKUP(A100,Tesoro_emis!$A$5:$AA$50,6,FALSE)</f>
        <v>40</v>
      </c>
      <c r="K100" s="166" t="s">
        <v>296</v>
      </c>
      <c r="L100" s="168">
        <f>VLOOKUP(A100,Tesoro_emis!$A$5:$AA$50,27,FALSE)</f>
        <v>0.9144000000000001</v>
      </c>
      <c r="M100" s="166" t="s">
        <v>296</v>
      </c>
      <c r="N100" s="169">
        <f>VLOOKUP(A100,Tesoro_emis!$A$5:$AA$50,26,FALSE)</f>
        <v>1.2192000000000001</v>
      </c>
      <c r="O100" s="166" t="s">
        <v>296</v>
      </c>
      <c r="P100" s="169">
        <f>VLOOKUP(A100,Tesoro_emis!$A$5:$AA$50,25,FALSE)</f>
        <v>1060.9277777777779</v>
      </c>
      <c r="Q100" s="166" t="s">
        <v>296</v>
      </c>
      <c r="R100" s="170">
        <v>1</v>
      </c>
      <c r="S100" s="166" t="s">
        <v>296</v>
      </c>
      <c r="T100" s="171">
        <f>VLOOKUP(A100,Tesoro_emis!$A$5:$AA$50,14,FALSE)</f>
        <v>4.1830926815862451E-3</v>
      </c>
      <c r="U100" s="166" t="s">
        <v>296</v>
      </c>
      <c r="V100" s="170">
        <v>0</v>
      </c>
      <c r="W100" s="171" t="s">
        <v>296</v>
      </c>
      <c r="X100" s="171">
        <f>VLOOKUP(A100,Tesoro_emis!$A$5:$AA$50,9,FALSE)</f>
        <v>2.4705468409586054E-2</v>
      </c>
      <c r="Y100" s="166" t="s">
        <v>296</v>
      </c>
      <c r="Z100" s="170">
        <v>0</v>
      </c>
      <c r="AA100" s="166" t="s">
        <v>296</v>
      </c>
      <c r="AB100" s="170">
        <v>0</v>
      </c>
      <c r="AC100" s="166" t="s">
        <v>296</v>
      </c>
      <c r="AD100" s="171">
        <f>VLOOKUP(A100,Tesoro_emis!$A$5:$AA$50,19,FALSE)</f>
        <v>0</v>
      </c>
      <c r="AE100" s="166" t="s">
        <v>296</v>
      </c>
      <c r="AF100" s="171">
        <f>VLOOKUP(A100,Tesoro_emis!$A$5:$AA$50,21,FALSE)</f>
        <v>4.6940389978213505E-4</v>
      </c>
      <c r="AG100" s="166" t="s">
        <v>296</v>
      </c>
      <c r="AH100" s="171">
        <f>VLOOKUP($A$100,Tesoro_emis!$A$5:$AA$50,23,FALSE)</f>
        <v>1.4082116993464054E-3</v>
      </c>
      <c r="AI100" s="166" t="s">
        <v>296</v>
      </c>
      <c r="AJ100" s="171">
        <f>VLOOKUP($A$100,Tesoro_emis!$A$5:$AA$50,11,FALSE)</f>
        <v>1.8776155991285402E-3</v>
      </c>
      <c r="AK100" s="166" t="s">
        <v>296</v>
      </c>
      <c r="AL100" s="171">
        <f>VLOOKUP($A$100,Tesoro_emis!$A$5:$AA$50,11,FALSE)</f>
        <v>1.8776155991285402E-3</v>
      </c>
      <c r="AM100" s="166" t="s">
        <v>296</v>
      </c>
      <c r="AN100" s="171">
        <f>VLOOKUP($A$100,Tesoro_emis!$A$5:$AA$50,16,FALSE)</f>
        <v>2.0752593464052286E-2</v>
      </c>
      <c r="AO100" s="167" t="s">
        <v>293</v>
      </c>
    </row>
    <row r="101" spans="1:41">
      <c r="A101" s="166">
        <f t="shared" si="1"/>
        <v>33</v>
      </c>
      <c r="B101" s="166" t="s">
        <v>293</v>
      </c>
      <c r="C101" s="166" t="s">
        <v>297</v>
      </c>
      <c r="H101" s="168"/>
      <c r="I101" s="168"/>
      <c r="J101" s="168"/>
      <c r="K101" s="168"/>
      <c r="L101" s="168"/>
    </row>
    <row r="102" spans="1:41">
      <c r="A102" s="166">
        <f t="shared" si="1"/>
        <v>34</v>
      </c>
      <c r="B102" s="166" t="s">
        <v>293</v>
      </c>
      <c r="C102" s="166" t="s">
        <v>294</v>
      </c>
      <c r="D102" s="166" t="str">
        <f>VLOOKUP(A102,Tesoro_emis!$A$5:$B$50,2,FALSE)</f>
        <v>TR118</v>
      </c>
      <c r="E102" s="166" t="s">
        <v>293</v>
      </c>
    </row>
    <row r="103" spans="1:41">
      <c r="A103" s="166">
        <f t="shared" si="1"/>
        <v>34</v>
      </c>
      <c r="B103" s="166" t="s">
        <v>293</v>
      </c>
      <c r="C103" s="166" t="s">
        <v>295</v>
      </c>
      <c r="D103" s="168">
        <f>VLOOKUP(A103,Tesoro_emis!$A$5:$AA$50,7,FALSE)</f>
        <v>-20.034019967700001</v>
      </c>
      <c r="E103" s="168" t="s">
        <v>296</v>
      </c>
      <c r="F103" s="168">
        <f>VLOOKUP(A103,Tesoro_emis!$A$5:$AA$50,8,FALSE)</f>
        <v>187.65327034800001</v>
      </c>
      <c r="G103" s="168" t="s">
        <v>296</v>
      </c>
      <c r="H103" s="169">
        <f>VLOOKUP(A103,Tesoro_emis!$A$5:$AA$50,24,FALSE)</f>
        <v>26.822400000000002</v>
      </c>
      <c r="I103" s="166" t="s">
        <v>296</v>
      </c>
      <c r="J103" s="170">
        <f>VLOOKUP(A103,Tesoro_emis!$A$5:$AA$50,6,FALSE)</f>
        <v>40</v>
      </c>
      <c r="K103" s="166" t="s">
        <v>296</v>
      </c>
      <c r="L103" s="168">
        <f>VLOOKUP(A103,Tesoro_emis!$A$5:$AA$50,27,FALSE)</f>
        <v>1.2192000000000001</v>
      </c>
      <c r="M103" s="166" t="s">
        <v>296</v>
      </c>
      <c r="N103" s="169">
        <f>VLOOKUP(A103,Tesoro_emis!$A$5:$AA$50,26,FALSE)</f>
        <v>5.7911999999999999</v>
      </c>
      <c r="O103" s="166" t="s">
        <v>296</v>
      </c>
      <c r="P103" s="169">
        <f>VLOOKUP(A103,Tesoro_emis!$A$5:$AA$50,25,FALSE)</f>
        <v>579.81666666666661</v>
      </c>
      <c r="Q103" s="166" t="s">
        <v>296</v>
      </c>
      <c r="R103" s="170">
        <v>1</v>
      </c>
      <c r="S103" s="166" t="s">
        <v>296</v>
      </c>
      <c r="T103" s="171">
        <f>VLOOKUP(A103,Tesoro_emis!$A$5:$AA$50,14,FALSE)</f>
        <v>4.314973363774734E-3</v>
      </c>
      <c r="U103" s="166" t="s">
        <v>296</v>
      </c>
      <c r="V103" s="170">
        <v>0</v>
      </c>
      <c r="W103" s="171" t="s">
        <v>296</v>
      </c>
      <c r="X103" s="171">
        <f>VLOOKUP(A103,Tesoro_emis!$A$5:$AA$50,9,FALSE)</f>
        <v>6.3286276002029435E-2</v>
      </c>
      <c r="Y103" s="166" t="s">
        <v>296</v>
      </c>
      <c r="Z103" s="170">
        <v>0</v>
      </c>
      <c r="AA103" s="166" t="s">
        <v>296</v>
      </c>
      <c r="AB103" s="170">
        <v>0</v>
      </c>
      <c r="AC103" s="166" t="s">
        <v>296</v>
      </c>
      <c r="AD103" s="171">
        <f>VLOOKUP(A103,Tesoro_emis!$A$5:$AA$50,19,FALSE)</f>
        <v>0</v>
      </c>
      <c r="AE103" s="166" t="s">
        <v>296</v>
      </c>
      <c r="AF103" s="171">
        <f>VLOOKUP(A103,Tesoro_emis!$A$5:$AA$50,21,FALSE)</f>
        <v>4.3149733637747338E-4</v>
      </c>
      <c r="AG103" s="166" t="s">
        <v>296</v>
      </c>
      <c r="AH103" s="171">
        <f>VLOOKUP($A$103,Tesoro_emis!$A$5:$AA$50,23,FALSE)</f>
        <v>1.2944920091324202E-3</v>
      </c>
      <c r="AI103" s="166" t="s">
        <v>296</v>
      </c>
      <c r="AJ103" s="171">
        <f>VLOOKUP($A$103,Tesoro_emis!$A$5:$AA$50,11,FALSE)</f>
        <v>1.7259893455098935E-3</v>
      </c>
      <c r="AK103" s="166" t="s">
        <v>296</v>
      </c>
      <c r="AL103" s="171">
        <f>VLOOKUP($A$103,Tesoro_emis!$A$5:$AA$50,11,FALSE)</f>
        <v>1.7259893455098935E-3</v>
      </c>
      <c r="AM103" s="166" t="s">
        <v>296</v>
      </c>
      <c r="AN103" s="171">
        <f>VLOOKUP($A$103,Tesoro_emis!$A$5:$AA$50,16,FALSE)</f>
        <v>9.4929414003044141E-3</v>
      </c>
      <c r="AO103" s="167" t="s">
        <v>293</v>
      </c>
    </row>
    <row r="104" spans="1:41">
      <c r="A104" s="166">
        <f t="shared" si="1"/>
        <v>34</v>
      </c>
      <c r="B104" s="166" t="s">
        <v>293</v>
      </c>
      <c r="C104" s="166" t="s">
        <v>297</v>
      </c>
      <c r="H104" s="168"/>
      <c r="I104" s="168"/>
      <c r="J104" s="168"/>
      <c r="K104" s="168"/>
      <c r="L104" s="168"/>
    </row>
    <row r="105" spans="1:41">
      <c r="A105" s="166">
        <f t="shared" si="1"/>
        <v>35</v>
      </c>
      <c r="B105" s="166" t="s">
        <v>293</v>
      </c>
      <c r="C105" s="166" t="s">
        <v>294</v>
      </c>
      <c r="D105" s="166" t="str">
        <f>VLOOKUP(A105,Tesoro_emis!$A$5:$B$50,2,FALSE)</f>
        <v>TR119</v>
      </c>
      <c r="E105" s="166" t="s">
        <v>293</v>
      </c>
    </row>
    <row r="106" spans="1:41">
      <c r="A106" s="166">
        <f t="shared" si="1"/>
        <v>35</v>
      </c>
      <c r="B106" s="166" t="s">
        <v>293</v>
      </c>
      <c r="C106" s="166" t="s">
        <v>295</v>
      </c>
      <c r="D106" s="168">
        <f>VLOOKUP(A106,Tesoro_emis!$A$5:$AA$50,7,FALSE)</f>
        <v>-20.297910235300002</v>
      </c>
      <c r="E106" s="168" t="s">
        <v>296</v>
      </c>
      <c r="F106" s="168">
        <f>VLOOKUP(A106,Tesoro_emis!$A$5:$AA$50,8,FALSE)</f>
        <v>187.66274784300001</v>
      </c>
      <c r="G106" s="168" t="s">
        <v>296</v>
      </c>
      <c r="H106" s="169">
        <f>VLOOKUP(A106,Tesoro_emis!$A$5:$AA$50,24,FALSE)</f>
        <v>26.822400000000002</v>
      </c>
      <c r="I106" s="166" t="s">
        <v>296</v>
      </c>
      <c r="J106" s="170">
        <f>VLOOKUP(A106,Tesoro_emis!$A$5:$AA$50,6,FALSE)</f>
        <v>40</v>
      </c>
      <c r="K106" s="166" t="s">
        <v>296</v>
      </c>
      <c r="L106" s="168">
        <f>VLOOKUP(A106,Tesoro_emis!$A$5:$AA$50,27,FALSE)</f>
        <v>1.2192000000000001</v>
      </c>
      <c r="M106" s="166" t="s">
        <v>296</v>
      </c>
      <c r="N106" s="169">
        <f>VLOOKUP(A106,Tesoro_emis!$A$5:$AA$50,26,FALSE)</f>
        <v>5.7911999999999999</v>
      </c>
      <c r="O106" s="166" t="s">
        <v>296</v>
      </c>
      <c r="P106" s="169">
        <f>VLOOKUP(A106,Tesoro_emis!$A$5:$AA$50,25,FALSE)</f>
        <v>579.81666666666661</v>
      </c>
      <c r="Q106" s="166" t="s">
        <v>296</v>
      </c>
      <c r="R106" s="170">
        <v>1</v>
      </c>
      <c r="S106" s="166" t="s">
        <v>296</v>
      </c>
      <c r="T106" s="171">
        <f>VLOOKUP(A106,Tesoro_emis!$A$5:$AA$50,14,FALSE)</f>
        <v>2.3588521055301875E-2</v>
      </c>
      <c r="U106" s="166" t="s">
        <v>296</v>
      </c>
      <c r="V106" s="170">
        <v>0</v>
      </c>
      <c r="W106" s="171" t="s">
        <v>296</v>
      </c>
      <c r="X106" s="171">
        <f>VLOOKUP(A106,Tesoro_emis!$A$5:$AA$50,9,FALSE)</f>
        <v>0.52326243658041605</v>
      </c>
      <c r="Y106" s="166" t="s">
        <v>296</v>
      </c>
      <c r="Z106" s="170">
        <v>0</v>
      </c>
      <c r="AA106" s="166" t="s">
        <v>296</v>
      </c>
      <c r="AB106" s="170">
        <v>0</v>
      </c>
      <c r="AC106" s="166" t="s">
        <v>296</v>
      </c>
      <c r="AD106" s="171">
        <f>VLOOKUP(A106,Tesoro_emis!$A$5:$AA$50,19,FALSE)</f>
        <v>0</v>
      </c>
      <c r="AE106" s="166" t="s">
        <v>296</v>
      </c>
      <c r="AF106" s="171">
        <f>VLOOKUP(A106,Tesoro_emis!$A$5:$AA$50,21,FALSE)</f>
        <v>1.6253066336884829E-2</v>
      </c>
      <c r="AG106" s="166" t="s">
        <v>296</v>
      </c>
      <c r="AH106" s="171">
        <f>VLOOKUP($A$106,Tesoro_emis!$A$5:$AA$50,23,FALSE)</f>
        <v>4.8759199010654494E-2</v>
      </c>
      <c r="AI106" s="166" t="s">
        <v>296</v>
      </c>
      <c r="AJ106" s="171">
        <f>VLOOKUP($A$106,Tesoro_emis!$A$5:$AA$50,11,FALSE)</f>
        <v>6.5012265347539316E-2</v>
      </c>
      <c r="AK106" s="166" t="s">
        <v>296</v>
      </c>
      <c r="AL106" s="171">
        <f>VLOOKUP($A$106,Tesoro_emis!$A$5:$AA$50,11,FALSE)</f>
        <v>6.5012265347539316E-2</v>
      </c>
      <c r="AM106" s="166" t="s">
        <v>296</v>
      </c>
      <c r="AN106" s="171">
        <f>VLOOKUP($A$106,Tesoro_emis!$A$5:$AA$50,16,FALSE)</f>
        <v>0.71801156773211572</v>
      </c>
      <c r="AO106" s="167" t="s">
        <v>293</v>
      </c>
    </row>
    <row r="107" spans="1:41">
      <c r="A107" s="166">
        <f t="shared" si="1"/>
        <v>35</v>
      </c>
      <c r="B107" s="166" t="s">
        <v>293</v>
      </c>
      <c r="C107" s="166" t="s">
        <v>297</v>
      </c>
      <c r="H107" s="168"/>
      <c r="I107" s="168"/>
      <c r="J107" s="168"/>
      <c r="K107" s="168"/>
      <c r="L107" s="168"/>
    </row>
    <row r="108" spans="1:41">
      <c r="A108" s="166">
        <f t="shared" si="1"/>
        <v>36</v>
      </c>
      <c r="B108" s="166" t="s">
        <v>293</v>
      </c>
      <c r="C108" s="166" t="s">
        <v>294</v>
      </c>
      <c r="D108" s="166" t="str">
        <f>VLOOKUP(A108,Tesoro_emis!$A$5:$B$50,2,FALSE)</f>
        <v>TR121</v>
      </c>
      <c r="E108" s="166" t="s">
        <v>293</v>
      </c>
    </row>
    <row r="109" spans="1:41">
      <c r="A109" s="166">
        <f t="shared" si="1"/>
        <v>36</v>
      </c>
      <c r="B109" s="166" t="s">
        <v>293</v>
      </c>
      <c r="C109" s="166" t="s">
        <v>295</v>
      </c>
      <c r="D109" s="168">
        <f>VLOOKUP(A109,Tesoro_emis!$A$5:$AA$50,7,FALSE)</f>
        <v>-20.255116291</v>
      </c>
      <c r="E109" s="168" t="s">
        <v>296</v>
      </c>
      <c r="F109" s="168">
        <f>VLOOKUP(A109,Tesoro_emis!$A$5:$AA$50,8,FALSE)</f>
        <v>187.52028349700001</v>
      </c>
      <c r="G109" s="168" t="s">
        <v>296</v>
      </c>
      <c r="H109" s="169">
        <f>VLOOKUP(A109,Tesoro_emis!$A$5:$AA$50,24,FALSE)</f>
        <v>9.1440000000000001</v>
      </c>
      <c r="I109" s="166" t="s">
        <v>296</v>
      </c>
      <c r="J109" s="170">
        <f>VLOOKUP(A109,Tesoro_emis!$A$5:$AA$50,6,FALSE)</f>
        <v>40</v>
      </c>
      <c r="K109" s="166" t="s">
        <v>296</v>
      </c>
      <c r="L109" s="168">
        <f>VLOOKUP(A109,Tesoro_emis!$A$5:$AA$50,27,FALSE)</f>
        <v>6.0960000000000001</v>
      </c>
      <c r="M109" s="166" t="s">
        <v>296</v>
      </c>
      <c r="N109" s="169">
        <f>VLOOKUP(A109,Tesoro_emis!$A$5:$AA$50,26,FALSE)</f>
        <v>0.30480000000000002</v>
      </c>
      <c r="O109" s="166" t="s">
        <v>296</v>
      </c>
      <c r="P109" s="169">
        <f>VLOOKUP(A109,Tesoro_emis!$A$5:$AA$50,25,FALSE)</f>
        <v>272.03888888888889</v>
      </c>
      <c r="Q109" s="166" t="s">
        <v>296</v>
      </c>
      <c r="R109" s="170">
        <v>1</v>
      </c>
      <c r="S109" s="166" t="s">
        <v>296</v>
      </c>
      <c r="T109" s="171">
        <f>VLOOKUP(A109,Tesoro_emis!$A$5:$AA$50,14,FALSE)</f>
        <v>0</v>
      </c>
      <c r="U109" s="166" t="s">
        <v>296</v>
      </c>
      <c r="V109" s="170">
        <v>0</v>
      </c>
      <c r="W109" s="171" t="s">
        <v>296</v>
      </c>
      <c r="X109" s="171">
        <f>VLOOKUP(A109,Tesoro_emis!$A$5:$AA$50,9,FALSE)</f>
        <v>0</v>
      </c>
      <c r="Y109" s="166" t="s">
        <v>296</v>
      </c>
      <c r="Z109" s="170">
        <v>0</v>
      </c>
      <c r="AA109" s="166" t="s">
        <v>296</v>
      </c>
      <c r="AB109" s="170">
        <v>0</v>
      </c>
      <c r="AC109" s="166" t="s">
        <v>296</v>
      </c>
      <c r="AD109" s="171">
        <f>VLOOKUP(A109,Tesoro_emis!$A$5:$AA$50,19,FALSE)</f>
        <v>0</v>
      </c>
      <c r="AE109" s="166" t="s">
        <v>296</v>
      </c>
      <c r="AF109" s="171">
        <f>VLOOKUP(A109,Tesoro_emis!$A$5:$AA$50,21,FALSE)</f>
        <v>0</v>
      </c>
      <c r="AG109" s="166" t="s">
        <v>296</v>
      </c>
      <c r="AH109" s="171">
        <f>VLOOKUP($A$109,Tesoro_emis!$A$5:$AA$50,23,FALSE)</f>
        <v>2.877E-2</v>
      </c>
      <c r="AI109" s="166" t="s">
        <v>296</v>
      </c>
      <c r="AJ109" s="171">
        <f>VLOOKUP($A$109,Tesoro_emis!$A$5:$AA$50,11,FALSE)</f>
        <v>2.877E-2</v>
      </c>
      <c r="AK109" s="166" t="s">
        <v>296</v>
      </c>
      <c r="AL109" s="171">
        <f>VLOOKUP($A$109,Tesoro_emis!$A$5:$AA$50,11,FALSE)</f>
        <v>2.877E-2</v>
      </c>
      <c r="AM109" s="166" t="s">
        <v>296</v>
      </c>
      <c r="AN109" s="171">
        <f>VLOOKUP($A$109,Tesoro_emis!$A$5:$AA$50,16,FALSE)</f>
        <v>0</v>
      </c>
      <c r="AO109" s="167" t="s">
        <v>293</v>
      </c>
    </row>
    <row r="110" spans="1:41">
      <c r="A110" s="166">
        <f t="shared" si="1"/>
        <v>36</v>
      </c>
      <c r="B110" s="166" t="s">
        <v>293</v>
      </c>
      <c r="C110" s="166" t="s">
        <v>297</v>
      </c>
      <c r="H110" s="168"/>
      <c r="I110" s="168"/>
      <c r="J110" s="168"/>
      <c r="K110" s="168"/>
      <c r="L110" s="168"/>
    </row>
    <row r="111" spans="1:41">
      <c r="A111" s="166">
        <f t="shared" si="1"/>
        <v>37</v>
      </c>
      <c r="B111" s="166" t="s">
        <v>293</v>
      </c>
      <c r="C111" s="166" t="s">
        <v>294</v>
      </c>
      <c r="D111" s="166" t="str">
        <f>VLOOKUP(A111,Tesoro_emis!$A$5:$B$50,2,FALSE)</f>
        <v>TES_SHP</v>
      </c>
      <c r="E111" s="166" t="s">
        <v>293</v>
      </c>
    </row>
    <row r="112" spans="1:41">
      <c r="A112" s="166">
        <f t="shared" si="1"/>
        <v>37</v>
      </c>
      <c r="B112" s="166" t="s">
        <v>293</v>
      </c>
      <c r="C112" s="166" t="s">
        <v>295</v>
      </c>
      <c r="D112" s="168">
        <f>VLOOKUP(A112,Tesoro_emis!$A$5:$AA$50,7,FALSE)</f>
        <v>-21.95</v>
      </c>
      <c r="E112" s="168" t="s">
        <v>296</v>
      </c>
      <c r="F112" s="168">
        <f>VLOOKUP(A112,Tesoro_emis!$A$5:$AA$50,8,FALSE)</f>
        <v>187.52699999999999</v>
      </c>
      <c r="G112" s="168" t="s">
        <v>296</v>
      </c>
      <c r="H112" s="169">
        <f>VLOOKUP(A112,Tesoro_emis!$A$5:$AA$50,24,FALSE)</f>
        <v>45</v>
      </c>
      <c r="I112" s="166" t="s">
        <v>296</v>
      </c>
      <c r="J112" s="170">
        <f>VLOOKUP(A112,Tesoro_emis!$A$5:$AA$50,6,FALSE)</f>
        <v>0</v>
      </c>
      <c r="K112" s="166" t="s">
        <v>296</v>
      </c>
      <c r="L112" s="168">
        <f>VLOOKUP(A112,Tesoro_emis!$A$5:$AA$50,27,FALSE)</f>
        <v>1.68</v>
      </c>
      <c r="M112" s="166" t="s">
        <v>296</v>
      </c>
      <c r="N112" s="169">
        <f>VLOOKUP(A112,Tesoro_emis!$A$5:$AA$50,26,FALSE)</f>
        <v>4.2</v>
      </c>
      <c r="O112" s="166" t="s">
        <v>296</v>
      </c>
      <c r="P112" s="169">
        <f>VLOOKUP(A112,Tesoro_emis!$A$5:$AA$50,25,FALSE)</f>
        <v>589</v>
      </c>
      <c r="Q112" s="166" t="s">
        <v>296</v>
      </c>
      <c r="R112" s="170">
        <v>1</v>
      </c>
      <c r="S112" s="166" t="s">
        <v>296</v>
      </c>
      <c r="T112" s="171">
        <f>VLOOKUP(A112,Tesoro_emis!$A$5:$AA$50,14,FALSE)</f>
        <v>0.42716674660155646</v>
      </c>
      <c r="U112" s="166" t="s">
        <v>296</v>
      </c>
      <c r="V112" s="170">
        <v>0</v>
      </c>
      <c r="W112" s="171" t="s">
        <v>296</v>
      </c>
      <c r="X112" s="171">
        <f>VLOOKUP(A112,Tesoro_emis!$A$5:$AA$50,9,FALSE)</f>
        <v>6.4047900788049796</v>
      </c>
      <c r="Y112" s="166" t="s">
        <v>296</v>
      </c>
      <c r="Z112" s="170">
        <v>0</v>
      </c>
      <c r="AA112" s="166" t="s">
        <v>296</v>
      </c>
      <c r="AB112" s="170">
        <v>0</v>
      </c>
      <c r="AC112" s="166" t="s">
        <v>296</v>
      </c>
      <c r="AD112" s="171">
        <f>VLOOKUP(A112,Tesoro_emis!$A$5:$AA$50,19,FALSE)</f>
        <v>0</v>
      </c>
      <c r="AE112" s="166" t="s">
        <v>296</v>
      </c>
      <c r="AF112" s="171">
        <f>VLOOKUP(A112,Tesoro_emis!$A$5:$AA$50,21,FALSE)</f>
        <v>0.26704824464514892</v>
      </c>
      <c r="AG112" s="166" t="s">
        <v>296</v>
      </c>
      <c r="AH112" s="171">
        <f>VLOOKUP($A$112,Tesoro_emis!$A$5:$AA$50,23,FALSE)</f>
        <v>4.1457086366283202E-2</v>
      </c>
      <c r="AI112" s="166" t="s">
        <v>296</v>
      </c>
      <c r="AJ112" s="171">
        <f>VLOOKUP($A$112,Tesoro_emis!$A$5:$AA$50,11,FALSE)</f>
        <v>0.30850533101143207</v>
      </c>
      <c r="AK112" s="166" t="s">
        <v>296</v>
      </c>
      <c r="AL112" s="171">
        <f>VLOOKUP($A$112,Tesoro_emis!$A$5:$AA$50,11,FALSE)</f>
        <v>0.30850533101143207</v>
      </c>
      <c r="AM112" s="166" t="s">
        <v>296</v>
      </c>
      <c r="AN112" s="171">
        <f>VLOOKUP($A$112,Tesoro_emis!$A$5:$AA$50,16,FALSE)</f>
        <v>0.5488365320112879</v>
      </c>
      <c r="AO112" s="167" t="s">
        <v>293</v>
      </c>
    </row>
    <row r="113" spans="1:12">
      <c r="A113" s="166">
        <f t="shared" si="1"/>
        <v>37</v>
      </c>
      <c r="B113" s="166" t="s">
        <v>293</v>
      </c>
      <c r="C113" s="166" t="s">
        <v>297</v>
      </c>
      <c r="H113" s="168"/>
      <c r="I113" s="168"/>
      <c r="J113" s="168"/>
      <c r="K113" s="168"/>
      <c r="L113" s="168"/>
    </row>
  </sheetData>
  <pageMargins left="0.7" right="0.7" top="0.75" bottom="0.75" header="0.3" footer="0.3"/>
  <pageSetup orientation="portrait" horizont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AG113"/>
  <sheetViews>
    <sheetView zoomScaleNormal="100" workbookViewId="0">
      <pane ySplit="2" topLeftCell="A3" activePane="bottomLeft" state="frozen"/>
      <selection activeCell="H16" sqref="H16"/>
      <selection pane="bottomLeft" activeCell="H16" sqref="H16"/>
    </sheetView>
  </sheetViews>
  <sheetFormatPr defaultColWidth="9.140625" defaultRowHeight="12.75"/>
  <cols>
    <col min="1" max="1" width="4.7109375" style="166" customWidth="1"/>
    <col min="2" max="2" width="3.42578125" style="166" customWidth="1"/>
    <col min="3" max="3" width="11.42578125" style="166" customWidth="1"/>
    <col min="4" max="4" width="13.7109375" style="166" customWidth="1"/>
    <col min="5" max="5" width="3.5703125" style="166" customWidth="1"/>
    <col min="6" max="6" width="6.5703125" style="166" customWidth="1"/>
    <col min="7" max="7" width="3" style="166" customWidth="1"/>
    <col min="8" max="8" width="6" style="166" customWidth="1"/>
    <col min="9" max="9" width="2.28515625" style="166" customWidth="1"/>
    <col min="10" max="10" width="5.7109375" style="166" customWidth="1"/>
    <col min="11" max="11" width="2.85546875" style="166" customWidth="1"/>
    <col min="12" max="12" width="7.42578125" style="166" customWidth="1"/>
    <col min="13" max="13" width="3.42578125" style="166" customWidth="1"/>
    <col min="14" max="14" width="6.28515625" style="166" customWidth="1"/>
    <col min="15" max="15" width="2.140625" style="166" customWidth="1"/>
    <col min="16" max="16" width="8.28515625" style="166" customWidth="1"/>
    <col min="17" max="17" width="2.7109375" style="166" customWidth="1"/>
    <col min="18" max="18" width="4.42578125" style="166" customWidth="1"/>
    <col min="19" max="19" width="2.85546875" style="166" customWidth="1"/>
    <col min="20" max="20" width="8" style="166" customWidth="1"/>
    <col min="21" max="21" width="2.5703125" style="166" customWidth="1"/>
    <col min="22" max="22" width="4.28515625" style="166" customWidth="1"/>
    <col min="23" max="23" width="3.140625" style="166" customWidth="1"/>
    <col min="24" max="24" width="9.140625" style="166"/>
    <col min="25" max="25" width="2.85546875" style="166" customWidth="1"/>
    <col min="26" max="26" width="3.85546875" style="166" customWidth="1"/>
    <col min="27" max="27" width="2.85546875" style="166" customWidth="1"/>
    <col min="28" max="28" width="3.85546875" style="166" customWidth="1"/>
    <col min="29" max="29" width="2.5703125" style="166" customWidth="1"/>
    <col min="30" max="30" width="8.7109375" style="166" customWidth="1"/>
    <col min="31" max="31" width="3.140625" style="166" customWidth="1"/>
    <col min="32" max="32" width="8.7109375" style="166" customWidth="1"/>
    <col min="33" max="33" width="3.28515625" style="167" customWidth="1"/>
    <col min="34" max="16384" width="9.140625" style="166"/>
  </cols>
  <sheetData>
    <row r="1" spans="1:33">
      <c r="C1" s="198" t="s">
        <v>382</v>
      </c>
      <c r="T1" s="263"/>
    </row>
    <row r="2" spans="1:33" s="198" customFormat="1">
      <c r="H2" s="261" t="s">
        <v>279</v>
      </c>
      <c r="I2" s="261"/>
      <c r="J2" s="261" t="s">
        <v>280</v>
      </c>
      <c r="K2" s="261"/>
      <c r="L2" s="261" t="s">
        <v>281</v>
      </c>
      <c r="M2" s="261"/>
      <c r="N2" s="261" t="s">
        <v>282</v>
      </c>
      <c r="O2" s="261"/>
      <c r="P2" s="261" t="s">
        <v>283</v>
      </c>
      <c r="Q2" s="261"/>
      <c r="R2" s="261" t="s">
        <v>284</v>
      </c>
      <c r="S2" s="261"/>
      <c r="T2" s="261" t="s">
        <v>285</v>
      </c>
      <c r="U2" s="261"/>
      <c r="V2" s="261" t="s">
        <v>286</v>
      </c>
      <c r="W2" s="261"/>
      <c r="X2" s="261" t="s">
        <v>287</v>
      </c>
      <c r="Y2" s="261"/>
      <c r="Z2" s="261" t="s">
        <v>288</v>
      </c>
      <c r="AA2" s="261"/>
      <c r="AB2" s="261" t="s">
        <v>289</v>
      </c>
      <c r="AC2" s="261"/>
      <c r="AD2" s="261" t="s">
        <v>336</v>
      </c>
      <c r="AE2" s="261"/>
      <c r="AF2" s="261" t="s">
        <v>335</v>
      </c>
      <c r="AG2" s="262"/>
    </row>
    <row r="3" spans="1:33">
      <c r="A3" s="166">
        <v>1</v>
      </c>
      <c r="B3" s="166" t="s">
        <v>293</v>
      </c>
      <c r="C3" s="166" t="s">
        <v>294</v>
      </c>
      <c r="D3" s="166" t="str">
        <f>VLOOKUP(A3,Tesoro_emis!$A$5:$B$50,2,FALSE)</f>
        <v>TR1</v>
      </c>
      <c r="E3" s="166" t="s">
        <v>293</v>
      </c>
    </row>
    <row r="4" spans="1:33">
      <c r="A4" s="166">
        <v>1</v>
      </c>
      <c r="B4" s="166" t="s">
        <v>293</v>
      </c>
      <c r="C4" s="166" t="s">
        <v>295</v>
      </c>
      <c r="D4" s="168">
        <f>VLOOKUP(A4,Tesoro_emis!$A$5:$AA$50,7,FALSE)</f>
        <v>-20.289932373900001</v>
      </c>
      <c r="E4" s="168" t="s">
        <v>296</v>
      </c>
      <c r="F4" s="168">
        <f>VLOOKUP(A4,Tesoro_emis!$A$5:$AA$50,8,FALSE)</f>
        <v>187.64031474199999</v>
      </c>
      <c r="G4" s="168" t="s">
        <v>296</v>
      </c>
      <c r="H4" s="169">
        <f>VLOOKUP(A4,Tesoro_emis!$A$5:$AA$50,24,FALSE)</f>
        <v>15.849600000000001</v>
      </c>
      <c r="I4" s="166" t="s">
        <v>296</v>
      </c>
      <c r="J4" s="170">
        <f>VLOOKUP(A4,Tesoro_emis!$A$5:$AA$50,6,FALSE)</f>
        <v>40</v>
      </c>
      <c r="K4" s="166" t="s">
        <v>296</v>
      </c>
      <c r="L4" s="168">
        <f>VLOOKUP(A4,Tesoro_emis!$A$5:$AA$50,27,FALSE)</f>
        <v>1.524</v>
      </c>
      <c r="M4" s="166" t="s">
        <v>296</v>
      </c>
      <c r="N4" s="169">
        <f>VLOOKUP(A4,Tesoro_emis!$A$5:$AA$50,26,FALSE)</f>
        <v>6.7056000000000004</v>
      </c>
      <c r="O4" s="166" t="s">
        <v>296</v>
      </c>
      <c r="P4" s="169">
        <f>VLOOKUP(A4,Tesoro_emis!$A$5:$AA$50,25,FALSE)</f>
        <v>602.03888888888889</v>
      </c>
      <c r="Q4" s="166" t="s">
        <v>296</v>
      </c>
      <c r="R4" s="170">
        <v>1</v>
      </c>
      <c r="S4" s="166" t="s">
        <v>296</v>
      </c>
      <c r="T4" s="171">
        <f>VLOOKUP(A4,Tesoro_emis!$A$5:$AA$50,15,FALSE)</f>
        <v>2.6465169964485034E-2</v>
      </c>
      <c r="U4" s="166" t="s">
        <v>296</v>
      </c>
      <c r="V4" s="170">
        <v>0</v>
      </c>
      <c r="W4" s="171" t="s">
        <v>296</v>
      </c>
      <c r="X4" s="171">
        <f>VLOOKUP(A4,Tesoro_emis!$A$5:$AA$50,10,FALSE)</f>
        <v>2.6844887620497211</v>
      </c>
      <c r="Y4" s="166" t="s">
        <v>296</v>
      </c>
      <c r="Z4" s="170">
        <v>0</v>
      </c>
      <c r="AA4" s="166" t="s">
        <v>296</v>
      </c>
      <c r="AB4" s="170">
        <v>0</v>
      </c>
      <c r="AC4" s="166" t="s">
        <v>296</v>
      </c>
      <c r="AD4" s="171">
        <f>VLOOKUP($A$4,Tesoro_emis!$A$5:$AA$50,12,FALSE)</f>
        <v>7.277921740233384E-2</v>
      </c>
      <c r="AE4" s="166" t="s">
        <v>296</v>
      </c>
      <c r="AF4" s="171">
        <f>VLOOKUP($A$4,Tesoro_emis!$A$5:$AA$50,12,FALSE)</f>
        <v>7.277921740233384E-2</v>
      </c>
      <c r="AG4" s="167" t="s">
        <v>293</v>
      </c>
    </row>
    <row r="5" spans="1:33">
      <c r="A5" s="166">
        <v>1</v>
      </c>
      <c r="B5" s="166" t="s">
        <v>293</v>
      </c>
      <c r="C5" s="166" t="s">
        <v>297</v>
      </c>
      <c r="H5" s="168"/>
      <c r="I5" s="168"/>
      <c r="J5" s="168"/>
      <c r="K5" s="168"/>
      <c r="L5" s="168"/>
    </row>
    <row r="6" spans="1:33">
      <c r="A6" s="166">
        <f t="shared" ref="A6:A69" si="0">A3+1</f>
        <v>2</v>
      </c>
      <c r="B6" s="166" t="s">
        <v>293</v>
      </c>
      <c r="C6" s="166" t="s">
        <v>294</v>
      </c>
      <c r="D6" s="166" t="str">
        <f>VLOOKUP(A6,Tesoro_emis!$A$5:$B$50,2,FALSE)</f>
        <v>TR2</v>
      </c>
      <c r="E6" s="166" t="s">
        <v>293</v>
      </c>
    </row>
    <row r="7" spans="1:33">
      <c r="A7" s="166">
        <f t="shared" si="0"/>
        <v>2</v>
      </c>
      <c r="B7" s="166" t="s">
        <v>293</v>
      </c>
      <c r="C7" s="166" t="s">
        <v>295</v>
      </c>
      <c r="D7" s="168">
        <f>VLOOKUP(A7,Tesoro_emis!$A$5:$AA$50,7,FALSE)</f>
        <v>-20.289299015600001</v>
      </c>
      <c r="E7" s="168" t="s">
        <v>296</v>
      </c>
      <c r="F7" s="168">
        <f>VLOOKUP(A7,Tesoro_emis!$A$5:$AA$50,8,FALSE)</f>
        <v>187.647669732</v>
      </c>
      <c r="G7" s="168" t="s">
        <v>296</v>
      </c>
      <c r="H7" s="169">
        <f>VLOOKUP(A7,Tesoro_emis!$A$5:$AA$50,24,FALSE)</f>
        <v>26.517600000000002</v>
      </c>
      <c r="I7" s="166" t="s">
        <v>296</v>
      </c>
      <c r="J7" s="170">
        <f>VLOOKUP(A7,Tesoro_emis!$A$5:$AA$50,6,FALSE)</f>
        <v>40</v>
      </c>
      <c r="K7" s="166" t="s">
        <v>296</v>
      </c>
      <c r="L7" s="168">
        <f>VLOOKUP(A7,Tesoro_emis!$A$5:$AA$50,27,FALSE)</f>
        <v>1.2192000000000001</v>
      </c>
      <c r="M7" s="166" t="s">
        <v>296</v>
      </c>
      <c r="N7" s="169">
        <f>VLOOKUP(A7,Tesoro_emis!$A$5:$AA$50,26,FALSE)</f>
        <v>6.0960000000000001</v>
      </c>
      <c r="O7" s="166" t="s">
        <v>296</v>
      </c>
      <c r="P7" s="169">
        <f>VLOOKUP(A7,Tesoro_emis!$A$5:$AA$50,25,FALSE)</f>
        <v>530.92777777777769</v>
      </c>
      <c r="Q7" s="166" t="s">
        <v>296</v>
      </c>
      <c r="R7" s="170">
        <v>1</v>
      </c>
      <c r="S7" s="166" t="s">
        <v>296</v>
      </c>
      <c r="T7" s="171">
        <f>VLOOKUP(A7,Tesoro_emis!$A$5:$AA$50,15,FALSE)</f>
        <v>3.4232122019279554E-2</v>
      </c>
      <c r="U7" s="166" t="s">
        <v>296</v>
      </c>
      <c r="V7" s="170">
        <v>0</v>
      </c>
      <c r="W7" s="171" t="s">
        <v>296</v>
      </c>
      <c r="X7" s="171">
        <f>VLOOKUP(A7,Tesoro_emis!$A$5:$AA$50,10,FALSE)</f>
        <v>0.76461328006088281</v>
      </c>
      <c r="Y7" s="166" t="s">
        <v>296</v>
      </c>
      <c r="Z7" s="170">
        <v>0</v>
      </c>
      <c r="AA7" s="166" t="s">
        <v>296</v>
      </c>
      <c r="AB7" s="170">
        <v>0</v>
      </c>
      <c r="AC7" s="166" t="s">
        <v>296</v>
      </c>
      <c r="AD7" s="171">
        <f>VLOOKUP($A$7,Tesoro_emis!$A$5:$AA$50,12,FALSE)</f>
        <v>9.4929414003044138E-2</v>
      </c>
      <c r="AE7" s="166" t="s">
        <v>296</v>
      </c>
      <c r="AF7" s="171">
        <f>VLOOKUP($A$7,Tesoro_emis!$A$5:$AA$50,12,FALSE)</f>
        <v>9.4929414003044138E-2</v>
      </c>
      <c r="AG7" s="167" t="s">
        <v>293</v>
      </c>
    </row>
    <row r="8" spans="1:33">
      <c r="A8" s="166">
        <f t="shared" si="0"/>
        <v>2</v>
      </c>
      <c r="B8" s="166" t="s">
        <v>293</v>
      </c>
      <c r="C8" s="166" t="s">
        <v>297</v>
      </c>
      <c r="H8" s="168"/>
      <c r="I8" s="168"/>
      <c r="J8" s="168"/>
      <c r="K8" s="168"/>
      <c r="L8" s="168"/>
    </row>
    <row r="9" spans="1:33">
      <c r="A9" s="166">
        <f t="shared" si="0"/>
        <v>3</v>
      </c>
      <c r="B9" s="166" t="s">
        <v>293</v>
      </c>
      <c r="C9" s="166" t="s">
        <v>294</v>
      </c>
      <c r="D9" s="166" t="str">
        <f>VLOOKUP(A9,Tesoro_emis!$A$5:$B$50,2,FALSE)</f>
        <v>TR3_5</v>
      </c>
      <c r="E9" s="166" t="s">
        <v>293</v>
      </c>
    </row>
    <row r="10" spans="1:33">
      <c r="A10" s="166">
        <f t="shared" si="0"/>
        <v>3</v>
      </c>
      <c r="B10" s="166" t="s">
        <v>293</v>
      </c>
      <c r="C10" s="166" t="s">
        <v>295</v>
      </c>
      <c r="D10" s="168">
        <f>VLOOKUP(A10,Tesoro_emis!$A$5:$AA$50,7,FALSE)</f>
        <v>-20.199890773</v>
      </c>
      <c r="E10" s="168" t="s">
        <v>296</v>
      </c>
      <c r="F10" s="168">
        <f>VLOOKUP(A10,Tesoro_emis!$A$5:$AA$50,8,FALSE)</f>
        <v>187.645197271</v>
      </c>
      <c r="G10" s="168" t="s">
        <v>296</v>
      </c>
      <c r="H10" s="169">
        <f>VLOOKUP(A10,Tesoro_emis!$A$5:$AA$50,24,FALSE)</f>
        <v>32.308800000000005</v>
      </c>
      <c r="I10" s="166" t="s">
        <v>296</v>
      </c>
      <c r="J10" s="170">
        <f>VLOOKUP(A10,Tesoro_emis!$A$5:$AA$50,6,FALSE)</f>
        <v>40</v>
      </c>
      <c r="K10" s="166" t="s">
        <v>296</v>
      </c>
      <c r="L10" s="168">
        <f>VLOOKUP(A10,Tesoro_emis!$A$5:$AA$50,27,FALSE)</f>
        <v>2.1335999999999999</v>
      </c>
      <c r="M10" s="166" t="s">
        <v>296</v>
      </c>
      <c r="N10" s="169">
        <f>VLOOKUP(A10,Tesoro_emis!$A$5:$AA$50,26,FALSE)</f>
        <v>4.2671999999999999</v>
      </c>
      <c r="O10" s="166" t="s">
        <v>296</v>
      </c>
      <c r="P10" s="169">
        <f>VLOOKUP(A10,Tesoro_emis!$A$5:$AA$50,25,FALSE)</f>
        <v>729.81666666666661</v>
      </c>
      <c r="Q10" s="166" t="s">
        <v>296</v>
      </c>
      <c r="R10" s="170">
        <v>1</v>
      </c>
      <c r="S10" s="166" t="s">
        <v>296</v>
      </c>
      <c r="T10" s="171">
        <f>VLOOKUP(A10,Tesoro_emis!$A$5:$AA$50,15,FALSE)</f>
        <v>2.3300856164383564E-2</v>
      </c>
      <c r="U10" s="166" t="s">
        <v>296</v>
      </c>
      <c r="V10" s="170">
        <v>0</v>
      </c>
      <c r="W10" s="171" t="s">
        <v>296</v>
      </c>
      <c r="X10" s="171">
        <f>VLOOKUP(A10,Tesoro_emis!$A$5:$AA$50,10,FALSE)</f>
        <v>0.84400878995433792</v>
      </c>
      <c r="Y10" s="166" t="s">
        <v>296</v>
      </c>
      <c r="Z10" s="170">
        <v>0</v>
      </c>
      <c r="AA10" s="166" t="s">
        <v>296</v>
      </c>
      <c r="AB10" s="170">
        <v>0</v>
      </c>
      <c r="AC10" s="166" t="s">
        <v>296</v>
      </c>
      <c r="AD10" s="171">
        <f>VLOOKUP($A$10,Tesoro_emis!$A$5:$AA$50,12,FALSE)</f>
        <v>6.4149270674784376E-2</v>
      </c>
      <c r="AE10" s="166" t="s">
        <v>296</v>
      </c>
      <c r="AF10" s="171">
        <f>VLOOKUP($A$10,Tesoro_emis!$A$5:$AA$50,12,FALSE)</f>
        <v>6.4149270674784376E-2</v>
      </c>
      <c r="AG10" s="167" t="s">
        <v>293</v>
      </c>
    </row>
    <row r="11" spans="1:33">
      <c r="A11" s="166">
        <f t="shared" si="0"/>
        <v>3</v>
      </c>
      <c r="B11" s="166" t="s">
        <v>293</v>
      </c>
      <c r="C11" s="166" t="s">
        <v>297</v>
      </c>
      <c r="H11" s="168"/>
      <c r="I11" s="168"/>
      <c r="J11" s="168"/>
      <c r="K11" s="168"/>
      <c r="L11" s="168"/>
    </row>
    <row r="12" spans="1:33">
      <c r="A12" s="166">
        <f t="shared" si="0"/>
        <v>4</v>
      </c>
      <c r="B12" s="166" t="s">
        <v>293</v>
      </c>
      <c r="C12" s="166" t="s">
        <v>294</v>
      </c>
      <c r="D12" s="166" t="str">
        <f>VLOOKUP(A12,Tesoro_emis!$A$5:$B$50,2,FALSE)</f>
        <v>TR6</v>
      </c>
      <c r="E12" s="166" t="s">
        <v>293</v>
      </c>
    </row>
    <row r="13" spans="1:33">
      <c r="A13" s="166">
        <f t="shared" si="0"/>
        <v>4</v>
      </c>
      <c r="B13" s="166" t="s">
        <v>293</v>
      </c>
      <c r="C13" s="166" t="s">
        <v>295</v>
      </c>
      <c r="D13" s="168">
        <f>VLOOKUP(A13,Tesoro_emis!$A$5:$AA$50,7,FALSE)</f>
        <v>-20.199976046300002</v>
      </c>
      <c r="E13" s="168" t="s">
        <v>296</v>
      </c>
      <c r="F13" s="168">
        <f>VLOOKUP(A13,Tesoro_emis!$A$5:$AA$50,8,FALSE)</f>
        <v>187.65594735100001</v>
      </c>
      <c r="G13" s="168" t="s">
        <v>296</v>
      </c>
      <c r="H13" s="169">
        <f>VLOOKUP(A13,Tesoro_emis!$A$5:$AA$50,24,FALSE)</f>
        <v>46.329599999999999</v>
      </c>
      <c r="I13" s="166" t="s">
        <v>296</v>
      </c>
      <c r="J13" s="170">
        <f>VLOOKUP(A13,Tesoro_emis!$A$5:$AA$50,6,FALSE)</f>
        <v>40</v>
      </c>
      <c r="K13" s="166" t="s">
        <v>296</v>
      </c>
      <c r="L13" s="168">
        <f>VLOOKUP(A13,Tesoro_emis!$A$5:$AA$50,27,FALSE)</f>
        <v>1.524</v>
      </c>
      <c r="M13" s="166" t="s">
        <v>296</v>
      </c>
      <c r="N13" s="169">
        <f>VLOOKUP(A13,Tesoro_emis!$A$5:$AA$50,26,FALSE)</f>
        <v>6.0960000000000001</v>
      </c>
      <c r="O13" s="166" t="s">
        <v>296</v>
      </c>
      <c r="P13" s="169">
        <f>VLOOKUP(A13,Tesoro_emis!$A$5:$AA$50,25,FALSE)</f>
        <v>533.15</v>
      </c>
      <c r="Q13" s="166" t="s">
        <v>296</v>
      </c>
      <c r="R13" s="170">
        <v>1</v>
      </c>
      <c r="S13" s="166" t="s">
        <v>296</v>
      </c>
      <c r="T13" s="171">
        <f>VLOOKUP(A13,Tesoro_emis!$A$5:$AA$50,15,FALSE)</f>
        <v>9.4929414003044141E-3</v>
      </c>
      <c r="U13" s="166" t="s">
        <v>296</v>
      </c>
      <c r="V13" s="170">
        <v>0</v>
      </c>
      <c r="W13" s="171" t="s">
        <v>296</v>
      </c>
      <c r="X13" s="171">
        <f>VLOOKUP(A13,Tesoro_emis!$A$5:$AA$50,10,FALSE)</f>
        <v>0.28363758244545917</v>
      </c>
      <c r="Y13" s="166" t="s">
        <v>296</v>
      </c>
      <c r="Z13" s="170">
        <v>0</v>
      </c>
      <c r="AA13" s="166" t="s">
        <v>296</v>
      </c>
      <c r="AB13" s="170">
        <v>0</v>
      </c>
      <c r="AC13" s="166" t="s">
        <v>296</v>
      </c>
      <c r="AD13" s="171">
        <f>VLOOKUP($A$13,Tesoro_emis!$A$5:$AA$50,12,FALSE)</f>
        <v>2.6465169964485034E-2</v>
      </c>
      <c r="AE13" s="166" t="s">
        <v>296</v>
      </c>
      <c r="AF13" s="171">
        <f>VLOOKUP($A$13,Tesoro_emis!$A$5:$AA$50,12,FALSE)</f>
        <v>2.6465169964485034E-2</v>
      </c>
      <c r="AG13" s="167" t="s">
        <v>293</v>
      </c>
    </row>
    <row r="14" spans="1:33">
      <c r="A14" s="166">
        <f t="shared" si="0"/>
        <v>4</v>
      </c>
      <c r="B14" s="166" t="s">
        <v>293</v>
      </c>
      <c r="C14" s="166" t="s">
        <v>297</v>
      </c>
      <c r="H14" s="168"/>
      <c r="I14" s="168"/>
      <c r="J14" s="168"/>
      <c r="K14" s="168"/>
      <c r="L14" s="168"/>
    </row>
    <row r="15" spans="1:33">
      <c r="A15" s="166">
        <f t="shared" si="0"/>
        <v>5</v>
      </c>
      <c r="B15" s="166" t="s">
        <v>293</v>
      </c>
      <c r="C15" s="166" t="s">
        <v>294</v>
      </c>
      <c r="D15" s="166" t="str">
        <f>VLOOKUP(A15,Tesoro_emis!$A$5:$B$50,2,FALSE)</f>
        <v>TR7</v>
      </c>
      <c r="E15" s="166" t="s">
        <v>293</v>
      </c>
    </row>
    <row r="16" spans="1:33">
      <c r="A16" s="166">
        <f t="shared" si="0"/>
        <v>5</v>
      </c>
      <c r="B16" s="166" t="s">
        <v>293</v>
      </c>
      <c r="C16" s="166" t="s">
        <v>295</v>
      </c>
      <c r="D16" s="168">
        <f>VLOOKUP(A16,Tesoro_emis!$A$5:$AA$50,7,FALSE)</f>
        <v>-20.203762836999999</v>
      </c>
      <c r="E16" s="168" t="s">
        <v>296</v>
      </c>
      <c r="F16" s="168">
        <f>VLOOKUP(A16,Tesoro_emis!$A$5:$AA$50,8,FALSE)</f>
        <v>187.663793078</v>
      </c>
      <c r="G16" s="168" t="s">
        <v>296</v>
      </c>
      <c r="H16" s="169">
        <f>VLOOKUP(A16,Tesoro_emis!$A$5:$AA$50,24,FALSE)</f>
        <v>46.329599999999999</v>
      </c>
      <c r="I16" s="166" t="s">
        <v>296</v>
      </c>
      <c r="J16" s="170">
        <f>VLOOKUP(A16,Tesoro_emis!$A$5:$AA$50,6,FALSE)</f>
        <v>40</v>
      </c>
      <c r="K16" s="166" t="s">
        <v>296</v>
      </c>
      <c r="L16" s="168">
        <f>VLOOKUP(A16,Tesoro_emis!$A$5:$AA$50,27,FALSE)</f>
        <v>1.524</v>
      </c>
      <c r="M16" s="166" t="s">
        <v>296</v>
      </c>
      <c r="N16" s="169">
        <f>VLOOKUP(A16,Tesoro_emis!$A$5:$AA$50,26,FALSE)</f>
        <v>6.0960000000000001</v>
      </c>
      <c r="O16" s="166" t="s">
        <v>296</v>
      </c>
      <c r="P16" s="169">
        <f>VLOOKUP(A16,Tesoro_emis!$A$5:$AA$50,25,FALSE)</f>
        <v>533.15</v>
      </c>
      <c r="Q16" s="166" t="s">
        <v>296</v>
      </c>
      <c r="R16" s="170">
        <v>1</v>
      </c>
      <c r="S16" s="166" t="s">
        <v>296</v>
      </c>
      <c r="T16" s="171">
        <f>VLOOKUP(A16,Tesoro_emis!$A$5:$AA$50,15,FALSE)</f>
        <v>6.0409627092846271E-3</v>
      </c>
      <c r="U16" s="166" t="s">
        <v>296</v>
      </c>
      <c r="V16" s="170">
        <v>0</v>
      </c>
      <c r="W16" s="171" t="s">
        <v>296</v>
      </c>
      <c r="X16" s="171">
        <f>VLOOKUP(A16,Tesoro_emis!$A$5:$AA$50,10,FALSE)</f>
        <v>0.18151654616945712</v>
      </c>
      <c r="Y16" s="166" t="s">
        <v>296</v>
      </c>
      <c r="Z16" s="170">
        <v>0</v>
      </c>
      <c r="AA16" s="166" t="s">
        <v>296</v>
      </c>
      <c r="AB16" s="170">
        <v>0</v>
      </c>
      <c r="AC16" s="166" t="s">
        <v>296</v>
      </c>
      <c r="AD16" s="171">
        <f>VLOOKUP($A$16,Tesoro_emis!$A$5:$AA$50,12,FALSE)</f>
        <v>1.6972228564180618E-2</v>
      </c>
      <c r="AE16" s="166" t="s">
        <v>296</v>
      </c>
      <c r="AF16" s="171">
        <f>VLOOKUP($A$16,Tesoro_emis!$A$5:$AA$50,12,FALSE)</f>
        <v>1.6972228564180618E-2</v>
      </c>
      <c r="AG16" s="167" t="s">
        <v>293</v>
      </c>
    </row>
    <row r="17" spans="1:33">
      <c r="A17" s="166">
        <f t="shared" si="0"/>
        <v>5</v>
      </c>
      <c r="B17" s="166" t="s">
        <v>293</v>
      </c>
      <c r="C17" s="166" t="s">
        <v>297</v>
      </c>
      <c r="H17" s="168"/>
      <c r="I17" s="168"/>
      <c r="J17" s="168"/>
      <c r="K17" s="168"/>
      <c r="L17" s="168"/>
    </row>
    <row r="18" spans="1:33">
      <c r="A18" s="166">
        <f t="shared" si="0"/>
        <v>6</v>
      </c>
      <c r="B18" s="166" t="s">
        <v>293</v>
      </c>
      <c r="C18" s="166" t="s">
        <v>294</v>
      </c>
      <c r="D18" s="166" t="str">
        <f>VLOOKUP(A18,Tesoro_emis!$A$5:$B$50,2,FALSE)</f>
        <v>TR8</v>
      </c>
      <c r="E18" s="166" t="s">
        <v>293</v>
      </c>
    </row>
    <row r="19" spans="1:33">
      <c r="A19" s="166">
        <f t="shared" si="0"/>
        <v>6</v>
      </c>
      <c r="B19" s="166" t="s">
        <v>293</v>
      </c>
      <c r="C19" s="166" t="s">
        <v>295</v>
      </c>
      <c r="D19" s="168">
        <f>VLOOKUP(A19,Tesoro_emis!$A$5:$AA$50,7,FALSE)</f>
        <v>-20.1281080766</v>
      </c>
      <c r="E19" s="168" t="s">
        <v>296</v>
      </c>
      <c r="F19" s="168">
        <f>VLOOKUP(A19,Tesoro_emis!$A$5:$AA$50,8,FALSE)</f>
        <v>187.65764817199999</v>
      </c>
      <c r="G19" s="168" t="s">
        <v>296</v>
      </c>
      <c r="H19" s="169">
        <f>VLOOKUP(A19,Tesoro_emis!$A$5:$AA$50,24,FALSE)</f>
        <v>25.908000000000001</v>
      </c>
      <c r="I19" s="166" t="s">
        <v>296</v>
      </c>
      <c r="J19" s="170">
        <f>VLOOKUP(A19,Tesoro_emis!$A$5:$AA$50,6,FALSE)</f>
        <v>40</v>
      </c>
      <c r="K19" s="166" t="s">
        <v>296</v>
      </c>
      <c r="L19" s="168">
        <f>VLOOKUP(A19,Tesoro_emis!$A$5:$AA$50,27,FALSE)</f>
        <v>1.2192000000000001</v>
      </c>
      <c r="M19" s="166" t="s">
        <v>296</v>
      </c>
      <c r="N19" s="169">
        <f>VLOOKUP(A19,Tesoro_emis!$A$5:$AA$50,26,FALSE)</f>
        <v>5.1816000000000004</v>
      </c>
      <c r="O19" s="166" t="s">
        <v>296</v>
      </c>
      <c r="P19" s="169">
        <f>VLOOKUP(A19,Tesoro_emis!$A$5:$AA$50,25,FALSE)</f>
        <v>532.03888888888889</v>
      </c>
      <c r="Q19" s="166" t="s">
        <v>296</v>
      </c>
      <c r="R19" s="170">
        <v>1</v>
      </c>
      <c r="S19" s="166" t="s">
        <v>296</v>
      </c>
      <c r="T19" s="171">
        <f>VLOOKUP(A19,Tesoro_emis!$A$5:$AA$50,15,FALSE)</f>
        <v>5.4656329274479967E-3</v>
      </c>
      <c r="U19" s="166" t="s">
        <v>296</v>
      </c>
      <c r="V19" s="170">
        <v>0</v>
      </c>
      <c r="W19" s="171" t="s">
        <v>296</v>
      </c>
      <c r="X19" s="171">
        <f>VLOOKUP(A19,Tesoro_emis!$A$5:$AA$50,10,FALSE)</f>
        <v>0.15879101978691018</v>
      </c>
      <c r="Y19" s="166" t="s">
        <v>296</v>
      </c>
      <c r="Z19" s="170">
        <v>0</v>
      </c>
      <c r="AA19" s="166" t="s">
        <v>296</v>
      </c>
      <c r="AB19" s="170">
        <v>0</v>
      </c>
      <c r="AC19" s="166" t="s">
        <v>296</v>
      </c>
      <c r="AD19" s="171">
        <f>VLOOKUP($A$19,Tesoro_emis!$A$5:$AA$50,12,FALSE)</f>
        <v>1.4670909436834096E-2</v>
      </c>
      <c r="AE19" s="166" t="s">
        <v>296</v>
      </c>
      <c r="AF19" s="171">
        <f>VLOOKUP($A$19,Tesoro_emis!$A$5:$AA$50,12,FALSE)</f>
        <v>1.4670909436834096E-2</v>
      </c>
      <c r="AG19" s="167" t="s">
        <v>293</v>
      </c>
    </row>
    <row r="20" spans="1:33">
      <c r="A20" s="166">
        <f t="shared" si="0"/>
        <v>6</v>
      </c>
      <c r="B20" s="166" t="s">
        <v>293</v>
      </c>
      <c r="C20" s="166" t="s">
        <v>297</v>
      </c>
      <c r="H20" s="168"/>
      <c r="I20" s="168"/>
      <c r="J20" s="168"/>
      <c r="K20" s="168"/>
      <c r="L20" s="168"/>
    </row>
    <row r="21" spans="1:33">
      <c r="A21" s="166">
        <f t="shared" si="0"/>
        <v>7</v>
      </c>
      <c r="B21" s="166" t="s">
        <v>293</v>
      </c>
      <c r="C21" s="166" t="s">
        <v>294</v>
      </c>
      <c r="D21" s="166" t="str">
        <f>VLOOKUP(A21,Tesoro_emis!$A$5:$B$50,2,FALSE)</f>
        <v>TR9</v>
      </c>
      <c r="E21" s="166" t="s">
        <v>293</v>
      </c>
    </row>
    <row r="22" spans="1:33">
      <c r="A22" s="166">
        <f t="shared" si="0"/>
        <v>7</v>
      </c>
      <c r="B22" s="166" t="s">
        <v>293</v>
      </c>
      <c r="C22" s="166" t="s">
        <v>295</v>
      </c>
      <c r="D22" s="168">
        <f>VLOOKUP(A22,Tesoro_emis!$A$5:$AA$50,7,FALSE)</f>
        <v>-20.145582118099998</v>
      </c>
      <c r="E22" s="168" t="s">
        <v>296</v>
      </c>
      <c r="F22" s="168">
        <f>VLOOKUP(A22,Tesoro_emis!$A$5:$AA$50,8,FALSE)</f>
        <v>187.65776092199999</v>
      </c>
      <c r="G22" s="168" t="s">
        <v>296</v>
      </c>
      <c r="H22" s="169">
        <f>VLOOKUP(A22,Tesoro_emis!$A$5:$AA$50,24,FALSE)</f>
        <v>23.4696</v>
      </c>
      <c r="I22" s="166" t="s">
        <v>296</v>
      </c>
      <c r="J22" s="170">
        <f>VLOOKUP(A22,Tesoro_emis!$A$5:$AA$50,6,FALSE)</f>
        <v>40</v>
      </c>
      <c r="K22" s="166" t="s">
        <v>296</v>
      </c>
      <c r="L22" s="168">
        <f>VLOOKUP(A22,Tesoro_emis!$A$5:$AA$50,27,FALSE)</f>
        <v>1.2192000000000001</v>
      </c>
      <c r="M22" s="166" t="s">
        <v>296</v>
      </c>
      <c r="N22" s="169">
        <f>VLOOKUP(A22,Tesoro_emis!$A$5:$AA$50,26,FALSE)</f>
        <v>3.048</v>
      </c>
      <c r="O22" s="166" t="s">
        <v>296</v>
      </c>
      <c r="P22" s="169">
        <f>VLOOKUP(A22,Tesoro_emis!$A$5:$AA$50,25,FALSE)</f>
        <v>508.70555555555552</v>
      </c>
      <c r="Q22" s="166" t="s">
        <v>296</v>
      </c>
      <c r="R22" s="170">
        <v>1</v>
      </c>
      <c r="S22" s="166" t="s">
        <v>296</v>
      </c>
      <c r="T22" s="171">
        <f>VLOOKUP(A22,Tesoro_emis!$A$5:$AA$50,15,FALSE)</f>
        <v>3.1643138001014714E-3</v>
      </c>
      <c r="U22" s="166" t="s">
        <v>296</v>
      </c>
      <c r="V22" s="170">
        <v>0</v>
      </c>
      <c r="W22" s="171" t="s">
        <v>296</v>
      </c>
      <c r="X22" s="171">
        <f>VLOOKUP(A22,Tesoro_emis!$A$5:$AA$50,10,FALSE)</f>
        <v>9.4641749112125834E-2</v>
      </c>
      <c r="Y22" s="166" t="s">
        <v>296</v>
      </c>
      <c r="Z22" s="170">
        <v>0</v>
      </c>
      <c r="AA22" s="166" t="s">
        <v>296</v>
      </c>
      <c r="AB22" s="170">
        <v>0</v>
      </c>
      <c r="AC22" s="166" t="s">
        <v>296</v>
      </c>
      <c r="AD22" s="171">
        <f>VLOOKUP($A$22,Tesoro_emis!$A$5:$AA$50,12,FALSE)</f>
        <v>8.9176116184677828E-3</v>
      </c>
      <c r="AE22" s="166" t="s">
        <v>296</v>
      </c>
      <c r="AF22" s="171">
        <f>VLOOKUP($A$22,Tesoro_emis!$A$5:$AA$50,12,FALSE)</f>
        <v>8.9176116184677828E-3</v>
      </c>
      <c r="AG22" s="167" t="s">
        <v>293</v>
      </c>
    </row>
    <row r="23" spans="1:33">
      <c r="A23" s="166">
        <f t="shared" si="0"/>
        <v>7</v>
      </c>
      <c r="B23" s="166" t="s">
        <v>293</v>
      </c>
      <c r="C23" s="166" t="s">
        <v>297</v>
      </c>
      <c r="H23" s="168"/>
      <c r="I23" s="168"/>
      <c r="J23" s="168"/>
      <c r="K23" s="168"/>
      <c r="L23" s="168"/>
    </row>
    <row r="24" spans="1:33">
      <c r="A24" s="166">
        <f t="shared" si="0"/>
        <v>8</v>
      </c>
      <c r="B24" s="166" t="s">
        <v>293</v>
      </c>
      <c r="C24" s="166" t="s">
        <v>294</v>
      </c>
      <c r="D24" s="166" t="str">
        <f>VLOOKUP(A24,Tesoro_emis!$A$5:$B$50,2,FALSE)</f>
        <v>TR10</v>
      </c>
      <c r="E24" s="166" t="s">
        <v>293</v>
      </c>
    </row>
    <row r="25" spans="1:33">
      <c r="A25" s="166">
        <f t="shared" si="0"/>
        <v>8</v>
      </c>
      <c r="B25" s="166" t="s">
        <v>293</v>
      </c>
      <c r="C25" s="166" t="s">
        <v>295</v>
      </c>
      <c r="D25" s="168">
        <f>VLOOKUP(A25,Tesoro_emis!$A$5:$AA$50,7,FALSE)</f>
        <v>-20.1509069807</v>
      </c>
      <c r="E25" s="168" t="s">
        <v>296</v>
      </c>
      <c r="F25" s="168">
        <f>VLOOKUP(A25,Tesoro_emis!$A$5:$AA$50,8,FALSE)</f>
        <v>187.65771682100001</v>
      </c>
      <c r="G25" s="168" t="s">
        <v>296</v>
      </c>
      <c r="H25" s="169">
        <f>VLOOKUP(A25,Tesoro_emis!$A$5:$AA$50,24,FALSE)</f>
        <v>22.86</v>
      </c>
      <c r="I25" s="166" t="s">
        <v>296</v>
      </c>
      <c r="J25" s="170">
        <f>VLOOKUP(A25,Tesoro_emis!$A$5:$AA$50,6,FALSE)</f>
        <v>40</v>
      </c>
      <c r="K25" s="166" t="s">
        <v>296</v>
      </c>
      <c r="L25" s="168">
        <f>VLOOKUP(A25,Tesoro_emis!$A$5:$AA$50,27,FALSE)</f>
        <v>1.2192000000000001</v>
      </c>
      <c r="M25" s="166" t="s">
        <v>296</v>
      </c>
      <c r="N25" s="169">
        <f>VLOOKUP(A25,Tesoro_emis!$A$5:$AA$50,26,FALSE)</f>
        <v>7.62</v>
      </c>
      <c r="O25" s="166" t="s">
        <v>296</v>
      </c>
      <c r="P25" s="169">
        <f>VLOOKUP(A25,Tesoro_emis!$A$5:$AA$50,25,FALSE)</f>
        <v>564.26111111111118</v>
      </c>
      <c r="Q25" s="166" t="s">
        <v>296</v>
      </c>
      <c r="R25" s="170">
        <v>1</v>
      </c>
      <c r="S25" s="166" t="s">
        <v>296</v>
      </c>
      <c r="T25" s="171">
        <f>VLOOKUP(A25,Tesoro_emis!$A$5:$AA$50,15,FALSE)</f>
        <v>1.1506595636732625E-2</v>
      </c>
      <c r="U25" s="166" t="s">
        <v>296</v>
      </c>
      <c r="V25" s="170">
        <v>0</v>
      </c>
      <c r="W25" s="171" t="s">
        <v>296</v>
      </c>
      <c r="X25" s="171">
        <f>VLOOKUP(A25,Tesoro_emis!$A$5:$AA$50,10,FALSE)</f>
        <v>0.25918606671740235</v>
      </c>
      <c r="Y25" s="166" t="s">
        <v>296</v>
      </c>
      <c r="Z25" s="170">
        <v>0</v>
      </c>
      <c r="AA25" s="166" t="s">
        <v>296</v>
      </c>
      <c r="AB25" s="170">
        <v>0</v>
      </c>
      <c r="AC25" s="166" t="s">
        <v>296</v>
      </c>
      <c r="AD25" s="171">
        <f>VLOOKUP($A$25,Tesoro_emis!$A$5:$AA$50,12,FALSE)</f>
        <v>3.2218467782851347E-2</v>
      </c>
      <c r="AE25" s="166" t="s">
        <v>296</v>
      </c>
      <c r="AF25" s="171">
        <f>VLOOKUP($A$25,Tesoro_emis!$A$5:$AA$50,12,FALSE)</f>
        <v>3.2218467782851347E-2</v>
      </c>
      <c r="AG25" s="167" t="s">
        <v>293</v>
      </c>
    </row>
    <row r="26" spans="1:33">
      <c r="A26" s="166">
        <f t="shared" si="0"/>
        <v>8</v>
      </c>
      <c r="B26" s="166" t="s">
        <v>293</v>
      </c>
      <c r="C26" s="166" t="s">
        <v>297</v>
      </c>
      <c r="H26" s="168"/>
      <c r="I26" s="168"/>
      <c r="J26" s="168"/>
      <c r="K26" s="168"/>
      <c r="L26" s="168"/>
    </row>
    <row r="27" spans="1:33">
      <c r="A27" s="166">
        <f t="shared" si="0"/>
        <v>9</v>
      </c>
      <c r="B27" s="166" t="s">
        <v>293</v>
      </c>
      <c r="C27" s="166" t="s">
        <v>294</v>
      </c>
      <c r="D27" s="166" t="str">
        <f>VLOOKUP(A27,Tesoro_emis!$A$5:$B$50,2,FALSE)</f>
        <v>TR11</v>
      </c>
      <c r="E27" s="166" t="s">
        <v>293</v>
      </c>
    </row>
    <row r="28" spans="1:33">
      <c r="A28" s="166">
        <f t="shared" si="0"/>
        <v>9</v>
      </c>
      <c r="B28" s="166" t="s">
        <v>293</v>
      </c>
      <c r="C28" s="166" t="s">
        <v>295</v>
      </c>
      <c r="D28" s="168">
        <f>VLOOKUP(A28,Tesoro_emis!$A$5:$AA$50,7,FALSE)</f>
        <v>-20.156228888499999</v>
      </c>
      <c r="E28" s="168" t="s">
        <v>296</v>
      </c>
      <c r="F28" s="168">
        <f>VLOOKUP(A28,Tesoro_emis!$A$5:$AA$50,8,FALSE)</f>
        <v>187.657773077</v>
      </c>
      <c r="G28" s="168" t="s">
        <v>296</v>
      </c>
      <c r="H28" s="169">
        <f>VLOOKUP(A28,Tesoro_emis!$A$5:$AA$50,24,FALSE)</f>
        <v>23.4696</v>
      </c>
      <c r="I28" s="166" t="s">
        <v>296</v>
      </c>
      <c r="J28" s="170">
        <f>VLOOKUP(A28,Tesoro_emis!$A$5:$AA$50,6,FALSE)</f>
        <v>40</v>
      </c>
      <c r="K28" s="166" t="s">
        <v>296</v>
      </c>
      <c r="L28" s="168">
        <f>VLOOKUP(A28,Tesoro_emis!$A$5:$AA$50,27,FALSE)</f>
        <v>1.524</v>
      </c>
      <c r="M28" s="166" t="s">
        <v>296</v>
      </c>
      <c r="N28" s="169">
        <f>VLOOKUP(A28,Tesoro_emis!$A$5:$AA$50,26,FALSE)</f>
        <v>5.4864000000000006</v>
      </c>
      <c r="O28" s="166" t="s">
        <v>296</v>
      </c>
      <c r="P28" s="169">
        <f>VLOOKUP(A28,Tesoro_emis!$A$5:$AA$50,25,FALSE)</f>
        <v>561.48333333333335</v>
      </c>
      <c r="Q28" s="166" t="s">
        <v>296</v>
      </c>
      <c r="R28" s="170">
        <v>1</v>
      </c>
      <c r="S28" s="166" t="s">
        <v>296</v>
      </c>
      <c r="T28" s="171">
        <f>VLOOKUP(A28,Tesoro_emis!$A$5:$AA$50,15,FALSE)</f>
        <v>1.1794260527650938E-2</v>
      </c>
      <c r="U28" s="166" t="s">
        <v>296</v>
      </c>
      <c r="V28" s="170">
        <v>0</v>
      </c>
      <c r="W28" s="171" t="s">
        <v>296</v>
      </c>
      <c r="X28" s="171">
        <f>VLOOKUP(A28,Tesoro_emis!$A$5:$AA$50,10,FALSE)</f>
        <v>0.34836218290208015</v>
      </c>
      <c r="Y28" s="166" t="s">
        <v>296</v>
      </c>
      <c r="Z28" s="170">
        <v>0</v>
      </c>
      <c r="AA28" s="166" t="s">
        <v>296</v>
      </c>
      <c r="AB28" s="170">
        <v>0</v>
      </c>
      <c r="AC28" s="166" t="s">
        <v>296</v>
      </c>
      <c r="AD28" s="171">
        <f>VLOOKUP($A$28,Tesoro_emis!$A$5:$AA$50,12,FALSE)</f>
        <v>3.2506132673769658E-2</v>
      </c>
      <c r="AE28" s="166" t="s">
        <v>296</v>
      </c>
      <c r="AF28" s="171">
        <f>VLOOKUP($A$28,Tesoro_emis!$A$5:$AA$50,12,FALSE)</f>
        <v>3.2506132673769658E-2</v>
      </c>
      <c r="AG28" s="167" t="s">
        <v>293</v>
      </c>
    </row>
    <row r="29" spans="1:33">
      <c r="A29" s="166">
        <f t="shared" si="0"/>
        <v>9</v>
      </c>
      <c r="B29" s="166" t="s">
        <v>293</v>
      </c>
      <c r="C29" s="166" t="s">
        <v>297</v>
      </c>
      <c r="H29" s="168"/>
      <c r="I29" s="168"/>
      <c r="J29" s="168"/>
      <c r="K29" s="168"/>
      <c r="L29" s="168"/>
    </row>
    <row r="30" spans="1:33">
      <c r="A30" s="166">
        <f t="shared" si="0"/>
        <v>10</v>
      </c>
      <c r="B30" s="166" t="s">
        <v>293</v>
      </c>
      <c r="C30" s="166" t="s">
        <v>294</v>
      </c>
      <c r="D30" s="166" t="str">
        <f>VLOOKUP(A30,Tesoro_emis!$A$5:$B$50,2,FALSE)</f>
        <v>TR12</v>
      </c>
      <c r="E30" s="166" t="s">
        <v>293</v>
      </c>
    </row>
    <row r="31" spans="1:33">
      <c r="A31" s="166">
        <f t="shared" si="0"/>
        <v>10</v>
      </c>
      <c r="B31" s="166" t="s">
        <v>293</v>
      </c>
      <c r="C31" s="166" t="s">
        <v>295</v>
      </c>
      <c r="D31" s="168">
        <f>VLOOKUP(A31,Tesoro_emis!$A$5:$AA$50,7,FALSE)</f>
        <v>-20.465466985799999</v>
      </c>
      <c r="E31" s="168" t="s">
        <v>296</v>
      </c>
      <c r="F31" s="168">
        <f>VLOOKUP(A31,Tesoro_emis!$A$5:$AA$50,8,FALSE)</f>
        <v>187.48413784499999</v>
      </c>
      <c r="G31" s="168" t="s">
        <v>296</v>
      </c>
      <c r="H31" s="169">
        <f>VLOOKUP(A31,Tesoro_emis!$A$5:$AA$50,24,FALSE)</f>
        <v>16.763999999999999</v>
      </c>
      <c r="I31" s="166" t="s">
        <v>296</v>
      </c>
      <c r="J31" s="170">
        <f>VLOOKUP(A31,Tesoro_emis!$A$5:$AA$50,6,FALSE)</f>
        <v>40</v>
      </c>
      <c r="K31" s="166" t="s">
        <v>296</v>
      </c>
      <c r="L31" s="168">
        <f>VLOOKUP(A31,Tesoro_emis!$A$5:$AA$50,27,FALSE)</f>
        <v>0.9144000000000001</v>
      </c>
      <c r="M31" s="166" t="s">
        <v>296</v>
      </c>
      <c r="N31" s="169">
        <f>VLOOKUP(A31,Tesoro_emis!$A$5:$AA$50,26,FALSE)</f>
        <v>10.668000000000001</v>
      </c>
      <c r="O31" s="166" t="s">
        <v>296</v>
      </c>
      <c r="P31" s="169">
        <f>VLOOKUP(A31,Tesoro_emis!$A$5:$AA$50,25,FALSE)</f>
        <v>553.15</v>
      </c>
      <c r="Q31" s="166" t="s">
        <v>296</v>
      </c>
      <c r="R31" s="170">
        <v>1</v>
      </c>
      <c r="S31" s="166" t="s">
        <v>296</v>
      </c>
      <c r="T31" s="171">
        <f>VLOOKUP(A31,Tesoro_emis!$A$5:$AA$50,15,FALSE)</f>
        <v>6.0409627092846271E-3</v>
      </c>
      <c r="U31" s="166" t="s">
        <v>296</v>
      </c>
      <c r="V31" s="170">
        <v>0</v>
      </c>
      <c r="W31" s="171" t="s">
        <v>296</v>
      </c>
      <c r="X31" s="171">
        <f>VLOOKUP(A31,Tesoro_emis!$A$5:$AA$50,10,FALSE)</f>
        <v>0.216036333079655</v>
      </c>
      <c r="Y31" s="166" t="s">
        <v>296</v>
      </c>
      <c r="Z31" s="170">
        <v>0</v>
      </c>
      <c r="AA31" s="166" t="s">
        <v>296</v>
      </c>
      <c r="AB31" s="170">
        <v>0</v>
      </c>
      <c r="AC31" s="166" t="s">
        <v>296</v>
      </c>
      <c r="AD31" s="171">
        <f>VLOOKUP($A$31,Tesoro_emis!$A$5:$AA$50,12,FALSE)</f>
        <v>1.6396898782343988E-2</v>
      </c>
      <c r="AE31" s="166" t="s">
        <v>296</v>
      </c>
      <c r="AF31" s="171">
        <f>VLOOKUP($A$31,Tesoro_emis!$A$5:$AA$50,12,FALSE)</f>
        <v>1.6396898782343988E-2</v>
      </c>
      <c r="AG31" s="167" t="s">
        <v>293</v>
      </c>
    </row>
    <row r="32" spans="1:33">
      <c r="A32" s="166">
        <f t="shared" si="0"/>
        <v>10</v>
      </c>
      <c r="B32" s="166" t="s">
        <v>293</v>
      </c>
      <c r="C32" s="166" t="s">
        <v>297</v>
      </c>
      <c r="H32" s="168"/>
      <c r="I32" s="168"/>
      <c r="J32" s="168"/>
      <c r="K32" s="168"/>
      <c r="L32" s="168"/>
    </row>
    <row r="33" spans="1:33">
      <c r="A33" s="166">
        <f t="shared" si="0"/>
        <v>11</v>
      </c>
      <c r="B33" s="166" t="s">
        <v>293</v>
      </c>
      <c r="C33" s="166" t="s">
        <v>294</v>
      </c>
      <c r="D33" s="166" t="str">
        <f>VLOOKUP(A33,Tesoro_emis!$A$5:$B$50,2,FALSE)</f>
        <v>TR15</v>
      </c>
      <c r="E33" s="166" t="s">
        <v>293</v>
      </c>
    </row>
    <row r="34" spans="1:33">
      <c r="A34" s="166">
        <f t="shared" si="0"/>
        <v>11</v>
      </c>
      <c r="B34" s="166" t="s">
        <v>293</v>
      </c>
      <c r="C34" s="166" t="s">
        <v>295</v>
      </c>
      <c r="D34" s="168">
        <f>VLOOKUP(A34,Tesoro_emis!$A$5:$AA$50,7,FALSE)</f>
        <v>-20.274505763099999</v>
      </c>
      <c r="E34" s="168" t="s">
        <v>296</v>
      </c>
      <c r="F34" s="168">
        <f>VLOOKUP(A34,Tesoro_emis!$A$5:$AA$50,8,FALSE)</f>
        <v>187.679837574</v>
      </c>
      <c r="G34" s="168" t="s">
        <v>296</v>
      </c>
      <c r="H34" s="169">
        <f>VLOOKUP(A34,Tesoro_emis!$A$5:$AA$50,24,FALSE)</f>
        <v>12.192</v>
      </c>
      <c r="I34" s="166" t="s">
        <v>296</v>
      </c>
      <c r="J34" s="170">
        <f>VLOOKUP(A34,Tesoro_emis!$A$5:$AA$50,6,FALSE)</f>
        <v>40</v>
      </c>
      <c r="K34" s="166" t="s">
        <v>296</v>
      </c>
      <c r="L34" s="168">
        <f>VLOOKUP(A34,Tesoro_emis!$A$5:$AA$50,27,FALSE)</f>
        <v>0.60960000000000003</v>
      </c>
      <c r="M34" s="166" t="s">
        <v>296</v>
      </c>
      <c r="N34" s="169">
        <f>VLOOKUP(A34,Tesoro_emis!$A$5:$AA$50,26,FALSE)</f>
        <v>9.1440000000000001</v>
      </c>
      <c r="O34" s="166" t="s">
        <v>296</v>
      </c>
      <c r="P34" s="169">
        <f>VLOOKUP(A34,Tesoro_emis!$A$5:$AA$50,25,FALSE)</f>
        <v>555.92777777777769</v>
      </c>
      <c r="Q34" s="166" t="s">
        <v>296</v>
      </c>
      <c r="R34" s="170">
        <v>1</v>
      </c>
      <c r="S34" s="166" t="s">
        <v>296</v>
      </c>
      <c r="T34" s="171">
        <f>VLOOKUP(A34,Tesoro_emis!$A$5:$AA$50,15,FALSE)</f>
        <v>0</v>
      </c>
      <c r="U34" s="166" t="s">
        <v>296</v>
      </c>
      <c r="V34" s="170">
        <v>0</v>
      </c>
      <c r="W34" s="171" t="s">
        <v>296</v>
      </c>
      <c r="X34" s="171">
        <f>VLOOKUP(A34,Tesoro_emis!$A$5:$AA$50,10,FALSE)</f>
        <v>1.7259893455098935E-3</v>
      </c>
      <c r="Y34" s="166" t="s">
        <v>296</v>
      </c>
      <c r="Z34" s="170">
        <v>0</v>
      </c>
      <c r="AA34" s="166" t="s">
        <v>296</v>
      </c>
      <c r="AB34" s="170">
        <v>0</v>
      </c>
      <c r="AC34" s="166" t="s">
        <v>296</v>
      </c>
      <c r="AD34" s="171">
        <f>VLOOKUP($A$34,Tesoro_emis!$A$5:$AA$50,12,FALSE)</f>
        <v>0</v>
      </c>
      <c r="AE34" s="166" t="s">
        <v>296</v>
      </c>
      <c r="AF34" s="171">
        <f>VLOOKUP($A$34,Tesoro_emis!$A$5:$AA$50,12,FALSE)</f>
        <v>0</v>
      </c>
      <c r="AG34" s="167" t="s">
        <v>293</v>
      </c>
    </row>
    <row r="35" spans="1:33">
      <c r="A35" s="166">
        <f t="shared" si="0"/>
        <v>11</v>
      </c>
      <c r="B35" s="166" t="s">
        <v>293</v>
      </c>
      <c r="C35" s="166" t="s">
        <v>297</v>
      </c>
      <c r="H35" s="168"/>
      <c r="I35" s="168"/>
      <c r="J35" s="168"/>
      <c r="K35" s="168"/>
      <c r="L35" s="168"/>
    </row>
    <row r="36" spans="1:33">
      <c r="A36" s="166">
        <f t="shared" si="0"/>
        <v>12</v>
      </c>
      <c r="B36" s="166" t="s">
        <v>293</v>
      </c>
      <c r="C36" s="166" t="s">
        <v>294</v>
      </c>
      <c r="D36" s="166" t="str">
        <f>VLOOKUP(A36,Tesoro_emis!$A$5:$B$50,2,FALSE)</f>
        <v>TR16</v>
      </c>
      <c r="E36" s="166" t="s">
        <v>293</v>
      </c>
    </row>
    <row r="37" spans="1:33">
      <c r="A37" s="166">
        <f t="shared" si="0"/>
        <v>12</v>
      </c>
      <c r="B37" s="166" t="s">
        <v>293</v>
      </c>
      <c r="C37" s="166" t="s">
        <v>295</v>
      </c>
      <c r="D37" s="168">
        <f>VLOOKUP(A37,Tesoro_emis!$A$5:$AA$50,7,FALSE)</f>
        <v>-20.2805656347</v>
      </c>
      <c r="E37" s="168" t="s">
        <v>296</v>
      </c>
      <c r="F37" s="168">
        <f>VLOOKUP(A37,Tesoro_emis!$A$5:$AA$50,8,FALSE)</f>
        <v>187.678710185</v>
      </c>
      <c r="G37" s="168" t="s">
        <v>296</v>
      </c>
      <c r="H37" s="169">
        <f>VLOOKUP(A37,Tesoro_emis!$A$5:$AA$50,24,FALSE)</f>
        <v>12.192</v>
      </c>
      <c r="I37" s="166" t="s">
        <v>296</v>
      </c>
      <c r="J37" s="170">
        <f>VLOOKUP(A37,Tesoro_emis!$A$5:$AA$50,6,FALSE)</f>
        <v>40</v>
      </c>
      <c r="K37" s="166" t="s">
        <v>296</v>
      </c>
      <c r="L37" s="168">
        <f>VLOOKUP(A37,Tesoro_emis!$A$5:$AA$50,27,FALSE)</f>
        <v>0.60960000000000003</v>
      </c>
      <c r="M37" s="166" t="s">
        <v>296</v>
      </c>
      <c r="N37" s="169">
        <f>VLOOKUP(A37,Tesoro_emis!$A$5:$AA$50,26,FALSE)</f>
        <v>9.1440000000000001</v>
      </c>
      <c r="O37" s="166" t="s">
        <v>296</v>
      </c>
      <c r="P37" s="169">
        <f>VLOOKUP(A37,Tesoro_emis!$A$5:$AA$50,25,FALSE)</f>
        <v>555.92777777777769</v>
      </c>
      <c r="Q37" s="166" t="s">
        <v>296</v>
      </c>
      <c r="R37" s="170">
        <v>1</v>
      </c>
      <c r="S37" s="166" t="s">
        <v>296</v>
      </c>
      <c r="T37" s="171">
        <f>VLOOKUP(A37,Tesoro_emis!$A$5:$AA$50,15,FALSE)</f>
        <v>1.7259893455098935E-3</v>
      </c>
      <c r="U37" s="166" t="s">
        <v>296</v>
      </c>
      <c r="V37" s="170">
        <v>0</v>
      </c>
      <c r="W37" s="171" t="s">
        <v>296</v>
      </c>
      <c r="X37" s="171">
        <f>VLOOKUP(A37,Tesoro_emis!$A$5:$AA$50,10,FALSE)</f>
        <v>6.2135616438356168E-2</v>
      </c>
      <c r="Y37" s="166" t="s">
        <v>296</v>
      </c>
      <c r="Z37" s="170">
        <v>0</v>
      </c>
      <c r="AA37" s="166" t="s">
        <v>296</v>
      </c>
      <c r="AB37" s="170">
        <v>0</v>
      </c>
      <c r="AC37" s="166" t="s">
        <v>296</v>
      </c>
      <c r="AD37" s="171">
        <f>VLOOKUP($A$37,Tesoro_emis!$A$5:$AA$50,12,FALSE)</f>
        <v>4.6026382546930497E-3</v>
      </c>
      <c r="AE37" s="166" t="s">
        <v>296</v>
      </c>
      <c r="AF37" s="171">
        <f>VLOOKUP($A$37,Tesoro_emis!$A$5:$AA$50,12,FALSE)</f>
        <v>4.6026382546930497E-3</v>
      </c>
      <c r="AG37" s="167" t="s">
        <v>293</v>
      </c>
    </row>
    <row r="38" spans="1:33">
      <c r="A38" s="166">
        <f t="shared" si="0"/>
        <v>12</v>
      </c>
      <c r="B38" s="166" t="s">
        <v>293</v>
      </c>
      <c r="C38" s="166" t="s">
        <v>297</v>
      </c>
      <c r="H38" s="168"/>
      <c r="I38" s="168"/>
      <c r="J38" s="168"/>
      <c r="K38" s="168"/>
      <c r="L38" s="168"/>
    </row>
    <row r="39" spans="1:33">
      <c r="A39" s="166">
        <f t="shared" si="0"/>
        <v>13</v>
      </c>
      <c r="B39" s="166" t="s">
        <v>293</v>
      </c>
      <c r="C39" s="166" t="s">
        <v>294</v>
      </c>
      <c r="D39" s="166" t="str">
        <f>VLOOKUP(A39,Tesoro_emis!$A$5:$B$50,2,FALSE)</f>
        <v>TR17</v>
      </c>
      <c r="E39" s="166" t="s">
        <v>293</v>
      </c>
    </row>
    <row r="40" spans="1:33">
      <c r="A40" s="166">
        <f t="shared" si="0"/>
        <v>13</v>
      </c>
      <c r="B40" s="166" t="s">
        <v>293</v>
      </c>
      <c r="C40" s="166" t="s">
        <v>295</v>
      </c>
      <c r="D40" s="168">
        <f>VLOOKUP(A40,Tesoro_emis!$A$5:$AA$50,7,FALSE)</f>
        <v>-20.174655756700002</v>
      </c>
      <c r="E40" s="168" t="s">
        <v>296</v>
      </c>
      <c r="F40" s="168">
        <f>VLOOKUP(A40,Tesoro_emis!$A$5:$AA$50,8,FALSE)</f>
        <v>187.39354538800001</v>
      </c>
      <c r="G40" s="168" t="s">
        <v>296</v>
      </c>
      <c r="H40" s="169">
        <f>VLOOKUP(A40,Tesoro_emis!$A$5:$AA$50,24,FALSE)</f>
        <v>4.8768000000000002</v>
      </c>
      <c r="I40" s="166" t="s">
        <v>296</v>
      </c>
      <c r="J40" s="170">
        <f>VLOOKUP(A40,Tesoro_emis!$A$5:$AA$50,6,FALSE)</f>
        <v>40</v>
      </c>
      <c r="K40" s="166" t="s">
        <v>296</v>
      </c>
      <c r="L40" s="168">
        <f>VLOOKUP(A40,Tesoro_emis!$A$5:$AA$50,27,FALSE)</f>
        <v>0.12</v>
      </c>
      <c r="M40" s="166" t="s">
        <v>296</v>
      </c>
      <c r="N40" s="169">
        <f>VLOOKUP(A40,Tesoro_emis!$A$5:$AA$50,26,FALSE)</f>
        <v>65.836799999999997</v>
      </c>
      <c r="O40" s="166" t="s">
        <v>296</v>
      </c>
      <c r="P40" s="169">
        <f>VLOOKUP(A40,Tesoro_emis!$A$5:$AA$50,25,FALSE)</f>
        <v>599.81666666666661</v>
      </c>
      <c r="Q40" s="166" t="s">
        <v>296</v>
      </c>
      <c r="R40" s="170">
        <v>1</v>
      </c>
      <c r="S40" s="166" t="s">
        <v>296</v>
      </c>
      <c r="T40" s="171">
        <f>VLOOKUP(A40,Tesoro_emis!$A$5:$AA$50,15,FALSE)</f>
        <v>8.6299467275494676E-4</v>
      </c>
      <c r="U40" s="166" t="s">
        <v>296</v>
      </c>
      <c r="V40" s="170">
        <v>0</v>
      </c>
      <c r="W40" s="171" t="s">
        <v>296</v>
      </c>
      <c r="X40" s="171">
        <f>VLOOKUP(A40,Tesoro_emis!$A$5:$AA$50,10,FALSE)</f>
        <v>3.4519786910197872E-2</v>
      </c>
      <c r="Y40" s="166" t="s">
        <v>296</v>
      </c>
      <c r="Z40" s="170">
        <v>0</v>
      </c>
      <c r="AA40" s="166" t="s">
        <v>296</v>
      </c>
      <c r="AB40" s="170">
        <v>0</v>
      </c>
      <c r="AC40" s="166" t="s">
        <v>296</v>
      </c>
      <c r="AD40" s="171">
        <f>VLOOKUP($A$40,Tesoro_emis!$A$5:$AA$50,12,FALSE)</f>
        <v>2.5889840182648401E-3</v>
      </c>
      <c r="AE40" s="166" t="s">
        <v>296</v>
      </c>
      <c r="AF40" s="171">
        <f>VLOOKUP($A$40,Tesoro_emis!$A$5:$AA$50,12,FALSE)</f>
        <v>2.5889840182648401E-3</v>
      </c>
      <c r="AG40" s="167" t="s">
        <v>293</v>
      </c>
    </row>
    <row r="41" spans="1:33">
      <c r="A41" s="166">
        <f t="shared" si="0"/>
        <v>13</v>
      </c>
      <c r="B41" s="166" t="s">
        <v>293</v>
      </c>
      <c r="C41" s="166" t="s">
        <v>297</v>
      </c>
      <c r="H41" s="168"/>
      <c r="I41" s="168"/>
      <c r="J41" s="168"/>
      <c r="K41" s="168"/>
      <c r="L41" s="168"/>
    </row>
    <row r="42" spans="1:33">
      <c r="A42" s="166">
        <f t="shared" si="0"/>
        <v>14</v>
      </c>
      <c r="B42" s="166" t="s">
        <v>293</v>
      </c>
      <c r="C42" s="166" t="s">
        <v>294</v>
      </c>
      <c r="D42" s="166" t="str">
        <f>VLOOKUP(A42,Tesoro_emis!$A$5:$B$50,2,FALSE)</f>
        <v>TR18</v>
      </c>
      <c r="E42" s="166" t="s">
        <v>293</v>
      </c>
    </row>
    <row r="43" spans="1:33">
      <c r="A43" s="166">
        <f t="shared" si="0"/>
        <v>14</v>
      </c>
      <c r="B43" s="166" t="s">
        <v>293</v>
      </c>
      <c r="C43" s="166" t="s">
        <v>295</v>
      </c>
      <c r="D43" s="168">
        <f>VLOOKUP(A43,Tesoro_emis!$A$5:$AA$50,7,FALSE)</f>
        <v>-20.2866904117</v>
      </c>
      <c r="E43" s="168" t="s">
        <v>296</v>
      </c>
      <c r="F43" s="168">
        <f>VLOOKUP(A43,Tesoro_emis!$A$5:$AA$50,8,FALSE)</f>
        <v>187.67879004100001</v>
      </c>
      <c r="G43" s="168" t="s">
        <v>296</v>
      </c>
      <c r="H43" s="169">
        <f>VLOOKUP(A43,Tesoro_emis!$A$5:$AA$50,24,FALSE)</f>
        <v>12.192</v>
      </c>
      <c r="I43" s="166" t="s">
        <v>296</v>
      </c>
      <c r="J43" s="170">
        <f>VLOOKUP(A43,Tesoro_emis!$A$5:$AA$50,6,FALSE)</f>
        <v>40</v>
      </c>
      <c r="K43" s="166" t="s">
        <v>296</v>
      </c>
      <c r="L43" s="168">
        <f>VLOOKUP(A43,Tesoro_emis!$A$5:$AA$50,27,FALSE)</f>
        <v>0.60960000000000003</v>
      </c>
      <c r="M43" s="166" t="s">
        <v>296</v>
      </c>
      <c r="N43" s="169">
        <f>VLOOKUP(A43,Tesoro_emis!$A$5:$AA$50,26,FALSE)</f>
        <v>8.5343999999999998</v>
      </c>
      <c r="O43" s="166" t="s">
        <v>296</v>
      </c>
      <c r="P43" s="169">
        <f>VLOOKUP(A43,Tesoro_emis!$A$5:$AA$50,25,FALSE)</f>
        <v>450.37222222222221</v>
      </c>
      <c r="Q43" s="166" t="s">
        <v>296</v>
      </c>
      <c r="R43" s="170">
        <v>1</v>
      </c>
      <c r="S43" s="166" t="s">
        <v>296</v>
      </c>
      <c r="T43" s="171">
        <f>VLOOKUP(A43,Tesoro_emis!$A$5:$AA$50,15,FALSE)</f>
        <v>2.876648909183156E-4</v>
      </c>
      <c r="U43" s="166" t="s">
        <v>296</v>
      </c>
      <c r="V43" s="170">
        <v>0</v>
      </c>
      <c r="W43" s="171" t="s">
        <v>296</v>
      </c>
      <c r="X43" s="171">
        <f>VLOOKUP(A43,Tesoro_emis!$A$5:$AA$50,10,FALSE)</f>
        <v>5.8395972856418059E-2</v>
      </c>
      <c r="Y43" s="166" t="s">
        <v>296</v>
      </c>
      <c r="Z43" s="170">
        <v>0</v>
      </c>
      <c r="AA43" s="166" t="s">
        <v>296</v>
      </c>
      <c r="AB43" s="170">
        <v>0</v>
      </c>
      <c r="AC43" s="166" t="s">
        <v>296</v>
      </c>
      <c r="AD43" s="171">
        <f>VLOOKUP($A$43,Tesoro_emis!$A$5:$AA$50,12,FALSE)</f>
        <v>4.314973363774734E-3</v>
      </c>
      <c r="AE43" s="166" t="s">
        <v>296</v>
      </c>
      <c r="AF43" s="171">
        <f>VLOOKUP($A$43,Tesoro_emis!$A$5:$AA$50,12,FALSE)</f>
        <v>4.314973363774734E-3</v>
      </c>
      <c r="AG43" s="167" t="s">
        <v>293</v>
      </c>
    </row>
    <row r="44" spans="1:33">
      <c r="A44" s="166">
        <f t="shared" si="0"/>
        <v>14</v>
      </c>
      <c r="B44" s="166" t="s">
        <v>293</v>
      </c>
      <c r="C44" s="166" t="s">
        <v>297</v>
      </c>
      <c r="H44" s="168"/>
      <c r="I44" s="168"/>
      <c r="J44" s="168"/>
      <c r="K44" s="168"/>
      <c r="L44" s="168"/>
    </row>
    <row r="45" spans="1:33">
      <c r="A45" s="166">
        <f t="shared" si="0"/>
        <v>15</v>
      </c>
      <c r="B45" s="166" t="s">
        <v>293</v>
      </c>
      <c r="C45" s="166" t="s">
        <v>294</v>
      </c>
      <c r="D45" s="166" t="str">
        <f>VLOOKUP(A45,Tesoro_emis!$A$5:$B$50,2,FALSE)</f>
        <v>TR19</v>
      </c>
      <c r="E45" s="166" t="s">
        <v>293</v>
      </c>
    </row>
    <row r="46" spans="1:33">
      <c r="A46" s="166">
        <f t="shared" si="0"/>
        <v>15</v>
      </c>
      <c r="B46" s="166" t="s">
        <v>293</v>
      </c>
      <c r="C46" s="166" t="s">
        <v>295</v>
      </c>
      <c r="D46" s="168">
        <f>VLOOKUP(A46,Tesoro_emis!$A$5:$AA$50,7,FALSE)</f>
        <v>-20.1685376328</v>
      </c>
      <c r="E46" s="168" t="s">
        <v>296</v>
      </c>
      <c r="F46" s="168">
        <f>VLOOKUP(A46,Tesoro_emis!$A$5:$AA$50,8,FALSE)</f>
        <v>187.65251059799999</v>
      </c>
      <c r="G46" s="168" t="s">
        <v>296</v>
      </c>
      <c r="H46" s="169">
        <f>VLOOKUP(A46,Tesoro_emis!$A$5:$AA$50,24,FALSE)</f>
        <v>4.5720000000000001</v>
      </c>
      <c r="I46" s="166" t="s">
        <v>296</v>
      </c>
      <c r="J46" s="170">
        <f>VLOOKUP(A46,Tesoro_emis!$A$5:$AA$50,6,FALSE)</f>
        <v>40</v>
      </c>
      <c r="K46" s="166" t="s">
        <v>296</v>
      </c>
      <c r="L46" s="168">
        <f>VLOOKUP(A46,Tesoro_emis!$A$5:$AA$50,27,FALSE)</f>
        <v>0.9144000000000001</v>
      </c>
      <c r="M46" s="166" t="s">
        <v>296</v>
      </c>
      <c r="N46" s="169">
        <f>VLOOKUP(A46,Tesoro_emis!$A$5:$AA$50,26,FALSE)</f>
        <v>2.4384000000000001</v>
      </c>
      <c r="O46" s="166" t="s">
        <v>296</v>
      </c>
      <c r="P46" s="169">
        <f>VLOOKUP(A46,Tesoro_emis!$A$5:$AA$50,25,FALSE)</f>
        <v>449.81666666666666</v>
      </c>
      <c r="Q46" s="166" t="s">
        <v>296</v>
      </c>
      <c r="R46" s="170">
        <v>1</v>
      </c>
      <c r="S46" s="166" t="s">
        <v>296</v>
      </c>
      <c r="T46" s="171">
        <f>VLOOKUP(A46,Tesoro_emis!$A$5:$AA$50,15,FALSE)</f>
        <v>2.876648909183156E-4</v>
      </c>
      <c r="U46" s="166" t="s">
        <v>296</v>
      </c>
      <c r="V46" s="170">
        <v>0</v>
      </c>
      <c r="W46" s="171" t="s">
        <v>296</v>
      </c>
      <c r="X46" s="171">
        <f>VLOOKUP(A46,Tesoro_emis!$A$5:$AA$50,10,FALSE)</f>
        <v>6.6738254693049212E-2</v>
      </c>
      <c r="Y46" s="166" t="s">
        <v>296</v>
      </c>
      <c r="Z46" s="170">
        <v>0</v>
      </c>
      <c r="AA46" s="166" t="s">
        <v>296</v>
      </c>
      <c r="AB46" s="170">
        <v>0</v>
      </c>
      <c r="AC46" s="166" t="s">
        <v>296</v>
      </c>
      <c r="AD46" s="171">
        <f>VLOOKUP($A$46,Tesoro_emis!$A$5:$AA$50,12,FALSE)</f>
        <v>5.1779680365296801E-3</v>
      </c>
      <c r="AE46" s="166" t="s">
        <v>296</v>
      </c>
      <c r="AF46" s="171">
        <f>VLOOKUP($A$46,Tesoro_emis!$A$5:$AA$50,12,FALSE)</f>
        <v>5.1779680365296801E-3</v>
      </c>
      <c r="AG46" s="167" t="s">
        <v>293</v>
      </c>
    </row>
    <row r="47" spans="1:33">
      <c r="A47" s="166">
        <f t="shared" si="0"/>
        <v>15</v>
      </c>
      <c r="B47" s="166" t="s">
        <v>293</v>
      </c>
      <c r="C47" s="166" t="s">
        <v>297</v>
      </c>
      <c r="H47" s="168"/>
      <c r="I47" s="168"/>
      <c r="J47" s="168"/>
      <c r="K47" s="168"/>
      <c r="L47" s="168"/>
    </row>
    <row r="48" spans="1:33">
      <c r="A48" s="166">
        <f t="shared" si="0"/>
        <v>16</v>
      </c>
      <c r="B48" s="166" t="s">
        <v>293</v>
      </c>
      <c r="C48" s="166" t="s">
        <v>294</v>
      </c>
      <c r="D48" s="166" t="str">
        <f>VLOOKUP(A48,Tesoro_emis!$A$5:$B$50,2,FALSE)</f>
        <v>TR20</v>
      </c>
      <c r="E48" s="166" t="s">
        <v>293</v>
      </c>
    </row>
    <row r="49" spans="1:33">
      <c r="A49" s="166">
        <f t="shared" si="0"/>
        <v>16</v>
      </c>
      <c r="B49" s="166" t="s">
        <v>293</v>
      </c>
      <c r="C49" s="166" t="s">
        <v>295</v>
      </c>
      <c r="D49" s="168">
        <f>VLOOKUP(A49,Tesoro_emis!$A$5:$AA$50,7,FALSE)</f>
        <v>-20.083795095799999</v>
      </c>
      <c r="E49" s="168" t="s">
        <v>296</v>
      </c>
      <c r="F49" s="168">
        <f>VLOOKUP(A49,Tesoro_emis!$A$5:$AA$50,8,FALSE)</f>
        <v>187.63434594200001</v>
      </c>
      <c r="G49" s="168" t="s">
        <v>296</v>
      </c>
      <c r="H49" s="169">
        <f>VLOOKUP(A49,Tesoro_emis!$A$5:$AA$50,24,FALSE)</f>
        <v>21.336000000000002</v>
      </c>
      <c r="I49" s="166" t="s">
        <v>296</v>
      </c>
      <c r="J49" s="170">
        <f>VLOOKUP(A49,Tesoro_emis!$A$5:$AA$50,6,FALSE)</f>
        <v>40</v>
      </c>
      <c r="K49" s="166" t="s">
        <v>296</v>
      </c>
      <c r="L49" s="168">
        <f>VLOOKUP(A49,Tesoro_emis!$A$5:$AA$50,27,FALSE)</f>
        <v>1.2192000000000001</v>
      </c>
      <c r="M49" s="166" t="s">
        <v>296</v>
      </c>
      <c r="N49" s="169">
        <f>VLOOKUP(A49,Tesoro_emis!$A$5:$AA$50,26,FALSE)</f>
        <v>21.031200000000002</v>
      </c>
      <c r="O49" s="166" t="s">
        <v>296</v>
      </c>
      <c r="P49" s="169">
        <f>VLOOKUP(A49,Tesoro_emis!$A$5:$AA$50,25,FALSE)</f>
        <v>446.48333333333335</v>
      </c>
      <c r="Q49" s="166" t="s">
        <v>296</v>
      </c>
      <c r="R49" s="170">
        <v>1</v>
      </c>
      <c r="S49" s="166" t="s">
        <v>296</v>
      </c>
      <c r="T49" s="171">
        <f>VLOOKUP(A49,Tesoro_emis!$A$5:$AA$50,15,FALSE)</f>
        <v>2.9629483764586507E-2</v>
      </c>
      <c r="U49" s="166" t="s">
        <v>296</v>
      </c>
      <c r="V49" s="170">
        <v>0</v>
      </c>
      <c r="W49" s="171" t="s">
        <v>296</v>
      </c>
      <c r="X49" s="171">
        <f>VLOOKUP(A49,Tesoro_emis!$A$5:$AA$50,10,FALSE)</f>
        <v>0.44214093734145105</v>
      </c>
      <c r="Y49" s="166" t="s">
        <v>296</v>
      </c>
      <c r="Z49" s="170">
        <v>0</v>
      </c>
      <c r="AA49" s="166" t="s">
        <v>296</v>
      </c>
      <c r="AB49" s="170">
        <v>0</v>
      </c>
      <c r="AC49" s="166" t="s">
        <v>296</v>
      </c>
      <c r="AD49" s="171">
        <f>VLOOKUP($A$49,Tesoro_emis!$A$5:$AA$50,12,FALSE)</f>
        <v>4.113607940131913E-2</v>
      </c>
      <c r="AE49" s="166" t="s">
        <v>296</v>
      </c>
      <c r="AF49" s="171">
        <f>VLOOKUP($A$49,Tesoro_emis!$A$5:$AA$50,12,FALSE)</f>
        <v>4.113607940131913E-2</v>
      </c>
      <c r="AG49" s="167" t="s">
        <v>293</v>
      </c>
    </row>
    <row r="50" spans="1:33">
      <c r="A50" s="166">
        <f t="shared" si="0"/>
        <v>16</v>
      </c>
      <c r="B50" s="166" t="s">
        <v>293</v>
      </c>
      <c r="C50" s="166" t="s">
        <v>297</v>
      </c>
      <c r="H50" s="168"/>
      <c r="I50" s="168"/>
      <c r="J50" s="168"/>
      <c r="K50" s="168"/>
      <c r="L50" s="168"/>
    </row>
    <row r="51" spans="1:33">
      <c r="A51" s="166">
        <f t="shared" si="0"/>
        <v>17</v>
      </c>
      <c r="B51" s="166" t="s">
        <v>293</v>
      </c>
      <c r="C51" s="166" t="s">
        <v>294</v>
      </c>
      <c r="D51" s="166" t="str">
        <f>VLOOKUP(A51,Tesoro_emis!$A$5:$B$50,2,FALSE)</f>
        <v>TR21_26</v>
      </c>
      <c r="E51" s="166" t="s">
        <v>293</v>
      </c>
    </row>
    <row r="52" spans="1:33">
      <c r="A52" s="166">
        <f t="shared" si="0"/>
        <v>17</v>
      </c>
      <c r="B52" s="166" t="s">
        <v>293</v>
      </c>
      <c r="C52" s="166" t="s">
        <v>295</v>
      </c>
      <c r="D52" s="168">
        <f>VLOOKUP(A52,Tesoro_emis!$A$5:$AA$50,7,FALSE)</f>
        <v>-20.098797271900001</v>
      </c>
      <c r="E52" s="168" t="s">
        <v>296</v>
      </c>
      <c r="F52" s="168">
        <f>VLOOKUP(A52,Tesoro_emis!$A$5:$AA$50,8,FALSE)</f>
        <v>187.68722382799999</v>
      </c>
      <c r="G52" s="168" t="s">
        <v>296</v>
      </c>
      <c r="H52" s="169">
        <f>VLOOKUP(A52,Tesoro_emis!$A$5:$AA$50,24,FALSE)</f>
        <v>30.48</v>
      </c>
      <c r="I52" s="166" t="s">
        <v>296</v>
      </c>
      <c r="J52" s="170">
        <f>VLOOKUP(A52,Tesoro_emis!$A$5:$AA$50,6,FALSE)</f>
        <v>40</v>
      </c>
      <c r="K52" s="166" t="s">
        <v>296</v>
      </c>
      <c r="L52" s="168">
        <f>VLOOKUP(A52,Tesoro_emis!$A$5:$AA$50,27,FALSE)</f>
        <v>0.9144000000000001</v>
      </c>
      <c r="M52" s="166" t="s">
        <v>296</v>
      </c>
      <c r="N52" s="169">
        <f>VLOOKUP(A52,Tesoro_emis!$A$5:$AA$50,26,FALSE)</f>
        <v>0.9144000000000001</v>
      </c>
      <c r="O52" s="166" t="s">
        <v>296</v>
      </c>
      <c r="P52" s="169">
        <f>VLOOKUP(A52,Tesoro_emis!$A$5:$AA$50,25,FALSE)</f>
        <v>449.81666666666666</v>
      </c>
      <c r="Q52" s="166" t="s">
        <v>296</v>
      </c>
      <c r="R52" s="170">
        <v>1</v>
      </c>
      <c r="S52" s="166" t="s">
        <v>296</v>
      </c>
      <c r="T52" s="171">
        <f>VLOOKUP(A52,Tesoro_emis!$A$5:$AA$50,15,FALSE)</f>
        <v>0</v>
      </c>
      <c r="U52" s="166" t="s">
        <v>296</v>
      </c>
      <c r="V52" s="170">
        <v>0</v>
      </c>
      <c r="W52" s="171" t="s">
        <v>296</v>
      </c>
      <c r="X52" s="171">
        <f>VLOOKUP(A52,Tesoro_emis!$A$5:$AA$50,10,FALSE)</f>
        <v>4.0560749619482493E-2</v>
      </c>
      <c r="Y52" s="166" t="s">
        <v>296</v>
      </c>
      <c r="Z52" s="170">
        <v>0</v>
      </c>
      <c r="AA52" s="166" t="s">
        <v>296</v>
      </c>
      <c r="AB52" s="170">
        <v>0</v>
      </c>
      <c r="AC52" s="166" t="s">
        <v>296</v>
      </c>
      <c r="AD52" s="171">
        <f>VLOOKUP($A$52,Tesoro_emis!$A$5:$AA$50,12,FALSE)</f>
        <v>3.1643138001014714E-3</v>
      </c>
      <c r="AE52" s="166" t="s">
        <v>296</v>
      </c>
      <c r="AF52" s="171">
        <f>VLOOKUP($A$52,Tesoro_emis!$A$5:$AA$50,12,FALSE)</f>
        <v>3.1643138001014714E-3</v>
      </c>
      <c r="AG52" s="167" t="s">
        <v>293</v>
      </c>
    </row>
    <row r="53" spans="1:33">
      <c r="A53" s="166">
        <f t="shared" si="0"/>
        <v>17</v>
      </c>
      <c r="B53" s="166" t="s">
        <v>293</v>
      </c>
      <c r="C53" s="166" t="s">
        <v>297</v>
      </c>
      <c r="H53" s="168"/>
      <c r="I53" s="168"/>
      <c r="J53" s="168"/>
      <c r="K53" s="168"/>
      <c r="L53" s="168"/>
    </row>
    <row r="54" spans="1:33">
      <c r="A54" s="166">
        <f t="shared" si="0"/>
        <v>18</v>
      </c>
      <c r="B54" s="166" t="s">
        <v>293</v>
      </c>
      <c r="C54" s="166" t="s">
        <v>294</v>
      </c>
      <c r="D54" s="166" t="str">
        <f>VLOOKUP(A54,Tesoro_emis!$A$5:$B$50,2,FALSE)</f>
        <v>TR27</v>
      </c>
      <c r="E54" s="166" t="s">
        <v>293</v>
      </c>
    </row>
    <row r="55" spans="1:33">
      <c r="A55" s="166">
        <f t="shared" si="0"/>
        <v>18</v>
      </c>
      <c r="B55" s="166" t="s">
        <v>293</v>
      </c>
      <c r="C55" s="166" t="s">
        <v>295</v>
      </c>
      <c r="D55" s="168">
        <f>VLOOKUP(A55,Tesoro_emis!$A$5:$AA$50,7,FALSE)</f>
        <v>-20.192723496100001</v>
      </c>
      <c r="E55" s="168" t="s">
        <v>296</v>
      </c>
      <c r="F55" s="168">
        <f>VLOOKUP(A55,Tesoro_emis!$A$5:$AA$50,8,FALSE)</f>
        <v>187.66346805500001</v>
      </c>
      <c r="G55" s="168" t="s">
        <v>296</v>
      </c>
      <c r="H55" s="169">
        <f>VLOOKUP(A55,Tesoro_emis!$A$5:$AA$50,24,FALSE)</f>
        <v>14.020800000000001</v>
      </c>
      <c r="I55" s="166" t="s">
        <v>296</v>
      </c>
      <c r="J55" s="170">
        <f>VLOOKUP(A55,Tesoro_emis!$A$5:$AA$50,6,FALSE)</f>
        <v>40</v>
      </c>
      <c r="K55" s="166" t="s">
        <v>296</v>
      </c>
      <c r="L55" s="168">
        <f>VLOOKUP(A55,Tesoro_emis!$A$5:$AA$50,27,FALSE)</f>
        <v>0.9144000000000001</v>
      </c>
      <c r="M55" s="166" t="s">
        <v>296</v>
      </c>
      <c r="N55" s="169">
        <f>VLOOKUP(A55,Tesoro_emis!$A$5:$AA$50,26,FALSE)</f>
        <v>0.60960000000000003</v>
      </c>
      <c r="O55" s="166" t="s">
        <v>296</v>
      </c>
      <c r="P55" s="169">
        <f>VLOOKUP(A55,Tesoro_emis!$A$5:$AA$50,25,FALSE)</f>
        <v>589.26111111111118</v>
      </c>
      <c r="Q55" s="166" t="s">
        <v>296</v>
      </c>
      <c r="R55" s="170">
        <v>1</v>
      </c>
      <c r="S55" s="166" t="s">
        <v>296</v>
      </c>
      <c r="T55" s="171">
        <f>VLOOKUP(A55,Tesoro_emis!$A$5:$AA$50,15,FALSE)</f>
        <v>2.876648909183156E-4</v>
      </c>
      <c r="U55" s="166" t="s">
        <v>296</v>
      </c>
      <c r="V55" s="170">
        <v>0</v>
      </c>
      <c r="W55" s="171" t="s">
        <v>296</v>
      </c>
      <c r="X55" s="171">
        <f>VLOOKUP(A55,Tesoro_emis!$A$5:$AA$50,10,FALSE)</f>
        <v>7.0190233384069003E-2</v>
      </c>
      <c r="Y55" s="166" t="s">
        <v>296</v>
      </c>
      <c r="Z55" s="170">
        <v>0</v>
      </c>
      <c r="AA55" s="166" t="s">
        <v>296</v>
      </c>
      <c r="AB55" s="170">
        <v>0</v>
      </c>
      <c r="AC55" s="166" t="s">
        <v>296</v>
      </c>
      <c r="AD55" s="171">
        <f>VLOOKUP($A$55,Tesoro_emis!$A$5:$AA$50,12,FALSE)</f>
        <v>5.1779680365296801E-3</v>
      </c>
      <c r="AE55" s="166" t="s">
        <v>296</v>
      </c>
      <c r="AF55" s="171">
        <f>VLOOKUP($A$55,Tesoro_emis!$A$5:$AA$50,12,FALSE)</f>
        <v>5.1779680365296801E-3</v>
      </c>
      <c r="AG55" s="167" t="s">
        <v>293</v>
      </c>
    </row>
    <row r="56" spans="1:33">
      <c r="A56" s="166">
        <f t="shared" si="0"/>
        <v>18</v>
      </c>
      <c r="B56" s="166" t="s">
        <v>293</v>
      </c>
      <c r="C56" s="166" t="s">
        <v>297</v>
      </c>
      <c r="H56" s="168"/>
      <c r="I56" s="168"/>
      <c r="J56" s="168"/>
      <c r="K56" s="168"/>
      <c r="L56" s="168"/>
    </row>
    <row r="57" spans="1:33">
      <c r="A57" s="166">
        <f t="shared" si="0"/>
        <v>19</v>
      </c>
      <c r="B57" s="166" t="s">
        <v>293</v>
      </c>
      <c r="C57" s="166" t="s">
        <v>294</v>
      </c>
      <c r="D57" s="166" t="str">
        <f>VLOOKUP(A57,Tesoro_emis!$A$5:$B$50,2,FALSE)</f>
        <v>TR28</v>
      </c>
      <c r="E57" s="166" t="s">
        <v>293</v>
      </c>
    </row>
    <row r="58" spans="1:33">
      <c r="A58" s="166">
        <f t="shared" si="0"/>
        <v>19</v>
      </c>
      <c r="B58" s="166" t="s">
        <v>293</v>
      </c>
      <c r="C58" s="166" t="s">
        <v>295</v>
      </c>
      <c r="D58" s="168">
        <f>VLOOKUP(A58,Tesoro_emis!$A$5:$AA$50,7,FALSE)</f>
        <v>-20.187897464999999</v>
      </c>
      <c r="E58" s="168" t="s">
        <v>296</v>
      </c>
      <c r="F58" s="168">
        <f>VLOOKUP(A58,Tesoro_emis!$A$5:$AA$50,8,FALSE)</f>
        <v>187.66362729799999</v>
      </c>
      <c r="G58" s="168" t="s">
        <v>296</v>
      </c>
      <c r="H58" s="169">
        <f>VLOOKUP(A58,Tesoro_emis!$A$5:$AA$50,24,FALSE)</f>
        <v>15.849600000000001</v>
      </c>
      <c r="I58" s="166" t="s">
        <v>296</v>
      </c>
      <c r="J58" s="170">
        <f>VLOOKUP(A58,Tesoro_emis!$A$5:$AA$50,6,FALSE)</f>
        <v>40</v>
      </c>
      <c r="K58" s="166" t="s">
        <v>296</v>
      </c>
      <c r="L58" s="168">
        <f>VLOOKUP(A58,Tesoro_emis!$A$5:$AA$50,27,FALSE)</f>
        <v>0.9144000000000001</v>
      </c>
      <c r="M58" s="166" t="s">
        <v>296</v>
      </c>
      <c r="N58" s="169">
        <f>VLOOKUP(A58,Tesoro_emis!$A$5:$AA$50,26,FALSE)</f>
        <v>2.7432000000000003</v>
      </c>
      <c r="O58" s="166" t="s">
        <v>296</v>
      </c>
      <c r="P58" s="169">
        <f>VLOOKUP(A58,Tesoro_emis!$A$5:$AA$50,25,FALSE)</f>
        <v>490.37222222222221</v>
      </c>
      <c r="Q58" s="166" t="s">
        <v>296</v>
      </c>
      <c r="R58" s="170">
        <v>1</v>
      </c>
      <c r="S58" s="166" t="s">
        <v>296</v>
      </c>
      <c r="T58" s="171">
        <f>VLOOKUP(A58,Tesoro_emis!$A$5:$AA$50,15,FALSE)</f>
        <v>2.876648909183156E-4</v>
      </c>
      <c r="U58" s="166" t="s">
        <v>296</v>
      </c>
      <c r="V58" s="170">
        <v>0</v>
      </c>
      <c r="W58" s="171" t="s">
        <v>296</v>
      </c>
      <c r="X58" s="171">
        <f>VLOOKUP(A58,Tesoro_emis!$A$5:$AA$50,10,FALSE)</f>
        <v>0.12714788178589548</v>
      </c>
      <c r="Y58" s="166" t="s">
        <v>296</v>
      </c>
      <c r="Z58" s="170">
        <v>0</v>
      </c>
      <c r="AA58" s="166" t="s">
        <v>296</v>
      </c>
      <c r="AB58" s="170">
        <v>0</v>
      </c>
      <c r="AC58" s="166" t="s">
        <v>296</v>
      </c>
      <c r="AD58" s="171">
        <f>VLOOKUP($A$58,Tesoro_emis!$A$5:$AA$50,12,FALSE)</f>
        <v>9.4929414003044141E-3</v>
      </c>
      <c r="AE58" s="166" t="s">
        <v>296</v>
      </c>
      <c r="AF58" s="171">
        <f>VLOOKUP($A$58,Tesoro_emis!$A$5:$AA$50,12,FALSE)</f>
        <v>9.4929414003044141E-3</v>
      </c>
      <c r="AG58" s="167" t="s">
        <v>293</v>
      </c>
    </row>
    <row r="59" spans="1:33">
      <c r="A59" s="166">
        <f t="shared" si="0"/>
        <v>19</v>
      </c>
      <c r="B59" s="166" t="s">
        <v>293</v>
      </c>
      <c r="C59" s="166" t="s">
        <v>297</v>
      </c>
      <c r="H59" s="168"/>
      <c r="I59" s="168"/>
      <c r="J59" s="168"/>
      <c r="K59" s="168"/>
      <c r="L59" s="168"/>
    </row>
    <row r="60" spans="1:33">
      <c r="A60" s="166">
        <f t="shared" si="0"/>
        <v>20</v>
      </c>
      <c r="B60" s="166" t="s">
        <v>293</v>
      </c>
      <c r="C60" s="166" t="s">
        <v>294</v>
      </c>
      <c r="D60" s="166" t="str">
        <f>VLOOKUP(A60,Tesoro_emis!$A$5:$B$50,2,FALSE)</f>
        <v>TR29</v>
      </c>
      <c r="E60" s="166" t="s">
        <v>293</v>
      </c>
    </row>
    <row r="61" spans="1:33">
      <c r="A61" s="166">
        <f t="shared" si="0"/>
        <v>20</v>
      </c>
      <c r="B61" s="166" t="s">
        <v>293</v>
      </c>
      <c r="C61" s="166" t="s">
        <v>295</v>
      </c>
      <c r="D61" s="168">
        <f>VLOOKUP(A61,Tesoro_emis!$A$5:$AA$50,7,FALSE)</f>
        <v>-20.351564974399999</v>
      </c>
      <c r="E61" s="168" t="s">
        <v>296</v>
      </c>
      <c r="F61" s="168">
        <f>VLOOKUP(A61,Tesoro_emis!$A$5:$AA$50,8,FALSE)</f>
        <v>187.67048648599999</v>
      </c>
      <c r="G61" s="168" t="s">
        <v>296</v>
      </c>
      <c r="H61" s="169">
        <f>VLOOKUP(A61,Tesoro_emis!$A$5:$AA$50,24,FALSE)</f>
        <v>23.1648</v>
      </c>
      <c r="I61" s="166" t="s">
        <v>296</v>
      </c>
      <c r="J61" s="170">
        <f>VLOOKUP(A61,Tesoro_emis!$A$5:$AA$50,6,FALSE)</f>
        <v>40</v>
      </c>
      <c r="K61" s="166" t="s">
        <v>296</v>
      </c>
      <c r="L61" s="168">
        <f>VLOOKUP(A61,Tesoro_emis!$A$5:$AA$50,27,FALSE)</f>
        <v>1.2192000000000001</v>
      </c>
      <c r="M61" s="166" t="s">
        <v>296</v>
      </c>
      <c r="N61" s="169">
        <f>VLOOKUP(A61,Tesoro_emis!$A$5:$AA$50,26,FALSE)</f>
        <v>10.668000000000001</v>
      </c>
      <c r="O61" s="166" t="s">
        <v>296</v>
      </c>
      <c r="P61" s="169">
        <f>VLOOKUP(A61,Tesoro_emis!$A$5:$AA$50,25,FALSE)</f>
        <v>477.03888888888889</v>
      </c>
      <c r="Q61" s="166" t="s">
        <v>296</v>
      </c>
      <c r="R61" s="170">
        <v>1</v>
      </c>
      <c r="S61" s="166" t="s">
        <v>296</v>
      </c>
      <c r="T61" s="171">
        <f>VLOOKUP(A61,Tesoro_emis!$A$5:$AA$50,15,FALSE)</f>
        <v>1.8698217909690514E-2</v>
      </c>
      <c r="U61" s="166" t="s">
        <v>296</v>
      </c>
      <c r="V61" s="170">
        <v>0</v>
      </c>
      <c r="W61" s="171" t="s">
        <v>296</v>
      </c>
      <c r="X61" s="171">
        <f>VLOOKUP(A61,Tesoro_emis!$A$5:$AA$50,10,FALSE)</f>
        <v>0.41567576737696599</v>
      </c>
      <c r="Y61" s="166" t="s">
        <v>296</v>
      </c>
      <c r="Z61" s="170">
        <v>0</v>
      </c>
      <c r="AA61" s="166" t="s">
        <v>296</v>
      </c>
      <c r="AB61" s="170">
        <v>0</v>
      </c>
      <c r="AC61" s="166" t="s">
        <v>296</v>
      </c>
      <c r="AD61" s="171">
        <f>VLOOKUP($A$61,Tesoro_emis!$A$5:$AA$50,12,FALSE)</f>
        <v>5.149201547437849E-2</v>
      </c>
      <c r="AE61" s="166" t="s">
        <v>296</v>
      </c>
      <c r="AF61" s="171">
        <f>VLOOKUP($A$61,Tesoro_emis!$A$5:$AA$50,12,FALSE)</f>
        <v>5.149201547437849E-2</v>
      </c>
      <c r="AG61" s="167" t="s">
        <v>293</v>
      </c>
    </row>
    <row r="62" spans="1:33">
      <c r="A62" s="166">
        <f t="shared" si="0"/>
        <v>20</v>
      </c>
      <c r="B62" s="166" t="s">
        <v>293</v>
      </c>
      <c r="C62" s="166" t="s">
        <v>297</v>
      </c>
      <c r="H62" s="168"/>
      <c r="I62" s="168"/>
      <c r="J62" s="168"/>
      <c r="K62" s="168"/>
      <c r="L62" s="168"/>
    </row>
    <row r="63" spans="1:33">
      <c r="A63" s="166">
        <f t="shared" si="0"/>
        <v>21</v>
      </c>
      <c r="B63" s="166" t="s">
        <v>293</v>
      </c>
      <c r="C63" s="166" t="s">
        <v>294</v>
      </c>
      <c r="D63" s="166" t="str">
        <f>VLOOKUP(A63,Tesoro_emis!$A$5:$B$50,2,FALSE)</f>
        <v>TR32</v>
      </c>
      <c r="E63" s="166" t="s">
        <v>293</v>
      </c>
    </row>
    <row r="64" spans="1:33">
      <c r="A64" s="166">
        <f t="shared" si="0"/>
        <v>21</v>
      </c>
      <c r="B64" s="166" t="s">
        <v>293</v>
      </c>
      <c r="C64" s="166" t="s">
        <v>295</v>
      </c>
      <c r="D64" s="168">
        <f>VLOOKUP(A64,Tesoro_emis!$A$5:$AA$50,7,FALSE)</f>
        <v>-20.009060184799999</v>
      </c>
      <c r="E64" s="168" t="s">
        <v>296</v>
      </c>
      <c r="F64" s="168">
        <f>VLOOKUP(A64,Tesoro_emis!$A$5:$AA$50,8,FALSE)</f>
        <v>187.733393302</v>
      </c>
      <c r="G64" s="168" t="s">
        <v>296</v>
      </c>
      <c r="H64" s="169">
        <f>VLOOKUP(A64,Tesoro_emis!$A$5:$AA$50,24,FALSE)</f>
        <v>8.5343999999999998</v>
      </c>
      <c r="I64" s="166" t="s">
        <v>296</v>
      </c>
      <c r="J64" s="170">
        <f>VLOOKUP(A64,Tesoro_emis!$A$5:$AA$50,6,FALSE)</f>
        <v>40</v>
      </c>
      <c r="K64" s="166" t="s">
        <v>296</v>
      </c>
      <c r="L64" s="168">
        <f>VLOOKUP(A64,Tesoro_emis!$A$5:$AA$50,27,FALSE)</f>
        <v>1.2192000000000001</v>
      </c>
      <c r="M64" s="166" t="s">
        <v>296</v>
      </c>
      <c r="N64" s="169">
        <f>VLOOKUP(A64,Tesoro_emis!$A$5:$AA$50,26,FALSE)</f>
        <v>22.555200000000003</v>
      </c>
      <c r="O64" s="166" t="s">
        <v>296</v>
      </c>
      <c r="P64" s="169">
        <f>VLOOKUP(A64,Tesoro_emis!$A$5:$AA$50,25,FALSE)</f>
        <v>433.15</v>
      </c>
      <c r="Q64" s="166" t="s">
        <v>296</v>
      </c>
      <c r="R64" s="170">
        <v>1</v>
      </c>
      <c r="S64" s="166" t="s">
        <v>296</v>
      </c>
      <c r="T64" s="171">
        <f>VLOOKUP(A64,Tesoro_emis!$A$5:$AA$50,15,FALSE)</f>
        <v>2.876648909183156E-4</v>
      </c>
      <c r="U64" s="166" t="s">
        <v>296</v>
      </c>
      <c r="V64" s="170">
        <v>0</v>
      </c>
      <c r="W64" s="171" t="s">
        <v>296</v>
      </c>
      <c r="X64" s="171">
        <f>VLOOKUP(A64,Tesoro_emis!$A$5:$AA$50,10,FALSE)</f>
        <v>0.11794260527650938</v>
      </c>
      <c r="Y64" s="166" t="s">
        <v>296</v>
      </c>
      <c r="Z64" s="170">
        <v>0</v>
      </c>
      <c r="AA64" s="166" t="s">
        <v>296</v>
      </c>
      <c r="AB64" s="170">
        <v>0</v>
      </c>
      <c r="AC64" s="166" t="s">
        <v>296</v>
      </c>
      <c r="AD64" s="171">
        <f>VLOOKUP($A$64,Tesoro_emis!$A$5:$AA$50,12,FALSE)</f>
        <v>6.9039573820395741E-3</v>
      </c>
      <c r="AE64" s="166" t="s">
        <v>296</v>
      </c>
      <c r="AF64" s="171">
        <f>VLOOKUP($A$64,Tesoro_emis!$A$5:$AA$50,12,FALSE)</f>
        <v>6.9039573820395741E-3</v>
      </c>
      <c r="AG64" s="167" t="s">
        <v>293</v>
      </c>
    </row>
    <row r="65" spans="1:33">
      <c r="A65" s="166">
        <f t="shared" si="0"/>
        <v>21</v>
      </c>
      <c r="B65" s="166" t="s">
        <v>293</v>
      </c>
      <c r="C65" s="166" t="s">
        <v>297</v>
      </c>
      <c r="H65" s="168"/>
      <c r="I65" s="168"/>
      <c r="J65" s="168"/>
      <c r="K65" s="168"/>
      <c r="L65" s="168"/>
    </row>
    <row r="66" spans="1:33">
      <c r="A66" s="166">
        <f t="shared" si="0"/>
        <v>22</v>
      </c>
      <c r="B66" s="166" t="s">
        <v>293</v>
      </c>
      <c r="C66" s="166" t="s">
        <v>294</v>
      </c>
      <c r="D66" s="166" t="str">
        <f>VLOOKUP(A66,Tesoro_emis!$A$5:$B$50,2,FALSE)</f>
        <v>TR33</v>
      </c>
      <c r="E66" s="166" t="s">
        <v>293</v>
      </c>
    </row>
    <row r="67" spans="1:33">
      <c r="A67" s="166">
        <f t="shared" si="0"/>
        <v>22</v>
      </c>
      <c r="B67" s="166" t="s">
        <v>293</v>
      </c>
      <c r="C67" s="166" t="s">
        <v>295</v>
      </c>
      <c r="D67" s="168">
        <f>VLOOKUP(A67,Tesoro_emis!$A$5:$AA$50,7,FALSE)</f>
        <v>-20.009060184799999</v>
      </c>
      <c r="E67" s="168" t="s">
        <v>296</v>
      </c>
      <c r="F67" s="168">
        <f>VLOOKUP(A67,Tesoro_emis!$A$5:$AA$50,8,FALSE)</f>
        <v>187.733393302</v>
      </c>
      <c r="G67" s="168" t="s">
        <v>296</v>
      </c>
      <c r="H67" s="169">
        <f>VLOOKUP(A67,Tesoro_emis!$A$5:$AA$50,24,FALSE)</f>
        <v>8.5343999999999998</v>
      </c>
      <c r="I67" s="166" t="s">
        <v>296</v>
      </c>
      <c r="J67" s="170">
        <f>VLOOKUP(A67,Tesoro_emis!$A$5:$AA$50,6,FALSE)</f>
        <v>40</v>
      </c>
      <c r="K67" s="166" t="s">
        <v>296</v>
      </c>
      <c r="L67" s="168">
        <f>VLOOKUP(A67,Tesoro_emis!$A$5:$AA$50,27,FALSE)</f>
        <v>1.2192000000000001</v>
      </c>
      <c r="M67" s="166" t="s">
        <v>296</v>
      </c>
      <c r="N67" s="169">
        <f>VLOOKUP(A67,Tesoro_emis!$A$5:$AA$50,26,FALSE)</f>
        <v>22.555200000000003</v>
      </c>
      <c r="O67" s="166" t="s">
        <v>296</v>
      </c>
      <c r="P67" s="169">
        <f>VLOOKUP(A67,Tesoro_emis!$A$5:$AA$50,25,FALSE)</f>
        <v>433.15</v>
      </c>
      <c r="Q67" s="166" t="s">
        <v>296</v>
      </c>
      <c r="R67" s="170">
        <v>1</v>
      </c>
      <c r="S67" s="166" t="s">
        <v>296</v>
      </c>
      <c r="T67" s="171">
        <f>VLOOKUP(A67,Tesoro_emis!$A$5:$AA$50,15,FALSE)</f>
        <v>0</v>
      </c>
      <c r="U67" s="166" t="s">
        <v>296</v>
      </c>
      <c r="V67" s="170">
        <v>0</v>
      </c>
      <c r="W67" s="171" t="s">
        <v>296</v>
      </c>
      <c r="X67" s="171">
        <f>VLOOKUP(A67,Tesoro_emis!$A$5:$AA$50,10,FALSE)</f>
        <v>6.5875260020294271E-2</v>
      </c>
      <c r="Y67" s="166" t="s">
        <v>296</v>
      </c>
      <c r="Z67" s="170">
        <v>0</v>
      </c>
      <c r="AA67" s="166" t="s">
        <v>296</v>
      </c>
      <c r="AB67" s="170">
        <v>0</v>
      </c>
      <c r="AC67" s="166" t="s">
        <v>296</v>
      </c>
      <c r="AD67" s="171">
        <f>VLOOKUP($A$67,Tesoro_emis!$A$5:$AA$50,12,FALSE)</f>
        <v>3.7396435819381027E-3</v>
      </c>
      <c r="AE67" s="166" t="s">
        <v>296</v>
      </c>
      <c r="AF67" s="171">
        <f>VLOOKUP($A$67,Tesoro_emis!$A$5:$AA$50,12,FALSE)</f>
        <v>3.7396435819381027E-3</v>
      </c>
      <c r="AG67" s="167" t="s">
        <v>293</v>
      </c>
    </row>
    <row r="68" spans="1:33">
      <c r="A68" s="166">
        <f t="shared" si="0"/>
        <v>22</v>
      </c>
      <c r="B68" s="166" t="s">
        <v>293</v>
      </c>
      <c r="C68" s="166" t="s">
        <v>297</v>
      </c>
      <c r="H68" s="168"/>
      <c r="I68" s="168"/>
      <c r="J68" s="168"/>
      <c r="K68" s="168"/>
      <c r="L68" s="168"/>
    </row>
    <row r="69" spans="1:33">
      <c r="A69" s="166">
        <f t="shared" si="0"/>
        <v>23</v>
      </c>
      <c r="B69" s="166" t="s">
        <v>293</v>
      </c>
      <c r="C69" s="166" t="s">
        <v>294</v>
      </c>
      <c r="D69" s="166" t="str">
        <f>VLOOKUP(A69,Tesoro_emis!$A$5:$B$50,2,FALSE)</f>
        <v>TR34</v>
      </c>
      <c r="E69" s="166" t="s">
        <v>293</v>
      </c>
    </row>
    <row r="70" spans="1:33">
      <c r="A70" s="166">
        <f t="shared" ref="A70:A113" si="1">A67+1</f>
        <v>23</v>
      </c>
      <c r="B70" s="166" t="s">
        <v>293</v>
      </c>
      <c r="C70" s="166" t="s">
        <v>295</v>
      </c>
      <c r="D70" s="168">
        <f>VLOOKUP(A70,Tesoro_emis!$A$5:$AA$50,7,FALSE)</f>
        <v>-20.261487114400001</v>
      </c>
      <c r="E70" s="168" t="s">
        <v>296</v>
      </c>
      <c r="F70" s="168">
        <f>VLOOKUP(A70,Tesoro_emis!$A$5:$AA$50,8,FALSE)</f>
        <v>187.69154083800001</v>
      </c>
      <c r="G70" s="168" t="s">
        <v>296</v>
      </c>
      <c r="H70" s="169">
        <f>VLOOKUP(A70,Tesoro_emis!$A$5:$AA$50,24,FALSE)</f>
        <v>7</v>
      </c>
      <c r="I70" s="166" t="s">
        <v>296</v>
      </c>
      <c r="J70" s="170">
        <f>VLOOKUP(A70,Tesoro_emis!$A$5:$AA$50,6,FALSE)</f>
        <v>40</v>
      </c>
      <c r="K70" s="166" t="s">
        <v>296</v>
      </c>
      <c r="L70" s="168">
        <f>VLOOKUP(A70,Tesoro_emis!$A$5:$AA$50,27,FALSE)</f>
        <v>0.30480000000000002</v>
      </c>
      <c r="M70" s="166" t="s">
        <v>296</v>
      </c>
      <c r="N70" s="169">
        <f>VLOOKUP(A70,Tesoro_emis!$A$5:$AA$50,26,FALSE)</f>
        <v>48.768000000000001</v>
      </c>
      <c r="O70" s="166" t="s">
        <v>296</v>
      </c>
      <c r="P70" s="169">
        <f>VLOOKUP(A70,Tesoro_emis!$A$5:$AA$50,25,FALSE)</f>
        <v>599.81666666666661</v>
      </c>
      <c r="Q70" s="166" t="s">
        <v>296</v>
      </c>
      <c r="R70" s="170">
        <v>1</v>
      </c>
      <c r="S70" s="166" t="s">
        <v>296</v>
      </c>
      <c r="T70" s="171">
        <f>VLOOKUP(A70,Tesoro_emis!$A$5:$AA$50,15,FALSE)</f>
        <v>0</v>
      </c>
      <c r="U70" s="166" t="s">
        <v>296</v>
      </c>
      <c r="V70" s="170">
        <v>0</v>
      </c>
      <c r="W70" s="171" t="s">
        <v>296</v>
      </c>
      <c r="X70" s="171">
        <f>VLOOKUP(A70,Tesoro_emis!$A$5:$AA$50,10,FALSE)</f>
        <v>2.8766489091831562E-3</v>
      </c>
      <c r="Y70" s="166" t="s">
        <v>296</v>
      </c>
      <c r="Z70" s="170">
        <v>0</v>
      </c>
      <c r="AA70" s="166" t="s">
        <v>296</v>
      </c>
      <c r="AB70" s="170">
        <v>0</v>
      </c>
      <c r="AC70" s="166" t="s">
        <v>296</v>
      </c>
      <c r="AD70" s="171">
        <f>VLOOKUP($A$70,Tesoro_emis!$A$5:$AA$50,12,FALSE)</f>
        <v>2.876648909183156E-4</v>
      </c>
      <c r="AE70" s="166" t="s">
        <v>296</v>
      </c>
      <c r="AF70" s="171">
        <f>VLOOKUP($A$70,Tesoro_emis!$A$5:$AA$50,12,FALSE)</f>
        <v>2.876648909183156E-4</v>
      </c>
      <c r="AG70" s="167" t="s">
        <v>293</v>
      </c>
    </row>
    <row r="71" spans="1:33">
      <c r="A71" s="166">
        <f t="shared" si="1"/>
        <v>23</v>
      </c>
      <c r="B71" s="166" t="s">
        <v>293</v>
      </c>
      <c r="C71" s="166" t="s">
        <v>297</v>
      </c>
      <c r="H71" s="168"/>
      <c r="I71" s="168"/>
      <c r="J71" s="168"/>
      <c r="K71" s="168"/>
      <c r="L71" s="168"/>
    </row>
    <row r="72" spans="1:33">
      <c r="A72" s="166">
        <f t="shared" si="1"/>
        <v>24</v>
      </c>
      <c r="B72" s="166" t="s">
        <v>293</v>
      </c>
      <c r="C72" s="166" t="s">
        <v>294</v>
      </c>
      <c r="D72" s="166" t="str">
        <f>VLOOKUP(A72,Tesoro_emis!$A$5:$B$50,2,FALSE)</f>
        <v>TR35</v>
      </c>
      <c r="E72" s="166" t="s">
        <v>293</v>
      </c>
    </row>
    <row r="73" spans="1:33">
      <c r="A73" s="166">
        <f t="shared" si="1"/>
        <v>24</v>
      </c>
      <c r="B73" s="166" t="s">
        <v>293</v>
      </c>
      <c r="C73" s="166" t="s">
        <v>295</v>
      </c>
      <c r="D73" s="168">
        <f>VLOOKUP(A73,Tesoro_emis!$A$5:$AA$50,7,FALSE)</f>
        <v>-20.138085306400001</v>
      </c>
      <c r="E73" s="168" t="s">
        <v>296</v>
      </c>
      <c r="F73" s="168">
        <f>VLOOKUP(A73,Tesoro_emis!$A$5:$AA$50,8,FALSE)</f>
        <v>187.55418294500001</v>
      </c>
      <c r="G73" s="168" t="s">
        <v>296</v>
      </c>
      <c r="H73" s="169">
        <f>VLOOKUP(A73,Tesoro_emis!$A$5:$AA$50,24,FALSE)</f>
        <v>3.048</v>
      </c>
      <c r="I73" s="166" t="s">
        <v>296</v>
      </c>
      <c r="J73" s="170">
        <f>VLOOKUP(A73,Tesoro_emis!$A$5:$AA$50,6,FALSE)</f>
        <v>40</v>
      </c>
      <c r="K73" s="166" t="s">
        <v>296</v>
      </c>
      <c r="L73" s="168">
        <f>VLOOKUP(A73,Tesoro_emis!$A$5:$AA$50,27,FALSE)</f>
        <v>0.30480000000000002</v>
      </c>
      <c r="M73" s="166" t="s">
        <v>296</v>
      </c>
      <c r="N73" s="169">
        <f>VLOOKUP(A73,Tesoro_emis!$A$5:$AA$50,26,FALSE)</f>
        <v>10.668000000000001</v>
      </c>
      <c r="O73" s="166" t="s">
        <v>296</v>
      </c>
      <c r="P73" s="169">
        <f>VLOOKUP(A73,Tesoro_emis!$A$5:$AA$50,25,FALSE)</f>
        <v>599.81666666666661</v>
      </c>
      <c r="Q73" s="166" t="s">
        <v>296</v>
      </c>
      <c r="R73" s="170">
        <v>1</v>
      </c>
      <c r="S73" s="166" t="s">
        <v>296</v>
      </c>
      <c r="T73" s="171">
        <f>VLOOKUP(A73,Tesoro_emis!$A$5:$AA$50,15,FALSE)</f>
        <v>0</v>
      </c>
      <c r="U73" s="166" t="s">
        <v>296</v>
      </c>
      <c r="V73" s="170">
        <v>0</v>
      </c>
      <c r="W73" s="171" t="s">
        <v>296</v>
      </c>
      <c r="X73" s="171">
        <f>VLOOKUP(A73,Tesoro_emis!$A$5:$AA$50,10,FALSE)</f>
        <v>1.1506595636732624E-3</v>
      </c>
      <c r="Y73" s="166" t="s">
        <v>296</v>
      </c>
      <c r="Z73" s="170">
        <v>0</v>
      </c>
      <c r="AA73" s="166" t="s">
        <v>296</v>
      </c>
      <c r="AB73" s="170">
        <v>0</v>
      </c>
      <c r="AC73" s="166" t="s">
        <v>296</v>
      </c>
      <c r="AD73" s="171">
        <f>VLOOKUP($A$73,Tesoro_emis!$A$5:$AA$50,12,FALSE)</f>
        <v>0</v>
      </c>
      <c r="AE73" s="166" t="s">
        <v>296</v>
      </c>
      <c r="AF73" s="171">
        <f>VLOOKUP($A$73,Tesoro_emis!$A$5:$AA$50,12,FALSE)</f>
        <v>0</v>
      </c>
      <c r="AG73" s="167" t="s">
        <v>293</v>
      </c>
    </row>
    <row r="74" spans="1:33">
      <c r="A74" s="166">
        <f t="shared" si="1"/>
        <v>24</v>
      </c>
      <c r="B74" s="166" t="s">
        <v>293</v>
      </c>
      <c r="C74" s="166" t="s">
        <v>297</v>
      </c>
      <c r="H74" s="168"/>
      <c r="I74" s="168"/>
      <c r="J74" s="168"/>
      <c r="K74" s="168"/>
      <c r="L74" s="168"/>
    </row>
    <row r="75" spans="1:33">
      <c r="A75" s="166">
        <f t="shared" si="1"/>
        <v>25</v>
      </c>
      <c r="B75" s="166" t="s">
        <v>293</v>
      </c>
      <c r="C75" s="166" t="s">
        <v>294</v>
      </c>
      <c r="D75" s="166" t="str">
        <f>VLOOKUP(A75,Tesoro_emis!$A$5:$B$50,2,FALSE)</f>
        <v>TR36</v>
      </c>
      <c r="E75" s="166" t="s">
        <v>293</v>
      </c>
    </row>
    <row r="76" spans="1:33">
      <c r="A76" s="166">
        <f t="shared" si="1"/>
        <v>25</v>
      </c>
      <c r="B76" s="166" t="s">
        <v>293</v>
      </c>
      <c r="C76" s="166" t="s">
        <v>295</v>
      </c>
      <c r="D76" s="168">
        <f>VLOOKUP(A76,Tesoro_emis!$A$5:$AA$50,7,FALSE)</f>
        <v>-20.431061834000001</v>
      </c>
      <c r="E76" s="168" t="s">
        <v>296</v>
      </c>
      <c r="F76" s="168">
        <f>VLOOKUP(A76,Tesoro_emis!$A$5:$AA$50,8,FALSE)</f>
        <v>187.47974036799999</v>
      </c>
      <c r="G76" s="168" t="s">
        <v>296</v>
      </c>
      <c r="H76" s="169">
        <f>VLOOKUP(A76,Tesoro_emis!$A$5:$AA$50,24,FALSE)</f>
        <v>4.5720000000000001</v>
      </c>
      <c r="I76" s="166" t="s">
        <v>296</v>
      </c>
      <c r="J76" s="170">
        <f>VLOOKUP(A76,Tesoro_emis!$A$5:$AA$50,6,FALSE)</f>
        <v>37</v>
      </c>
      <c r="K76" s="166" t="s">
        <v>296</v>
      </c>
      <c r="L76" s="168">
        <f>VLOOKUP(A76,Tesoro_emis!$A$5:$AA$50,27,FALSE)</f>
        <v>0.30480000000000002</v>
      </c>
      <c r="M76" s="166" t="s">
        <v>296</v>
      </c>
      <c r="N76" s="169">
        <f>VLOOKUP(A76,Tesoro_emis!$A$5:$AA$50,26,FALSE)</f>
        <v>32.004000000000005</v>
      </c>
      <c r="O76" s="166" t="s">
        <v>296</v>
      </c>
      <c r="P76" s="169">
        <f>VLOOKUP(A76,Tesoro_emis!$A$5:$AA$50,25,FALSE)</f>
        <v>599.81666666666661</v>
      </c>
      <c r="Q76" s="166" t="s">
        <v>296</v>
      </c>
      <c r="R76" s="170">
        <v>1</v>
      </c>
      <c r="S76" s="166" t="s">
        <v>296</v>
      </c>
      <c r="T76" s="171">
        <f>VLOOKUP(A76,Tesoro_emis!$A$5:$AA$50,15,FALSE)</f>
        <v>1.6713269846520382E-3</v>
      </c>
      <c r="U76" s="166" t="s">
        <v>296</v>
      </c>
      <c r="V76" s="170">
        <v>0</v>
      </c>
      <c r="W76" s="171" t="s">
        <v>296</v>
      </c>
      <c r="X76" s="171">
        <f>VLOOKUP(A76,Tesoro_emis!$A$5:$AA$50,10,FALSE)</f>
        <v>0.41078763774733629</v>
      </c>
      <c r="Y76" s="166" t="s">
        <v>296</v>
      </c>
      <c r="Z76" s="170">
        <v>0</v>
      </c>
      <c r="AA76" s="166" t="s">
        <v>296</v>
      </c>
      <c r="AB76" s="170">
        <v>0</v>
      </c>
      <c r="AC76" s="166" t="s">
        <v>296</v>
      </c>
      <c r="AD76" s="171">
        <f>VLOOKUP($A$76,Tesoro_emis!$A$5:$AA$50,12,FALSE)</f>
        <v>1.0045267991590561E-3</v>
      </c>
      <c r="AE76" s="166" t="s">
        <v>296</v>
      </c>
      <c r="AF76" s="171">
        <f>VLOOKUP($A$76,Tesoro_emis!$A$5:$AA$50,12,FALSE)</f>
        <v>1.0045267991590561E-3</v>
      </c>
      <c r="AG76" s="167" t="s">
        <v>293</v>
      </c>
    </row>
    <row r="77" spans="1:33">
      <c r="A77" s="166">
        <f t="shared" si="1"/>
        <v>25</v>
      </c>
      <c r="B77" s="166" t="s">
        <v>293</v>
      </c>
      <c r="C77" s="166" t="s">
        <v>297</v>
      </c>
      <c r="H77" s="168"/>
      <c r="I77" s="168"/>
      <c r="J77" s="168"/>
      <c r="K77" s="168"/>
      <c r="L77" s="168"/>
    </row>
    <row r="78" spans="1:33">
      <c r="A78" s="166">
        <f t="shared" si="1"/>
        <v>26</v>
      </c>
      <c r="B78" s="166" t="s">
        <v>293</v>
      </c>
      <c r="C78" s="166" t="s">
        <v>294</v>
      </c>
      <c r="D78" s="166" t="str">
        <f>VLOOKUP(A78,Tesoro_emis!$A$5:$B$50,2,FALSE)</f>
        <v>TR37</v>
      </c>
      <c r="E78" s="166" t="s">
        <v>293</v>
      </c>
    </row>
    <row r="79" spans="1:33">
      <c r="A79" s="166">
        <f t="shared" si="1"/>
        <v>26</v>
      </c>
      <c r="B79" s="166" t="s">
        <v>293</v>
      </c>
      <c r="C79" s="166" t="s">
        <v>295</v>
      </c>
      <c r="D79" s="168">
        <f>VLOOKUP(A79,Tesoro_emis!$A$5:$AA$50,7,FALSE)</f>
        <v>-20.431253876100001</v>
      </c>
      <c r="E79" s="168" t="s">
        <v>296</v>
      </c>
      <c r="F79" s="168">
        <f>VLOOKUP(A79,Tesoro_emis!$A$5:$AA$50,8,FALSE)</f>
        <v>187.469802093</v>
      </c>
      <c r="G79" s="168" t="s">
        <v>296</v>
      </c>
      <c r="H79" s="169">
        <f>VLOOKUP(A79,Tesoro_emis!$A$5:$AA$50,24,FALSE)</f>
        <v>6.0960000000000001</v>
      </c>
      <c r="I79" s="166" t="s">
        <v>296</v>
      </c>
      <c r="J79" s="170">
        <f>VLOOKUP(A79,Tesoro_emis!$A$5:$AA$50,6,FALSE)</f>
        <v>37</v>
      </c>
      <c r="K79" s="166" t="s">
        <v>296</v>
      </c>
      <c r="L79" s="168">
        <f>VLOOKUP(A79,Tesoro_emis!$A$5:$AA$50,27,FALSE)</f>
        <v>0.30480000000000002</v>
      </c>
      <c r="M79" s="166" t="s">
        <v>296</v>
      </c>
      <c r="N79" s="169">
        <f>VLOOKUP(A79,Tesoro_emis!$A$5:$AA$50,26,FALSE)</f>
        <v>32.004000000000005</v>
      </c>
      <c r="O79" s="166" t="s">
        <v>296</v>
      </c>
      <c r="P79" s="169">
        <f>VLOOKUP(A79,Tesoro_emis!$A$5:$AA$50,25,FALSE)</f>
        <v>599.81666666666661</v>
      </c>
      <c r="Q79" s="166" t="s">
        <v>296</v>
      </c>
      <c r="R79" s="170">
        <v>1</v>
      </c>
      <c r="S79" s="166" t="s">
        <v>296</v>
      </c>
      <c r="T79" s="171">
        <f>VLOOKUP(A79,Tesoro_emis!$A$5:$AA$50,15,FALSE)</f>
        <v>0</v>
      </c>
      <c r="U79" s="166" t="s">
        <v>296</v>
      </c>
      <c r="V79" s="170">
        <v>0</v>
      </c>
      <c r="W79" s="171" t="s">
        <v>296</v>
      </c>
      <c r="X79" s="171">
        <f>VLOOKUP(A79,Tesoro_emis!$A$5:$AA$50,10,FALSE)</f>
        <v>2.0999537037037039E-2</v>
      </c>
      <c r="Y79" s="166" t="s">
        <v>296</v>
      </c>
      <c r="Z79" s="170">
        <v>0</v>
      </c>
      <c r="AA79" s="166" t="s">
        <v>296</v>
      </c>
      <c r="AB79" s="170">
        <v>0</v>
      </c>
      <c r="AC79" s="166" t="s">
        <v>296</v>
      </c>
      <c r="AD79" s="171">
        <f>VLOOKUP($A$79,Tesoro_emis!$A$5:$AA$50,12,FALSE)</f>
        <v>0</v>
      </c>
      <c r="AE79" s="166" t="s">
        <v>296</v>
      </c>
      <c r="AF79" s="171">
        <f>VLOOKUP($A$79,Tesoro_emis!$A$5:$AA$50,12,FALSE)</f>
        <v>0</v>
      </c>
      <c r="AG79" s="167" t="s">
        <v>293</v>
      </c>
    </row>
    <row r="80" spans="1:33">
      <c r="A80" s="166">
        <f t="shared" si="1"/>
        <v>26</v>
      </c>
      <c r="B80" s="166" t="s">
        <v>293</v>
      </c>
      <c r="C80" s="166" t="s">
        <v>297</v>
      </c>
      <c r="H80" s="168"/>
      <c r="I80" s="168"/>
      <c r="J80" s="168"/>
      <c r="K80" s="168"/>
      <c r="L80" s="168"/>
    </row>
    <row r="81" spans="1:33">
      <c r="A81" s="166">
        <f t="shared" si="1"/>
        <v>27</v>
      </c>
      <c r="B81" s="166" t="s">
        <v>293</v>
      </c>
      <c r="C81" s="166" t="s">
        <v>294</v>
      </c>
      <c r="D81" s="166" t="str">
        <f>VLOOKUP(A81,Tesoro_emis!$A$5:$B$50,2,FALSE)</f>
        <v>TR38</v>
      </c>
      <c r="E81" s="166" t="s">
        <v>293</v>
      </c>
    </row>
    <row r="82" spans="1:33">
      <c r="A82" s="166">
        <f t="shared" si="1"/>
        <v>27</v>
      </c>
      <c r="B82" s="166" t="s">
        <v>293</v>
      </c>
      <c r="C82" s="166" t="s">
        <v>295</v>
      </c>
      <c r="D82" s="168">
        <f>VLOOKUP(A82,Tesoro_emis!$A$5:$AA$50,7,FALSE)</f>
        <v>-20.667068516200001</v>
      </c>
      <c r="E82" s="168" t="s">
        <v>296</v>
      </c>
      <c r="F82" s="168">
        <f>VLOOKUP(A82,Tesoro_emis!$A$5:$AA$50,8,FALSE)</f>
        <v>187.515110327</v>
      </c>
      <c r="G82" s="168" t="s">
        <v>296</v>
      </c>
      <c r="H82" s="169">
        <f>VLOOKUP(A82,Tesoro_emis!$A$5:$AA$50,24,FALSE)</f>
        <v>3.6576000000000004</v>
      </c>
      <c r="I82" s="166" t="s">
        <v>296</v>
      </c>
      <c r="J82" s="170">
        <f>VLOOKUP(A82,Tesoro_emis!$A$5:$AA$50,6,FALSE)</f>
        <v>30</v>
      </c>
      <c r="K82" s="166" t="s">
        <v>296</v>
      </c>
      <c r="L82" s="168">
        <f>VLOOKUP(A82,Tesoro_emis!$A$5:$AA$50,27,FALSE)</f>
        <v>3.0480000000000004E-2</v>
      </c>
      <c r="M82" s="166" t="s">
        <v>296</v>
      </c>
      <c r="N82" s="169">
        <f>VLOOKUP(A82,Tesoro_emis!$A$5:$AA$50,26,FALSE)</f>
        <v>18.288</v>
      </c>
      <c r="O82" s="166" t="s">
        <v>296</v>
      </c>
      <c r="P82" s="169">
        <f>VLOOKUP(A82,Tesoro_emis!$A$5:$AA$50,25,FALSE)</f>
        <v>599.81666666666661</v>
      </c>
      <c r="Q82" s="166" t="s">
        <v>296</v>
      </c>
      <c r="R82" s="170">
        <v>1</v>
      </c>
      <c r="S82" s="166" t="s">
        <v>296</v>
      </c>
      <c r="T82" s="171">
        <f>VLOOKUP(A82,Tesoro_emis!$A$5:$AA$50,15,FALSE)</f>
        <v>0</v>
      </c>
      <c r="U82" s="166" t="s">
        <v>296</v>
      </c>
      <c r="V82" s="170">
        <v>0</v>
      </c>
      <c r="W82" s="171" t="s">
        <v>296</v>
      </c>
      <c r="X82" s="171">
        <f>VLOOKUP(A82,Tesoro_emis!$A$5:$AA$50,10,FALSE)</f>
        <v>0.11017565322171487</v>
      </c>
      <c r="Y82" s="166" t="s">
        <v>296</v>
      </c>
      <c r="Z82" s="170">
        <v>0</v>
      </c>
      <c r="AA82" s="166" t="s">
        <v>296</v>
      </c>
      <c r="AB82" s="170">
        <v>0</v>
      </c>
      <c r="AC82" s="166" t="s">
        <v>296</v>
      </c>
      <c r="AD82" s="171">
        <f>VLOOKUP($A$82,Tesoro_emis!$A$5:$AA$50,12,FALSE)</f>
        <v>7.7669520547945211E-3</v>
      </c>
      <c r="AE82" s="166" t="s">
        <v>296</v>
      </c>
      <c r="AF82" s="171">
        <f>VLOOKUP($A$82,Tesoro_emis!$A$5:$AA$50,12,FALSE)</f>
        <v>7.7669520547945211E-3</v>
      </c>
      <c r="AG82" s="167" t="s">
        <v>293</v>
      </c>
    </row>
    <row r="83" spans="1:33">
      <c r="A83" s="166">
        <f t="shared" si="1"/>
        <v>27</v>
      </c>
      <c r="B83" s="166" t="s">
        <v>293</v>
      </c>
      <c r="C83" s="166" t="s">
        <v>297</v>
      </c>
      <c r="H83" s="168"/>
      <c r="I83" s="168"/>
      <c r="J83" s="168"/>
      <c r="K83" s="168"/>
      <c r="L83" s="168"/>
    </row>
    <row r="84" spans="1:33">
      <c r="A84" s="166">
        <f t="shared" si="1"/>
        <v>28</v>
      </c>
      <c r="B84" s="166" t="s">
        <v>293</v>
      </c>
      <c r="C84" s="166" t="s">
        <v>294</v>
      </c>
      <c r="D84" s="166" t="str">
        <f>VLOOKUP(A84,Tesoro_emis!$A$5:$B$50,2,FALSE)</f>
        <v>TR40</v>
      </c>
      <c r="E84" s="166" t="s">
        <v>293</v>
      </c>
    </row>
    <row r="85" spans="1:33">
      <c r="A85" s="166">
        <f t="shared" si="1"/>
        <v>28</v>
      </c>
      <c r="B85" s="166" t="s">
        <v>293</v>
      </c>
      <c r="C85" s="166" t="s">
        <v>295</v>
      </c>
      <c r="D85" s="168">
        <f>VLOOKUP(A85,Tesoro_emis!$A$5:$AA$50,7,FALSE)</f>
        <v>-19.977861687600001</v>
      </c>
      <c r="E85" s="168" t="s">
        <v>296</v>
      </c>
      <c r="F85" s="168">
        <f>VLOOKUP(A85,Tesoro_emis!$A$5:$AA$50,8,FALSE)</f>
        <v>187.708166758</v>
      </c>
      <c r="G85" s="168" t="s">
        <v>296</v>
      </c>
      <c r="H85" s="169">
        <f>VLOOKUP(A85,Tesoro_emis!$A$5:$AA$50,24,FALSE)</f>
        <v>3.66</v>
      </c>
      <c r="I85" s="166" t="s">
        <v>296</v>
      </c>
      <c r="J85" s="170">
        <f>VLOOKUP(A85,Tesoro_emis!$A$5:$AA$50,6,FALSE)</f>
        <v>40</v>
      </c>
      <c r="K85" s="166" t="s">
        <v>296</v>
      </c>
      <c r="L85" s="168">
        <f>VLOOKUP(A85,Tesoro_emis!$A$5:$AA$50,27,FALSE)</f>
        <v>0.24</v>
      </c>
      <c r="M85" s="166" t="s">
        <v>296</v>
      </c>
      <c r="N85" s="169">
        <f>VLOOKUP(A85,Tesoro_emis!$A$5:$AA$50,26,FALSE)</f>
        <v>39.29</v>
      </c>
      <c r="O85" s="166" t="s">
        <v>296</v>
      </c>
      <c r="P85" s="169">
        <f>VLOOKUP(A85,Tesoro_emis!$A$5:$AA$50,25,FALSE)</f>
        <v>600</v>
      </c>
      <c r="Q85" s="166" t="s">
        <v>296</v>
      </c>
      <c r="R85" s="170">
        <v>1</v>
      </c>
      <c r="S85" s="166" t="s">
        <v>296</v>
      </c>
      <c r="T85" s="171">
        <f>VLOOKUP(A85,Tesoro_emis!$A$5:$AA$50,15,FALSE)</f>
        <v>1.3459210928935888E-2</v>
      </c>
      <c r="U85" s="166" t="s">
        <v>296</v>
      </c>
      <c r="V85" s="170">
        <v>0</v>
      </c>
      <c r="W85" s="171" t="s">
        <v>296</v>
      </c>
      <c r="X85" s="171">
        <f>VLOOKUP(A85,Tesoro_emis!$A$5:$AA$50,10,FALSE)</f>
        <v>0.11874869528158294</v>
      </c>
      <c r="Y85" s="166" t="s">
        <v>296</v>
      </c>
      <c r="Z85" s="170">
        <v>0</v>
      </c>
      <c r="AA85" s="166" t="s">
        <v>296</v>
      </c>
      <c r="AB85" s="170">
        <v>0</v>
      </c>
      <c r="AC85" s="166" t="s">
        <v>296</v>
      </c>
      <c r="AD85" s="171">
        <f>VLOOKUP($A$85,Tesoro_emis!$A$5:$AA$50,12,FALSE)</f>
        <v>2.1263438248858438E-3</v>
      </c>
      <c r="AE85" s="166" t="s">
        <v>296</v>
      </c>
      <c r="AF85" s="171">
        <f>VLOOKUP($A$85,Tesoro_emis!$A$5:$AA$50,12,FALSE)</f>
        <v>2.1263438248858438E-3</v>
      </c>
      <c r="AG85" s="167" t="s">
        <v>293</v>
      </c>
    </row>
    <row r="86" spans="1:33">
      <c r="A86" s="166">
        <f t="shared" si="1"/>
        <v>28</v>
      </c>
      <c r="B86" s="166" t="s">
        <v>293</v>
      </c>
      <c r="C86" s="166" t="s">
        <v>297</v>
      </c>
      <c r="H86" s="168"/>
      <c r="I86" s="168"/>
      <c r="J86" s="168"/>
      <c r="K86" s="168"/>
      <c r="L86" s="168"/>
    </row>
    <row r="87" spans="1:33">
      <c r="A87" s="166">
        <f t="shared" si="1"/>
        <v>29</v>
      </c>
      <c r="B87" s="166" t="s">
        <v>293</v>
      </c>
      <c r="C87" s="166" t="s">
        <v>294</v>
      </c>
      <c r="D87" s="166" t="str">
        <f>VLOOKUP(A87,Tesoro_emis!$A$5:$B$50,2,FALSE)</f>
        <v>TR41</v>
      </c>
      <c r="E87" s="166" t="s">
        <v>293</v>
      </c>
    </row>
    <row r="88" spans="1:33">
      <c r="A88" s="166">
        <f t="shared" si="1"/>
        <v>29</v>
      </c>
      <c r="B88" s="166" t="s">
        <v>293</v>
      </c>
      <c r="C88" s="166" t="s">
        <v>295</v>
      </c>
      <c r="D88" s="168">
        <f>VLOOKUP(A88,Tesoro_emis!$A$5:$AA$50,7,FALSE)</f>
        <v>-20.262041844300001</v>
      </c>
      <c r="E88" s="168" t="s">
        <v>296</v>
      </c>
      <c r="F88" s="168">
        <f>VLOOKUP(A88,Tesoro_emis!$A$5:$AA$50,8,FALSE)</f>
        <v>187.53000946399999</v>
      </c>
      <c r="G88" s="168" t="s">
        <v>296</v>
      </c>
      <c r="H88" s="169">
        <f>VLOOKUP(A88,Tesoro_emis!$A$5:$AA$50,24,FALSE)</f>
        <v>2.4384000000000001</v>
      </c>
      <c r="I88" s="166" t="s">
        <v>296</v>
      </c>
      <c r="J88" s="170">
        <f>VLOOKUP(A88,Tesoro_emis!$A$5:$AA$50,6,FALSE)</f>
        <v>40</v>
      </c>
      <c r="K88" s="166" t="s">
        <v>296</v>
      </c>
      <c r="L88" s="168">
        <f>VLOOKUP(A88,Tesoro_emis!$A$5:$AA$50,27,FALSE)</f>
        <v>0.30480000000000002</v>
      </c>
      <c r="M88" s="166" t="s">
        <v>296</v>
      </c>
      <c r="N88" s="169">
        <f>VLOOKUP(A88,Tesoro_emis!$A$5:$AA$50,26,FALSE)</f>
        <v>10.363200000000001</v>
      </c>
      <c r="O88" s="166" t="s">
        <v>296</v>
      </c>
      <c r="P88" s="169">
        <f>VLOOKUP(A88,Tesoro_emis!$A$5:$AA$50,25,FALSE)</f>
        <v>599.81666666666661</v>
      </c>
      <c r="Q88" s="166" t="s">
        <v>296</v>
      </c>
      <c r="R88" s="170">
        <v>1</v>
      </c>
      <c r="S88" s="166" t="s">
        <v>296</v>
      </c>
      <c r="T88" s="171">
        <f>VLOOKUP(A88,Tesoro_emis!$A$5:$AA$50,15,FALSE)</f>
        <v>0</v>
      </c>
      <c r="U88" s="166" t="s">
        <v>296</v>
      </c>
      <c r="V88" s="170">
        <v>0</v>
      </c>
      <c r="W88" s="171" t="s">
        <v>296</v>
      </c>
      <c r="X88" s="171">
        <f>VLOOKUP(A88,Tesoro_emis!$A$5:$AA$50,10,FALSE)</f>
        <v>0</v>
      </c>
      <c r="Y88" s="166" t="s">
        <v>296</v>
      </c>
      <c r="Z88" s="170">
        <v>0</v>
      </c>
      <c r="AA88" s="166" t="s">
        <v>296</v>
      </c>
      <c r="AB88" s="170">
        <v>0</v>
      </c>
      <c r="AC88" s="166" t="s">
        <v>296</v>
      </c>
      <c r="AD88" s="171">
        <f>VLOOKUP($A$88,Tesoro_emis!$A$5:$AA$50,12,FALSE)</f>
        <v>0</v>
      </c>
      <c r="AE88" s="166" t="s">
        <v>296</v>
      </c>
      <c r="AF88" s="171">
        <f>VLOOKUP($A$88,Tesoro_emis!$A$5:$AA$50,12,FALSE)</f>
        <v>0</v>
      </c>
      <c r="AG88" s="167" t="s">
        <v>293</v>
      </c>
    </row>
    <row r="89" spans="1:33">
      <c r="A89" s="166">
        <f t="shared" si="1"/>
        <v>29</v>
      </c>
      <c r="B89" s="166" t="s">
        <v>293</v>
      </c>
      <c r="C89" s="166" t="s">
        <v>297</v>
      </c>
      <c r="H89" s="168"/>
      <c r="I89" s="168"/>
      <c r="J89" s="168"/>
      <c r="K89" s="168"/>
      <c r="L89" s="168"/>
    </row>
    <row r="90" spans="1:33">
      <c r="A90" s="166">
        <f t="shared" si="1"/>
        <v>30</v>
      </c>
      <c r="B90" s="166" t="s">
        <v>293</v>
      </c>
      <c r="C90" s="166" t="s">
        <v>294</v>
      </c>
      <c r="D90" s="166" t="str">
        <f>VLOOKUP(A90,Tesoro_emis!$A$5:$B$50,2,FALSE)</f>
        <v>TR42</v>
      </c>
      <c r="E90" s="166" t="s">
        <v>293</v>
      </c>
    </row>
    <row r="91" spans="1:33">
      <c r="A91" s="166">
        <f t="shared" si="1"/>
        <v>30</v>
      </c>
      <c r="B91" s="166" t="s">
        <v>293</v>
      </c>
      <c r="C91" s="166" t="s">
        <v>295</v>
      </c>
      <c r="D91" s="168">
        <f>VLOOKUP(A91,Tesoro_emis!$A$5:$AA$50,7,FALSE)</f>
        <v>-19.917252036499999</v>
      </c>
      <c r="E91" s="168" t="s">
        <v>296</v>
      </c>
      <c r="F91" s="168">
        <f>VLOOKUP(A91,Tesoro_emis!$A$5:$AA$50,8,FALSE)</f>
        <v>187.62773335899999</v>
      </c>
      <c r="G91" s="168" t="s">
        <v>296</v>
      </c>
      <c r="H91" s="169">
        <f>VLOOKUP(A91,Tesoro_emis!$A$5:$AA$50,24,FALSE)</f>
        <v>30.48</v>
      </c>
      <c r="I91" s="166" t="s">
        <v>296</v>
      </c>
      <c r="J91" s="170">
        <f>VLOOKUP(A91,Tesoro_emis!$A$5:$AA$50,6,FALSE)</f>
        <v>40</v>
      </c>
      <c r="K91" s="166" t="s">
        <v>296</v>
      </c>
      <c r="L91" s="168">
        <f>VLOOKUP(A91,Tesoro_emis!$A$5:$AA$50,27,FALSE)</f>
        <v>0.30480000000000002</v>
      </c>
      <c r="M91" s="166" t="s">
        <v>296</v>
      </c>
      <c r="N91" s="169">
        <f>VLOOKUP(A91,Tesoro_emis!$A$5:$AA$50,26,FALSE)</f>
        <v>20</v>
      </c>
      <c r="O91" s="166" t="s">
        <v>296</v>
      </c>
      <c r="P91" s="169">
        <f>VLOOKUP(A91,Tesoro_emis!$A$5:$AA$50,25,FALSE)</f>
        <v>1273</v>
      </c>
      <c r="Q91" s="166" t="s">
        <v>296</v>
      </c>
      <c r="R91" s="170">
        <v>1</v>
      </c>
      <c r="S91" s="166" t="s">
        <v>296</v>
      </c>
      <c r="T91" s="171">
        <f>VLOOKUP(A91,Tesoro_emis!$A$5:$AA$50,15,FALSE)</f>
        <v>1.0164915216254573E-2</v>
      </c>
      <c r="U91" s="166" t="s">
        <v>296</v>
      </c>
      <c r="V91" s="170">
        <v>0</v>
      </c>
      <c r="W91" s="171" t="s">
        <v>296</v>
      </c>
      <c r="X91" s="171">
        <f>VLOOKUP(A91,Tesoro_emis!$A$5:$AA$50,10,FALSE)</f>
        <v>3.7058202614379074E-2</v>
      </c>
      <c r="Y91" s="166" t="s">
        <v>296</v>
      </c>
      <c r="Z91" s="170">
        <v>0</v>
      </c>
      <c r="AA91" s="166" t="s">
        <v>296</v>
      </c>
      <c r="AB91" s="170">
        <v>0</v>
      </c>
      <c r="AC91" s="166" t="s">
        <v>296</v>
      </c>
      <c r="AD91" s="171">
        <f>VLOOKUP($A$91,Tesoro_emis!$A$5:$AA$50,12,FALSE)</f>
        <v>2.8164233986928099E-3</v>
      </c>
      <c r="AE91" s="166" t="s">
        <v>296</v>
      </c>
      <c r="AF91" s="171">
        <f>VLOOKUP($A$91,Tesoro_emis!$A$5:$AA$50,12,FALSE)</f>
        <v>2.8164233986928099E-3</v>
      </c>
      <c r="AG91" s="167" t="s">
        <v>293</v>
      </c>
    </row>
    <row r="92" spans="1:33">
      <c r="A92" s="166">
        <f t="shared" si="1"/>
        <v>30</v>
      </c>
      <c r="B92" s="166" t="s">
        <v>293</v>
      </c>
      <c r="C92" s="166" t="s">
        <v>297</v>
      </c>
      <c r="H92" s="168"/>
      <c r="I92" s="168"/>
      <c r="J92" s="168"/>
      <c r="K92" s="168"/>
      <c r="L92" s="168"/>
    </row>
    <row r="93" spans="1:33">
      <c r="A93" s="166">
        <f t="shared" si="1"/>
        <v>31</v>
      </c>
      <c r="B93" s="166" t="s">
        <v>293</v>
      </c>
      <c r="C93" s="166" t="s">
        <v>294</v>
      </c>
      <c r="D93" s="166" t="str">
        <f>VLOOKUP(A93,Tesoro_emis!$A$5:$B$50,2,FALSE)</f>
        <v>TR43</v>
      </c>
      <c r="E93" s="166" t="s">
        <v>293</v>
      </c>
    </row>
    <row r="94" spans="1:33">
      <c r="A94" s="166">
        <f t="shared" si="1"/>
        <v>31</v>
      </c>
      <c r="B94" s="166" t="s">
        <v>293</v>
      </c>
      <c r="C94" s="166" t="s">
        <v>295</v>
      </c>
      <c r="D94" s="168">
        <f>VLOOKUP(A94,Tesoro_emis!$A$5:$AA$50,7,FALSE)</f>
        <v>-20.076566478899998</v>
      </c>
      <c r="E94" s="168" t="s">
        <v>296</v>
      </c>
      <c r="F94" s="168">
        <f>VLOOKUP(A94,Tesoro_emis!$A$5:$AA$50,8,FALSE)</f>
        <v>187.688805081</v>
      </c>
      <c r="G94" s="168" t="s">
        <v>296</v>
      </c>
      <c r="H94" s="169">
        <f>VLOOKUP(A94,Tesoro_emis!$A$5:$AA$50,24,FALSE)</f>
        <v>31.394400000000001</v>
      </c>
      <c r="I94" s="166" t="s">
        <v>296</v>
      </c>
      <c r="J94" s="170">
        <f>VLOOKUP(A94,Tesoro_emis!$A$5:$AA$50,6,FALSE)</f>
        <v>40</v>
      </c>
      <c r="K94" s="166" t="s">
        <v>296</v>
      </c>
      <c r="L94" s="168">
        <f>VLOOKUP(A94,Tesoro_emis!$A$5:$AA$50,27,FALSE)</f>
        <v>1.524</v>
      </c>
      <c r="M94" s="166" t="s">
        <v>296</v>
      </c>
      <c r="N94" s="169">
        <f>VLOOKUP(A94,Tesoro_emis!$A$5:$AA$50,26,FALSE)</f>
        <v>20</v>
      </c>
      <c r="O94" s="166" t="s">
        <v>296</v>
      </c>
      <c r="P94" s="169">
        <f>VLOOKUP(A94,Tesoro_emis!$A$5:$AA$50,25,FALSE)</f>
        <v>1273</v>
      </c>
      <c r="Q94" s="166" t="s">
        <v>296</v>
      </c>
      <c r="R94" s="170">
        <v>1</v>
      </c>
      <c r="S94" s="166" t="s">
        <v>296</v>
      </c>
      <c r="T94" s="171">
        <f>VLOOKUP(A94,Tesoro_emis!$A$5:$AA$50,15,FALSE)</f>
        <v>0</v>
      </c>
      <c r="U94" s="166" t="s">
        <v>296</v>
      </c>
      <c r="V94" s="170">
        <v>0</v>
      </c>
      <c r="W94" s="171" t="s">
        <v>296</v>
      </c>
      <c r="X94" s="171">
        <f>VLOOKUP(A94,Tesoro_emis!$A$5:$AA$50,10,FALSE)</f>
        <v>1.7259893455098935E-3</v>
      </c>
      <c r="Y94" s="166" t="s">
        <v>296</v>
      </c>
      <c r="Z94" s="170">
        <v>0</v>
      </c>
      <c r="AA94" s="166" t="s">
        <v>296</v>
      </c>
      <c r="AB94" s="170">
        <v>0</v>
      </c>
      <c r="AC94" s="166" t="s">
        <v>296</v>
      </c>
      <c r="AD94" s="171">
        <f>VLOOKUP($A$94,Tesoro_emis!$A$5:$AA$50,12,FALSE)</f>
        <v>0</v>
      </c>
      <c r="AE94" s="166" t="s">
        <v>296</v>
      </c>
      <c r="AF94" s="171">
        <f>VLOOKUP($A$94,Tesoro_emis!$A$5:$AA$50,12,FALSE)</f>
        <v>0</v>
      </c>
      <c r="AG94" s="167" t="s">
        <v>293</v>
      </c>
    </row>
    <row r="95" spans="1:33">
      <c r="A95" s="166">
        <f t="shared" si="1"/>
        <v>31</v>
      </c>
      <c r="B95" s="166" t="s">
        <v>293</v>
      </c>
      <c r="C95" s="166" t="s">
        <v>297</v>
      </c>
      <c r="H95" s="168"/>
      <c r="I95" s="168"/>
      <c r="J95" s="168"/>
      <c r="K95" s="168"/>
      <c r="L95" s="168"/>
    </row>
    <row r="96" spans="1:33">
      <c r="A96" s="166">
        <f t="shared" si="1"/>
        <v>32</v>
      </c>
      <c r="B96" s="166" t="s">
        <v>293</v>
      </c>
      <c r="C96" s="166" t="s">
        <v>294</v>
      </c>
      <c r="D96" s="166" t="str">
        <f>VLOOKUP(A96,Tesoro_emis!$A$5:$B$50,2,FALSE)</f>
        <v>TR44</v>
      </c>
      <c r="E96" s="166" t="s">
        <v>293</v>
      </c>
    </row>
    <row r="97" spans="1:33">
      <c r="A97" s="166">
        <f t="shared" si="1"/>
        <v>32</v>
      </c>
      <c r="B97" s="166" t="s">
        <v>293</v>
      </c>
      <c r="C97" s="166" t="s">
        <v>295</v>
      </c>
      <c r="D97" s="168">
        <f>VLOOKUP(A97,Tesoro_emis!$A$5:$AA$50,7,FALSE)</f>
        <v>-20.027458087199999</v>
      </c>
      <c r="E97" s="168" t="s">
        <v>296</v>
      </c>
      <c r="F97" s="168">
        <f>VLOOKUP(A97,Tesoro_emis!$A$5:$AA$50,8,FALSE)</f>
        <v>187.50773432</v>
      </c>
      <c r="G97" s="168" t="s">
        <v>296</v>
      </c>
      <c r="H97" s="169">
        <f>VLOOKUP(A97,Tesoro_emis!$A$5:$AA$50,24,FALSE)</f>
        <v>3.048</v>
      </c>
      <c r="I97" s="166" t="s">
        <v>296</v>
      </c>
      <c r="J97" s="170">
        <f>VLOOKUP(A97,Tesoro_emis!$A$5:$AA$50,6,FALSE)</f>
        <v>40</v>
      </c>
      <c r="K97" s="166" t="s">
        <v>296</v>
      </c>
      <c r="L97" s="168">
        <f>VLOOKUP(A97,Tesoro_emis!$A$5:$AA$50,27,FALSE)</f>
        <v>0.30480000000000002</v>
      </c>
      <c r="M97" s="166" t="s">
        <v>296</v>
      </c>
      <c r="N97" s="169">
        <f>VLOOKUP(A97,Tesoro_emis!$A$5:$AA$50,26,FALSE)</f>
        <v>1.8288000000000002</v>
      </c>
      <c r="O97" s="166" t="s">
        <v>296</v>
      </c>
      <c r="P97" s="169">
        <f>VLOOKUP(A97,Tesoro_emis!$A$5:$AA$50,25,FALSE)</f>
        <v>1060.9277777777779</v>
      </c>
      <c r="Q97" s="166" t="s">
        <v>296</v>
      </c>
      <c r="R97" s="170">
        <v>1</v>
      </c>
      <c r="S97" s="166" t="s">
        <v>296</v>
      </c>
      <c r="T97" s="171">
        <f>VLOOKUP(A97,Tesoro_emis!$A$5:$AA$50,15,FALSE)</f>
        <v>1.0457731703965609E-3</v>
      </c>
      <c r="U97" s="166" t="s">
        <v>296</v>
      </c>
      <c r="V97" s="170">
        <v>0</v>
      </c>
      <c r="W97" s="171" t="s">
        <v>296</v>
      </c>
      <c r="X97" s="171">
        <f>VLOOKUP(A97,Tesoro_emis!$A$5:$AA$50,10,FALSE)</f>
        <v>6.1763671023965126E-3</v>
      </c>
      <c r="Y97" s="166" t="s">
        <v>296</v>
      </c>
      <c r="Z97" s="170">
        <v>0</v>
      </c>
      <c r="AA97" s="166" t="s">
        <v>296</v>
      </c>
      <c r="AB97" s="170">
        <v>0</v>
      </c>
      <c r="AC97" s="166" t="s">
        <v>296</v>
      </c>
      <c r="AD97" s="171">
        <f>VLOOKUP($A$97,Tesoro_emis!$A$5:$AA$50,12,FALSE)</f>
        <v>4.6940389978213494E-4</v>
      </c>
      <c r="AE97" s="166" t="s">
        <v>296</v>
      </c>
      <c r="AF97" s="171">
        <f>VLOOKUP($A$97,Tesoro_emis!$A$5:$AA$50,12,FALSE)</f>
        <v>4.6940389978213494E-4</v>
      </c>
      <c r="AG97" s="167" t="s">
        <v>293</v>
      </c>
    </row>
    <row r="98" spans="1:33">
      <c r="A98" s="166">
        <f t="shared" si="1"/>
        <v>32</v>
      </c>
      <c r="B98" s="166" t="s">
        <v>293</v>
      </c>
      <c r="C98" s="166" t="s">
        <v>297</v>
      </c>
      <c r="H98" s="168"/>
      <c r="I98" s="168"/>
      <c r="J98" s="168"/>
      <c r="K98" s="168"/>
      <c r="L98" s="168"/>
    </row>
    <row r="99" spans="1:33">
      <c r="A99" s="166">
        <f t="shared" si="1"/>
        <v>33</v>
      </c>
      <c r="B99" s="166" t="s">
        <v>293</v>
      </c>
      <c r="C99" s="166" t="s">
        <v>294</v>
      </c>
      <c r="D99" s="166" t="str">
        <f>VLOOKUP(A99,Tesoro_emis!$A$5:$B$50,2,FALSE)</f>
        <v>TR45</v>
      </c>
      <c r="E99" s="166" t="s">
        <v>293</v>
      </c>
    </row>
    <row r="100" spans="1:33">
      <c r="A100" s="166">
        <f t="shared" si="1"/>
        <v>33</v>
      </c>
      <c r="B100" s="166" t="s">
        <v>293</v>
      </c>
      <c r="C100" s="166" t="s">
        <v>295</v>
      </c>
      <c r="D100" s="168">
        <f>VLOOKUP(A100,Tesoro_emis!$A$5:$AA$50,7,FALSE)</f>
        <v>-20.569722158299999</v>
      </c>
      <c r="E100" s="168" t="s">
        <v>296</v>
      </c>
      <c r="F100" s="168">
        <f>VLOOKUP(A100,Tesoro_emis!$A$5:$AA$50,8,FALSE)</f>
        <v>187.68976158800001</v>
      </c>
      <c r="G100" s="168" t="s">
        <v>296</v>
      </c>
      <c r="H100" s="169">
        <f>VLOOKUP(A100,Tesoro_emis!$A$5:$AA$50,24,FALSE)</f>
        <v>2.4384000000000001</v>
      </c>
      <c r="I100" s="166" t="s">
        <v>296</v>
      </c>
      <c r="J100" s="170">
        <f>VLOOKUP(A100,Tesoro_emis!$A$5:$AA$50,6,FALSE)</f>
        <v>40</v>
      </c>
      <c r="K100" s="166" t="s">
        <v>296</v>
      </c>
      <c r="L100" s="168">
        <f>VLOOKUP(A100,Tesoro_emis!$A$5:$AA$50,27,FALSE)</f>
        <v>0.9144000000000001</v>
      </c>
      <c r="M100" s="166" t="s">
        <v>296</v>
      </c>
      <c r="N100" s="169">
        <f>VLOOKUP(A100,Tesoro_emis!$A$5:$AA$50,26,FALSE)</f>
        <v>1.2192000000000001</v>
      </c>
      <c r="O100" s="166" t="s">
        <v>296</v>
      </c>
      <c r="P100" s="169">
        <f>VLOOKUP(A100,Tesoro_emis!$A$5:$AA$50,25,FALSE)</f>
        <v>1060.9277777777779</v>
      </c>
      <c r="Q100" s="166" t="s">
        <v>296</v>
      </c>
      <c r="R100" s="170">
        <v>1</v>
      </c>
      <c r="S100" s="166" t="s">
        <v>296</v>
      </c>
      <c r="T100" s="171">
        <f>VLOOKUP(A100,Tesoro_emis!$A$5:$AA$50,15,FALSE)</f>
        <v>4.1830926815862434E-3</v>
      </c>
      <c r="U100" s="166" t="s">
        <v>296</v>
      </c>
      <c r="V100" s="170">
        <v>0</v>
      </c>
      <c r="W100" s="171" t="s">
        <v>296</v>
      </c>
      <c r="X100" s="171">
        <f>VLOOKUP(A100,Tesoro_emis!$A$5:$AA$50,10,FALSE)</f>
        <v>2.470546840958605E-2</v>
      </c>
      <c r="Y100" s="166" t="s">
        <v>296</v>
      </c>
      <c r="Z100" s="170">
        <v>0</v>
      </c>
      <c r="AA100" s="166" t="s">
        <v>296</v>
      </c>
      <c r="AB100" s="170">
        <v>0</v>
      </c>
      <c r="AC100" s="166" t="s">
        <v>296</v>
      </c>
      <c r="AD100" s="171">
        <f>VLOOKUP($A$100,Tesoro_emis!$A$5:$AA$50,12,FALSE)</f>
        <v>1.8776155991285398E-3</v>
      </c>
      <c r="AE100" s="166" t="s">
        <v>296</v>
      </c>
      <c r="AF100" s="171">
        <f>VLOOKUP($A$100,Tesoro_emis!$A$5:$AA$50,12,FALSE)</f>
        <v>1.8776155991285398E-3</v>
      </c>
      <c r="AG100" s="167" t="s">
        <v>293</v>
      </c>
    </row>
    <row r="101" spans="1:33">
      <c r="A101" s="166">
        <f t="shared" si="1"/>
        <v>33</v>
      </c>
      <c r="B101" s="166" t="s">
        <v>293</v>
      </c>
      <c r="C101" s="166" t="s">
        <v>297</v>
      </c>
      <c r="H101" s="168"/>
      <c r="I101" s="168"/>
      <c r="J101" s="168"/>
      <c r="K101" s="168"/>
      <c r="L101" s="168"/>
    </row>
    <row r="102" spans="1:33">
      <c r="A102" s="166">
        <f t="shared" si="1"/>
        <v>34</v>
      </c>
      <c r="B102" s="166" t="s">
        <v>293</v>
      </c>
      <c r="C102" s="166" t="s">
        <v>294</v>
      </c>
      <c r="D102" s="166" t="str">
        <f>VLOOKUP(A102,Tesoro_emis!$A$5:$B$50,2,FALSE)</f>
        <v>TR118</v>
      </c>
      <c r="E102" s="166" t="s">
        <v>293</v>
      </c>
    </row>
    <row r="103" spans="1:33">
      <c r="A103" s="166">
        <f t="shared" si="1"/>
        <v>34</v>
      </c>
      <c r="B103" s="166" t="s">
        <v>293</v>
      </c>
      <c r="C103" s="166" t="s">
        <v>295</v>
      </c>
      <c r="D103" s="168">
        <f>VLOOKUP(A103,Tesoro_emis!$A$5:$AA$50,7,FALSE)</f>
        <v>-20.034019967700001</v>
      </c>
      <c r="E103" s="168" t="s">
        <v>296</v>
      </c>
      <c r="F103" s="168">
        <f>VLOOKUP(A103,Tesoro_emis!$A$5:$AA$50,8,FALSE)</f>
        <v>187.65327034800001</v>
      </c>
      <c r="G103" s="168" t="s">
        <v>296</v>
      </c>
      <c r="H103" s="169">
        <f>VLOOKUP(A103,Tesoro_emis!$A$5:$AA$50,24,FALSE)</f>
        <v>26.822400000000002</v>
      </c>
      <c r="I103" s="166" t="s">
        <v>296</v>
      </c>
      <c r="J103" s="170">
        <f>VLOOKUP(A103,Tesoro_emis!$A$5:$AA$50,6,FALSE)</f>
        <v>40</v>
      </c>
      <c r="K103" s="166" t="s">
        <v>296</v>
      </c>
      <c r="L103" s="168">
        <f>VLOOKUP(A103,Tesoro_emis!$A$5:$AA$50,27,FALSE)</f>
        <v>1.2192000000000001</v>
      </c>
      <c r="M103" s="166" t="s">
        <v>296</v>
      </c>
      <c r="N103" s="169">
        <f>VLOOKUP(A103,Tesoro_emis!$A$5:$AA$50,26,FALSE)</f>
        <v>5.7911999999999999</v>
      </c>
      <c r="O103" s="166" t="s">
        <v>296</v>
      </c>
      <c r="P103" s="169">
        <f>VLOOKUP(A103,Tesoro_emis!$A$5:$AA$50,25,FALSE)</f>
        <v>579.81666666666661</v>
      </c>
      <c r="Q103" s="166" t="s">
        <v>296</v>
      </c>
      <c r="R103" s="170">
        <v>1</v>
      </c>
      <c r="S103" s="166" t="s">
        <v>296</v>
      </c>
      <c r="T103" s="171">
        <f>VLOOKUP(A103,Tesoro_emis!$A$5:$AA$50,15,FALSE)</f>
        <v>4.314973363774734E-3</v>
      </c>
      <c r="U103" s="166" t="s">
        <v>296</v>
      </c>
      <c r="V103" s="170">
        <v>0</v>
      </c>
      <c r="W103" s="171" t="s">
        <v>296</v>
      </c>
      <c r="X103" s="171">
        <f>VLOOKUP(A103,Tesoro_emis!$A$5:$AA$50,10,FALSE)</f>
        <v>6.3286276002029435E-2</v>
      </c>
      <c r="Y103" s="166" t="s">
        <v>296</v>
      </c>
      <c r="Z103" s="170">
        <v>0</v>
      </c>
      <c r="AA103" s="166" t="s">
        <v>296</v>
      </c>
      <c r="AB103" s="170">
        <v>0</v>
      </c>
      <c r="AC103" s="166" t="s">
        <v>296</v>
      </c>
      <c r="AD103" s="171">
        <f>VLOOKUP($A$103,Tesoro_emis!$A$5:$AA$50,12,FALSE)</f>
        <v>1.7259893455098935E-3</v>
      </c>
      <c r="AE103" s="166" t="s">
        <v>296</v>
      </c>
      <c r="AF103" s="171">
        <f>VLOOKUP($A$103,Tesoro_emis!$A$5:$AA$50,12,FALSE)</f>
        <v>1.7259893455098935E-3</v>
      </c>
      <c r="AG103" s="167" t="s">
        <v>293</v>
      </c>
    </row>
    <row r="104" spans="1:33">
      <c r="A104" s="166">
        <f t="shared" si="1"/>
        <v>34</v>
      </c>
      <c r="B104" s="166" t="s">
        <v>293</v>
      </c>
      <c r="C104" s="166" t="s">
        <v>297</v>
      </c>
      <c r="H104" s="168"/>
      <c r="I104" s="168"/>
      <c r="J104" s="168"/>
      <c r="K104" s="168"/>
      <c r="L104" s="168"/>
    </row>
    <row r="105" spans="1:33">
      <c r="A105" s="166">
        <f t="shared" si="1"/>
        <v>35</v>
      </c>
      <c r="B105" s="166" t="s">
        <v>293</v>
      </c>
      <c r="C105" s="166" t="s">
        <v>294</v>
      </c>
      <c r="D105" s="166" t="str">
        <f>VLOOKUP(A105,Tesoro_emis!$A$5:$B$50,2,FALSE)</f>
        <v>TR119</v>
      </c>
      <c r="E105" s="166" t="s">
        <v>293</v>
      </c>
    </row>
    <row r="106" spans="1:33">
      <c r="A106" s="166">
        <f t="shared" si="1"/>
        <v>35</v>
      </c>
      <c r="B106" s="166" t="s">
        <v>293</v>
      </c>
      <c r="C106" s="166" t="s">
        <v>295</v>
      </c>
      <c r="D106" s="168">
        <f>VLOOKUP(A106,Tesoro_emis!$A$5:$AA$50,7,FALSE)</f>
        <v>-20.297910235300002</v>
      </c>
      <c r="E106" s="168" t="s">
        <v>296</v>
      </c>
      <c r="F106" s="168">
        <f>VLOOKUP(A106,Tesoro_emis!$A$5:$AA$50,8,FALSE)</f>
        <v>187.66274784300001</v>
      </c>
      <c r="G106" s="168" t="s">
        <v>296</v>
      </c>
      <c r="H106" s="169">
        <f>VLOOKUP(A106,Tesoro_emis!$A$5:$AA$50,24,FALSE)</f>
        <v>26.822400000000002</v>
      </c>
      <c r="I106" s="166" t="s">
        <v>296</v>
      </c>
      <c r="J106" s="170">
        <f>VLOOKUP(A106,Tesoro_emis!$A$5:$AA$50,6,FALSE)</f>
        <v>40</v>
      </c>
      <c r="K106" s="166" t="s">
        <v>296</v>
      </c>
      <c r="L106" s="168">
        <f>VLOOKUP(A106,Tesoro_emis!$A$5:$AA$50,27,FALSE)</f>
        <v>1.2192000000000001</v>
      </c>
      <c r="M106" s="166" t="s">
        <v>296</v>
      </c>
      <c r="N106" s="169">
        <f>VLOOKUP(A106,Tesoro_emis!$A$5:$AA$50,26,FALSE)</f>
        <v>5.7911999999999999</v>
      </c>
      <c r="O106" s="166" t="s">
        <v>296</v>
      </c>
      <c r="P106" s="169">
        <f>VLOOKUP(A106,Tesoro_emis!$A$5:$AA$50,25,FALSE)</f>
        <v>579.81666666666661</v>
      </c>
      <c r="Q106" s="166" t="s">
        <v>296</v>
      </c>
      <c r="R106" s="170">
        <v>1</v>
      </c>
      <c r="S106" s="166" t="s">
        <v>296</v>
      </c>
      <c r="T106" s="171">
        <f>VLOOKUP(A106,Tesoro_emis!$A$5:$AA$50,15,FALSE)</f>
        <v>2.3588521055301875E-2</v>
      </c>
      <c r="U106" s="166" t="s">
        <v>296</v>
      </c>
      <c r="V106" s="170">
        <v>0</v>
      </c>
      <c r="W106" s="171" t="s">
        <v>296</v>
      </c>
      <c r="X106" s="171">
        <f>VLOOKUP(A106,Tesoro_emis!$A$5:$AA$50,10,FALSE)</f>
        <v>0.52326243658041605</v>
      </c>
      <c r="Y106" s="166" t="s">
        <v>296</v>
      </c>
      <c r="Z106" s="170">
        <v>0</v>
      </c>
      <c r="AA106" s="166" t="s">
        <v>296</v>
      </c>
      <c r="AB106" s="170">
        <v>0</v>
      </c>
      <c r="AC106" s="166" t="s">
        <v>296</v>
      </c>
      <c r="AD106" s="171">
        <f>VLOOKUP($A$106,Tesoro_emis!$A$5:$AA$50,12,FALSE)</f>
        <v>6.5012265347539316E-2</v>
      </c>
      <c r="AE106" s="166" t="s">
        <v>296</v>
      </c>
      <c r="AF106" s="171">
        <f>VLOOKUP($A$106,Tesoro_emis!$A$5:$AA$50,12,FALSE)</f>
        <v>6.5012265347539316E-2</v>
      </c>
      <c r="AG106" s="167" t="s">
        <v>293</v>
      </c>
    </row>
    <row r="107" spans="1:33">
      <c r="A107" s="166">
        <f t="shared" si="1"/>
        <v>35</v>
      </c>
      <c r="B107" s="166" t="s">
        <v>293</v>
      </c>
      <c r="C107" s="166" t="s">
        <v>297</v>
      </c>
      <c r="H107" s="168"/>
      <c r="I107" s="168"/>
      <c r="J107" s="168"/>
      <c r="K107" s="168"/>
      <c r="L107" s="168"/>
    </row>
    <row r="108" spans="1:33">
      <c r="A108" s="166">
        <f t="shared" si="1"/>
        <v>36</v>
      </c>
      <c r="B108" s="166" t="s">
        <v>293</v>
      </c>
      <c r="C108" s="166" t="s">
        <v>294</v>
      </c>
      <c r="D108" s="166" t="str">
        <f>VLOOKUP(A108,Tesoro_emis!$A$5:$B$50,2,FALSE)</f>
        <v>TR121</v>
      </c>
      <c r="E108" s="166" t="s">
        <v>293</v>
      </c>
    </row>
    <row r="109" spans="1:33">
      <c r="A109" s="166">
        <f t="shared" si="1"/>
        <v>36</v>
      </c>
      <c r="B109" s="166" t="s">
        <v>293</v>
      </c>
      <c r="C109" s="166" t="s">
        <v>295</v>
      </c>
      <c r="D109" s="168">
        <f>VLOOKUP(A109,Tesoro_emis!$A$5:$AA$50,7,FALSE)</f>
        <v>-20.255116291</v>
      </c>
      <c r="E109" s="168" t="s">
        <v>296</v>
      </c>
      <c r="F109" s="168">
        <f>VLOOKUP(A109,Tesoro_emis!$A$5:$AA$50,8,FALSE)</f>
        <v>187.52028349700001</v>
      </c>
      <c r="G109" s="168" t="s">
        <v>296</v>
      </c>
      <c r="H109" s="169">
        <f>VLOOKUP(A109,Tesoro_emis!$A$5:$AA$50,24,FALSE)</f>
        <v>9.1440000000000001</v>
      </c>
      <c r="I109" s="166" t="s">
        <v>296</v>
      </c>
      <c r="J109" s="170">
        <f>VLOOKUP(A109,Tesoro_emis!$A$5:$AA$50,6,FALSE)</f>
        <v>40</v>
      </c>
      <c r="K109" s="166" t="s">
        <v>296</v>
      </c>
      <c r="L109" s="168">
        <f>VLOOKUP(A109,Tesoro_emis!$A$5:$AA$50,27,FALSE)</f>
        <v>6.0960000000000001</v>
      </c>
      <c r="M109" s="166" t="s">
        <v>296</v>
      </c>
      <c r="N109" s="169">
        <f>VLOOKUP(A109,Tesoro_emis!$A$5:$AA$50,26,FALSE)</f>
        <v>0.30480000000000002</v>
      </c>
      <c r="O109" s="166" t="s">
        <v>296</v>
      </c>
      <c r="P109" s="169">
        <f>VLOOKUP(A109,Tesoro_emis!$A$5:$AA$50,25,FALSE)</f>
        <v>272.03888888888889</v>
      </c>
      <c r="Q109" s="166" t="s">
        <v>296</v>
      </c>
      <c r="R109" s="170">
        <v>1</v>
      </c>
      <c r="S109" s="166" t="s">
        <v>296</v>
      </c>
      <c r="T109" s="171">
        <f>VLOOKUP(A109,Tesoro_emis!$A$5:$AA$50,15,FALSE)</f>
        <v>0</v>
      </c>
      <c r="U109" s="166" t="s">
        <v>296</v>
      </c>
      <c r="V109" s="170">
        <v>0</v>
      </c>
      <c r="W109" s="171" t="s">
        <v>296</v>
      </c>
      <c r="X109" s="171">
        <f>VLOOKUP(A109,Tesoro_emis!$A$5:$AA$50,10,FALSE)</f>
        <v>0</v>
      </c>
      <c r="Y109" s="166" t="s">
        <v>296</v>
      </c>
      <c r="Z109" s="170">
        <v>0</v>
      </c>
      <c r="AA109" s="166" t="s">
        <v>296</v>
      </c>
      <c r="AB109" s="170">
        <v>0</v>
      </c>
      <c r="AC109" s="166" t="s">
        <v>296</v>
      </c>
      <c r="AD109" s="171">
        <f>VLOOKUP($A$109,Tesoro_emis!$A$5:$AA$50,12,FALSE)</f>
        <v>2.877E-2</v>
      </c>
      <c r="AE109" s="166" t="s">
        <v>296</v>
      </c>
      <c r="AF109" s="171">
        <f>VLOOKUP($A$109,Tesoro_emis!$A$5:$AA$50,12,FALSE)</f>
        <v>2.877E-2</v>
      </c>
      <c r="AG109" s="167" t="s">
        <v>293</v>
      </c>
    </row>
    <row r="110" spans="1:33">
      <c r="A110" s="166">
        <f t="shared" si="1"/>
        <v>36</v>
      </c>
      <c r="B110" s="166" t="s">
        <v>293</v>
      </c>
      <c r="C110" s="166" t="s">
        <v>297</v>
      </c>
      <c r="H110" s="168"/>
      <c r="I110" s="168"/>
      <c r="J110" s="168"/>
      <c r="K110" s="168"/>
      <c r="L110" s="168"/>
    </row>
    <row r="111" spans="1:33">
      <c r="A111" s="166">
        <f t="shared" si="1"/>
        <v>37</v>
      </c>
      <c r="B111" s="166" t="s">
        <v>293</v>
      </c>
      <c r="C111" s="166" t="s">
        <v>294</v>
      </c>
      <c r="D111" s="166" t="str">
        <f>VLOOKUP(A111,Tesoro_emis!$A$5:$B$50,2,FALSE)</f>
        <v>TES_SHP</v>
      </c>
      <c r="E111" s="166" t="s">
        <v>293</v>
      </c>
    </row>
    <row r="112" spans="1:33">
      <c r="A112" s="166">
        <f t="shared" si="1"/>
        <v>37</v>
      </c>
      <c r="B112" s="166" t="s">
        <v>293</v>
      </c>
      <c r="C112" s="166" t="s">
        <v>295</v>
      </c>
      <c r="D112" s="168">
        <f>VLOOKUP(A112,Tesoro_emis!$A$5:$AA$50,7,FALSE)</f>
        <v>-21.95</v>
      </c>
      <c r="E112" s="168" t="s">
        <v>296</v>
      </c>
      <c r="F112" s="168">
        <f>VLOOKUP(A112,Tesoro_emis!$A$5:$AA$50,8,FALSE)</f>
        <v>187.52699999999999</v>
      </c>
      <c r="G112" s="168" t="s">
        <v>296</v>
      </c>
      <c r="H112" s="169">
        <f>VLOOKUP(A112,Tesoro_emis!$A$5:$AA$50,24,FALSE)</f>
        <v>45</v>
      </c>
      <c r="I112" s="166" t="s">
        <v>296</v>
      </c>
      <c r="J112" s="170">
        <f>VLOOKUP(A112,Tesoro_emis!$A$5:$AA$50,6,FALSE)</f>
        <v>0</v>
      </c>
      <c r="K112" s="166" t="s">
        <v>296</v>
      </c>
      <c r="L112" s="168">
        <f>VLOOKUP(A112,Tesoro_emis!$A$5:$AA$50,27,FALSE)</f>
        <v>1.68</v>
      </c>
      <c r="M112" s="166" t="s">
        <v>296</v>
      </c>
      <c r="N112" s="169">
        <f>VLOOKUP(A112,Tesoro_emis!$A$5:$AA$50,26,FALSE)</f>
        <v>4.2</v>
      </c>
      <c r="O112" s="166" t="s">
        <v>296</v>
      </c>
      <c r="P112" s="169">
        <f>VLOOKUP(A112,Tesoro_emis!$A$5:$AA$50,25,FALSE)</f>
        <v>589</v>
      </c>
      <c r="Q112" s="166" t="s">
        <v>296</v>
      </c>
      <c r="R112" s="170">
        <v>1</v>
      </c>
      <c r="S112" s="166" t="s">
        <v>296</v>
      </c>
      <c r="T112" s="171">
        <f>VLOOKUP(A112,Tesoro_emis!$A$5:$AA$50,15,FALSE)</f>
        <v>1.8677629051542941E-4</v>
      </c>
      <c r="U112" s="166" t="s">
        <v>296</v>
      </c>
      <c r="V112" s="170">
        <v>0</v>
      </c>
      <c r="W112" s="171" t="s">
        <v>296</v>
      </c>
      <c r="X112" s="171">
        <f>VLOOKUP(A112,Tesoro_emis!$A$5:$AA$50,10,FALSE)</f>
        <v>2.8004589354541773E-3</v>
      </c>
      <c r="Y112" s="166" t="s">
        <v>296</v>
      </c>
      <c r="Z112" s="170">
        <v>0</v>
      </c>
      <c r="AA112" s="166" t="s">
        <v>296</v>
      </c>
      <c r="AB112" s="170">
        <v>0</v>
      </c>
      <c r="AC112" s="166" t="s">
        <v>296</v>
      </c>
      <c r="AD112" s="171">
        <f>VLOOKUP($A$112,Tesoro_emis!$A$5:$AA$50,12,FALSE)</f>
        <v>1.3489224474745197E-4</v>
      </c>
      <c r="AE112" s="166" t="s">
        <v>296</v>
      </c>
      <c r="AF112" s="171">
        <f>VLOOKUP($A$112,Tesoro_emis!$A$5:$AA$50,12,FALSE)</f>
        <v>1.3489224474745197E-4</v>
      </c>
      <c r="AG112" s="167" t="s">
        <v>293</v>
      </c>
    </row>
    <row r="113" spans="1:12">
      <c r="A113" s="166">
        <f t="shared" si="1"/>
        <v>37</v>
      </c>
      <c r="B113" s="166" t="s">
        <v>293</v>
      </c>
      <c r="C113" s="166" t="s">
        <v>297</v>
      </c>
      <c r="H113" s="168"/>
      <c r="I113" s="168"/>
      <c r="J113" s="168"/>
      <c r="K113" s="168"/>
      <c r="L113" s="168"/>
    </row>
  </sheetData>
  <pageMargins left="0.7" right="0.7" top="0.75" bottom="0.75" header="0.3" footer="0.3"/>
  <pageSetup orientation="portrait" horizont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AO105"/>
  <sheetViews>
    <sheetView zoomScaleNormal="100" workbookViewId="0">
      <pane xSplit="4" ySplit="2" topLeftCell="E6" activePane="bottomRight" state="frozen"/>
      <selection activeCell="H16" sqref="H16"/>
      <selection pane="topRight" activeCell="H16" sqref="H16"/>
      <selection pane="bottomLeft" activeCell="H16" sqref="H16"/>
      <selection pane="bottomRight" activeCell="H16" sqref="H16"/>
    </sheetView>
  </sheetViews>
  <sheetFormatPr defaultColWidth="9.140625" defaultRowHeight="12.75"/>
  <cols>
    <col min="1" max="1" width="4.7109375" style="166" customWidth="1"/>
    <col min="2" max="2" width="3.42578125" style="166" customWidth="1"/>
    <col min="3" max="3" width="11.42578125" style="166" customWidth="1"/>
    <col min="4" max="4" width="13.7109375" style="166" customWidth="1"/>
    <col min="5" max="5" width="3.5703125" style="166" customWidth="1"/>
    <col min="6" max="6" width="6.5703125" style="166" customWidth="1"/>
    <col min="7" max="7" width="3" style="166" customWidth="1"/>
    <col min="8" max="8" width="6" style="166" customWidth="1"/>
    <col min="9" max="9" width="2.28515625" style="166" customWidth="1"/>
    <col min="10" max="10" width="5.7109375" style="166" customWidth="1"/>
    <col min="11" max="11" width="2.85546875" style="166" customWidth="1"/>
    <col min="12" max="12" width="7.42578125" style="166" customWidth="1"/>
    <col min="13" max="13" width="3.42578125" style="166" customWidth="1"/>
    <col min="14" max="14" width="6.28515625" style="166" customWidth="1"/>
    <col min="15" max="15" width="2.140625" style="166" customWidth="1"/>
    <col min="16" max="16" width="8.28515625" style="166" customWidth="1"/>
    <col min="17" max="17" width="2.7109375" style="166" customWidth="1"/>
    <col min="18" max="18" width="4.42578125" style="166" customWidth="1"/>
    <col min="19" max="19" width="2.85546875" style="166" customWidth="1"/>
    <col min="20" max="20" width="11" style="166" customWidth="1"/>
    <col min="21" max="21" width="2.5703125" style="166" customWidth="1"/>
    <col min="22" max="22" width="11" style="166" customWidth="1"/>
    <col min="23" max="23" width="2.5703125" style="166" customWidth="1"/>
    <col min="24" max="24" width="11" style="166" customWidth="1"/>
    <col min="25" max="25" width="2.5703125" style="166" customWidth="1"/>
    <col min="26" max="26" width="11" style="166" customWidth="1"/>
    <col min="27" max="27" width="2.5703125" style="166" customWidth="1"/>
    <col min="28" max="28" width="11" style="166" customWidth="1"/>
    <col min="29" max="29" width="2.5703125" style="166" customWidth="1"/>
    <col min="30" max="30" width="11" style="166" customWidth="1"/>
    <col min="31" max="31" width="2.5703125" style="166" customWidth="1"/>
    <col min="32" max="32" width="11" style="166" customWidth="1"/>
    <col min="33" max="33" width="2.5703125" style="166" customWidth="1"/>
    <col min="34" max="34" width="11" style="166" customWidth="1"/>
    <col min="35" max="35" width="2.5703125" style="166" customWidth="1"/>
    <col min="36" max="36" width="11" style="166" customWidth="1"/>
    <col min="37" max="37" width="2.5703125" style="166" customWidth="1"/>
    <col min="38" max="38" width="11" style="166" customWidth="1"/>
    <col min="39" max="39" width="2.5703125" style="166" customWidth="1"/>
    <col min="40" max="40" width="11" style="166" customWidth="1"/>
    <col min="41" max="41" width="3.28515625" style="167" customWidth="1"/>
    <col min="42" max="16384" width="9.140625" style="166"/>
  </cols>
  <sheetData>
    <row r="1" spans="1:41">
      <c r="C1" s="198" t="s">
        <v>303</v>
      </c>
      <c r="D1" s="363" t="s">
        <v>539</v>
      </c>
      <c r="E1" s="363"/>
      <c r="F1" s="363"/>
      <c r="G1" s="363"/>
      <c r="H1" s="363"/>
      <c r="I1" s="363"/>
      <c r="J1" s="363"/>
      <c r="K1" s="363"/>
      <c r="L1" s="363"/>
      <c r="M1" s="363"/>
    </row>
    <row r="2" spans="1:41" s="198" customFormat="1">
      <c r="H2" s="261" t="s">
        <v>279</v>
      </c>
      <c r="I2" s="261"/>
      <c r="J2" s="261" t="s">
        <v>280</v>
      </c>
      <c r="K2" s="261"/>
      <c r="L2" s="261" t="s">
        <v>281</v>
      </c>
      <c r="M2" s="261"/>
      <c r="N2" s="261" t="s">
        <v>282</v>
      </c>
      <c r="O2" s="261"/>
      <c r="P2" s="261" t="s">
        <v>283</v>
      </c>
      <c r="Q2" s="261"/>
      <c r="R2" s="261" t="s">
        <v>284</v>
      </c>
      <c r="S2" s="261"/>
      <c r="T2" s="261" t="s">
        <v>285</v>
      </c>
      <c r="U2" s="261"/>
      <c r="V2" s="261" t="s">
        <v>286</v>
      </c>
      <c r="W2" s="261"/>
      <c r="X2" s="261" t="s">
        <v>287</v>
      </c>
      <c r="Y2" s="261"/>
      <c r="Z2" s="261" t="s">
        <v>288</v>
      </c>
      <c r="AA2" s="261"/>
      <c r="AB2" s="261" t="s">
        <v>289</v>
      </c>
      <c r="AC2" s="261"/>
      <c r="AD2" s="261" t="s">
        <v>290</v>
      </c>
      <c r="AE2" s="261"/>
      <c r="AF2" s="261" t="s">
        <v>291</v>
      </c>
      <c r="AG2" s="261"/>
      <c r="AH2" s="261" t="s">
        <v>292</v>
      </c>
      <c r="AI2" s="261"/>
      <c r="AJ2" s="261" t="s">
        <v>336</v>
      </c>
      <c r="AK2" s="261"/>
      <c r="AL2" s="261" t="s">
        <v>379</v>
      </c>
      <c r="AM2" s="261"/>
      <c r="AN2" s="261" t="s">
        <v>301</v>
      </c>
      <c r="AO2" s="262"/>
    </row>
    <row r="3" spans="1:41">
      <c r="A3" s="166">
        <v>1</v>
      </c>
      <c r="B3" s="166" t="s">
        <v>293</v>
      </c>
      <c r="C3" s="166" t="s">
        <v>294</v>
      </c>
      <c r="D3" s="166" t="str">
        <f>VLOOKUP('CALPUFF Agrium ST'!A3,Agrium_HEA_emis!$A$15:$AD$42,2,FALSE)</f>
        <v>AG_11</v>
      </c>
      <c r="E3" s="166" t="s">
        <v>293</v>
      </c>
    </row>
    <row r="4" spans="1:41">
      <c r="A4" s="166">
        <v>1</v>
      </c>
      <c r="B4" s="166" t="s">
        <v>293</v>
      </c>
      <c r="C4" s="166" t="s">
        <v>295</v>
      </c>
      <c r="D4" s="168">
        <f>VLOOKUP($A$4,Agrium_HEA_emis!$A$15:$AD$44,6,FALSE)</f>
        <v>-20.902587548300001</v>
      </c>
      <c r="E4" s="168" t="s">
        <v>296</v>
      </c>
      <c r="F4" s="168">
        <f>VLOOKUP($A$4,Agrium_HEA_emis!$A$15:$AD$44,7,FALSE)</f>
        <v>186.31694709800001</v>
      </c>
      <c r="G4" s="168" t="s">
        <v>296</v>
      </c>
      <c r="H4" s="169">
        <f>VLOOKUP($A$4,Agrium_HEA_emis!$A$15:$AD$44,26,FALSE)</f>
        <v>8.5050000000000013E-4</v>
      </c>
      <c r="I4" s="166" t="s">
        <v>296</v>
      </c>
      <c r="J4" s="170">
        <f>VLOOKUP($A$4,Agrium_HEA_emis!$A$15:$AD$44,8,FALSE)</f>
        <v>39.6</v>
      </c>
      <c r="K4" s="166" t="s">
        <v>296</v>
      </c>
      <c r="L4" s="169">
        <f>VLOOKUP($A$4,Agrium_HEA_emis!$A$15:$AD$44,29,FALSE)</f>
        <v>45.72</v>
      </c>
      <c r="M4" s="166" t="s">
        <v>296</v>
      </c>
      <c r="N4" s="169">
        <f>VLOOKUP($A$4,Agrium_HEA_emis!$A$15:$AD$44,28,FALSE)</f>
        <v>394.26</v>
      </c>
      <c r="O4" s="166" t="s">
        <v>296</v>
      </c>
      <c r="P4" s="169">
        <f>VLOOKUP($A$4,Agrium_HEA_emis!$A$15:$AD$44,27,FALSE)</f>
        <v>9.14</v>
      </c>
      <c r="Q4" s="166" t="s">
        <v>296</v>
      </c>
      <c r="R4" s="170">
        <v>1</v>
      </c>
      <c r="S4" s="166" t="s">
        <v>296</v>
      </c>
      <c r="T4" s="171">
        <f>VLOOKUP($A$4,Agrium_HEA_emis!$A$15:$AD$44,14,FALSE)</f>
        <v>9.2639400000000006E-5</v>
      </c>
      <c r="U4" s="166" t="s">
        <v>296</v>
      </c>
      <c r="V4" s="171">
        <v>0</v>
      </c>
      <c r="W4" s="166" t="s">
        <v>296</v>
      </c>
      <c r="X4" s="171">
        <f>VLOOKUP($A$4,Agrium_HEA_emis!$A$15:$AD$44,9,FALSE)</f>
        <v>1.26E-2</v>
      </c>
      <c r="Y4" s="166" t="s">
        <v>296</v>
      </c>
      <c r="Z4" s="171">
        <v>0</v>
      </c>
      <c r="AA4" s="166" t="s">
        <v>296</v>
      </c>
      <c r="AB4" s="171">
        <v>0</v>
      </c>
      <c r="AC4" s="166" t="s">
        <v>296</v>
      </c>
      <c r="AD4" s="171" t="str">
        <f>VLOOKUP($A$4,Agrium_HEA_emis!$A$15:$AD$44,21,FALSE)</f>
        <v>Gas</v>
      </c>
      <c r="AE4" s="166" t="s">
        <v>296</v>
      </c>
      <c r="AF4" s="171">
        <f>VLOOKUP($A$4,Agrium_HEA_emis!$A$15:$AD$44,23,FALSE)</f>
        <v>2.8350000000000001E-4</v>
      </c>
      <c r="AG4" s="166" t="s">
        <v>296</v>
      </c>
      <c r="AH4" s="171">
        <f>VLOOKUP($A$4,Agrium_HEA_emis!$A$15:$AD$44,25,FALSE)</f>
        <v>8.5050000000000013E-4</v>
      </c>
      <c r="AI4" s="166" t="s">
        <v>296</v>
      </c>
      <c r="AJ4" s="171">
        <f>VLOOKUP($A$4,Agrium_HEA_emis!$A$15:$AD$44,11,FALSE)</f>
        <v>1.134E-3</v>
      </c>
      <c r="AK4" s="166" t="s">
        <v>296</v>
      </c>
      <c r="AL4" s="171">
        <f>VLOOKUP($A$4,Agrium_HEA_emis!$A$15:$AD$44,11,FALSE)</f>
        <v>1.134E-3</v>
      </c>
      <c r="AM4" s="166" t="s">
        <v>296</v>
      </c>
      <c r="AN4" s="171">
        <f>VLOOKUP($A$4,Agrium_HEA_emis!$A$15:$AD$44,18,FALSE)</f>
        <v>0.05</v>
      </c>
      <c r="AO4" s="167" t="s">
        <v>293</v>
      </c>
    </row>
    <row r="5" spans="1:41">
      <c r="A5" s="166">
        <v>1</v>
      </c>
      <c r="B5" s="166" t="s">
        <v>293</v>
      </c>
      <c r="C5" s="166" t="s">
        <v>297</v>
      </c>
      <c r="H5" s="168"/>
      <c r="I5" s="168"/>
      <c r="J5" s="168"/>
      <c r="K5" s="168"/>
      <c r="L5" s="168"/>
    </row>
    <row r="6" spans="1:41">
      <c r="A6" s="166">
        <f t="shared" ref="A6:A69" si="0">A3+1</f>
        <v>2</v>
      </c>
      <c r="B6" s="166" t="s">
        <v>293</v>
      </c>
      <c r="C6" s="166" t="s">
        <v>294</v>
      </c>
      <c r="D6" s="166" t="str">
        <f>VLOOKUP('CALPUFF Agrium ST'!A6,Agrium_HEA_emis!$A$15:$AD$42,2,FALSE)</f>
        <v>AG_12</v>
      </c>
      <c r="E6" s="166" t="s">
        <v>293</v>
      </c>
    </row>
    <row r="7" spans="1:41">
      <c r="A7" s="166">
        <f t="shared" si="0"/>
        <v>2</v>
      </c>
      <c r="B7" s="166" t="s">
        <v>293</v>
      </c>
      <c r="C7" s="166" t="s">
        <v>295</v>
      </c>
      <c r="D7" s="168">
        <f>VLOOKUP(A7,Agrium_HEA_emis!$A$15:$AD$44,6,FALSE)</f>
        <v>-20.885449767899999</v>
      </c>
      <c r="E7" s="168" t="s">
        <v>296</v>
      </c>
      <c r="F7" s="168">
        <f>VLOOKUP(A7,Agrium_HEA_emis!$A$15:$AD$44,7,FALSE)</f>
        <v>186.57868830699999</v>
      </c>
      <c r="G7" s="168" t="s">
        <v>296</v>
      </c>
      <c r="H7" s="169">
        <f>VLOOKUP(A7,Agrium_HEA_emis!$A$15:$AD$44,26,FALSE)</f>
        <v>0.95445000000000013</v>
      </c>
      <c r="I7" s="166" t="s">
        <v>296</v>
      </c>
      <c r="J7" s="170">
        <f>VLOOKUP(A7,Agrium_HEA_emis!$A$15:$AD$44,8,FALSE)</f>
        <v>39.6</v>
      </c>
      <c r="K7" s="166" t="s">
        <v>296</v>
      </c>
      <c r="L7" s="169">
        <f>VLOOKUP(A7,Agrium_HEA_emis!$A$15:$AD$44,29,FALSE)</f>
        <v>24.4</v>
      </c>
      <c r="M7" s="166" t="s">
        <v>296</v>
      </c>
      <c r="N7" s="169">
        <f>VLOOKUP(A7,Agrium_HEA_emis!$A$15:$AD$44,28,FALSE)</f>
        <v>526.48</v>
      </c>
      <c r="O7" s="166" t="s">
        <v>296</v>
      </c>
      <c r="P7" s="169">
        <f>VLOOKUP(A7,Agrium_HEA_emis!$A$15:$AD$44,27,FALSE)</f>
        <v>30.48</v>
      </c>
      <c r="Q7" s="166" t="s">
        <v>296</v>
      </c>
      <c r="R7" s="170">
        <v>1</v>
      </c>
      <c r="S7" s="166" t="s">
        <v>296</v>
      </c>
      <c r="T7" s="171">
        <f>VLOOKUP(A7,Agrium_HEA_emis!$A$15:$AD$44,14,FALSE)</f>
        <v>0.1007976</v>
      </c>
      <c r="U7" s="166" t="s">
        <v>296</v>
      </c>
      <c r="V7" s="171">
        <v>0</v>
      </c>
      <c r="W7" s="166" t="s">
        <v>296</v>
      </c>
      <c r="X7" s="171">
        <f>VLOOKUP(A7,Agrium_HEA_emis!$A$15:$AD$44,9,FALSE)</f>
        <v>3.4018999999999999</v>
      </c>
      <c r="Y7" s="166" t="s">
        <v>296</v>
      </c>
      <c r="Z7" s="171">
        <v>0</v>
      </c>
      <c r="AA7" s="166" t="s">
        <v>296</v>
      </c>
      <c r="AB7" s="171">
        <v>0</v>
      </c>
      <c r="AC7" s="166" t="s">
        <v>296</v>
      </c>
      <c r="AD7" s="171" t="str">
        <f>VLOOKUP(A7,Agrium_HEA_emis!$A$15:$AD$44,21,FALSE)</f>
        <v>Gas</v>
      </c>
      <c r="AE7" s="166" t="s">
        <v>296</v>
      </c>
      <c r="AF7" s="171">
        <f>VLOOKUP(A7,Agrium_HEA_emis!$A$15:$AD$44,23,FALSE)</f>
        <v>0.31814999999999999</v>
      </c>
      <c r="AG7" s="166" t="s">
        <v>296</v>
      </c>
      <c r="AH7" s="171">
        <f>VLOOKUP(A7,Agrium_HEA_emis!$A$15:$AD$44,25,FALSE)</f>
        <v>0.95445000000000013</v>
      </c>
      <c r="AI7" s="166" t="s">
        <v>296</v>
      </c>
      <c r="AJ7" s="171">
        <f>VLOOKUP($A$7,Agrium_HEA_emis!$A$15:$AD$44,11,FALSE)</f>
        <v>1.2726</v>
      </c>
      <c r="AK7" s="166" t="s">
        <v>296</v>
      </c>
      <c r="AL7" s="171">
        <f>VLOOKUP($A$7,Agrium_HEA_emis!$A$15:$AD$44,11,FALSE)</f>
        <v>1.2726</v>
      </c>
      <c r="AM7" s="166" t="s">
        <v>296</v>
      </c>
      <c r="AN7" s="171">
        <f>VLOOKUP($A$7,Agrium_HEA_emis!$A$15:$AD$44,18,FALSE)</f>
        <v>57.5</v>
      </c>
      <c r="AO7" s="167" t="s">
        <v>293</v>
      </c>
    </row>
    <row r="8" spans="1:41">
      <c r="A8" s="166">
        <f t="shared" si="0"/>
        <v>2</v>
      </c>
      <c r="B8" s="166" t="s">
        <v>293</v>
      </c>
      <c r="C8" s="166" t="s">
        <v>297</v>
      </c>
      <c r="H8" s="168"/>
      <c r="I8" s="168"/>
      <c r="J8" s="168"/>
      <c r="K8" s="168"/>
      <c r="L8" s="168"/>
    </row>
    <row r="9" spans="1:41">
      <c r="A9" s="166">
        <f t="shared" si="0"/>
        <v>3</v>
      </c>
      <c r="B9" s="166" t="s">
        <v>293</v>
      </c>
      <c r="C9" s="166" t="s">
        <v>294</v>
      </c>
      <c r="D9" s="166" t="str">
        <f>VLOOKUP('CALPUFF Agrium ST'!A9,Agrium_HEA_emis!$A$15:$AD$42,2,FALSE)</f>
        <v>AG_13</v>
      </c>
      <c r="E9" s="166" t="s">
        <v>293</v>
      </c>
    </row>
    <row r="10" spans="1:41">
      <c r="A10" s="166">
        <f t="shared" si="0"/>
        <v>3</v>
      </c>
      <c r="B10" s="166" t="s">
        <v>293</v>
      </c>
      <c r="C10" s="166" t="s">
        <v>295</v>
      </c>
      <c r="D10" s="168">
        <f>VLOOKUP(A10,Agrium_HEA_emis!$A$15:$AD$44,6,FALSE)</f>
        <v>-20.873242305200002</v>
      </c>
      <c r="E10" s="168" t="s">
        <v>296</v>
      </c>
      <c r="F10" s="168">
        <f>VLOOKUP(A10,Agrium_HEA_emis!$A$15:$AD$44,7,FALSE)</f>
        <v>186.60102861300001</v>
      </c>
      <c r="G10" s="168" t="s">
        <v>296</v>
      </c>
      <c r="H10" s="169">
        <f>VLOOKUP(A10,Agrium_HEA_emis!$A$15:$AD$44,26,FALSE)</f>
        <v>7.5600000000000014E-2</v>
      </c>
      <c r="I10" s="166" t="s">
        <v>296</v>
      </c>
      <c r="J10" s="170">
        <f>VLOOKUP(A10,Agrium_HEA_emis!$A$15:$AD$44,8,FALSE)</f>
        <v>39.6</v>
      </c>
      <c r="K10" s="166" t="s">
        <v>296</v>
      </c>
      <c r="L10" s="169">
        <f>VLOOKUP(A10,Agrium_HEA_emis!$A$15:$AD$44,29,FALSE)</f>
        <v>13.53</v>
      </c>
      <c r="M10" s="166" t="s">
        <v>296</v>
      </c>
      <c r="N10" s="169">
        <f>VLOOKUP(A10,Agrium_HEA_emis!$A$15:$AD$44,28,FALSE)</f>
        <v>1033.1500000000001</v>
      </c>
      <c r="O10" s="166" t="s">
        <v>296</v>
      </c>
      <c r="P10" s="169">
        <f>VLOOKUP(A10,Agrium_HEA_emis!$A$15:$AD$44,27,FALSE)</f>
        <v>27.43</v>
      </c>
      <c r="Q10" s="166" t="s">
        <v>296</v>
      </c>
      <c r="R10" s="170">
        <v>1</v>
      </c>
      <c r="S10" s="166" t="s">
        <v>296</v>
      </c>
      <c r="T10" s="171">
        <f>VLOOKUP(A10,Agrium_HEA_emis!$A$15:$AD$44,14,FALSE)</f>
        <v>0</v>
      </c>
      <c r="U10" s="166" t="s">
        <v>296</v>
      </c>
      <c r="V10" s="171">
        <v>0</v>
      </c>
      <c r="W10" s="166" t="s">
        <v>296</v>
      </c>
      <c r="X10" s="171">
        <f>VLOOKUP(A10,Agrium_HEA_emis!$A$15:$AD$44,9,FALSE)</f>
        <v>0</v>
      </c>
      <c r="Y10" s="166" t="s">
        <v>296</v>
      </c>
      <c r="Z10" s="171">
        <v>0</v>
      </c>
      <c r="AA10" s="166" t="s">
        <v>296</v>
      </c>
      <c r="AB10" s="171">
        <v>0</v>
      </c>
      <c r="AC10" s="166" t="s">
        <v>296</v>
      </c>
      <c r="AD10" s="171" t="str">
        <f>VLOOKUP(A10,Agrium_HEA_emis!$A$15:$AD$44,21,FALSE)</f>
        <v>Gas</v>
      </c>
      <c r="AE10" s="166" t="s">
        <v>296</v>
      </c>
      <c r="AF10" s="171">
        <f>VLOOKUP(A10,Agrium_HEA_emis!$A$15:$AD$44,23,FALSE)</f>
        <v>2.52E-2</v>
      </c>
      <c r="AG10" s="166" t="s">
        <v>296</v>
      </c>
      <c r="AH10" s="171">
        <f>VLOOKUP(A10,Agrium_HEA_emis!$A$15:$AD$44,25,FALSE)</f>
        <v>7.5600000000000014E-2</v>
      </c>
      <c r="AI10" s="166" t="s">
        <v>296</v>
      </c>
      <c r="AJ10" s="171">
        <f>VLOOKUP($A$10,Agrium_HEA_emis!$A$15:$AD$44,11,FALSE)</f>
        <v>0.1008</v>
      </c>
      <c r="AK10" s="166" t="s">
        <v>296</v>
      </c>
      <c r="AL10" s="171">
        <f>VLOOKUP($A$10,Agrium_HEA_emis!$A$15:$AD$44,11,FALSE)</f>
        <v>0.1008</v>
      </c>
      <c r="AM10" s="166" t="s">
        <v>296</v>
      </c>
      <c r="AN10" s="171">
        <f>VLOOKUP($A$10,Agrium_HEA_emis!$A$15:$AD$44,18,FALSE)</f>
        <v>0.8</v>
      </c>
      <c r="AO10" s="167" t="s">
        <v>293</v>
      </c>
    </row>
    <row r="11" spans="1:41">
      <c r="A11" s="166">
        <f t="shared" si="0"/>
        <v>3</v>
      </c>
      <c r="B11" s="166" t="s">
        <v>293</v>
      </c>
      <c r="C11" s="197" t="s">
        <v>313</v>
      </c>
      <c r="H11" s="168"/>
      <c r="I11" s="168"/>
      <c r="J11" s="168"/>
      <c r="K11" s="168"/>
      <c r="L11" s="168"/>
    </row>
    <row r="12" spans="1:41">
      <c r="A12" s="166">
        <f t="shared" si="0"/>
        <v>4</v>
      </c>
      <c r="B12" s="166" t="s">
        <v>293</v>
      </c>
      <c r="C12" s="166" t="s">
        <v>294</v>
      </c>
      <c r="D12" s="166" t="str">
        <f>VLOOKUP('CALPUFF Agrium ST'!A12,Agrium_HEA_emis!$A$15:$AD$42,2,FALSE)</f>
        <v>AG_14</v>
      </c>
      <c r="E12" s="166" t="s">
        <v>293</v>
      </c>
    </row>
    <row r="13" spans="1:41">
      <c r="A13" s="166">
        <f t="shared" si="0"/>
        <v>4</v>
      </c>
      <c r="B13" s="166" t="s">
        <v>293</v>
      </c>
      <c r="C13" s="166" t="s">
        <v>295</v>
      </c>
      <c r="D13" s="168">
        <f>VLOOKUP(A13,Agrium_HEA_emis!$A$15:$AD$44,6,FALSE)</f>
        <v>-20.803375611900002</v>
      </c>
      <c r="E13" s="168" t="s">
        <v>296</v>
      </c>
      <c r="F13" s="168">
        <f>VLOOKUP(A13,Agrium_HEA_emis!$A$15:$AD$44,7,FALSE)</f>
        <v>186.56349881099999</v>
      </c>
      <c r="G13" s="168" t="s">
        <v>296</v>
      </c>
      <c r="H13" s="169">
        <f>VLOOKUP(A13,Agrium_HEA_emis!$A$15:$AD$44,26,FALSE)</f>
        <v>0</v>
      </c>
      <c r="I13" s="166" t="s">
        <v>296</v>
      </c>
      <c r="J13" s="170">
        <f>VLOOKUP(A13,Agrium_HEA_emis!$A$15:$AD$44,8,FALSE)</f>
        <v>39.6</v>
      </c>
      <c r="K13" s="166" t="s">
        <v>296</v>
      </c>
      <c r="L13" s="169">
        <f>VLOOKUP(A13,Agrium_HEA_emis!$A$15:$AD$44,29,FALSE)</f>
        <v>26.91384</v>
      </c>
      <c r="M13" s="166" t="s">
        <v>296</v>
      </c>
      <c r="N13" s="169">
        <f>VLOOKUP(A13,Agrium_HEA_emis!$A$15:$AD$44,28,FALSE)</f>
        <v>348.15</v>
      </c>
      <c r="O13" s="166" t="s">
        <v>296</v>
      </c>
      <c r="P13" s="169">
        <f>VLOOKUP(A13,Agrium_HEA_emis!$A$15:$AD$44,27,FALSE)</f>
        <v>46.9392</v>
      </c>
      <c r="Q13" s="166" t="s">
        <v>296</v>
      </c>
      <c r="R13" s="170">
        <v>1</v>
      </c>
      <c r="S13" s="166" t="s">
        <v>296</v>
      </c>
      <c r="T13" s="171">
        <f>VLOOKUP(A13,Agrium_HEA_emis!$A$15:$AD$44,14,FALSE)</f>
        <v>0</v>
      </c>
      <c r="U13" s="166" t="s">
        <v>296</v>
      </c>
      <c r="V13" s="171">
        <v>0</v>
      </c>
      <c r="W13" s="166" t="s">
        <v>296</v>
      </c>
      <c r="X13" s="171">
        <f>VLOOKUP(A13,Agrium_HEA_emis!$A$15:$AD$44,9,FALSE)</f>
        <v>0</v>
      </c>
      <c r="Y13" s="166" t="s">
        <v>296</v>
      </c>
      <c r="Z13" s="171">
        <v>0</v>
      </c>
      <c r="AA13" s="166" t="s">
        <v>296</v>
      </c>
      <c r="AB13" s="171">
        <v>0</v>
      </c>
      <c r="AC13" s="166" t="s">
        <v>296</v>
      </c>
      <c r="AD13" s="171">
        <f>VLOOKUP(A13,Agrium_HEA_emis!$A$15:$AD$44,21,FALSE)</f>
        <v>0</v>
      </c>
      <c r="AE13" s="166" t="s">
        <v>296</v>
      </c>
      <c r="AF13" s="171">
        <f>VLOOKUP(A13,Agrium_HEA_emis!$A$15:$AD$44,23,FALSE)</f>
        <v>0</v>
      </c>
      <c r="AG13" s="166" t="s">
        <v>296</v>
      </c>
      <c r="AH13" s="171">
        <f>VLOOKUP(A13,Agrium_HEA_emis!$A$15:$AD$44,25,FALSE)</f>
        <v>0</v>
      </c>
      <c r="AI13" s="166" t="s">
        <v>296</v>
      </c>
      <c r="AJ13" s="171">
        <f>VLOOKUP($A$13,Agrium_HEA_emis!$A$15:$AD$44,11,FALSE)</f>
        <v>0</v>
      </c>
      <c r="AK13" s="166" t="s">
        <v>296</v>
      </c>
      <c r="AL13" s="171">
        <f>VLOOKUP($A$13,Agrium_HEA_emis!$A$15:$AD$44,11,FALSE)</f>
        <v>0</v>
      </c>
      <c r="AM13" s="166" t="s">
        <v>296</v>
      </c>
      <c r="AN13" s="171">
        <f>VLOOKUP($A$13,Agrium_HEA_emis!$A$15:$AD$44,18,FALSE)</f>
        <v>12.7</v>
      </c>
      <c r="AO13" s="167" t="s">
        <v>293</v>
      </c>
    </row>
    <row r="14" spans="1:41">
      <c r="A14" s="166">
        <f t="shared" si="0"/>
        <v>4</v>
      </c>
      <c r="B14" s="166" t="s">
        <v>293</v>
      </c>
      <c r="C14" s="166" t="s">
        <v>297</v>
      </c>
      <c r="H14" s="168"/>
      <c r="I14" s="168"/>
      <c r="J14" s="168"/>
      <c r="K14" s="168"/>
      <c r="L14" s="168"/>
    </row>
    <row r="15" spans="1:41">
      <c r="A15" s="166">
        <f t="shared" si="0"/>
        <v>5</v>
      </c>
      <c r="B15" s="166" t="s">
        <v>293</v>
      </c>
      <c r="C15" s="166" t="s">
        <v>294</v>
      </c>
      <c r="D15" s="166" t="str">
        <f>VLOOKUP('CALPUFF Agrium ST'!A15,Agrium_HEA_emis!$A$15:$AD$42,2,FALSE)</f>
        <v>AG_16</v>
      </c>
      <c r="E15" s="166" t="s">
        <v>293</v>
      </c>
    </row>
    <row r="16" spans="1:41">
      <c r="A16" s="166">
        <f t="shared" si="0"/>
        <v>5</v>
      </c>
      <c r="B16" s="166" t="s">
        <v>293</v>
      </c>
      <c r="C16" s="166" t="s">
        <v>295</v>
      </c>
      <c r="D16" s="168">
        <f>VLOOKUP(A16,Agrium_HEA_emis!$A$15:$AD$44,6,FALSE)</f>
        <v>-20.7988027727</v>
      </c>
      <c r="E16" s="168" t="s">
        <v>296</v>
      </c>
      <c r="F16" s="168">
        <f>VLOOKUP(A16,Agrium_HEA_emis!$A$15:$AD$44,7,FALSE)</f>
        <v>186.55198457</v>
      </c>
      <c r="G16" s="168" t="s">
        <v>296</v>
      </c>
      <c r="H16" s="169">
        <f>VLOOKUP(A16,Agrium_HEA_emis!$A$15:$AD$44,26,FALSE)</f>
        <v>0</v>
      </c>
      <c r="I16" s="166" t="s">
        <v>296</v>
      </c>
      <c r="J16" s="170">
        <f>VLOOKUP(A16,Agrium_HEA_emis!$A$15:$AD$44,8,FALSE)</f>
        <v>39.6</v>
      </c>
      <c r="K16" s="166" t="s">
        <v>296</v>
      </c>
      <c r="L16" s="169">
        <f>VLOOKUP(A16,Agrium_HEA_emis!$A$15:$AD$44,29,FALSE)</f>
        <v>12.3</v>
      </c>
      <c r="M16" s="166" t="s">
        <v>296</v>
      </c>
      <c r="N16" s="169">
        <f>VLOOKUP(A16,Agrium_HEA_emis!$A$15:$AD$44,28,FALSE)</f>
        <v>366.5</v>
      </c>
      <c r="O16" s="166" t="s">
        <v>296</v>
      </c>
      <c r="P16" s="169">
        <f>VLOOKUP(A16,Agrium_HEA_emis!$A$15:$AD$44,27,FALSE)</f>
        <v>70</v>
      </c>
      <c r="Q16" s="166" t="s">
        <v>296</v>
      </c>
      <c r="R16" s="170">
        <v>1</v>
      </c>
      <c r="S16" s="166" t="s">
        <v>296</v>
      </c>
      <c r="T16" s="171">
        <f>VLOOKUP(A16,Agrium_HEA_emis!$A$15:$AD$44,14,FALSE)</f>
        <v>0</v>
      </c>
      <c r="U16" s="166" t="s">
        <v>296</v>
      </c>
      <c r="V16" s="171">
        <v>0</v>
      </c>
      <c r="W16" s="166" t="s">
        <v>296</v>
      </c>
      <c r="X16" s="171">
        <f>VLOOKUP(A16,Agrium_HEA_emis!$A$15:$AD$44,9,FALSE)</f>
        <v>0</v>
      </c>
      <c r="Y16" s="166" t="s">
        <v>296</v>
      </c>
      <c r="Z16" s="171">
        <v>0</v>
      </c>
      <c r="AA16" s="166" t="s">
        <v>296</v>
      </c>
      <c r="AB16" s="171">
        <v>0</v>
      </c>
      <c r="AC16" s="166" t="s">
        <v>296</v>
      </c>
      <c r="AD16" s="171">
        <f>VLOOKUP(A16,Agrium_HEA_emis!$A$15:$AD$44,21,FALSE)</f>
        <v>0</v>
      </c>
      <c r="AE16" s="166" t="s">
        <v>296</v>
      </c>
      <c r="AF16" s="171">
        <f>VLOOKUP(A16,Agrium_HEA_emis!$A$15:$AD$44,23,FALSE)</f>
        <v>0</v>
      </c>
      <c r="AG16" s="166" t="s">
        <v>296</v>
      </c>
      <c r="AH16" s="171">
        <f>VLOOKUP(A16,Agrium_HEA_emis!$A$15:$AD$44,25,FALSE)</f>
        <v>0</v>
      </c>
      <c r="AI16" s="166" t="s">
        <v>296</v>
      </c>
      <c r="AJ16" s="171">
        <f>VLOOKUP($A$16,Agrium_HEA_emis!$A$15:$AD$44,11,FALSE)</f>
        <v>0</v>
      </c>
      <c r="AK16" s="166" t="s">
        <v>296</v>
      </c>
      <c r="AL16" s="171">
        <f>VLOOKUP($A$16,Agrium_HEA_emis!$A$15:$AD$44,11,FALSE)</f>
        <v>0</v>
      </c>
      <c r="AM16" s="166" t="s">
        <v>296</v>
      </c>
      <c r="AN16" s="171">
        <f>VLOOKUP($A$16,Agrium_HEA_emis!$A$15:$AD$44,18,FALSE)</f>
        <v>4.5999999999999996</v>
      </c>
      <c r="AO16" s="167" t="s">
        <v>293</v>
      </c>
    </row>
    <row r="17" spans="1:41">
      <c r="A17" s="166">
        <f t="shared" si="0"/>
        <v>5</v>
      </c>
      <c r="B17" s="166" t="s">
        <v>293</v>
      </c>
      <c r="C17" s="166" t="s">
        <v>297</v>
      </c>
      <c r="H17" s="168"/>
      <c r="I17" s="168"/>
      <c r="J17" s="168"/>
      <c r="K17" s="168"/>
      <c r="L17" s="168"/>
    </row>
    <row r="18" spans="1:41">
      <c r="A18" s="166">
        <f t="shared" si="0"/>
        <v>6</v>
      </c>
      <c r="B18" s="166" t="s">
        <v>293</v>
      </c>
      <c r="C18" s="166" t="s">
        <v>294</v>
      </c>
      <c r="D18" s="166" t="str">
        <f>VLOOKUP('CALPUFF Agrium ST'!A18,Agrium_HEA_emis!$A$15:$AD$42,2,FALSE)</f>
        <v>AG_19</v>
      </c>
      <c r="E18" s="166" t="s">
        <v>293</v>
      </c>
    </row>
    <row r="19" spans="1:41">
      <c r="A19" s="166">
        <f t="shared" si="0"/>
        <v>6</v>
      </c>
      <c r="B19" s="166" t="s">
        <v>293</v>
      </c>
      <c r="C19" s="166" t="s">
        <v>295</v>
      </c>
      <c r="D19" s="168">
        <f>VLOOKUP(A19,Agrium_HEA_emis!$A$15:$AD$44,6,FALSE)</f>
        <v>-20.854742206499999</v>
      </c>
      <c r="E19" s="168" t="s">
        <v>296</v>
      </c>
      <c r="F19" s="168">
        <f>VLOOKUP(A19,Agrium_HEA_emis!$A$15:$AD$44,7,FALSE)</f>
        <v>186.576750777</v>
      </c>
      <c r="G19" s="168" t="s">
        <v>296</v>
      </c>
      <c r="H19" s="169">
        <f>VLOOKUP(A19,Agrium_HEA_emis!$A$15:$AD$44,26,FALSE)</f>
        <v>0</v>
      </c>
      <c r="I19" s="166" t="s">
        <v>296</v>
      </c>
      <c r="J19" s="170">
        <f>VLOOKUP(A19,Agrium_HEA_emis!$A$15:$AD$44,8,FALSE)</f>
        <v>39.6</v>
      </c>
      <c r="K19" s="166" t="s">
        <v>296</v>
      </c>
      <c r="L19" s="169">
        <f>VLOOKUP(A19,Agrium_HEA_emis!$A$15:$AD$44,29,FALSE)</f>
        <v>20</v>
      </c>
      <c r="M19" s="166" t="s">
        <v>296</v>
      </c>
      <c r="N19" s="169">
        <f>VLOOKUP(A19,Agrium_HEA_emis!$A$15:$AD$44,28,FALSE)</f>
        <v>373.15</v>
      </c>
      <c r="O19" s="166" t="s">
        <v>296</v>
      </c>
      <c r="P19" s="169">
        <f>VLOOKUP(A19,Agrium_HEA_emis!$A$15:$AD$44,27,FALSE)</f>
        <v>46</v>
      </c>
      <c r="Q19" s="166" t="s">
        <v>296</v>
      </c>
      <c r="R19" s="170">
        <v>1</v>
      </c>
      <c r="S19" s="166" t="s">
        <v>296</v>
      </c>
      <c r="T19" s="171">
        <f>VLOOKUP(A19,Agrium_HEA_emis!$A$15:$AD$44,14,FALSE)</f>
        <v>0</v>
      </c>
      <c r="U19" s="166" t="s">
        <v>296</v>
      </c>
      <c r="V19" s="171">
        <v>0</v>
      </c>
      <c r="W19" s="166" t="s">
        <v>296</v>
      </c>
      <c r="X19" s="171">
        <f>VLOOKUP(A19,Agrium_HEA_emis!$A$15:$AD$44,9,FALSE)</f>
        <v>0</v>
      </c>
      <c r="Y19" s="166" t="s">
        <v>296</v>
      </c>
      <c r="Z19" s="171">
        <v>0</v>
      </c>
      <c r="AA19" s="166" t="s">
        <v>296</v>
      </c>
      <c r="AB19" s="171">
        <v>0</v>
      </c>
      <c r="AC19" s="166" t="s">
        <v>296</v>
      </c>
      <c r="AD19" s="171">
        <f>VLOOKUP(A19,Agrium_HEA_emis!$A$15:$AD$44,21,FALSE)</f>
        <v>0</v>
      </c>
      <c r="AE19" s="166" t="s">
        <v>296</v>
      </c>
      <c r="AF19" s="171">
        <f>VLOOKUP(A19,Agrium_HEA_emis!$A$15:$AD$44,23,FALSE)</f>
        <v>0</v>
      </c>
      <c r="AG19" s="166" t="s">
        <v>296</v>
      </c>
      <c r="AH19" s="171">
        <f>VLOOKUP(A19,Agrium_HEA_emis!$A$15:$AD$44,25,FALSE)</f>
        <v>0</v>
      </c>
      <c r="AI19" s="166" t="s">
        <v>296</v>
      </c>
      <c r="AJ19" s="171">
        <f>VLOOKUP($A$19,Agrium_HEA_emis!$A$15:$AD$44,11,FALSE)</f>
        <v>0</v>
      </c>
      <c r="AK19" s="166" t="s">
        <v>296</v>
      </c>
      <c r="AL19" s="171">
        <f>VLOOKUP($A$19,Agrium_HEA_emis!$A$15:$AD$44,11,FALSE)</f>
        <v>0</v>
      </c>
      <c r="AM19" s="166" t="s">
        <v>296</v>
      </c>
      <c r="AN19" s="171">
        <f>VLOOKUP($A$19,Agrium_HEA_emis!$A$15:$AD$44,18,FALSE)</f>
        <v>126.9</v>
      </c>
      <c r="AO19" s="167" t="s">
        <v>293</v>
      </c>
    </row>
    <row r="20" spans="1:41">
      <c r="A20" s="166">
        <f t="shared" si="0"/>
        <v>6</v>
      </c>
      <c r="B20" s="166" t="s">
        <v>293</v>
      </c>
      <c r="C20" s="166" t="s">
        <v>297</v>
      </c>
      <c r="H20" s="168"/>
      <c r="I20" s="168"/>
      <c r="J20" s="168"/>
      <c r="K20" s="168"/>
      <c r="L20" s="168"/>
    </row>
    <row r="21" spans="1:41">
      <c r="A21" s="166">
        <f t="shared" si="0"/>
        <v>7</v>
      </c>
      <c r="B21" s="166" t="s">
        <v>293</v>
      </c>
      <c r="C21" s="166" t="s">
        <v>294</v>
      </c>
      <c r="D21" s="166" t="str">
        <f>VLOOKUP('CALPUFF Agrium ST'!A21,Agrium_HEA_emis!$A$15:$AD$42,2,FALSE)</f>
        <v>AG_22</v>
      </c>
      <c r="E21" s="166" t="s">
        <v>293</v>
      </c>
    </row>
    <row r="22" spans="1:41">
      <c r="A22" s="166">
        <f t="shared" si="0"/>
        <v>7</v>
      </c>
      <c r="B22" s="166" t="s">
        <v>293</v>
      </c>
      <c r="C22" s="166" t="s">
        <v>295</v>
      </c>
      <c r="D22" s="168">
        <f>VLOOKUP(A22,Agrium_HEA_emis!$A$15:$AD$44,6,FALSE)</f>
        <v>-20.879104330200001</v>
      </c>
      <c r="E22" s="168" t="s">
        <v>296</v>
      </c>
      <c r="F22" s="168">
        <f>VLOOKUP(A22,Agrium_HEA_emis!$A$15:$AD$44,7,FALSE)</f>
        <v>186.64760402799999</v>
      </c>
      <c r="G22" s="168" t="s">
        <v>296</v>
      </c>
      <c r="H22" s="169">
        <f>VLOOKUP(A22,Agrium_HEA_emis!$A$15:$AD$44,26,FALSE)</f>
        <v>8.7885000000000014E-4</v>
      </c>
      <c r="I22" s="166" t="s">
        <v>296</v>
      </c>
      <c r="J22" s="170">
        <f>VLOOKUP(A22,Agrium_HEA_emis!$A$15:$AD$44,8,FALSE)</f>
        <v>39.6</v>
      </c>
      <c r="K22" s="166" t="s">
        <v>296</v>
      </c>
      <c r="L22" s="169">
        <f>VLOOKUP(A22,Agrium_HEA_emis!$A$15:$AD$44,29,FALSE)</f>
        <v>1.0900000000000001</v>
      </c>
      <c r="M22" s="166" t="s">
        <v>296</v>
      </c>
      <c r="N22" s="169">
        <f>VLOOKUP(A22,Agrium_HEA_emis!$A$15:$AD$44,28,FALSE)</f>
        <v>922.04</v>
      </c>
      <c r="O22" s="166" t="s">
        <v>296</v>
      </c>
      <c r="P22" s="169">
        <f>VLOOKUP(A22,Agrium_HEA_emis!$A$15:$AD$44,27,FALSE)</f>
        <v>74.98</v>
      </c>
      <c r="Q22" s="166" t="s">
        <v>296</v>
      </c>
      <c r="R22" s="170">
        <v>1</v>
      </c>
      <c r="S22" s="166" t="s">
        <v>296</v>
      </c>
      <c r="T22" s="171">
        <f>VLOOKUP(A22,Agrium_HEA_emis!$A$15:$AD$44,14,FALSE)</f>
        <v>9.2639400000000006E-5</v>
      </c>
      <c r="U22" s="166" t="s">
        <v>296</v>
      </c>
      <c r="V22" s="171">
        <v>0</v>
      </c>
      <c r="W22" s="166" t="s">
        <v>296</v>
      </c>
      <c r="X22" s="171">
        <f>VLOOKUP(A22,Agrium_HEA_emis!$A$15:$AD$44,9,FALSE)</f>
        <v>1.0710000000000001E-2</v>
      </c>
      <c r="Y22" s="166" t="s">
        <v>296</v>
      </c>
      <c r="Z22" s="171">
        <v>0</v>
      </c>
      <c r="AA22" s="166" t="s">
        <v>296</v>
      </c>
      <c r="AB22" s="171">
        <v>0</v>
      </c>
      <c r="AC22" s="166" t="s">
        <v>296</v>
      </c>
      <c r="AD22" s="171" t="str">
        <f>VLOOKUP(A22,Agrium_HEA_emis!$A$15:$AD$44,21,FALSE)</f>
        <v>Gas</v>
      </c>
      <c r="AE22" s="166" t="s">
        <v>296</v>
      </c>
      <c r="AF22" s="171">
        <f>VLOOKUP(A22,Agrium_HEA_emis!$A$15:$AD$44,23,FALSE)</f>
        <v>2.9294999999999999E-4</v>
      </c>
      <c r="AG22" s="166" t="s">
        <v>296</v>
      </c>
      <c r="AH22" s="171">
        <f>VLOOKUP(A22,Agrium_HEA_emis!$A$15:$AD$44,25,FALSE)</f>
        <v>8.7885000000000014E-4</v>
      </c>
      <c r="AI22" s="166" t="s">
        <v>296</v>
      </c>
      <c r="AJ22" s="171">
        <f>VLOOKUP($A$22,Agrium_HEA_emis!$A$15:$AD$44,11,FALSE)</f>
        <v>1.1718E-3</v>
      </c>
      <c r="AK22" s="166" t="s">
        <v>296</v>
      </c>
      <c r="AL22" s="171">
        <f>VLOOKUP($A$22,Agrium_HEA_emis!$A$15:$AD$44,11,FALSE)</f>
        <v>1.1718E-3</v>
      </c>
      <c r="AM22" s="166" t="s">
        <v>296</v>
      </c>
      <c r="AN22" s="171">
        <f>VLOOKUP($A$22,Agrium_HEA_emis!$A$15:$AD$44,18,FALSE)</f>
        <v>2</v>
      </c>
      <c r="AO22" s="167" t="s">
        <v>293</v>
      </c>
    </row>
    <row r="23" spans="1:41">
      <c r="A23" s="166">
        <f t="shared" si="0"/>
        <v>7</v>
      </c>
      <c r="B23" s="166" t="s">
        <v>293</v>
      </c>
      <c r="C23" s="166" t="s">
        <v>297</v>
      </c>
      <c r="H23" s="168"/>
      <c r="I23" s="168"/>
      <c r="J23" s="168"/>
      <c r="K23" s="168"/>
      <c r="L23" s="168"/>
    </row>
    <row r="24" spans="1:41">
      <c r="A24" s="166">
        <f t="shared" si="0"/>
        <v>8</v>
      </c>
      <c r="B24" s="166" t="s">
        <v>293</v>
      </c>
      <c r="C24" s="166" t="s">
        <v>294</v>
      </c>
      <c r="D24" s="166" t="str">
        <f>VLOOKUP('CALPUFF Agrium ST'!A24,Agrium_HEA_emis!$A$15:$AD$42,2,FALSE)</f>
        <v>AG_23</v>
      </c>
      <c r="E24" s="166" t="s">
        <v>293</v>
      </c>
    </row>
    <row r="25" spans="1:41">
      <c r="A25" s="166">
        <f t="shared" si="0"/>
        <v>8</v>
      </c>
      <c r="B25" s="166" t="s">
        <v>293</v>
      </c>
      <c r="C25" s="166" t="s">
        <v>295</v>
      </c>
      <c r="D25" s="168">
        <f>VLOOKUP(A25,Agrium_HEA_emis!$A$15:$AD$44,6,FALSE)</f>
        <v>-20.879104330200001</v>
      </c>
      <c r="E25" s="168" t="s">
        <v>296</v>
      </c>
      <c r="F25" s="168">
        <f>VLOOKUP(A25,Agrium_HEA_emis!$A$15:$AD$44,7,FALSE)</f>
        <v>186.64760402799999</v>
      </c>
      <c r="G25" s="168" t="s">
        <v>296</v>
      </c>
      <c r="H25" s="169">
        <f>VLOOKUP(A25,Agrium_HEA_emis!$A$15:$AD$44,26,FALSE)</f>
        <v>2.8349250000000005E-4</v>
      </c>
      <c r="I25" s="166" t="s">
        <v>296</v>
      </c>
      <c r="J25" s="170">
        <f>VLOOKUP(A25,Agrium_HEA_emis!$A$15:$AD$44,8,FALSE)</f>
        <v>39.6</v>
      </c>
      <c r="K25" s="166" t="s">
        <v>296</v>
      </c>
      <c r="L25" s="169">
        <f>VLOOKUP(A25,Agrium_HEA_emis!$A$15:$AD$44,29,FALSE)</f>
        <v>121.92</v>
      </c>
      <c r="M25" s="166" t="s">
        <v>296</v>
      </c>
      <c r="N25" s="169">
        <f>VLOOKUP(A25,Agrium_HEA_emis!$A$15:$AD$44,28,FALSE)</f>
        <v>922.04</v>
      </c>
      <c r="O25" s="166" t="s">
        <v>296</v>
      </c>
      <c r="P25" s="169">
        <f>VLOOKUP(A25,Agrium_HEA_emis!$A$15:$AD$44,27,FALSE)</f>
        <v>74.98</v>
      </c>
      <c r="Q25" s="166" t="s">
        <v>296</v>
      </c>
      <c r="R25" s="170">
        <v>1</v>
      </c>
      <c r="S25" s="166" t="s">
        <v>296</v>
      </c>
      <c r="T25" s="171">
        <f>VLOOKUP(A25,Agrium_HEA_emis!$A$15:$AD$44,14,FALSE)</f>
        <v>2.9633100000000003E-5</v>
      </c>
      <c r="U25" s="166" t="s">
        <v>296</v>
      </c>
      <c r="V25" s="171">
        <v>0</v>
      </c>
      <c r="W25" s="166" t="s">
        <v>296</v>
      </c>
      <c r="X25" s="171">
        <f>VLOOKUP(A25,Agrium_HEA_emis!$A$15:$AD$44,9,FALSE)</f>
        <v>3.4018999999999998E-3</v>
      </c>
      <c r="Y25" s="166" t="s">
        <v>296</v>
      </c>
      <c r="Z25" s="171">
        <v>0</v>
      </c>
      <c r="AA25" s="166" t="s">
        <v>296</v>
      </c>
      <c r="AB25" s="171">
        <v>0</v>
      </c>
      <c r="AC25" s="166" t="s">
        <v>296</v>
      </c>
      <c r="AD25" s="171" t="str">
        <f>VLOOKUP(A25,Agrium_HEA_emis!$A$15:$AD$44,21,FALSE)</f>
        <v>Gas</v>
      </c>
      <c r="AE25" s="166" t="s">
        <v>296</v>
      </c>
      <c r="AF25" s="171">
        <f>VLOOKUP(A25,Agrium_HEA_emis!$A$15:$AD$44,23,FALSE)</f>
        <v>9.4497499999999994E-5</v>
      </c>
      <c r="AG25" s="166" t="s">
        <v>296</v>
      </c>
      <c r="AH25" s="171">
        <f>VLOOKUP(A25,Agrium_HEA_emis!$A$15:$AD$44,25,FALSE)</f>
        <v>2.8349250000000005E-4</v>
      </c>
      <c r="AI25" s="166" t="s">
        <v>296</v>
      </c>
      <c r="AJ25" s="171">
        <f>VLOOKUP($A$25,Agrium_HEA_emis!$A$15:$AD$44,11,FALSE)</f>
        <v>3.7798999999999998E-4</v>
      </c>
      <c r="AK25" s="166" t="s">
        <v>296</v>
      </c>
      <c r="AL25" s="171">
        <f>VLOOKUP($A$25,Agrium_HEA_emis!$A$15:$AD$44,11,FALSE)</f>
        <v>3.7798999999999998E-4</v>
      </c>
      <c r="AM25" s="166" t="s">
        <v>296</v>
      </c>
      <c r="AN25" s="171">
        <f>VLOOKUP($A$25,Agrium_HEA_emis!$A$15:$AD$44,18,FALSE)</f>
        <v>0.6</v>
      </c>
      <c r="AO25" s="167" t="s">
        <v>293</v>
      </c>
    </row>
    <row r="26" spans="1:41">
      <c r="A26" s="166">
        <f t="shared" si="0"/>
        <v>8</v>
      </c>
      <c r="B26" s="166" t="s">
        <v>293</v>
      </c>
      <c r="C26" s="166" t="s">
        <v>297</v>
      </c>
      <c r="H26" s="168"/>
      <c r="I26" s="168"/>
      <c r="J26" s="168"/>
      <c r="K26" s="168"/>
      <c r="L26" s="168"/>
    </row>
    <row r="27" spans="1:41">
      <c r="A27" s="166">
        <f t="shared" si="0"/>
        <v>9</v>
      </c>
      <c r="B27" s="166" t="s">
        <v>293</v>
      </c>
      <c r="C27" s="166" t="s">
        <v>294</v>
      </c>
      <c r="D27" s="166" t="str">
        <f>VLOOKUP('CALPUFF Agrium ST'!A27,Agrium_HEA_emis!$A$15:$AD$42,2,FALSE)</f>
        <v>AG_35</v>
      </c>
      <c r="E27" s="166" t="s">
        <v>293</v>
      </c>
    </row>
    <row r="28" spans="1:41">
      <c r="A28" s="166">
        <f t="shared" si="0"/>
        <v>9</v>
      </c>
      <c r="B28" s="166" t="s">
        <v>293</v>
      </c>
      <c r="C28" s="166" t="s">
        <v>295</v>
      </c>
      <c r="D28" s="168">
        <f>VLOOKUP(A28,Agrium_HEA_emis!$A$15:$AD$44,6,FALSE)</f>
        <v>-20.921459580200001</v>
      </c>
      <c r="E28" s="168" t="s">
        <v>296</v>
      </c>
      <c r="F28" s="168">
        <f>VLOOKUP(A28,Agrium_HEA_emis!$A$15:$AD$44,7,FALSE)</f>
        <v>186.71011774199999</v>
      </c>
      <c r="G28" s="168" t="s">
        <v>296</v>
      </c>
      <c r="H28" s="169">
        <f>VLOOKUP(A28,Agrium_HEA_emis!$A$15:$AD$44,26,FALSE)</f>
        <v>1.26</v>
      </c>
      <c r="I28" s="166" t="s">
        <v>296</v>
      </c>
      <c r="J28" s="170">
        <f>VLOOKUP(A28,Agrium_HEA_emis!$A$15:$AD$44,8,FALSE)</f>
        <v>39.6</v>
      </c>
      <c r="K28" s="166" t="s">
        <v>296</v>
      </c>
      <c r="L28" s="169">
        <f>VLOOKUP(A28,Agrium_HEA_emis!$A$15:$AD$44,29,FALSE)</f>
        <v>11.5</v>
      </c>
      <c r="M28" s="166" t="s">
        <v>296</v>
      </c>
      <c r="N28" s="169">
        <f>VLOOKUP(A28,Agrium_HEA_emis!$A$15:$AD$44,28,FALSE)</f>
        <v>449.82</v>
      </c>
      <c r="O28" s="166" t="s">
        <v>296</v>
      </c>
      <c r="P28" s="169">
        <f>VLOOKUP(A28,Agrium_HEA_emis!$A$15:$AD$44,27,FALSE)</f>
        <v>42.67</v>
      </c>
      <c r="Q28" s="166" t="s">
        <v>296</v>
      </c>
      <c r="R28" s="170">
        <v>1</v>
      </c>
      <c r="S28" s="166" t="s">
        <v>296</v>
      </c>
      <c r="T28" s="171">
        <f>VLOOKUP(A28,Agrium_HEA_emis!$A$15:$AD$44,14,FALSE)</f>
        <v>0</v>
      </c>
      <c r="U28" s="166" t="s">
        <v>296</v>
      </c>
      <c r="V28" s="171">
        <v>0</v>
      </c>
      <c r="W28" s="166" t="s">
        <v>296</v>
      </c>
      <c r="X28" s="171">
        <f>VLOOKUP(A28,Agrium_HEA_emis!$A$15:$AD$44,9,FALSE)</f>
        <v>0</v>
      </c>
      <c r="Y28" s="166" t="s">
        <v>296</v>
      </c>
      <c r="Z28" s="171">
        <v>0</v>
      </c>
      <c r="AA28" s="166" t="s">
        <v>296</v>
      </c>
      <c r="AB28" s="171">
        <v>0</v>
      </c>
      <c r="AC28" s="166" t="s">
        <v>296</v>
      </c>
      <c r="AD28" s="171" t="str">
        <f>VLOOKUP(A28,Agrium_HEA_emis!$A$15:$AD$44,21,FALSE)</f>
        <v>N/A</v>
      </c>
      <c r="AE28" s="166" t="s">
        <v>296</v>
      </c>
      <c r="AF28" s="171">
        <f>VLOOKUP(A28,Agrium_HEA_emis!$A$15:$AD$44,23,FALSE)</f>
        <v>0</v>
      </c>
      <c r="AG28" s="166" t="s">
        <v>296</v>
      </c>
      <c r="AH28" s="171">
        <f>VLOOKUP(A28,Agrium_HEA_emis!$A$15:$AD$44,25,FALSE)</f>
        <v>1.26</v>
      </c>
      <c r="AI28" s="166" t="s">
        <v>296</v>
      </c>
      <c r="AJ28" s="171">
        <f>VLOOKUP($A$28,Agrium_HEA_emis!$A$15:$AD$44,11,FALSE)</f>
        <v>1.26</v>
      </c>
      <c r="AK28" s="166" t="s">
        <v>296</v>
      </c>
      <c r="AL28" s="171">
        <f>VLOOKUP($A$28,Agrium_HEA_emis!$A$15:$AD$44,11,FALSE)</f>
        <v>1.26</v>
      </c>
      <c r="AM28" s="166" t="s">
        <v>296</v>
      </c>
      <c r="AN28" s="171" t="str">
        <f>VLOOKUP($A$28,Agrium_HEA_emis!$A$15:$AD$44,18,FALSE)</f>
        <v>--</v>
      </c>
      <c r="AO28" s="167" t="s">
        <v>293</v>
      </c>
    </row>
    <row r="29" spans="1:41">
      <c r="A29" s="166">
        <f t="shared" si="0"/>
        <v>9</v>
      </c>
      <c r="B29" s="166" t="s">
        <v>293</v>
      </c>
      <c r="C29" s="166" t="s">
        <v>297</v>
      </c>
      <c r="H29" s="168"/>
      <c r="I29" s="168"/>
      <c r="J29" s="168"/>
      <c r="K29" s="168"/>
      <c r="L29" s="168"/>
    </row>
    <row r="30" spans="1:41">
      <c r="A30" s="166">
        <f t="shared" si="0"/>
        <v>10</v>
      </c>
      <c r="B30" s="166" t="s">
        <v>293</v>
      </c>
      <c r="C30" s="166" t="s">
        <v>294</v>
      </c>
      <c r="D30" s="166" t="str">
        <f>VLOOKUP('CALPUFF Agrium ST'!A30,Agrium_HEA_emis!$A$15:$AD$42,2,FALSE)</f>
        <v>AG_36</v>
      </c>
      <c r="E30" s="166" t="s">
        <v>293</v>
      </c>
    </row>
    <row r="31" spans="1:41">
      <c r="A31" s="166">
        <f t="shared" si="0"/>
        <v>10</v>
      </c>
      <c r="B31" s="166" t="s">
        <v>293</v>
      </c>
      <c r="C31" s="166" t="s">
        <v>295</v>
      </c>
      <c r="D31" s="168">
        <f>VLOOKUP(A31,Agrium_HEA_emis!$A$15:$AD$44,6,FALSE)</f>
        <v>-20.904700652599999</v>
      </c>
      <c r="E31" s="168" t="s">
        <v>296</v>
      </c>
      <c r="F31" s="168">
        <f>VLOOKUP(A31,Agrium_HEA_emis!$A$15:$AD$44,7,FALSE)</f>
        <v>186.71645486400001</v>
      </c>
      <c r="G31" s="168" t="s">
        <v>296</v>
      </c>
      <c r="H31" s="169">
        <f>VLOOKUP(A31,Agrium_HEA_emis!$A$15:$AD$44,26,FALSE)</f>
        <v>1.26</v>
      </c>
      <c r="I31" s="166" t="s">
        <v>296</v>
      </c>
      <c r="J31" s="170">
        <f>VLOOKUP(A31,Agrium_HEA_emis!$A$15:$AD$44,8,FALSE)</f>
        <v>39.6</v>
      </c>
      <c r="K31" s="166" t="s">
        <v>296</v>
      </c>
      <c r="L31" s="169">
        <f>VLOOKUP(A31,Agrium_HEA_emis!$A$15:$AD$44,29,FALSE)</f>
        <v>11.5</v>
      </c>
      <c r="M31" s="166" t="s">
        <v>296</v>
      </c>
      <c r="N31" s="169">
        <f>VLOOKUP(A31,Agrium_HEA_emis!$A$15:$AD$44,28,FALSE)</f>
        <v>449.82</v>
      </c>
      <c r="O31" s="166" t="s">
        <v>296</v>
      </c>
      <c r="P31" s="169">
        <f>VLOOKUP(A31,Agrium_HEA_emis!$A$15:$AD$44,27,FALSE)</f>
        <v>42.67</v>
      </c>
      <c r="Q31" s="166" t="s">
        <v>296</v>
      </c>
      <c r="R31" s="170">
        <v>1</v>
      </c>
      <c r="S31" s="166" t="s">
        <v>296</v>
      </c>
      <c r="T31" s="171">
        <f>VLOOKUP(A31,Agrium_HEA_emis!$A$15:$AD$44,14,FALSE)</f>
        <v>0</v>
      </c>
      <c r="U31" s="166" t="s">
        <v>296</v>
      </c>
      <c r="V31" s="171">
        <v>0</v>
      </c>
      <c r="W31" s="166" t="s">
        <v>296</v>
      </c>
      <c r="X31" s="171">
        <f>VLOOKUP(A31,Agrium_HEA_emis!$A$15:$AD$44,9,FALSE)</f>
        <v>0</v>
      </c>
      <c r="Y31" s="166" t="s">
        <v>296</v>
      </c>
      <c r="Z31" s="171">
        <v>0</v>
      </c>
      <c r="AA31" s="166" t="s">
        <v>296</v>
      </c>
      <c r="AB31" s="171">
        <v>0</v>
      </c>
      <c r="AC31" s="166" t="s">
        <v>296</v>
      </c>
      <c r="AD31" s="171" t="str">
        <f>VLOOKUP(A31,Agrium_HEA_emis!$A$15:$AD$44,21,FALSE)</f>
        <v>N/A</v>
      </c>
      <c r="AE31" s="166" t="s">
        <v>296</v>
      </c>
      <c r="AF31" s="171">
        <f>VLOOKUP(A31,Agrium_HEA_emis!$A$15:$AD$44,23,FALSE)</f>
        <v>0</v>
      </c>
      <c r="AG31" s="166" t="s">
        <v>296</v>
      </c>
      <c r="AH31" s="171">
        <f>VLOOKUP(A31,Agrium_HEA_emis!$A$15:$AD$44,25,FALSE)</f>
        <v>1.26</v>
      </c>
      <c r="AI31" s="166" t="s">
        <v>296</v>
      </c>
      <c r="AJ31" s="171">
        <f>VLOOKUP($A$31,Agrium_HEA_emis!$A$15:$AD$44,11,FALSE)</f>
        <v>1.26</v>
      </c>
      <c r="AK31" s="166" t="s">
        <v>296</v>
      </c>
      <c r="AL31" s="171">
        <f>VLOOKUP($A$31,Agrium_HEA_emis!$A$15:$AD$44,11,FALSE)</f>
        <v>1.26</v>
      </c>
      <c r="AM31" s="166" t="s">
        <v>296</v>
      </c>
      <c r="AN31" s="171" t="str">
        <f>VLOOKUP($A$31,Agrium_HEA_emis!$A$15:$AD$44,18,FALSE)</f>
        <v>--</v>
      </c>
      <c r="AO31" s="167" t="s">
        <v>293</v>
      </c>
    </row>
    <row r="32" spans="1:41">
      <c r="A32" s="166">
        <f t="shared" si="0"/>
        <v>10</v>
      </c>
      <c r="B32" s="166" t="s">
        <v>293</v>
      </c>
      <c r="C32" s="166" t="s">
        <v>297</v>
      </c>
      <c r="H32" s="168"/>
      <c r="I32" s="168"/>
      <c r="J32" s="168"/>
      <c r="K32" s="168"/>
      <c r="L32" s="168"/>
    </row>
    <row r="33" spans="1:41">
      <c r="A33" s="166">
        <f t="shared" si="0"/>
        <v>11</v>
      </c>
      <c r="B33" s="166" t="s">
        <v>293</v>
      </c>
      <c r="C33" s="166" t="s">
        <v>294</v>
      </c>
      <c r="D33" s="166" t="str">
        <f>VLOOKUP('CALPUFF Agrium ST'!A33,Agrium_HEA_emis!$A$15:$AD$42,2,FALSE)</f>
        <v>AG_40W</v>
      </c>
      <c r="E33" s="166" t="s">
        <v>293</v>
      </c>
    </row>
    <row r="34" spans="1:41">
      <c r="A34" s="166">
        <f t="shared" si="0"/>
        <v>11</v>
      </c>
      <c r="B34" s="166" t="s">
        <v>293</v>
      </c>
      <c r="C34" s="166" t="s">
        <v>295</v>
      </c>
      <c r="D34" s="168">
        <f>VLOOKUP(A34,Agrium_HEA_emis!$A$15:$AD$44,6,FALSE)</f>
        <v>-20.926436082399999</v>
      </c>
      <c r="E34" s="168" t="s">
        <v>296</v>
      </c>
      <c r="F34" s="168">
        <f>VLOOKUP(A34,Agrium_HEA_emis!$A$15:$AD$44,7,FALSE)</f>
        <v>186.73215998200001</v>
      </c>
      <c r="G34" s="168" t="s">
        <v>296</v>
      </c>
      <c r="H34" s="169">
        <f>VLOOKUP(A34,Agrium_HEA_emis!$A$15:$AD$44,26,FALSE)</f>
        <v>8.8199E-5</v>
      </c>
      <c r="I34" s="166" t="s">
        <v>296</v>
      </c>
      <c r="J34" s="170">
        <f>VLOOKUP(A34,Agrium_HEA_emis!$A$15:$AD$44,8,FALSE)</f>
        <v>39.6</v>
      </c>
      <c r="K34" s="166" t="s">
        <v>296</v>
      </c>
      <c r="L34" s="169">
        <f>VLOOKUP(A34,Agrium_HEA_emis!$A$15:$AD$44,29,FALSE)</f>
        <v>2.8</v>
      </c>
      <c r="M34" s="166" t="s">
        <v>296</v>
      </c>
      <c r="N34" s="169">
        <f>VLOOKUP(A34,Agrium_HEA_emis!$A$15:$AD$44,28,FALSE)</f>
        <v>288.70999999999998</v>
      </c>
      <c r="O34" s="166" t="s">
        <v>296</v>
      </c>
      <c r="P34" s="214">
        <v>250</v>
      </c>
      <c r="Q34" s="166" t="s">
        <v>296</v>
      </c>
      <c r="R34" s="170">
        <v>1</v>
      </c>
      <c r="S34" s="166" t="s">
        <v>296</v>
      </c>
      <c r="T34" s="171">
        <f>VLOOKUP(A34,Agrium_HEA_emis!$A$15:$AD$44,14,FALSE)</f>
        <v>0</v>
      </c>
      <c r="U34" s="166" t="s">
        <v>296</v>
      </c>
      <c r="V34" s="171">
        <v>0</v>
      </c>
      <c r="W34" s="166" t="s">
        <v>296</v>
      </c>
      <c r="X34" s="171">
        <f>VLOOKUP(A34,Agrium_HEA_emis!$A$15:$AD$44,9,FALSE)</f>
        <v>0</v>
      </c>
      <c r="Y34" s="166" t="s">
        <v>296</v>
      </c>
      <c r="Z34" s="171">
        <v>0</v>
      </c>
      <c r="AA34" s="166" t="s">
        <v>296</v>
      </c>
      <c r="AB34" s="171">
        <v>0</v>
      </c>
      <c r="AC34" s="166" t="s">
        <v>296</v>
      </c>
      <c r="AD34" s="171" t="str">
        <f>VLOOKUP(A34,Agrium_HEA_emis!$A$15:$AD$44,21,FALSE)</f>
        <v>N/A</v>
      </c>
      <c r="AE34" s="166" t="s">
        <v>296</v>
      </c>
      <c r="AF34" s="171">
        <f>VLOOKUP(A34,Agrium_HEA_emis!$A$15:$AD$44,23,FALSE)</f>
        <v>0</v>
      </c>
      <c r="AG34" s="166" t="s">
        <v>296</v>
      </c>
      <c r="AH34" s="171">
        <f>VLOOKUP(A34,Agrium_HEA_emis!$A$15:$AD$44,25,FALSE)</f>
        <v>8.8199E-5</v>
      </c>
      <c r="AI34" s="166" t="s">
        <v>296</v>
      </c>
      <c r="AJ34" s="171">
        <f>VLOOKUP($A$34,Agrium_HEA_emis!$A$15:$AD$44,11,FALSE)</f>
        <v>8.8199E-5</v>
      </c>
      <c r="AK34" s="166" t="s">
        <v>296</v>
      </c>
      <c r="AL34" s="171">
        <f>VLOOKUP($A$34,Agrium_HEA_emis!$A$15:$AD$44,11,FALSE)</f>
        <v>8.8199E-5</v>
      </c>
      <c r="AM34" s="166" t="s">
        <v>296</v>
      </c>
      <c r="AN34" s="171" t="str">
        <f>VLOOKUP($A$34,Agrium_HEA_emis!$A$15:$AD$44,18,FALSE)</f>
        <v>--</v>
      </c>
      <c r="AO34" s="167" t="s">
        <v>293</v>
      </c>
    </row>
    <row r="35" spans="1:41">
      <c r="A35" s="166">
        <f t="shared" si="0"/>
        <v>11</v>
      </c>
      <c r="B35" s="166" t="s">
        <v>293</v>
      </c>
      <c r="C35" s="197" t="s">
        <v>313</v>
      </c>
      <c r="H35" s="168"/>
      <c r="I35" s="168"/>
      <c r="J35" s="168"/>
      <c r="K35" s="168"/>
      <c r="L35" s="168"/>
      <c r="P35" s="215"/>
    </row>
    <row r="36" spans="1:41">
      <c r="A36" s="166">
        <f t="shared" si="0"/>
        <v>12</v>
      </c>
      <c r="B36" s="166" t="s">
        <v>293</v>
      </c>
      <c r="C36" s="166" t="s">
        <v>294</v>
      </c>
      <c r="D36" s="166" t="str">
        <f>VLOOKUP('CALPUFF Agrium ST'!A36,Agrium_HEA_emis!$A$15:$AD$42,2,FALSE)</f>
        <v>AG_40E</v>
      </c>
      <c r="E36" s="166" t="s">
        <v>293</v>
      </c>
      <c r="P36" s="215"/>
    </row>
    <row r="37" spans="1:41">
      <c r="A37" s="166">
        <f t="shared" si="0"/>
        <v>12</v>
      </c>
      <c r="B37" s="166" t="s">
        <v>293</v>
      </c>
      <c r="C37" s="166" t="s">
        <v>295</v>
      </c>
      <c r="D37" s="168">
        <f>VLOOKUP(A37,Agrium_HEA_emis!$A$15:$AD$44,6,FALSE)</f>
        <v>-20.917298060099998</v>
      </c>
      <c r="E37" s="168" t="s">
        <v>296</v>
      </c>
      <c r="F37" s="168">
        <f>VLOOKUP(A37,Agrium_HEA_emis!$A$15:$AD$44,7,FALSE)</f>
        <v>186.735507125</v>
      </c>
      <c r="G37" s="168" t="s">
        <v>296</v>
      </c>
      <c r="H37" s="169">
        <f>VLOOKUP(A37,Agrium_HEA_emis!$A$15:$AD$44,26,FALSE)</f>
        <v>8.8199E-5</v>
      </c>
      <c r="I37" s="166" t="s">
        <v>296</v>
      </c>
      <c r="J37" s="170">
        <f>VLOOKUP(A37,Agrium_HEA_emis!$A$15:$AD$44,8,FALSE)</f>
        <v>39.6</v>
      </c>
      <c r="K37" s="166" t="s">
        <v>296</v>
      </c>
      <c r="L37" s="169">
        <f>VLOOKUP(A37,Agrium_HEA_emis!$A$15:$AD$44,29,FALSE)</f>
        <v>2.8</v>
      </c>
      <c r="M37" s="166" t="s">
        <v>296</v>
      </c>
      <c r="N37" s="169">
        <f>VLOOKUP(A37,Agrium_HEA_emis!$A$15:$AD$44,28,FALSE)</f>
        <v>288.70999999999998</v>
      </c>
      <c r="O37" s="166" t="s">
        <v>296</v>
      </c>
      <c r="P37" s="214">
        <v>250</v>
      </c>
      <c r="Q37" s="166" t="s">
        <v>296</v>
      </c>
      <c r="R37" s="170">
        <v>1</v>
      </c>
      <c r="S37" s="166" t="s">
        <v>296</v>
      </c>
      <c r="T37" s="171">
        <f>VLOOKUP(A37,Agrium_HEA_emis!$A$15:$AD$44,14,FALSE)</f>
        <v>0</v>
      </c>
      <c r="U37" s="166" t="s">
        <v>296</v>
      </c>
      <c r="V37" s="171">
        <v>0</v>
      </c>
      <c r="W37" s="166" t="s">
        <v>296</v>
      </c>
      <c r="X37" s="171">
        <f>VLOOKUP(A37,Agrium_HEA_emis!$A$15:$AD$44,9,FALSE)</f>
        <v>0</v>
      </c>
      <c r="Y37" s="166" t="s">
        <v>296</v>
      </c>
      <c r="Z37" s="171">
        <v>0</v>
      </c>
      <c r="AA37" s="166" t="s">
        <v>296</v>
      </c>
      <c r="AB37" s="171">
        <v>0</v>
      </c>
      <c r="AC37" s="166" t="s">
        <v>296</v>
      </c>
      <c r="AD37" s="171" t="str">
        <f>VLOOKUP(A37,Agrium_HEA_emis!$A$15:$AD$44,21,FALSE)</f>
        <v>N/A</v>
      </c>
      <c r="AE37" s="166" t="s">
        <v>296</v>
      </c>
      <c r="AF37" s="171">
        <f>VLOOKUP(A37,Agrium_HEA_emis!$A$15:$AD$44,23,FALSE)</f>
        <v>0</v>
      </c>
      <c r="AG37" s="166" t="s">
        <v>296</v>
      </c>
      <c r="AH37" s="171">
        <f>VLOOKUP(A37,Agrium_HEA_emis!$A$15:$AD$44,25,FALSE)</f>
        <v>8.8199E-5</v>
      </c>
      <c r="AI37" s="166" t="s">
        <v>296</v>
      </c>
      <c r="AJ37" s="171">
        <f>VLOOKUP($A$37,Agrium_HEA_emis!$A$15:$AD$44,11,FALSE)</f>
        <v>8.8199E-5</v>
      </c>
      <c r="AK37" s="166" t="s">
        <v>296</v>
      </c>
      <c r="AL37" s="171">
        <f>VLOOKUP($A$37,Agrium_HEA_emis!$A$15:$AD$44,11,FALSE)</f>
        <v>8.8199E-5</v>
      </c>
      <c r="AM37" s="166" t="s">
        <v>296</v>
      </c>
      <c r="AN37" s="171" t="str">
        <f>VLOOKUP($A$37,Agrium_HEA_emis!$A$15:$AD$44,18,FALSE)</f>
        <v>--</v>
      </c>
      <c r="AO37" s="167" t="s">
        <v>293</v>
      </c>
    </row>
    <row r="38" spans="1:41">
      <c r="A38" s="166">
        <f t="shared" si="0"/>
        <v>12</v>
      </c>
      <c r="B38" s="166" t="s">
        <v>293</v>
      </c>
      <c r="C38" s="197" t="s">
        <v>313</v>
      </c>
      <c r="H38" s="168"/>
      <c r="I38" s="168"/>
      <c r="J38" s="168"/>
      <c r="K38" s="168"/>
      <c r="L38" s="168"/>
    </row>
    <row r="39" spans="1:41">
      <c r="A39" s="166">
        <f t="shared" si="0"/>
        <v>13</v>
      </c>
      <c r="B39" s="166" t="s">
        <v>293</v>
      </c>
      <c r="C39" s="166" t="s">
        <v>294</v>
      </c>
      <c r="D39" s="166" t="str">
        <f>VLOOKUP('CALPUFF Agrium ST'!A39,Agrium_HEA_emis!$A$15:$AD$42,2,FALSE)</f>
        <v>AG_44</v>
      </c>
      <c r="E39" s="166" t="s">
        <v>293</v>
      </c>
    </row>
    <row r="40" spans="1:41">
      <c r="A40" s="166">
        <f t="shared" si="0"/>
        <v>13</v>
      </c>
      <c r="B40" s="166" t="s">
        <v>293</v>
      </c>
      <c r="C40" s="166" t="s">
        <v>295</v>
      </c>
      <c r="D40" s="168">
        <f>VLOOKUP($A$40,Agrium_HEA_emis!$A$15:$AD$44,6,FALSE)</f>
        <v>-20.779937955499999</v>
      </c>
      <c r="E40" s="168" t="s">
        <v>296</v>
      </c>
      <c r="F40" s="168">
        <f>VLOOKUP($A$40,Agrium_HEA_emis!$A$15:$AD$44,7,FALSE)</f>
        <v>186.47112884500001</v>
      </c>
      <c r="G40" s="168" t="s">
        <v>296</v>
      </c>
      <c r="H40" s="169">
        <f>VLOOKUP($A$40,Agrium_HEA_emis!$A$15:$AD$44,26,FALSE)</f>
        <v>0.17010000000000003</v>
      </c>
      <c r="I40" s="166" t="s">
        <v>296</v>
      </c>
      <c r="J40" s="170">
        <f>VLOOKUP($A$40,Agrium_HEA_emis!$A$15:$AD$44,8,FALSE)</f>
        <v>39.6</v>
      </c>
      <c r="K40" s="166" t="s">
        <v>296</v>
      </c>
      <c r="L40" s="169">
        <f>VLOOKUP($A$40,Agrium_HEA_emis!$A$15:$AD$44,29,FALSE)</f>
        <v>12.61</v>
      </c>
      <c r="M40" s="166" t="s">
        <v>296</v>
      </c>
      <c r="N40" s="169">
        <f>VLOOKUP($A$40,Agrium_HEA_emis!$A$15:$AD$44,28,FALSE)</f>
        <v>422.04</v>
      </c>
      <c r="O40" s="166" t="s">
        <v>296</v>
      </c>
      <c r="P40" s="169">
        <f>VLOOKUP($A$40,Agrium_HEA_emis!$A$15:$AD$44,27,FALSE)</f>
        <v>30.48</v>
      </c>
      <c r="Q40" s="166" t="s">
        <v>296</v>
      </c>
      <c r="R40" s="170">
        <v>1</v>
      </c>
      <c r="S40" s="166" t="s">
        <v>296</v>
      </c>
      <c r="T40" s="171">
        <f>VLOOKUP($A$40,Agrium_HEA_emis!$A$15:$AD$44,14,FALSE)</f>
        <v>1.7262E-2</v>
      </c>
      <c r="U40" s="166" t="s">
        <v>296</v>
      </c>
      <c r="V40" s="171">
        <v>0</v>
      </c>
      <c r="W40" s="166" t="s">
        <v>296</v>
      </c>
      <c r="X40" s="171">
        <f>VLOOKUP($A$40,Agrium_HEA_emis!$A$15:$AD$44,9,FALSE)</f>
        <v>0.30238999999999999</v>
      </c>
      <c r="Y40" s="166" t="s">
        <v>296</v>
      </c>
      <c r="Z40" s="171">
        <v>0</v>
      </c>
      <c r="AA40" s="166" t="s">
        <v>296</v>
      </c>
      <c r="AB40" s="171">
        <v>0</v>
      </c>
      <c r="AC40" s="166" t="s">
        <v>296</v>
      </c>
      <c r="AD40" s="171" t="str">
        <f>VLOOKUP($A$40,Agrium_HEA_emis!$A$15:$AD$44,21,FALSE)</f>
        <v>Gas</v>
      </c>
      <c r="AE40" s="166" t="s">
        <v>296</v>
      </c>
      <c r="AF40" s="171">
        <f>VLOOKUP($A$40,Agrium_HEA_emis!$A$15:$AD$44,23,FALSE)</f>
        <v>5.67E-2</v>
      </c>
      <c r="AG40" s="166" t="s">
        <v>296</v>
      </c>
      <c r="AH40" s="171">
        <f>VLOOKUP($A$40,Agrium_HEA_emis!$A$15:$AD$44,25,FALSE)</f>
        <v>0.17010000000000003</v>
      </c>
      <c r="AI40" s="166" t="s">
        <v>296</v>
      </c>
      <c r="AJ40" s="171">
        <f>VLOOKUP($A$40,Agrium_HEA_emis!$A$15:$AD$44,11,FALSE)</f>
        <v>0.2268</v>
      </c>
      <c r="AK40" s="166" t="s">
        <v>296</v>
      </c>
      <c r="AL40" s="171">
        <f>VLOOKUP($A$40,Agrium_HEA_emis!$A$15:$AD$44,11,FALSE)</f>
        <v>0.2268</v>
      </c>
      <c r="AM40" s="166" t="s">
        <v>296</v>
      </c>
      <c r="AN40" s="171">
        <f>VLOOKUP($A$40,Agrium_HEA_emis!$A$15:$AD$44,18,FALSE)</f>
        <v>9</v>
      </c>
      <c r="AO40" s="167" t="s">
        <v>293</v>
      </c>
    </row>
    <row r="41" spans="1:41">
      <c r="A41" s="166">
        <f t="shared" si="0"/>
        <v>13</v>
      </c>
      <c r="B41" s="166" t="s">
        <v>293</v>
      </c>
      <c r="C41" s="166" t="s">
        <v>297</v>
      </c>
      <c r="H41" s="168"/>
      <c r="I41" s="168"/>
      <c r="J41" s="168"/>
      <c r="K41" s="168"/>
      <c r="L41" s="168"/>
    </row>
    <row r="42" spans="1:41">
      <c r="A42" s="166">
        <f t="shared" si="0"/>
        <v>14</v>
      </c>
      <c r="B42" s="166" t="s">
        <v>293</v>
      </c>
      <c r="C42" s="166" t="s">
        <v>294</v>
      </c>
      <c r="D42" s="166" t="str">
        <f>VLOOKUP('CALPUFF Agrium ST'!A42,Agrium_HEA_emis!$A$15:$AD$42,2,FALSE)</f>
        <v>AG_47C</v>
      </c>
      <c r="E42" s="166" t="s">
        <v>293</v>
      </c>
    </row>
    <row r="43" spans="1:41">
      <c r="A43" s="166">
        <f t="shared" si="0"/>
        <v>14</v>
      </c>
      <c r="B43" s="166" t="s">
        <v>293</v>
      </c>
      <c r="C43" s="166" t="s">
        <v>295</v>
      </c>
      <c r="D43" s="168">
        <f>VLOOKUP($A$43,Agrium_HEA_emis!$A$15:$AD$44,6,FALSE)</f>
        <v>-20.975950976299998</v>
      </c>
      <c r="E43" s="168" t="s">
        <v>296</v>
      </c>
      <c r="F43" s="168">
        <f>VLOOKUP($A$43,Agrium_HEA_emis!$A$15:$AD$44,7,FALSE)</f>
        <v>186.39403102899999</v>
      </c>
      <c r="G43" s="168" t="s">
        <v>296</v>
      </c>
      <c r="H43" s="169">
        <f>VLOOKUP($A$43,Agrium_HEA_emis!$A$15:$AD$44,26,FALSE)</f>
        <v>3.6538999999999999E-3</v>
      </c>
      <c r="I43" s="166" t="s">
        <v>296</v>
      </c>
      <c r="J43" s="170">
        <f>VLOOKUP($A$43,Agrium_HEA_emis!$A$15:$AD$44,8,FALSE)</f>
        <v>39.6</v>
      </c>
      <c r="K43" s="166" t="s">
        <v>296</v>
      </c>
      <c r="L43" s="169">
        <f>VLOOKUP($A$43,Agrium_HEA_emis!$A$15:$AD$44,29,FALSE)</f>
        <v>11.48</v>
      </c>
      <c r="M43" s="166" t="s">
        <v>296</v>
      </c>
      <c r="N43" s="169">
        <f>VLOOKUP($A$43,Agrium_HEA_emis!$A$15:$AD$44,28,FALSE)</f>
        <v>-0.1</v>
      </c>
      <c r="O43" s="166" t="s">
        <v>296</v>
      </c>
      <c r="P43" s="169">
        <v>250</v>
      </c>
      <c r="Q43" s="166" t="s">
        <v>296</v>
      </c>
      <c r="R43" s="170">
        <v>1</v>
      </c>
      <c r="S43" s="166" t="s">
        <v>296</v>
      </c>
      <c r="T43" s="171">
        <f>VLOOKUP($A$43,Agrium_HEA_emis!$A$15:$AD$44,14,FALSE)</f>
        <v>0</v>
      </c>
      <c r="U43" s="166" t="s">
        <v>296</v>
      </c>
      <c r="V43" s="171">
        <v>0</v>
      </c>
      <c r="W43" s="166" t="s">
        <v>296</v>
      </c>
      <c r="X43" s="171">
        <f>VLOOKUP($A$43,Agrium_HEA_emis!$A$15:$AD$44,9,FALSE)</f>
        <v>0</v>
      </c>
      <c r="Y43" s="166" t="s">
        <v>296</v>
      </c>
      <c r="Z43" s="171">
        <v>0</v>
      </c>
      <c r="AA43" s="166" t="s">
        <v>296</v>
      </c>
      <c r="AB43" s="171">
        <v>0</v>
      </c>
      <c r="AC43" s="166" t="s">
        <v>296</v>
      </c>
      <c r="AD43" s="171" t="str">
        <f>VLOOKUP($A$43,Agrium_HEA_emis!$A$15:$AD$44,21,FALSE)</f>
        <v>N/A</v>
      </c>
      <c r="AE43" s="166" t="s">
        <v>296</v>
      </c>
      <c r="AF43" s="171">
        <f>VLOOKUP($A$43,Agrium_HEA_emis!$A$15:$AD$44,23,FALSE)</f>
        <v>0</v>
      </c>
      <c r="AG43" s="166" t="s">
        <v>296</v>
      </c>
      <c r="AH43" s="171">
        <f>VLOOKUP($A$43,Agrium_HEA_emis!$A$15:$AD$44,25,FALSE)</f>
        <v>3.6538999999999999E-3</v>
      </c>
      <c r="AI43" s="166" t="s">
        <v>296</v>
      </c>
      <c r="AJ43" s="171">
        <f>VLOOKUP($A$43,Agrium_HEA_emis!$A$15:$AD$44,11,FALSE)</f>
        <v>3.6538999999999999E-3</v>
      </c>
      <c r="AK43" s="166" t="s">
        <v>296</v>
      </c>
      <c r="AL43" s="171">
        <f>VLOOKUP($A$43,Agrium_HEA_emis!$A$15:$AD$44,11,FALSE)</f>
        <v>3.6538999999999999E-3</v>
      </c>
      <c r="AM43" s="166" t="s">
        <v>296</v>
      </c>
      <c r="AN43" s="171" t="str">
        <f>VLOOKUP($A$43,Agrium_HEA_emis!$A$15:$AD$44,18,FALSE)</f>
        <v>--</v>
      </c>
      <c r="AO43" s="167" t="s">
        <v>293</v>
      </c>
    </row>
    <row r="44" spans="1:41">
      <c r="A44" s="166">
        <f t="shared" si="0"/>
        <v>14</v>
      </c>
      <c r="B44" s="166" t="s">
        <v>293</v>
      </c>
      <c r="C44" s="166" t="s">
        <v>297</v>
      </c>
      <c r="H44" s="168"/>
      <c r="I44" s="168"/>
      <c r="J44" s="168"/>
      <c r="K44" s="168"/>
      <c r="L44" s="168"/>
    </row>
    <row r="45" spans="1:41">
      <c r="A45" s="166">
        <f t="shared" si="0"/>
        <v>15</v>
      </c>
      <c r="B45" s="166" t="s">
        <v>293</v>
      </c>
      <c r="C45" s="166" t="s">
        <v>294</v>
      </c>
      <c r="D45" s="166" t="str">
        <f>VLOOKUP('CALPUFF Agrium ST'!A45,Agrium_HEA_emis!$A$15:$AD$42,2,FALSE)</f>
        <v>AG_47D</v>
      </c>
      <c r="E45" s="166" t="s">
        <v>293</v>
      </c>
    </row>
    <row r="46" spans="1:41">
      <c r="A46" s="166">
        <f t="shared" si="0"/>
        <v>15</v>
      </c>
      <c r="B46" s="166" t="s">
        <v>293</v>
      </c>
      <c r="C46" s="166" t="s">
        <v>295</v>
      </c>
      <c r="D46" s="168">
        <f>VLOOKUP($A$46,Agrium_HEA_emis!$A$15:$AD$44,6,FALSE)</f>
        <v>-21.482529711800002</v>
      </c>
      <c r="E46" s="168" t="s">
        <v>296</v>
      </c>
      <c r="F46" s="168">
        <f>VLOOKUP($A$46,Agrium_HEA_emis!$A$15:$AD$44,7,FALSE)</f>
        <v>186.09424748000001</v>
      </c>
      <c r="G46" s="168" t="s">
        <v>296</v>
      </c>
      <c r="H46" s="169">
        <f>VLOOKUP($A$46,Agrium_HEA_emis!$A$15:$AD$44,26,FALSE)</f>
        <v>3.7799000000000001E-3</v>
      </c>
      <c r="I46" s="166" t="s">
        <v>296</v>
      </c>
      <c r="J46" s="170">
        <f>VLOOKUP($A$46,Agrium_HEA_emis!$A$15:$AD$44,8,FALSE)</f>
        <v>0</v>
      </c>
      <c r="K46" s="166" t="s">
        <v>296</v>
      </c>
      <c r="L46" s="169">
        <f>VLOOKUP($A$46,Agrium_HEA_emis!$A$15:$AD$44,29,FALSE)</f>
        <v>4.8499999999999996</v>
      </c>
      <c r="M46" s="166" t="s">
        <v>296</v>
      </c>
      <c r="N46" s="169">
        <f>VLOOKUP($A$46,Agrium_HEA_emis!$A$15:$AD$44,28,FALSE)</f>
        <v>-0.1</v>
      </c>
      <c r="O46" s="166" t="s">
        <v>296</v>
      </c>
      <c r="P46" s="169">
        <v>250</v>
      </c>
      <c r="Q46" s="166" t="s">
        <v>296</v>
      </c>
      <c r="R46" s="170">
        <v>1</v>
      </c>
      <c r="S46" s="166" t="s">
        <v>296</v>
      </c>
      <c r="T46" s="171">
        <f>VLOOKUP($A$46,Agrium_HEA_emis!$A$15:$AD$44,14,FALSE)</f>
        <v>0</v>
      </c>
      <c r="U46" s="166" t="s">
        <v>296</v>
      </c>
      <c r="V46" s="171">
        <v>0</v>
      </c>
      <c r="W46" s="166" t="s">
        <v>296</v>
      </c>
      <c r="X46" s="171">
        <f>VLOOKUP($A$46,Agrium_HEA_emis!$A$15:$AD$44,9,FALSE)</f>
        <v>0</v>
      </c>
      <c r="Y46" s="166" t="s">
        <v>296</v>
      </c>
      <c r="Z46" s="171">
        <v>0</v>
      </c>
      <c r="AA46" s="166" t="s">
        <v>296</v>
      </c>
      <c r="AB46" s="171">
        <v>0</v>
      </c>
      <c r="AC46" s="166" t="s">
        <v>296</v>
      </c>
      <c r="AD46" s="171" t="str">
        <f>VLOOKUP($A$46,Agrium_HEA_emis!$A$15:$AD$44,21,FALSE)</f>
        <v>N/A</v>
      </c>
      <c r="AE46" s="166" t="s">
        <v>296</v>
      </c>
      <c r="AF46" s="171">
        <f>VLOOKUP($A$46,Agrium_HEA_emis!$A$15:$AD$44,23,FALSE)</f>
        <v>0</v>
      </c>
      <c r="AG46" s="166" t="s">
        <v>296</v>
      </c>
      <c r="AH46" s="171">
        <f>VLOOKUP($A$46,Agrium_HEA_emis!$A$15:$AD$44,25,FALSE)</f>
        <v>3.7799000000000001E-3</v>
      </c>
      <c r="AI46" s="166" t="s">
        <v>296</v>
      </c>
      <c r="AJ46" s="171">
        <f>VLOOKUP($A$46,Agrium_HEA_emis!$A$15:$AD$44,11,FALSE)</f>
        <v>3.7799000000000001E-3</v>
      </c>
      <c r="AK46" s="166" t="s">
        <v>296</v>
      </c>
      <c r="AL46" s="171">
        <f>VLOOKUP($A$46,Agrium_HEA_emis!$A$15:$AD$44,11,FALSE)</f>
        <v>3.7799000000000001E-3</v>
      </c>
      <c r="AM46" s="166" t="s">
        <v>296</v>
      </c>
      <c r="AN46" s="171" t="str">
        <f>VLOOKUP($A$46,Agrium_HEA_emis!$A$15:$AD$44,18,FALSE)</f>
        <v>--</v>
      </c>
      <c r="AO46" s="167" t="s">
        <v>293</v>
      </c>
    </row>
    <row r="47" spans="1:41">
      <c r="A47" s="166">
        <f t="shared" si="0"/>
        <v>15</v>
      </c>
      <c r="B47" s="166" t="s">
        <v>293</v>
      </c>
      <c r="C47" s="166" t="s">
        <v>297</v>
      </c>
      <c r="H47" s="168"/>
      <c r="I47" s="168"/>
      <c r="J47" s="168"/>
      <c r="K47" s="168"/>
      <c r="L47" s="168"/>
    </row>
    <row r="48" spans="1:41">
      <c r="A48" s="166">
        <f t="shared" si="0"/>
        <v>16</v>
      </c>
      <c r="B48" s="166" t="s">
        <v>293</v>
      </c>
      <c r="C48" s="166" t="s">
        <v>294</v>
      </c>
      <c r="D48" s="166" t="str">
        <f>VLOOKUP('CALPUFF Agrium ST'!A48,Agrium_HEA_emis!$A$15:$AD$42,2,FALSE)</f>
        <v>AG_48</v>
      </c>
      <c r="E48" s="166" t="s">
        <v>293</v>
      </c>
    </row>
    <row r="49" spans="1:41">
      <c r="A49" s="166">
        <f t="shared" si="0"/>
        <v>16</v>
      </c>
      <c r="B49" s="166" t="s">
        <v>293</v>
      </c>
      <c r="C49" s="166" t="s">
        <v>295</v>
      </c>
      <c r="D49" s="168">
        <f>VLOOKUP($A$49,Agrium_HEA_emis!$A$15:$AD$44,6,FALSE)</f>
        <v>-20.788919478099999</v>
      </c>
      <c r="E49" s="168" t="s">
        <v>296</v>
      </c>
      <c r="F49" s="168">
        <f>VLOOKUP($A$49,Agrium_HEA_emis!$A$15:$AD$44,7,FALSE)</f>
        <v>186.49358996300001</v>
      </c>
      <c r="G49" s="168" t="s">
        <v>296</v>
      </c>
      <c r="H49" s="169">
        <f>VLOOKUP($A$49,Agrium_HEA_emis!$A$15:$AD$44,26,FALSE)</f>
        <v>0.17010000000000003</v>
      </c>
      <c r="I49" s="166" t="s">
        <v>296</v>
      </c>
      <c r="J49" s="170">
        <f>VLOOKUP($A$49,Agrium_HEA_emis!$A$15:$AD$44,8,FALSE)</f>
        <v>39.6</v>
      </c>
      <c r="K49" s="166" t="s">
        <v>296</v>
      </c>
      <c r="L49" s="169">
        <f>VLOOKUP($A$49,Agrium_HEA_emis!$A$15:$AD$44,29,FALSE)</f>
        <v>10.75</v>
      </c>
      <c r="M49" s="166" t="s">
        <v>296</v>
      </c>
      <c r="N49" s="169">
        <f>VLOOKUP($A$49,Agrium_HEA_emis!$A$15:$AD$44,28,FALSE)</f>
        <v>422.04</v>
      </c>
      <c r="O49" s="166" t="s">
        <v>296</v>
      </c>
      <c r="P49" s="169">
        <f>VLOOKUP($A$49,Agrium_HEA_emis!$A$15:$AD$44,27,FALSE)</f>
        <v>30.48</v>
      </c>
      <c r="Q49" s="166" t="s">
        <v>296</v>
      </c>
      <c r="R49" s="170">
        <v>1</v>
      </c>
      <c r="S49" s="166" t="s">
        <v>296</v>
      </c>
      <c r="T49" s="171">
        <f>VLOOKUP($A$49,Agrium_HEA_emis!$A$15:$AD$44,14,FALSE)</f>
        <v>1.7262E-2</v>
      </c>
      <c r="U49" s="166" t="s">
        <v>296</v>
      </c>
      <c r="V49" s="171">
        <v>0</v>
      </c>
      <c r="W49" s="166" t="s">
        <v>296</v>
      </c>
      <c r="X49" s="171">
        <f>VLOOKUP($A$49,Agrium_HEA_emis!$A$15:$AD$44,9,FALSE)</f>
        <v>0.30238999999999999</v>
      </c>
      <c r="Y49" s="166" t="s">
        <v>296</v>
      </c>
      <c r="Z49" s="171">
        <v>0</v>
      </c>
      <c r="AA49" s="166" t="s">
        <v>296</v>
      </c>
      <c r="AB49" s="171">
        <v>0</v>
      </c>
      <c r="AC49" s="166" t="s">
        <v>296</v>
      </c>
      <c r="AD49" s="171" t="str">
        <f>VLOOKUP($A$49,Agrium_HEA_emis!$A$15:$AD$44,21,FALSE)</f>
        <v>Gas</v>
      </c>
      <c r="AE49" s="166" t="s">
        <v>296</v>
      </c>
      <c r="AF49" s="171">
        <f>VLOOKUP($A$49,Agrium_HEA_emis!$A$15:$AD$44,23,FALSE)</f>
        <v>5.67E-2</v>
      </c>
      <c r="AG49" s="166" t="s">
        <v>296</v>
      </c>
      <c r="AH49" s="171">
        <f>VLOOKUP($A$49,Agrium_HEA_emis!$A$15:$AD$44,25,FALSE)</f>
        <v>0.17010000000000003</v>
      </c>
      <c r="AI49" s="166" t="s">
        <v>296</v>
      </c>
      <c r="AJ49" s="171">
        <f>VLOOKUP($A$49,Agrium_HEA_emis!$A$15:$AD$44,11,FALSE)</f>
        <v>0.2268</v>
      </c>
      <c r="AK49" s="166" t="s">
        <v>296</v>
      </c>
      <c r="AL49" s="171">
        <f>VLOOKUP($A$49,Agrium_HEA_emis!$A$15:$AD$44,11,FALSE)</f>
        <v>0.2268</v>
      </c>
      <c r="AM49" s="166" t="s">
        <v>296</v>
      </c>
      <c r="AN49" s="171">
        <f>VLOOKUP($A$49,Agrium_HEA_emis!$A$15:$AD$44,18,FALSE)</f>
        <v>9</v>
      </c>
      <c r="AO49" s="167" t="s">
        <v>293</v>
      </c>
    </row>
    <row r="50" spans="1:41">
      <c r="A50" s="166">
        <f t="shared" si="0"/>
        <v>16</v>
      </c>
      <c r="B50" s="166" t="s">
        <v>293</v>
      </c>
      <c r="C50" s="166" t="s">
        <v>297</v>
      </c>
      <c r="H50" s="168"/>
      <c r="I50" s="168"/>
      <c r="J50" s="168"/>
      <c r="K50" s="168"/>
      <c r="L50" s="168"/>
    </row>
    <row r="51" spans="1:41">
      <c r="A51" s="166">
        <f t="shared" si="0"/>
        <v>17</v>
      </c>
      <c r="B51" s="166" t="s">
        <v>293</v>
      </c>
      <c r="C51" s="166" t="s">
        <v>294</v>
      </c>
      <c r="D51" s="166" t="str">
        <f>VLOOKUP('CALPUFF Agrium ST'!A51,Agrium_HEA_emis!$A$15:$AD$42,2,FALSE)</f>
        <v>AG_49</v>
      </c>
      <c r="E51" s="166" t="s">
        <v>293</v>
      </c>
    </row>
    <row r="52" spans="1:41">
      <c r="A52" s="166">
        <f t="shared" si="0"/>
        <v>17</v>
      </c>
      <c r="B52" s="166" t="s">
        <v>293</v>
      </c>
      <c r="C52" s="166" t="s">
        <v>295</v>
      </c>
      <c r="D52" s="168">
        <f>VLOOKUP(A52,Agrium_HEA_emis!$A$15:$AD$44,6,FALSE)</f>
        <v>-20.7925971003</v>
      </c>
      <c r="E52" s="168" t="s">
        <v>296</v>
      </c>
      <c r="F52" s="168">
        <f>VLOOKUP(A52,Agrium_HEA_emis!$A$15:$AD$44,7,FALSE)</f>
        <v>186.50514815099999</v>
      </c>
      <c r="G52" s="168" t="s">
        <v>296</v>
      </c>
      <c r="H52" s="169">
        <f>VLOOKUP(A52,Agrium_HEA_emis!$A$15:$AD$44,26,FALSE)</f>
        <v>0.17010000000000003</v>
      </c>
      <c r="I52" s="166" t="s">
        <v>296</v>
      </c>
      <c r="J52" s="170">
        <f>VLOOKUP(A52,Agrium_HEA_emis!$A$15:$AD$44,8,FALSE)</f>
        <v>39.6</v>
      </c>
      <c r="K52" s="166" t="s">
        <v>296</v>
      </c>
      <c r="L52" s="169">
        <f>VLOOKUP(A52,Agrium_HEA_emis!$A$15:$AD$44,29,FALSE)</f>
        <v>10.75</v>
      </c>
      <c r="M52" s="166" t="s">
        <v>296</v>
      </c>
      <c r="N52" s="169">
        <f>VLOOKUP(A52,Agrium_HEA_emis!$A$15:$AD$44,28,FALSE)</f>
        <v>422.04</v>
      </c>
      <c r="O52" s="166" t="s">
        <v>296</v>
      </c>
      <c r="P52" s="169">
        <f>VLOOKUP(A52,Agrium_HEA_emis!$A$15:$AD$44,27,FALSE)</f>
        <v>30.48</v>
      </c>
      <c r="Q52" s="166" t="s">
        <v>296</v>
      </c>
      <c r="R52" s="170">
        <v>1</v>
      </c>
      <c r="S52" s="166" t="s">
        <v>296</v>
      </c>
      <c r="T52" s="171">
        <f>VLOOKUP(A52,Agrium_HEA_emis!$A$15:$AD$44,14,FALSE)</f>
        <v>1.7262E-2</v>
      </c>
      <c r="U52" s="166" t="s">
        <v>296</v>
      </c>
      <c r="V52" s="171">
        <v>0</v>
      </c>
      <c r="W52" s="166" t="s">
        <v>296</v>
      </c>
      <c r="X52" s="171">
        <f>VLOOKUP(A52,Agrium_HEA_emis!$A$15:$AD$44,9,FALSE)</f>
        <v>0.30238999999999999</v>
      </c>
      <c r="Y52" s="166" t="s">
        <v>296</v>
      </c>
      <c r="Z52" s="171">
        <v>0</v>
      </c>
      <c r="AA52" s="166" t="s">
        <v>296</v>
      </c>
      <c r="AB52" s="171">
        <v>0</v>
      </c>
      <c r="AC52" s="166" t="s">
        <v>296</v>
      </c>
      <c r="AD52" s="171" t="str">
        <f>VLOOKUP(A52,Agrium_HEA_emis!$A$15:$AD$44,21,FALSE)</f>
        <v>Gas</v>
      </c>
      <c r="AE52" s="166" t="s">
        <v>296</v>
      </c>
      <c r="AF52" s="171">
        <f>VLOOKUP(A52,Agrium_HEA_emis!$A$15:$AD$44,23,FALSE)</f>
        <v>5.67E-2</v>
      </c>
      <c r="AG52" s="166" t="s">
        <v>296</v>
      </c>
      <c r="AH52" s="171">
        <f>VLOOKUP(A52,Agrium_HEA_emis!$A$15:$AD$44,25,FALSE)</f>
        <v>0.17010000000000003</v>
      </c>
      <c r="AI52" s="166" t="s">
        <v>296</v>
      </c>
      <c r="AJ52" s="171">
        <f>VLOOKUP($A$52,Agrium_HEA_emis!$A$15:$AD$44,11,FALSE)</f>
        <v>0.2268</v>
      </c>
      <c r="AK52" s="166" t="s">
        <v>296</v>
      </c>
      <c r="AL52" s="171">
        <f>VLOOKUP($A$52,Agrium_HEA_emis!$A$15:$AD$44,11,FALSE)</f>
        <v>0.2268</v>
      </c>
      <c r="AM52" s="166" t="s">
        <v>296</v>
      </c>
      <c r="AN52" s="171">
        <f>VLOOKUP($A$52,Agrium_HEA_emis!$A$15:$AD$44,18,FALSE)</f>
        <v>9</v>
      </c>
      <c r="AO52" s="167" t="s">
        <v>293</v>
      </c>
    </row>
    <row r="53" spans="1:41">
      <c r="A53" s="166">
        <f t="shared" si="0"/>
        <v>17</v>
      </c>
      <c r="B53" s="166" t="s">
        <v>293</v>
      </c>
      <c r="C53" s="166" t="s">
        <v>297</v>
      </c>
      <c r="H53" s="168"/>
      <c r="I53" s="168"/>
      <c r="J53" s="168"/>
      <c r="K53" s="168"/>
      <c r="L53" s="168"/>
    </row>
    <row r="54" spans="1:41">
      <c r="A54" s="166">
        <f t="shared" si="0"/>
        <v>18</v>
      </c>
      <c r="B54" s="166" t="s">
        <v>293</v>
      </c>
      <c r="C54" s="166" t="s">
        <v>294</v>
      </c>
      <c r="D54" s="166" t="str">
        <f>VLOOKUP('CALPUFF Agrium ST'!A54,Agrium_HEA_emis!$A$15:$AD$42,2,FALSE)</f>
        <v>AG_50</v>
      </c>
      <c r="E54" s="166" t="s">
        <v>293</v>
      </c>
    </row>
    <row r="55" spans="1:41">
      <c r="A55" s="166">
        <f t="shared" si="0"/>
        <v>18</v>
      </c>
      <c r="B55" s="166" t="s">
        <v>293</v>
      </c>
      <c r="C55" s="166" t="s">
        <v>295</v>
      </c>
      <c r="D55" s="168">
        <f>VLOOKUP(A55,Agrium_HEA_emis!$A$15:$AD$44,6,FALSE)</f>
        <v>-20.749070850799999</v>
      </c>
      <c r="E55" s="168" t="s">
        <v>296</v>
      </c>
      <c r="F55" s="168">
        <f>VLOOKUP(A55,Agrium_HEA_emis!$A$15:$AD$44,7,FALSE)</f>
        <v>186.530283419</v>
      </c>
      <c r="G55" s="168" t="s">
        <v>296</v>
      </c>
      <c r="H55" s="169">
        <f>VLOOKUP(A55,Agrium_HEA_emis!$A$15:$AD$44,26,FALSE)</f>
        <v>5.8589250000000002E-2</v>
      </c>
      <c r="I55" s="166" t="s">
        <v>296</v>
      </c>
      <c r="J55" s="170">
        <f>VLOOKUP(A55,Agrium_HEA_emis!$A$15:$AD$44,8,FALSE)</f>
        <v>39.6</v>
      </c>
      <c r="K55" s="166" t="s">
        <v>296</v>
      </c>
      <c r="L55" s="169">
        <f>VLOOKUP(A55,Agrium_HEA_emis!$A$15:$AD$44,29,FALSE)</f>
        <v>17.88</v>
      </c>
      <c r="M55" s="166" t="s">
        <v>296</v>
      </c>
      <c r="N55" s="169">
        <f>VLOOKUP(A55,Agrium_HEA_emis!$A$15:$AD$44,28,FALSE)</f>
        <v>416.48</v>
      </c>
      <c r="O55" s="166" t="s">
        <v>296</v>
      </c>
      <c r="P55" s="169">
        <f>VLOOKUP(A55,Agrium_HEA_emis!$A$15:$AD$44,27,FALSE)</f>
        <v>30.48</v>
      </c>
      <c r="Q55" s="166" t="s">
        <v>296</v>
      </c>
      <c r="R55" s="170">
        <v>1</v>
      </c>
      <c r="S55" s="166" t="s">
        <v>296</v>
      </c>
      <c r="T55" s="171">
        <f>VLOOKUP(A55,Agrium_HEA_emis!$A$15:$AD$44,14,FALSE)</f>
        <v>3.7799099999999996E-3</v>
      </c>
      <c r="U55" s="166" t="s">
        <v>296</v>
      </c>
      <c r="V55" s="171">
        <v>0</v>
      </c>
      <c r="W55" s="166" t="s">
        <v>296</v>
      </c>
      <c r="X55" s="171">
        <f>VLOOKUP(A55,Agrium_HEA_emis!$A$15:$AD$44,9,FALSE)</f>
        <v>0</v>
      </c>
      <c r="Y55" s="166" t="s">
        <v>296</v>
      </c>
      <c r="Z55" s="171">
        <v>0</v>
      </c>
      <c r="AA55" s="166" t="s">
        <v>296</v>
      </c>
      <c r="AB55" s="171">
        <v>0</v>
      </c>
      <c r="AC55" s="166" t="s">
        <v>296</v>
      </c>
      <c r="AD55" s="171" t="str">
        <f>VLOOKUP(A55,Agrium_HEA_emis!$A$15:$AD$44,21,FALSE)</f>
        <v>Gas</v>
      </c>
      <c r="AE55" s="166" t="s">
        <v>296</v>
      </c>
      <c r="AF55" s="171">
        <f>VLOOKUP(A55,Agrium_HEA_emis!$A$15:$AD$44,23,FALSE)</f>
        <v>1.9529749999999998E-2</v>
      </c>
      <c r="AG55" s="166" t="s">
        <v>296</v>
      </c>
      <c r="AH55" s="171">
        <f>VLOOKUP(A55,Agrium_HEA_emis!$A$15:$AD$44,25,FALSE)</f>
        <v>5.8589250000000002E-2</v>
      </c>
      <c r="AI55" s="166" t="s">
        <v>296</v>
      </c>
      <c r="AJ55" s="171">
        <f>VLOOKUP($A$55,Agrium_HEA_emis!$A$15:$AD$44,11,FALSE)</f>
        <v>7.8118999999999994E-2</v>
      </c>
      <c r="AK55" s="166" t="s">
        <v>296</v>
      </c>
      <c r="AL55" s="171">
        <f>VLOOKUP($A$55,Agrium_HEA_emis!$A$15:$AD$44,11,FALSE)</f>
        <v>7.8118999999999994E-2</v>
      </c>
      <c r="AM55" s="166" t="s">
        <v>296</v>
      </c>
      <c r="AN55" s="171">
        <f>VLOOKUP($A$55,Agrium_HEA_emis!$A$15:$AD$44,18,FALSE)</f>
        <v>5.5</v>
      </c>
      <c r="AO55" s="167" t="s">
        <v>293</v>
      </c>
    </row>
    <row r="56" spans="1:41">
      <c r="A56" s="166">
        <f t="shared" si="0"/>
        <v>18</v>
      </c>
      <c r="B56" s="166" t="s">
        <v>293</v>
      </c>
      <c r="C56" s="166" t="s">
        <v>297</v>
      </c>
      <c r="H56" s="168"/>
      <c r="I56" s="168"/>
      <c r="J56" s="168"/>
      <c r="K56" s="168"/>
      <c r="L56" s="168"/>
    </row>
    <row r="57" spans="1:41">
      <c r="A57" s="166">
        <f t="shared" si="0"/>
        <v>19</v>
      </c>
      <c r="B57" s="166" t="s">
        <v>293</v>
      </c>
      <c r="C57" s="166" t="s">
        <v>294</v>
      </c>
      <c r="D57" s="166" t="str">
        <f>VLOOKUP('CALPUFF Agrium ST'!A57,Agrium_HEA_emis!$A$15:$AD$42,2,FALSE)</f>
        <v>AG_51</v>
      </c>
      <c r="E57" s="166" t="s">
        <v>293</v>
      </c>
    </row>
    <row r="58" spans="1:41">
      <c r="A58" s="166">
        <f t="shared" si="0"/>
        <v>19</v>
      </c>
      <c r="B58" s="166" t="s">
        <v>293</v>
      </c>
      <c r="C58" s="166" t="s">
        <v>295</v>
      </c>
      <c r="D58" s="168">
        <f>VLOOKUP(A58,Agrium_HEA_emis!$A$15:$AD$44,6,FALSE)</f>
        <v>-20.744611080399999</v>
      </c>
      <c r="E58" s="168" t="s">
        <v>296</v>
      </c>
      <c r="F58" s="168">
        <f>VLOOKUP(A58,Agrium_HEA_emis!$A$15:$AD$44,7,FALSE)</f>
        <v>186.53165883</v>
      </c>
      <c r="G58" s="168" t="s">
        <v>296</v>
      </c>
      <c r="H58" s="169">
        <f>VLOOKUP(A58,Agrium_HEA_emis!$A$15:$AD$44,26,FALSE)</f>
        <v>5.8589250000000002E-2</v>
      </c>
      <c r="I58" s="166" t="s">
        <v>296</v>
      </c>
      <c r="J58" s="170">
        <f>VLOOKUP(A58,Agrium_HEA_emis!$A$15:$AD$44,8,FALSE)</f>
        <v>39.6</v>
      </c>
      <c r="K58" s="166" t="s">
        <v>296</v>
      </c>
      <c r="L58" s="169">
        <f>VLOOKUP(A58,Agrium_HEA_emis!$A$15:$AD$44,29,FALSE)</f>
        <v>17.88</v>
      </c>
      <c r="M58" s="166" t="s">
        <v>296</v>
      </c>
      <c r="N58" s="169">
        <f>VLOOKUP(A58,Agrium_HEA_emis!$A$15:$AD$44,28,FALSE)</f>
        <v>416.48</v>
      </c>
      <c r="O58" s="166" t="s">
        <v>296</v>
      </c>
      <c r="P58" s="169">
        <f>VLOOKUP(A58,Agrium_HEA_emis!$A$15:$AD$44,27,FALSE)</f>
        <v>30.48</v>
      </c>
      <c r="Q58" s="166" t="s">
        <v>296</v>
      </c>
      <c r="R58" s="170">
        <v>1</v>
      </c>
      <c r="S58" s="166" t="s">
        <v>296</v>
      </c>
      <c r="T58" s="171">
        <f>VLOOKUP(A58,Agrium_HEA_emis!$A$15:$AD$44,14,FALSE)</f>
        <v>3.7799099999999996E-3</v>
      </c>
      <c r="U58" s="166" t="s">
        <v>296</v>
      </c>
      <c r="V58" s="171">
        <v>0</v>
      </c>
      <c r="W58" s="166" t="s">
        <v>296</v>
      </c>
      <c r="X58" s="171">
        <f>VLOOKUP(A58,Agrium_HEA_emis!$A$15:$AD$44,9,FALSE)</f>
        <v>0.27972000000000002</v>
      </c>
      <c r="Y58" s="166" t="s">
        <v>296</v>
      </c>
      <c r="Z58" s="171">
        <v>0</v>
      </c>
      <c r="AA58" s="166" t="s">
        <v>296</v>
      </c>
      <c r="AB58" s="171">
        <v>0</v>
      </c>
      <c r="AC58" s="166" t="s">
        <v>296</v>
      </c>
      <c r="AD58" s="171" t="str">
        <f>VLOOKUP(A58,Agrium_HEA_emis!$A$15:$AD$44,21,FALSE)</f>
        <v>Gas</v>
      </c>
      <c r="AE58" s="166" t="s">
        <v>296</v>
      </c>
      <c r="AF58" s="171">
        <f>VLOOKUP(A58,Agrium_HEA_emis!$A$15:$AD$44,23,FALSE)</f>
        <v>1.9529749999999998E-2</v>
      </c>
      <c r="AG58" s="166" t="s">
        <v>296</v>
      </c>
      <c r="AH58" s="171">
        <f>VLOOKUP(A58,Agrium_HEA_emis!$A$15:$AD$44,25,FALSE)</f>
        <v>5.8589250000000002E-2</v>
      </c>
      <c r="AI58" s="166" t="s">
        <v>296</v>
      </c>
      <c r="AJ58" s="171">
        <f>VLOOKUP($A$58,Agrium_HEA_emis!$A$15:$AD$44,11,FALSE)</f>
        <v>7.8118999999999994E-2</v>
      </c>
      <c r="AK58" s="166" t="s">
        <v>296</v>
      </c>
      <c r="AL58" s="171">
        <f>VLOOKUP($A$58,Agrium_HEA_emis!$A$15:$AD$44,11,FALSE)</f>
        <v>7.8118999999999994E-2</v>
      </c>
      <c r="AM58" s="166" t="s">
        <v>296</v>
      </c>
      <c r="AN58" s="171">
        <f>VLOOKUP($A$58,Agrium_HEA_emis!$A$15:$AD$44,18,FALSE)</f>
        <v>5.5</v>
      </c>
      <c r="AO58" s="167" t="s">
        <v>293</v>
      </c>
    </row>
    <row r="59" spans="1:41">
      <c r="A59" s="166">
        <f t="shared" si="0"/>
        <v>19</v>
      </c>
      <c r="B59" s="166" t="s">
        <v>293</v>
      </c>
      <c r="C59" s="166" t="s">
        <v>297</v>
      </c>
      <c r="H59" s="168"/>
      <c r="I59" s="168"/>
      <c r="J59" s="168"/>
      <c r="K59" s="168"/>
      <c r="L59" s="168"/>
    </row>
    <row r="60" spans="1:41">
      <c r="A60" s="166">
        <f t="shared" si="0"/>
        <v>20</v>
      </c>
      <c r="B60" s="166" t="s">
        <v>293</v>
      </c>
      <c r="C60" s="166" t="s">
        <v>294</v>
      </c>
      <c r="D60" s="166" t="str">
        <f>VLOOKUP('CALPUFF Agrium ST'!A60,Agrium_HEA_emis!$A$15:$AD$42,2,FALSE)</f>
        <v>AG_52</v>
      </c>
      <c r="E60" s="166" t="s">
        <v>293</v>
      </c>
    </row>
    <row r="61" spans="1:41">
      <c r="A61" s="166">
        <f t="shared" si="0"/>
        <v>20</v>
      </c>
      <c r="B61" s="166" t="s">
        <v>293</v>
      </c>
      <c r="C61" s="166" t="s">
        <v>295</v>
      </c>
      <c r="D61" s="168">
        <f>VLOOKUP(A61,Agrium_HEA_emis!$A$15:$AD$44,6,FALSE)</f>
        <v>-20.7402398551</v>
      </c>
      <c r="E61" s="168" t="s">
        <v>296</v>
      </c>
      <c r="F61" s="168">
        <f>VLOOKUP(A61,Agrium_HEA_emis!$A$15:$AD$44,7,FALSE)</f>
        <v>186.53343860000001</v>
      </c>
      <c r="G61" s="168" t="s">
        <v>296</v>
      </c>
      <c r="H61" s="169">
        <f>VLOOKUP(A61,Agrium_HEA_emis!$A$15:$AD$44,26,FALSE)</f>
        <v>5.8589250000000002E-2</v>
      </c>
      <c r="I61" s="166" t="s">
        <v>296</v>
      </c>
      <c r="J61" s="170">
        <f>VLOOKUP(A61,Agrium_HEA_emis!$A$15:$AD$44,8,FALSE)</f>
        <v>39.6</v>
      </c>
      <c r="K61" s="166" t="s">
        <v>296</v>
      </c>
      <c r="L61" s="169">
        <f>VLOOKUP(A61,Agrium_HEA_emis!$A$15:$AD$44,29,FALSE)</f>
        <v>17.88</v>
      </c>
      <c r="M61" s="166" t="s">
        <v>296</v>
      </c>
      <c r="N61" s="169">
        <f>VLOOKUP(A61,Agrium_HEA_emis!$A$15:$AD$44,28,FALSE)</f>
        <v>416.48</v>
      </c>
      <c r="O61" s="166" t="s">
        <v>296</v>
      </c>
      <c r="P61" s="169">
        <f>VLOOKUP(A61,Agrium_HEA_emis!$A$15:$AD$44,27,FALSE)</f>
        <v>30.48</v>
      </c>
      <c r="Q61" s="166" t="s">
        <v>296</v>
      </c>
      <c r="R61" s="170">
        <v>1</v>
      </c>
      <c r="S61" s="166" t="s">
        <v>296</v>
      </c>
      <c r="T61" s="171">
        <f>VLOOKUP(A61,Agrium_HEA_emis!$A$15:$AD$44,14,FALSE)</f>
        <v>3.7799099999999996E-3</v>
      </c>
      <c r="U61" s="166" t="s">
        <v>296</v>
      </c>
      <c r="V61" s="171">
        <v>0</v>
      </c>
      <c r="W61" s="166" t="s">
        <v>296</v>
      </c>
      <c r="X61" s="171">
        <f>VLOOKUP(A61,Agrium_HEA_emis!$A$15:$AD$44,9,FALSE)</f>
        <v>0.27972000000000002</v>
      </c>
      <c r="Y61" s="166" t="s">
        <v>296</v>
      </c>
      <c r="Z61" s="171">
        <v>0</v>
      </c>
      <c r="AA61" s="166" t="s">
        <v>296</v>
      </c>
      <c r="AB61" s="171">
        <v>0</v>
      </c>
      <c r="AC61" s="166" t="s">
        <v>296</v>
      </c>
      <c r="AD61" s="171" t="str">
        <f>VLOOKUP(A61,Agrium_HEA_emis!$A$15:$AD$44,21,FALSE)</f>
        <v>Gas</v>
      </c>
      <c r="AE61" s="166" t="s">
        <v>296</v>
      </c>
      <c r="AF61" s="171">
        <f>VLOOKUP(A61,Agrium_HEA_emis!$A$15:$AD$44,23,FALSE)</f>
        <v>1.9529749999999998E-2</v>
      </c>
      <c r="AG61" s="166" t="s">
        <v>296</v>
      </c>
      <c r="AH61" s="171">
        <f>VLOOKUP(A61,Agrium_HEA_emis!$A$15:$AD$44,25,FALSE)</f>
        <v>5.8589250000000002E-2</v>
      </c>
      <c r="AI61" s="166" t="s">
        <v>296</v>
      </c>
      <c r="AJ61" s="171">
        <f>VLOOKUP($A$61,Agrium_HEA_emis!$A$15:$AD$44,11,FALSE)</f>
        <v>7.8118999999999994E-2</v>
      </c>
      <c r="AK61" s="166" t="s">
        <v>296</v>
      </c>
      <c r="AL61" s="171">
        <f>VLOOKUP($A$61,Agrium_HEA_emis!$A$15:$AD$44,11,FALSE)</f>
        <v>7.8118999999999994E-2</v>
      </c>
      <c r="AM61" s="166" t="s">
        <v>296</v>
      </c>
      <c r="AN61" s="171">
        <f>VLOOKUP($A$61,Agrium_HEA_emis!$A$15:$AD$44,18,FALSE)</f>
        <v>5.5</v>
      </c>
      <c r="AO61" s="167" t="s">
        <v>293</v>
      </c>
    </row>
    <row r="62" spans="1:41">
      <c r="A62" s="166">
        <f t="shared" si="0"/>
        <v>20</v>
      </c>
      <c r="B62" s="166" t="s">
        <v>293</v>
      </c>
      <c r="C62" s="166" t="s">
        <v>297</v>
      </c>
      <c r="H62" s="168"/>
      <c r="I62" s="168"/>
      <c r="J62" s="168"/>
      <c r="K62" s="168"/>
      <c r="L62" s="168"/>
    </row>
    <row r="63" spans="1:41">
      <c r="A63" s="166">
        <f t="shared" si="0"/>
        <v>21</v>
      </c>
      <c r="B63" s="166" t="s">
        <v>293</v>
      </c>
      <c r="C63" s="166" t="s">
        <v>294</v>
      </c>
      <c r="D63" s="166" t="str">
        <f>VLOOKUP('CALPUFF Agrium ST'!A63,Agrium_HEA_emis!$A$15:$AD$42,2,FALSE)</f>
        <v>AG_53</v>
      </c>
      <c r="E63" s="166" t="s">
        <v>293</v>
      </c>
    </row>
    <row r="64" spans="1:41">
      <c r="A64" s="166">
        <f t="shared" si="0"/>
        <v>21</v>
      </c>
      <c r="B64" s="166" t="s">
        <v>293</v>
      </c>
      <c r="C64" s="166" t="s">
        <v>295</v>
      </c>
      <c r="D64" s="168">
        <f>VLOOKUP(A64,Agrium_HEA_emis!$A$15:$AD$44,6,FALSE)</f>
        <v>-20.7358804357</v>
      </c>
      <c r="E64" s="168" t="s">
        <v>296</v>
      </c>
      <c r="F64" s="168">
        <f>VLOOKUP(A64,Agrium_HEA_emis!$A$15:$AD$44,7,FALSE)</f>
        <v>186.53481696099999</v>
      </c>
      <c r="G64" s="168" t="s">
        <v>296</v>
      </c>
      <c r="H64" s="169">
        <f>VLOOKUP(A64,Agrium_HEA_emis!$A$15:$AD$44,26,FALSE)</f>
        <v>5.8589250000000002E-2</v>
      </c>
      <c r="I64" s="166" t="s">
        <v>296</v>
      </c>
      <c r="J64" s="170">
        <f>VLOOKUP(A64,Agrium_HEA_emis!$A$15:$AD$44,8,FALSE)</f>
        <v>39.6</v>
      </c>
      <c r="K64" s="166" t="s">
        <v>296</v>
      </c>
      <c r="L64" s="169">
        <f>VLOOKUP(A64,Agrium_HEA_emis!$A$15:$AD$44,29,FALSE)</f>
        <v>17.88</v>
      </c>
      <c r="M64" s="166" t="s">
        <v>296</v>
      </c>
      <c r="N64" s="169">
        <f>VLOOKUP(A64,Agrium_HEA_emis!$A$15:$AD$44,28,FALSE)</f>
        <v>416.48</v>
      </c>
      <c r="O64" s="166" t="s">
        <v>296</v>
      </c>
      <c r="P64" s="169">
        <f>VLOOKUP(A64,Agrium_HEA_emis!$A$15:$AD$44,27,FALSE)</f>
        <v>30.48</v>
      </c>
      <c r="Q64" s="166" t="s">
        <v>296</v>
      </c>
      <c r="R64" s="170">
        <v>0</v>
      </c>
      <c r="S64" s="166" t="s">
        <v>296</v>
      </c>
      <c r="T64" s="171">
        <f>VLOOKUP(A64,Agrium_HEA_emis!$A$15:$AD$44,14,FALSE)</f>
        <v>3.7799099999999996E-3</v>
      </c>
      <c r="U64" s="166" t="s">
        <v>296</v>
      </c>
      <c r="V64" s="171">
        <v>0</v>
      </c>
      <c r="W64" s="166" t="s">
        <v>296</v>
      </c>
      <c r="X64" s="171">
        <f>VLOOKUP(A64,Agrium_HEA_emis!$A$15:$AD$44,9,FALSE)</f>
        <v>0.27972000000000002</v>
      </c>
      <c r="Y64" s="166" t="s">
        <v>296</v>
      </c>
      <c r="Z64" s="171">
        <v>0</v>
      </c>
      <c r="AA64" s="166" t="s">
        <v>296</v>
      </c>
      <c r="AB64" s="171">
        <v>0</v>
      </c>
      <c r="AC64" s="166" t="s">
        <v>296</v>
      </c>
      <c r="AD64" s="171" t="str">
        <f>VLOOKUP(A64,Agrium_HEA_emis!$A$15:$AD$44,21,FALSE)</f>
        <v>Gas</v>
      </c>
      <c r="AE64" s="166" t="s">
        <v>296</v>
      </c>
      <c r="AF64" s="171">
        <f>VLOOKUP(A64,Agrium_HEA_emis!$A$15:$AD$44,23,FALSE)</f>
        <v>1.9529749999999998E-2</v>
      </c>
      <c r="AG64" s="166" t="s">
        <v>296</v>
      </c>
      <c r="AH64" s="171">
        <f>VLOOKUP(A64,Agrium_HEA_emis!$A$15:$AD$44,25,FALSE)</f>
        <v>5.8589250000000002E-2</v>
      </c>
      <c r="AI64" s="166" t="s">
        <v>296</v>
      </c>
      <c r="AJ64" s="171">
        <f>VLOOKUP($A$64,Agrium_HEA_emis!$A$15:$AD$44,11,FALSE)</f>
        <v>7.8118999999999994E-2</v>
      </c>
      <c r="AK64" s="166" t="s">
        <v>296</v>
      </c>
      <c r="AL64" s="171">
        <f>VLOOKUP($A$64,Agrium_HEA_emis!$A$15:$AD$44,11,FALSE)</f>
        <v>7.8118999999999994E-2</v>
      </c>
      <c r="AM64" s="166" t="s">
        <v>296</v>
      </c>
      <c r="AN64" s="171">
        <f>VLOOKUP($A$64,Agrium_HEA_emis!$A$15:$AD$44,18,FALSE)</f>
        <v>5.5</v>
      </c>
      <c r="AO64" s="167" t="s">
        <v>293</v>
      </c>
    </row>
    <row r="65" spans="1:41">
      <c r="A65" s="166">
        <f t="shared" si="0"/>
        <v>21</v>
      </c>
      <c r="B65" s="166" t="s">
        <v>293</v>
      </c>
      <c r="C65" s="197" t="s">
        <v>313</v>
      </c>
      <c r="H65" s="168"/>
      <c r="I65" s="168"/>
      <c r="J65" s="168"/>
      <c r="K65" s="168"/>
      <c r="L65" s="168"/>
    </row>
    <row r="66" spans="1:41">
      <c r="A66" s="166">
        <f t="shared" si="0"/>
        <v>22</v>
      </c>
      <c r="B66" s="166" t="s">
        <v>293</v>
      </c>
      <c r="C66" s="166" t="s">
        <v>294</v>
      </c>
      <c r="D66" s="166" t="str">
        <f>VLOOKUP('CALPUFF Agrium ST'!A66,Agrium_HEA_emis!$A$15:$AD$42,2,FALSE)</f>
        <v>AG_54</v>
      </c>
      <c r="E66" s="166" t="s">
        <v>293</v>
      </c>
    </row>
    <row r="67" spans="1:41">
      <c r="A67" s="166">
        <f t="shared" si="0"/>
        <v>22</v>
      </c>
      <c r="B67" s="166" t="s">
        <v>293</v>
      </c>
      <c r="C67" s="166" t="s">
        <v>295</v>
      </c>
      <c r="D67" s="168">
        <f>VLOOKUP(A67,Agrium_HEA_emis!$A$15:$AD$44,6,FALSE)</f>
        <v>-20.731825023999999</v>
      </c>
      <c r="E67" s="168" t="s">
        <v>296</v>
      </c>
      <c r="F67" s="168">
        <f>VLOOKUP(A67,Agrium_HEA_emis!$A$15:$AD$44,7,FALSE)</f>
        <v>186.53610382400001</v>
      </c>
      <c r="G67" s="168" t="s">
        <v>296</v>
      </c>
      <c r="H67" s="169">
        <f>VLOOKUP(A67,Agrium_HEA_emis!$A$15:$AD$44,26,FALSE)</f>
        <v>5.8589250000000002E-2</v>
      </c>
      <c r="I67" s="166" t="s">
        <v>296</v>
      </c>
      <c r="J67" s="170">
        <f>VLOOKUP(A67,Agrium_HEA_emis!$A$15:$AD$44,8,FALSE)</f>
        <v>39.6</v>
      </c>
      <c r="K67" s="166" t="s">
        <v>296</v>
      </c>
      <c r="L67" s="169">
        <f>VLOOKUP(A67,Agrium_HEA_emis!$A$15:$AD$44,29,FALSE)</f>
        <v>17.88</v>
      </c>
      <c r="M67" s="166" t="s">
        <v>296</v>
      </c>
      <c r="N67" s="169">
        <f>VLOOKUP(A67,Agrium_HEA_emis!$A$15:$AD$44,28,FALSE)</f>
        <v>416.48</v>
      </c>
      <c r="O67" s="166" t="s">
        <v>296</v>
      </c>
      <c r="P67" s="169">
        <f>VLOOKUP(A67,Agrium_HEA_emis!$A$15:$AD$44,27,FALSE)</f>
        <v>30.48</v>
      </c>
      <c r="Q67" s="166" t="s">
        <v>296</v>
      </c>
      <c r="R67" s="170">
        <v>1</v>
      </c>
      <c r="S67" s="166" t="s">
        <v>296</v>
      </c>
      <c r="T67" s="171">
        <f>VLOOKUP(A67,Agrium_HEA_emis!$A$15:$AD$44,14,FALSE)</f>
        <v>3.7799099999999996E-3</v>
      </c>
      <c r="U67" s="166" t="s">
        <v>296</v>
      </c>
      <c r="V67" s="171">
        <v>0</v>
      </c>
      <c r="W67" s="166" t="s">
        <v>296</v>
      </c>
      <c r="X67" s="171">
        <f>VLOOKUP(A67,Agrium_HEA_emis!$A$15:$AD$44,9,FALSE)</f>
        <v>0.27972000000000002</v>
      </c>
      <c r="Y67" s="166" t="s">
        <v>296</v>
      </c>
      <c r="Z67" s="171">
        <v>0</v>
      </c>
      <c r="AA67" s="166" t="s">
        <v>296</v>
      </c>
      <c r="AB67" s="171">
        <v>0</v>
      </c>
      <c r="AC67" s="166" t="s">
        <v>296</v>
      </c>
      <c r="AD67" s="171" t="str">
        <f>VLOOKUP(A67,Agrium_HEA_emis!$A$15:$AD$44,21,FALSE)</f>
        <v>Gas</v>
      </c>
      <c r="AE67" s="166" t="s">
        <v>296</v>
      </c>
      <c r="AF67" s="171">
        <f>VLOOKUP(A67,Agrium_HEA_emis!$A$15:$AD$44,23,FALSE)</f>
        <v>1.9529749999999998E-2</v>
      </c>
      <c r="AG67" s="166" t="s">
        <v>296</v>
      </c>
      <c r="AH67" s="171">
        <f>VLOOKUP(A67,Agrium_HEA_emis!$A$15:$AD$44,25,FALSE)</f>
        <v>5.8589250000000002E-2</v>
      </c>
      <c r="AI67" s="166" t="s">
        <v>296</v>
      </c>
      <c r="AJ67" s="171">
        <f>VLOOKUP($A$67,Agrium_HEA_emis!$A$15:$AD$44,11,FALSE)</f>
        <v>7.8118999999999994E-2</v>
      </c>
      <c r="AK67" s="166" t="s">
        <v>296</v>
      </c>
      <c r="AL67" s="171">
        <f>VLOOKUP($A$67,Agrium_HEA_emis!$A$15:$AD$44,11,FALSE)</f>
        <v>7.8118999999999994E-2</v>
      </c>
      <c r="AM67" s="166" t="s">
        <v>296</v>
      </c>
      <c r="AN67" s="171">
        <f>VLOOKUP($A$67,Agrium_HEA_emis!$A$15:$AD$44,18,FALSE)</f>
        <v>5.5</v>
      </c>
      <c r="AO67" s="167" t="s">
        <v>293</v>
      </c>
    </row>
    <row r="68" spans="1:41">
      <c r="A68" s="166">
        <f t="shared" si="0"/>
        <v>22</v>
      </c>
      <c r="B68" s="166" t="s">
        <v>293</v>
      </c>
      <c r="C68" s="197" t="s">
        <v>313</v>
      </c>
      <c r="H68" s="168"/>
      <c r="I68" s="168"/>
      <c r="J68" s="168"/>
      <c r="K68" s="168"/>
      <c r="L68" s="168"/>
    </row>
    <row r="69" spans="1:41">
      <c r="A69" s="166">
        <f t="shared" si="0"/>
        <v>23</v>
      </c>
      <c r="B69" s="166" t="s">
        <v>293</v>
      </c>
      <c r="C69" s="166" t="s">
        <v>294</v>
      </c>
      <c r="D69" s="166" t="str">
        <f>VLOOKUP('CALPUFF Agrium ST'!A69,Agrium_HEA_emis!$A$15:$AD$42,2,FALSE)</f>
        <v>AG_55</v>
      </c>
      <c r="E69" s="166" t="s">
        <v>293</v>
      </c>
    </row>
    <row r="70" spans="1:41">
      <c r="A70" s="166">
        <f t="shared" ref="A70:A86" si="1">A67+1</f>
        <v>23</v>
      </c>
      <c r="B70" s="166" t="s">
        <v>293</v>
      </c>
      <c r="C70" s="166" t="s">
        <v>295</v>
      </c>
      <c r="D70" s="168">
        <f>VLOOKUP(A70,Agrium_HEA_emis!$A$15:$AD$44,6,FALSE)</f>
        <v>-20.744481226000001</v>
      </c>
      <c r="E70" s="168" t="s">
        <v>296</v>
      </c>
      <c r="F70" s="168">
        <f>VLOOKUP(A70,Agrium_HEA_emis!$A$15:$AD$44,7,FALSE)</f>
        <v>186.51899969999999</v>
      </c>
      <c r="G70" s="168" t="s">
        <v>296</v>
      </c>
      <c r="H70" s="169">
        <f>VLOOKUP(A70,Agrium_HEA_emis!$A$15:$AD$44,26,FALSE)</f>
        <v>0</v>
      </c>
      <c r="I70" s="166" t="s">
        <v>296</v>
      </c>
      <c r="J70" s="170">
        <f>VLOOKUP(A70,Agrium_HEA_emis!$A$15:$AD$44,8,FALSE)</f>
        <v>39.6</v>
      </c>
      <c r="K70" s="166" t="s">
        <v>296</v>
      </c>
      <c r="L70" s="169">
        <f>VLOOKUP(A70,Agrium_HEA_emis!$A$15:$AD$44,29,FALSE)</f>
        <v>40.21</v>
      </c>
      <c r="M70" s="166" t="s">
        <v>296</v>
      </c>
      <c r="N70" s="169">
        <f>VLOOKUP(A70,Agrium_HEA_emis!$A$15:$AD$44,28,FALSE)</f>
        <v>608.15</v>
      </c>
      <c r="O70" s="166" t="s">
        <v>296</v>
      </c>
      <c r="P70" s="169">
        <f>VLOOKUP(A70,Agrium_HEA_emis!$A$15:$AD$44,27,FALSE)</f>
        <v>18.29</v>
      </c>
      <c r="Q70" s="166" t="s">
        <v>296</v>
      </c>
      <c r="R70" s="170">
        <v>1</v>
      </c>
      <c r="S70" s="166" t="s">
        <v>296</v>
      </c>
      <c r="T70" s="171">
        <f>VLOOKUP(A70,Agrium_HEA_emis!$A$15:$AD$44,14,FALSE)</f>
        <v>8.6309999999999998E-2</v>
      </c>
      <c r="U70" s="166" t="s">
        <v>296</v>
      </c>
      <c r="V70" s="171">
        <v>0</v>
      </c>
      <c r="W70" s="166" t="s">
        <v>296</v>
      </c>
      <c r="X70" s="171">
        <f>VLOOKUP(A70,Agrium_HEA_emis!$A$15:$AD$44,9,FALSE)</f>
        <v>2.4822000000000002</v>
      </c>
      <c r="Y70" s="166" t="s">
        <v>296</v>
      </c>
      <c r="Z70" s="171">
        <v>0</v>
      </c>
      <c r="AA70" s="166" t="s">
        <v>296</v>
      </c>
      <c r="AB70" s="171">
        <v>0</v>
      </c>
      <c r="AC70" s="166" t="s">
        <v>296</v>
      </c>
      <c r="AD70" s="171" t="str">
        <f>VLOOKUP(A70,Agrium_HEA_emis!$A$15:$AD$44,21,FALSE)</f>
        <v>Gas</v>
      </c>
      <c r="AE70" s="166" t="s">
        <v>296</v>
      </c>
      <c r="AF70" s="171">
        <f>VLOOKUP(A70,Agrium_HEA_emis!$A$15:$AD$44,23,FALSE)</f>
        <v>0</v>
      </c>
      <c r="AG70" s="166" t="s">
        <v>296</v>
      </c>
      <c r="AH70" s="171">
        <f>VLOOKUP(A70,Agrium_HEA_emis!$A$15:$AD$44,25,FALSE)</f>
        <v>0</v>
      </c>
      <c r="AI70" s="166" t="s">
        <v>296</v>
      </c>
      <c r="AJ70" s="171">
        <f>VLOOKUP($A$70,Agrium_HEA_emis!$A$15:$AD$44,11,FALSE)</f>
        <v>0</v>
      </c>
      <c r="AK70" s="166" t="s">
        <v>296</v>
      </c>
      <c r="AL70" s="171">
        <f>VLOOKUP($A$70,Agrium_HEA_emis!$A$15:$AD$44,11,FALSE)</f>
        <v>0</v>
      </c>
      <c r="AM70" s="166" t="s">
        <v>296</v>
      </c>
      <c r="AN70" s="171">
        <f>VLOOKUP($A$70,Agrium_HEA_emis!$A$15:$AD$44,18,FALSE)</f>
        <v>20.5</v>
      </c>
      <c r="AO70" s="167" t="s">
        <v>293</v>
      </c>
    </row>
    <row r="71" spans="1:41">
      <c r="A71" s="166">
        <f t="shared" si="1"/>
        <v>23</v>
      </c>
      <c r="B71" s="166" t="s">
        <v>293</v>
      </c>
      <c r="C71" s="197" t="s">
        <v>313</v>
      </c>
      <c r="H71" s="168"/>
      <c r="I71" s="168"/>
      <c r="J71" s="168"/>
      <c r="K71" s="168"/>
      <c r="L71" s="168"/>
    </row>
    <row r="72" spans="1:41">
      <c r="A72" s="166">
        <f t="shared" si="1"/>
        <v>24</v>
      </c>
      <c r="B72" s="166" t="s">
        <v>293</v>
      </c>
      <c r="C72" s="166" t="s">
        <v>294</v>
      </c>
      <c r="D72" s="166" t="str">
        <f>VLOOKUP('CALPUFF Agrium ST'!A72,Agrium_HEA_emis!$A$15:$AD$42,2,FALSE)</f>
        <v>AG_65</v>
      </c>
      <c r="E72" s="166" t="s">
        <v>293</v>
      </c>
    </row>
    <row r="73" spans="1:41">
      <c r="A73" s="166">
        <f t="shared" si="1"/>
        <v>24</v>
      </c>
      <c r="B73" s="166" t="s">
        <v>293</v>
      </c>
      <c r="C73" s="166" t="s">
        <v>295</v>
      </c>
      <c r="D73" s="168">
        <f>VLOOKUP(A73,Agrium_HEA_emis!$A$15:$AD$44,6,FALSE)</f>
        <v>-18.452983672799999</v>
      </c>
      <c r="E73" s="168" t="s">
        <v>296</v>
      </c>
      <c r="F73" s="168">
        <f>VLOOKUP(A73,Agrium_HEA_emis!$A$15:$AD$44,7,FALSE)</f>
        <v>186.521877284</v>
      </c>
      <c r="G73" s="168" t="s">
        <v>296</v>
      </c>
      <c r="H73" s="169">
        <f>VLOOKUP(A73,Agrium_HEA_emis!$A$15:$AD$44,26,FALSE)</f>
        <v>1.3545549738219897E-2</v>
      </c>
      <c r="I73" s="166" t="s">
        <v>296</v>
      </c>
      <c r="J73" s="170">
        <f>VLOOKUP(A73,Agrium_HEA_emis!$A$15:$AD$44,8,FALSE)</f>
        <v>39.6</v>
      </c>
      <c r="K73" s="166" t="s">
        <v>296</v>
      </c>
      <c r="L73" s="169">
        <f>VLOOKUP(A73,Agrium_HEA_emis!$A$15:$AD$44,29,FALSE)</f>
        <v>16.170000000000002</v>
      </c>
      <c r="M73" s="166" t="s">
        <v>296</v>
      </c>
      <c r="N73" s="169">
        <f>VLOOKUP(A73,Agrium_HEA_emis!$A$15:$AD$44,28,FALSE)</f>
        <v>533.15</v>
      </c>
      <c r="O73" s="166" t="s">
        <v>296</v>
      </c>
      <c r="P73" s="169">
        <f>VLOOKUP(A73,Agrium_HEA_emis!$A$15:$AD$44,27,FALSE)</f>
        <v>9.14</v>
      </c>
      <c r="Q73" s="166" t="s">
        <v>296</v>
      </c>
      <c r="R73" s="170">
        <v>1</v>
      </c>
      <c r="S73" s="166" t="s">
        <v>296</v>
      </c>
      <c r="T73" s="171">
        <f>VLOOKUP(A73,Agrium_HEA_emis!$A$15:$AD$44,14,FALSE)</f>
        <v>2.0138999999999999E-3</v>
      </c>
      <c r="U73" s="166" t="s">
        <v>296</v>
      </c>
      <c r="V73" s="171">
        <v>0</v>
      </c>
      <c r="W73" s="166" t="s">
        <v>296</v>
      </c>
      <c r="X73" s="171">
        <f>VLOOKUP(A73,Agrium_HEA_emis!$A$15:$AD$44,9,FALSE)</f>
        <v>2.8728E-2</v>
      </c>
      <c r="Y73" s="166" t="s">
        <v>296</v>
      </c>
      <c r="Z73" s="171">
        <v>0</v>
      </c>
      <c r="AA73" s="166" t="s">
        <v>296</v>
      </c>
      <c r="AB73" s="171">
        <v>0</v>
      </c>
      <c r="AC73" s="166" t="s">
        <v>296</v>
      </c>
      <c r="AD73" s="171" t="str">
        <f>VLOOKUP(A73,Agrium_HEA_emis!$A$15:$AD$44,21,FALSE)</f>
        <v>Diesel</v>
      </c>
      <c r="AE73" s="166" t="s">
        <v>296</v>
      </c>
      <c r="AF73" s="171">
        <f>VLOOKUP(A73,Agrium_HEA_emis!$A$15:$AD$44,23,FALSE)</f>
        <v>8.6840287769784169E-2</v>
      </c>
      <c r="AG73" s="166" t="s">
        <v>296</v>
      </c>
      <c r="AH73" s="171">
        <f>VLOOKUP(A73,Agrium_HEA_emis!$A$15:$AD$44,25,FALSE)</f>
        <v>1.3959712230215828E-2</v>
      </c>
      <c r="AI73" s="166" t="s">
        <v>296</v>
      </c>
      <c r="AJ73" s="171">
        <f>VLOOKUP($A$73,Agrium_HEA_emis!$A$15:$AD$44,11,FALSE)</f>
        <v>0.1008</v>
      </c>
      <c r="AK73" s="166" t="s">
        <v>296</v>
      </c>
      <c r="AL73" s="171">
        <f>VLOOKUP($A$73,Agrium_HEA_emis!$A$15:$AD$44,11,FALSE)</f>
        <v>0.1008</v>
      </c>
      <c r="AM73" s="166" t="s">
        <v>296</v>
      </c>
      <c r="AN73" s="171">
        <f>VLOOKUP($A$73,Agrium_HEA_emis!$A$15:$AD$44,18,FALSE)</f>
        <v>2.6</v>
      </c>
      <c r="AO73" s="167" t="s">
        <v>293</v>
      </c>
    </row>
    <row r="74" spans="1:41">
      <c r="A74" s="166">
        <f t="shared" si="1"/>
        <v>24</v>
      </c>
      <c r="B74" s="166" t="s">
        <v>293</v>
      </c>
      <c r="C74" s="166" t="s">
        <v>297</v>
      </c>
      <c r="H74" s="168"/>
      <c r="I74" s="168"/>
      <c r="J74" s="168"/>
      <c r="K74" s="168"/>
      <c r="L74" s="168"/>
    </row>
    <row r="75" spans="1:41">
      <c r="A75" s="166">
        <f t="shared" si="1"/>
        <v>25</v>
      </c>
      <c r="B75" s="166" t="s">
        <v>293</v>
      </c>
      <c r="C75" s="166" t="s">
        <v>294</v>
      </c>
      <c r="D75" s="166" t="str">
        <f>VLOOKUP('CALPUFF Agrium ST'!A75,Agrium_HEA_emis!$A$15:$AD$42,2,FALSE)</f>
        <v>AG_66A</v>
      </c>
      <c r="E75" s="166" t="s">
        <v>293</v>
      </c>
    </row>
    <row r="76" spans="1:41">
      <c r="A76" s="166">
        <f t="shared" si="1"/>
        <v>25</v>
      </c>
      <c r="B76" s="166" t="s">
        <v>293</v>
      </c>
      <c r="C76" s="166" t="s">
        <v>295</v>
      </c>
      <c r="D76" s="168">
        <f>VLOOKUP(A76,Agrium_HEA_emis!$A$15:$AD$44,6,FALSE)</f>
        <v>-20.719142877100001</v>
      </c>
      <c r="E76" s="168" t="s">
        <v>296</v>
      </c>
      <c r="F76" s="168">
        <f>VLOOKUP(A76,Agrium_HEA_emis!$A$15:$AD$44,7,FALSE)</f>
        <v>186.239940066</v>
      </c>
      <c r="G76" s="168" t="s">
        <v>296</v>
      </c>
      <c r="H76" s="169">
        <f>VLOOKUP(A76,Agrium_HEA_emis!$A$15:$AD$44,26,FALSE)</f>
        <v>1.1257882534775889E-3</v>
      </c>
      <c r="I76" s="166" t="s">
        <v>296</v>
      </c>
      <c r="J76" s="170">
        <f>VLOOKUP(A76,Agrium_HEA_emis!$A$15:$AD$44,8,FALSE)</f>
        <v>34.1</v>
      </c>
      <c r="K76" s="166" t="s">
        <v>296</v>
      </c>
      <c r="L76" s="169">
        <f>VLOOKUP(A76,Agrium_HEA_emis!$A$15:$AD$44,29,FALSE)</f>
        <v>29.11</v>
      </c>
      <c r="M76" s="166" t="s">
        <v>296</v>
      </c>
      <c r="N76" s="169">
        <f>VLOOKUP(A76,Agrium_HEA_emis!$A$15:$AD$44,28,FALSE)</f>
        <v>699.82</v>
      </c>
      <c r="O76" s="166" t="s">
        <v>296</v>
      </c>
      <c r="P76" s="169">
        <f>VLOOKUP(A76,Agrium_HEA_emis!$A$15:$AD$44,27,FALSE)</f>
        <v>2.08</v>
      </c>
      <c r="Q76" s="166" t="s">
        <v>296</v>
      </c>
      <c r="R76" s="170">
        <v>1</v>
      </c>
      <c r="S76" s="166" t="s">
        <v>296</v>
      </c>
      <c r="T76" s="171">
        <f>VLOOKUP(A76,Agrium_HEA_emis!$A$15:$AD$44,14,FALSE)</f>
        <v>2.1347339999999999E-4</v>
      </c>
      <c r="U76" s="166" t="s">
        <v>296</v>
      </c>
      <c r="V76" s="171">
        <v>0</v>
      </c>
      <c r="W76" s="166" t="s">
        <v>296</v>
      </c>
      <c r="X76" s="171">
        <f>VLOOKUP(A76,Agrium_HEA_emis!$A$15:$AD$44,9,FALSE)</f>
        <v>4.1326999999999996E-3</v>
      </c>
      <c r="Y76" s="166" t="s">
        <v>296</v>
      </c>
      <c r="Z76" s="171">
        <v>0</v>
      </c>
      <c r="AA76" s="166" t="s">
        <v>296</v>
      </c>
      <c r="AB76" s="171">
        <v>0</v>
      </c>
      <c r="AC76" s="166" t="s">
        <v>296</v>
      </c>
      <c r="AD76" s="171" t="str">
        <f>VLOOKUP(A76,Agrium_HEA_emis!$A$15:$AD$44,21,FALSE)</f>
        <v>Gas</v>
      </c>
      <c r="AE76" s="166" t="s">
        <v>296</v>
      </c>
      <c r="AF76" s="171">
        <f>VLOOKUP(A76,Agrium_HEA_emis!$A$15:$AD$44,23,FALSE)</f>
        <v>1.079211746522411E-3</v>
      </c>
      <c r="AG76" s="166" t="s">
        <v>296</v>
      </c>
      <c r="AH76" s="171">
        <f>VLOOKUP(A76,Agrium_HEA_emis!$A$15:$AD$44,25,FALSE)</f>
        <v>1.1257882534775889E-3</v>
      </c>
      <c r="AI76" s="166" t="s">
        <v>296</v>
      </c>
      <c r="AJ76" s="171">
        <f>VLOOKUP($A$76,Agrium_HEA_emis!$A$15:$AD$44,11,FALSE)</f>
        <v>2.2049999999999999E-3</v>
      </c>
      <c r="AK76" s="166" t="s">
        <v>296</v>
      </c>
      <c r="AL76" s="171">
        <f>VLOOKUP($A$76,Agrium_HEA_emis!$A$15:$AD$44,11,FALSE)</f>
        <v>2.2049999999999999E-3</v>
      </c>
      <c r="AM76" s="166" t="s">
        <v>296</v>
      </c>
      <c r="AN76" s="171">
        <f>VLOOKUP($A$76,Agrium_HEA_emis!$A$15:$AD$44,18,FALSE)</f>
        <v>2.1</v>
      </c>
      <c r="AO76" s="167" t="s">
        <v>293</v>
      </c>
    </row>
    <row r="77" spans="1:41">
      <c r="A77" s="166">
        <f t="shared" si="1"/>
        <v>25</v>
      </c>
      <c r="B77" s="166" t="s">
        <v>293</v>
      </c>
      <c r="C77" s="166" t="s">
        <v>297</v>
      </c>
      <c r="H77" s="168"/>
      <c r="I77" s="168"/>
      <c r="J77" s="168"/>
      <c r="K77" s="168"/>
      <c r="L77" s="168"/>
    </row>
    <row r="78" spans="1:41">
      <c r="A78" s="166">
        <f t="shared" si="1"/>
        <v>26</v>
      </c>
      <c r="B78" s="166" t="s">
        <v>293</v>
      </c>
      <c r="C78" s="166" t="s">
        <v>294</v>
      </c>
      <c r="D78" s="166" t="str">
        <f>VLOOKUP('CALPUFF Agrium ST'!A78,Agrium_HEA_emis!$A$15:$AD$42,2,FALSE)</f>
        <v>AG_66B</v>
      </c>
      <c r="E78" s="166" t="s">
        <v>293</v>
      </c>
    </row>
    <row r="79" spans="1:41">
      <c r="A79" s="166">
        <f t="shared" si="1"/>
        <v>26</v>
      </c>
      <c r="B79" s="166" t="s">
        <v>293</v>
      </c>
      <c r="C79" s="166" t="s">
        <v>295</v>
      </c>
      <c r="D79" s="168">
        <f>VLOOKUP(A79,Agrium_HEA_emis!$A$15:$AD$44,6,FALSE)</f>
        <v>-20.719142877100001</v>
      </c>
      <c r="E79" s="168" t="s">
        <v>296</v>
      </c>
      <c r="F79" s="168">
        <f>VLOOKUP(A79,Agrium_HEA_emis!$A$15:$AD$44,7,FALSE)</f>
        <v>186.239940066</v>
      </c>
      <c r="G79" s="168" t="s">
        <v>296</v>
      </c>
      <c r="H79" s="169">
        <f>VLOOKUP(A79,Agrium_HEA_emis!$A$15:$AD$44,26,FALSE)</f>
        <v>1.1257882534775889E-3</v>
      </c>
      <c r="I79" s="166" t="s">
        <v>296</v>
      </c>
      <c r="J79" s="170">
        <f>VLOOKUP(A79,Agrium_HEA_emis!$A$15:$AD$44,8,FALSE)</f>
        <v>34.1</v>
      </c>
      <c r="K79" s="166" t="s">
        <v>296</v>
      </c>
      <c r="L79" s="169">
        <f>VLOOKUP(A79,Agrium_HEA_emis!$A$15:$AD$44,29,FALSE)</f>
        <v>29.11</v>
      </c>
      <c r="M79" s="166" t="s">
        <v>296</v>
      </c>
      <c r="N79" s="169">
        <f>VLOOKUP(A79,Agrium_HEA_emis!$A$15:$AD$44,28,FALSE)</f>
        <v>699.82</v>
      </c>
      <c r="O79" s="166" t="s">
        <v>296</v>
      </c>
      <c r="P79" s="169">
        <f>VLOOKUP(A79,Agrium_HEA_emis!$A$15:$AD$44,27,FALSE)</f>
        <v>2.08</v>
      </c>
      <c r="Q79" s="166" t="s">
        <v>296</v>
      </c>
      <c r="R79" s="170">
        <v>1</v>
      </c>
      <c r="S79" s="166" t="s">
        <v>296</v>
      </c>
      <c r="T79" s="171">
        <f>VLOOKUP(A79,Agrium_HEA_emis!$A$15:$AD$44,14,FALSE)</f>
        <v>2.1347339999999999E-4</v>
      </c>
      <c r="U79" s="166" t="s">
        <v>296</v>
      </c>
      <c r="V79" s="171">
        <v>0</v>
      </c>
      <c r="W79" s="166" t="s">
        <v>296</v>
      </c>
      <c r="X79" s="171">
        <f>VLOOKUP(A79,Agrium_HEA_emis!$A$15:$AD$44,9,FALSE)</f>
        <v>4.1326999999999996E-3</v>
      </c>
      <c r="Y79" s="166" t="s">
        <v>296</v>
      </c>
      <c r="Z79" s="171">
        <v>0</v>
      </c>
      <c r="AA79" s="166" t="s">
        <v>296</v>
      </c>
      <c r="AB79" s="171">
        <v>0</v>
      </c>
      <c r="AC79" s="166" t="s">
        <v>296</v>
      </c>
      <c r="AD79" s="171" t="str">
        <f>VLOOKUP(A79,Agrium_HEA_emis!$A$15:$AD$44,21,FALSE)</f>
        <v>Gas</v>
      </c>
      <c r="AE79" s="166" t="s">
        <v>296</v>
      </c>
      <c r="AF79" s="171">
        <f>VLOOKUP(A79,Agrium_HEA_emis!$A$15:$AD$44,23,FALSE)</f>
        <v>1.079211746522411E-3</v>
      </c>
      <c r="AG79" s="166" t="s">
        <v>296</v>
      </c>
      <c r="AH79" s="171">
        <f>VLOOKUP(A79,Agrium_HEA_emis!$A$15:$AD$44,25,FALSE)</f>
        <v>1.1257882534775889E-3</v>
      </c>
      <c r="AI79" s="166" t="s">
        <v>296</v>
      </c>
      <c r="AJ79" s="171">
        <f>VLOOKUP($A$79,Agrium_HEA_emis!$A$15:$AD$44,11,FALSE)</f>
        <v>2.2049999999999999E-3</v>
      </c>
      <c r="AK79" s="166" t="s">
        <v>296</v>
      </c>
      <c r="AL79" s="171">
        <f>VLOOKUP($A$79,Agrium_HEA_emis!$A$15:$AD$44,11,FALSE)</f>
        <v>2.2049999999999999E-3</v>
      </c>
      <c r="AM79" s="166" t="s">
        <v>296</v>
      </c>
      <c r="AN79" s="171">
        <f>VLOOKUP($A$79,Agrium_HEA_emis!$A$15:$AD$44,18,FALSE)</f>
        <v>2.21</v>
      </c>
      <c r="AO79" s="167" t="s">
        <v>293</v>
      </c>
    </row>
    <row r="80" spans="1:41">
      <c r="A80" s="166">
        <f t="shared" si="1"/>
        <v>26</v>
      </c>
      <c r="B80" s="166" t="s">
        <v>293</v>
      </c>
      <c r="C80" s="166" t="s">
        <v>297</v>
      </c>
      <c r="H80" s="168"/>
      <c r="I80" s="168"/>
      <c r="J80" s="168"/>
      <c r="K80" s="168"/>
      <c r="L80" s="168"/>
    </row>
    <row r="81" spans="1:41">
      <c r="A81" s="166">
        <f t="shared" si="1"/>
        <v>27</v>
      </c>
      <c r="B81" s="166" t="s">
        <v>293</v>
      </c>
      <c r="C81" s="166" t="s">
        <v>294</v>
      </c>
      <c r="D81" s="166" t="str">
        <f>VLOOKUP('CALPUFF Agrium ST'!A81,Agrium_HEA_emis!$A$15:$AD$42,2,FALSE)</f>
        <v>ASHIPSTK</v>
      </c>
      <c r="E81" s="166" t="s">
        <v>293</v>
      </c>
    </row>
    <row r="82" spans="1:41">
      <c r="A82" s="166">
        <f t="shared" si="1"/>
        <v>27</v>
      </c>
      <c r="B82" s="166" t="s">
        <v>293</v>
      </c>
      <c r="C82" s="166" t="s">
        <v>295</v>
      </c>
      <c r="D82" s="168">
        <f>VLOOKUP(A82,Agrium_HEA_emis!$A$15:$AD$44,6,FALSE)</f>
        <v>-21.533288043199999</v>
      </c>
      <c r="E82" s="168" t="s">
        <v>296</v>
      </c>
      <c r="F82" s="168">
        <f>VLOOKUP(A82,Agrium_HEA_emis!$A$15:$AD$44,7,FALSE)</f>
        <v>186.14083465100001</v>
      </c>
      <c r="G82" s="168" t="s">
        <v>296</v>
      </c>
      <c r="H82" s="169">
        <f>VLOOKUP(A82,Agrium_HEA_emis!$A$15:$AD$44,26,FALSE)</f>
        <v>1.7101256544502622E-2</v>
      </c>
      <c r="I82" s="166" t="s">
        <v>296</v>
      </c>
      <c r="J82" s="170">
        <f>VLOOKUP(A82,Agrium_HEA_emis!$A$15:$AD$44,8,FALSE)</f>
        <v>0</v>
      </c>
      <c r="K82" s="166" t="s">
        <v>296</v>
      </c>
      <c r="L82" s="169">
        <f>VLOOKUP(A82,Agrium_HEA_emis!$A$15:$AD$44,29,FALSE)</f>
        <v>69.72</v>
      </c>
      <c r="M82" s="166" t="s">
        <v>296</v>
      </c>
      <c r="N82" s="169">
        <f>VLOOKUP(A82,Agrium_HEA_emis!$A$15:$AD$44,28,FALSE)</f>
        <v>613.15</v>
      </c>
      <c r="O82" s="166" t="s">
        <v>296</v>
      </c>
      <c r="P82" s="169">
        <f>VLOOKUP(A82,Agrium_HEA_emis!$A$15:$AD$44,27,FALSE)</f>
        <v>39</v>
      </c>
      <c r="Q82" s="166" t="s">
        <v>296</v>
      </c>
      <c r="R82" s="170">
        <v>1</v>
      </c>
      <c r="S82" s="166" t="s">
        <v>296</v>
      </c>
      <c r="T82" s="171">
        <f>VLOOKUP(A82,Agrium_HEA_emis!$A$15:$AD$44,14,FALSE)</f>
        <v>0.1230212154537</v>
      </c>
      <c r="U82" s="166" t="s">
        <v>296</v>
      </c>
      <c r="V82" s="171">
        <v>0</v>
      </c>
      <c r="W82" s="166" t="s">
        <v>296</v>
      </c>
      <c r="X82" s="171">
        <f>VLOOKUP(A82,Agrium_HEA_emis!$A$15:$AD$44,9,FALSE)</f>
        <v>7.2991000000000001</v>
      </c>
      <c r="Y82" s="166" t="s">
        <v>296</v>
      </c>
      <c r="Z82" s="171">
        <v>0</v>
      </c>
      <c r="AA82" s="166" t="s">
        <v>296</v>
      </c>
      <c r="AB82" s="171">
        <v>0</v>
      </c>
      <c r="AC82" s="166" t="s">
        <v>296</v>
      </c>
      <c r="AD82" s="171" t="str">
        <f>VLOOKUP(A82,Agrium_HEA_emis!$A$15:$AD$44,21,FALSE)</f>
        <v>Diesel</v>
      </c>
      <c r="AE82" s="166" t="s">
        <v>296</v>
      </c>
      <c r="AF82" s="171">
        <f>VLOOKUP(A82,Agrium_HEA_emis!$A$15:$AD$44,23,FALSE)</f>
        <v>0.10963586330935253</v>
      </c>
      <c r="AG82" s="166" t="s">
        <v>296</v>
      </c>
      <c r="AH82" s="171">
        <f>VLOOKUP(A82,Agrium_HEA_emis!$A$15:$AD$44,25,FALSE)</f>
        <v>1.7624136690647482E-2</v>
      </c>
      <c r="AI82" s="166" t="s">
        <v>296</v>
      </c>
      <c r="AJ82" s="171">
        <f>VLOOKUP($A$82,Agrium_HEA_emis!$A$15:$AD$44,11,FALSE)</f>
        <v>0.12726000000000001</v>
      </c>
      <c r="AK82" s="166" t="s">
        <v>296</v>
      </c>
      <c r="AL82" s="171">
        <f>VLOOKUP($A$82,Agrium_HEA_emis!$A$15:$AD$44,11,FALSE)</f>
        <v>0.12726000000000001</v>
      </c>
      <c r="AM82" s="166" t="s">
        <v>296</v>
      </c>
      <c r="AN82" s="171">
        <f>VLOOKUP($A$82,Agrium_HEA_emis!$A$15:$AD$44,18,FALSE)</f>
        <v>6.64</v>
      </c>
      <c r="AO82" s="167" t="s">
        <v>293</v>
      </c>
    </row>
    <row r="83" spans="1:41">
      <c r="A83" s="166">
        <f t="shared" si="1"/>
        <v>27</v>
      </c>
      <c r="B83" s="166" t="s">
        <v>293</v>
      </c>
      <c r="C83" s="166" t="s">
        <v>297</v>
      </c>
      <c r="H83" s="168"/>
      <c r="I83" s="168"/>
      <c r="J83" s="168"/>
      <c r="K83" s="168"/>
      <c r="L83" s="168"/>
    </row>
    <row r="84" spans="1:41">
      <c r="A84" s="166">
        <f t="shared" si="1"/>
        <v>28</v>
      </c>
      <c r="B84" s="166" t="s">
        <v>293</v>
      </c>
      <c r="C84" s="166" t="s">
        <v>294</v>
      </c>
      <c r="D84" s="166" t="str">
        <f>VLOOKUP('CALPUFF Agrium ST'!A84,Agrium_HEA_emis!$A$15:$AD$42,2,FALSE)</f>
        <v>USHIPSTK</v>
      </c>
      <c r="E84" s="166" t="s">
        <v>293</v>
      </c>
    </row>
    <row r="85" spans="1:41">
      <c r="A85" s="166">
        <f t="shared" si="1"/>
        <v>28</v>
      </c>
      <c r="B85" s="166" t="s">
        <v>293</v>
      </c>
      <c r="C85" s="166" t="s">
        <v>295</v>
      </c>
      <c r="D85" s="168">
        <f>VLOOKUP(A85,Agrium_HEA_emis!$A$15:$AD$44,6,FALSE)</f>
        <v>-21.5317680478</v>
      </c>
      <c r="E85" s="168" t="s">
        <v>296</v>
      </c>
      <c r="F85" s="168">
        <f>VLOOKUP(A85,Agrium_HEA_emis!$A$15:$AD$44,7,FALSE)</f>
        <v>186.14129219</v>
      </c>
      <c r="G85" s="168" t="s">
        <v>296</v>
      </c>
      <c r="H85" s="169">
        <f>VLOOKUP(A85,Agrium_HEA_emis!$A$15:$AD$44,26,FALSE)</f>
        <v>2.2011518324607333E-3</v>
      </c>
      <c r="I85" s="166" t="s">
        <v>296</v>
      </c>
      <c r="J85" s="170">
        <f>VLOOKUP(A85,Agrium_HEA_emis!$A$15:$AD$44,8,FALSE)</f>
        <v>0</v>
      </c>
      <c r="K85" s="166" t="s">
        <v>296</v>
      </c>
      <c r="L85" s="169">
        <f>VLOOKUP(A85,Agrium_HEA_emis!$A$15:$AD$44,29,FALSE)</f>
        <v>6.14</v>
      </c>
      <c r="M85" s="166" t="s">
        <v>296</v>
      </c>
      <c r="N85" s="169">
        <f>VLOOKUP(A85,Agrium_HEA_emis!$A$15:$AD$44,28,FALSE)</f>
        <v>358.15</v>
      </c>
      <c r="O85" s="166" t="s">
        <v>296</v>
      </c>
      <c r="P85" s="169">
        <f>VLOOKUP(A85,Agrium_HEA_emis!$A$15:$AD$44,27,FALSE)</f>
        <v>29</v>
      </c>
      <c r="Q85" s="166" t="s">
        <v>296</v>
      </c>
      <c r="R85" s="170">
        <v>1</v>
      </c>
      <c r="S85" s="166" t="s">
        <v>296</v>
      </c>
      <c r="T85" s="171">
        <f>VLOOKUP(A85,Agrium_HEA_emis!$A$15:$AD$44,14,FALSE)</f>
        <v>3.2805657454319993E-2</v>
      </c>
      <c r="U85" s="166" t="s">
        <v>296</v>
      </c>
      <c r="V85" s="171">
        <v>0</v>
      </c>
      <c r="W85" s="166" t="s">
        <v>296</v>
      </c>
      <c r="X85" s="171">
        <f>VLOOKUP(A85,Agrium_HEA_emis!$A$15:$AD$44,9,FALSE)</f>
        <v>0.97270000000000001</v>
      </c>
      <c r="Y85" s="166" t="s">
        <v>296</v>
      </c>
      <c r="Z85" s="171">
        <v>0</v>
      </c>
      <c r="AA85" s="166" t="s">
        <v>296</v>
      </c>
      <c r="AB85" s="171">
        <v>0</v>
      </c>
      <c r="AC85" s="166" t="s">
        <v>296</v>
      </c>
      <c r="AD85" s="171" t="str">
        <f>VLOOKUP(A85,Agrium_HEA_emis!$A$15:$AD$44,21,FALSE)</f>
        <v>Diesel</v>
      </c>
      <c r="AE85" s="166" t="s">
        <v>296</v>
      </c>
      <c r="AF85" s="171">
        <f>VLOOKUP(A85,Agrium_HEA_emis!$A$15:$AD$44,23,FALSE)</f>
        <v>1.4111546762589926E-2</v>
      </c>
      <c r="AG85" s="166" t="s">
        <v>296</v>
      </c>
      <c r="AH85" s="171">
        <f>VLOOKUP(A85,Agrium_HEA_emis!$A$15:$AD$44,25,FALSE)</f>
        <v>2.2684532374100718E-3</v>
      </c>
      <c r="AI85" s="166" t="s">
        <v>296</v>
      </c>
      <c r="AJ85" s="171">
        <f>VLOOKUP($A$84,Agrium_HEA_emis!$A$15:$AD$44,11,FALSE)</f>
        <v>1.6379999999999999E-2</v>
      </c>
      <c r="AK85" s="166" t="s">
        <v>296</v>
      </c>
      <c r="AL85" s="171">
        <f>VLOOKUP($A$84,Agrium_HEA_emis!$A$15:$AD$44,11,FALSE)</f>
        <v>1.6379999999999999E-2</v>
      </c>
      <c r="AM85" s="166" t="s">
        <v>296</v>
      </c>
      <c r="AN85" s="171">
        <f>VLOOKUP($A$84,Agrium_HEA_emis!$A$15:$AD$44,18,FALSE)</f>
        <v>1.77</v>
      </c>
      <c r="AO85" s="167" t="s">
        <v>293</v>
      </c>
    </row>
    <row r="86" spans="1:41">
      <c r="A86" s="166">
        <f t="shared" si="1"/>
        <v>28</v>
      </c>
      <c r="B86" s="166" t="s">
        <v>293</v>
      </c>
      <c r="C86" s="166" t="s">
        <v>297</v>
      </c>
      <c r="H86" s="168"/>
      <c r="I86" s="168"/>
      <c r="J86" s="168"/>
      <c r="K86" s="168"/>
      <c r="L86" s="168"/>
    </row>
    <row r="88" spans="1:41">
      <c r="D88" s="168"/>
      <c r="E88" s="168"/>
      <c r="F88" s="168"/>
      <c r="G88" s="168"/>
      <c r="H88" s="169"/>
      <c r="J88" s="170"/>
      <c r="L88" s="169"/>
      <c r="N88" s="169"/>
      <c r="P88" s="169"/>
      <c r="R88" s="170"/>
      <c r="T88" s="171"/>
      <c r="V88" s="171"/>
      <c r="X88" s="171"/>
      <c r="Z88" s="171"/>
      <c r="AB88" s="171"/>
      <c r="AD88" s="171"/>
      <c r="AF88" s="171"/>
      <c r="AH88" s="171"/>
      <c r="AJ88" s="171"/>
      <c r="AL88" s="171"/>
      <c r="AN88" s="171"/>
    </row>
    <row r="89" spans="1:41">
      <c r="H89" s="168"/>
      <c r="I89" s="168"/>
      <c r="J89" s="168"/>
      <c r="K89" s="168"/>
      <c r="L89" s="168"/>
    </row>
    <row r="93" spans="1:41">
      <c r="C93" s="193" t="s">
        <v>315</v>
      </c>
      <c r="D93" s="193"/>
      <c r="E93" s="193"/>
      <c r="F93" s="193"/>
      <c r="G93" s="193"/>
      <c r="H93" s="193"/>
    </row>
    <row r="94" spans="1:41">
      <c r="C94" s="215" t="s">
        <v>331</v>
      </c>
      <c r="D94" s="215"/>
      <c r="E94" s="215"/>
      <c r="F94" s="215"/>
      <c r="G94" s="215"/>
      <c r="H94" s="215"/>
    </row>
    <row r="101" spans="3:3" s="166" customFormat="1" ht="19.5">
      <c r="C101" s="260" t="s">
        <v>374</v>
      </c>
    </row>
    <row r="102" spans="3:3" s="166" customFormat="1" ht="19.5">
      <c r="C102" s="260" t="s">
        <v>375</v>
      </c>
    </row>
    <row r="103" spans="3:3" s="166" customFormat="1" ht="19.5">
      <c r="C103" s="260" t="s">
        <v>376</v>
      </c>
    </row>
    <row r="104" spans="3:3" s="166" customFormat="1" ht="19.5">
      <c r="C104" s="260" t="s">
        <v>377</v>
      </c>
    </row>
    <row r="105" spans="3:3" s="166" customFormat="1">
      <c r="C105" s="166" t="s">
        <v>378</v>
      </c>
    </row>
  </sheetData>
  <pageMargins left="0.7" right="0.7" top="0.75" bottom="0.75" header="0.3" footer="0.3"/>
  <pageSetup orientation="portrait" horizont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AG93"/>
  <sheetViews>
    <sheetView zoomScaleNormal="100" workbookViewId="0">
      <pane xSplit="4" ySplit="2" topLeftCell="I75" activePane="bottomRight" state="frozen"/>
      <selection activeCell="H16" sqref="H16"/>
      <selection pane="topRight" activeCell="H16" sqref="H16"/>
      <selection pane="bottomLeft" activeCell="H16" sqref="H16"/>
      <selection pane="bottomRight" activeCell="H16" sqref="H16"/>
    </sheetView>
  </sheetViews>
  <sheetFormatPr defaultColWidth="9.140625" defaultRowHeight="12.75"/>
  <cols>
    <col min="1" max="1" width="4.7109375" style="166" customWidth="1"/>
    <col min="2" max="2" width="3.42578125" style="166" customWidth="1"/>
    <col min="3" max="3" width="11.42578125" style="166" customWidth="1"/>
    <col min="4" max="4" width="13.7109375" style="166" customWidth="1"/>
    <col min="5" max="5" width="3.5703125" style="166" customWidth="1"/>
    <col min="6" max="6" width="6.5703125" style="166" customWidth="1"/>
    <col min="7" max="7" width="3" style="166" customWidth="1"/>
    <col min="8" max="8" width="6" style="166" customWidth="1"/>
    <col min="9" max="9" width="2.28515625" style="166" customWidth="1"/>
    <col min="10" max="10" width="5.7109375" style="166" customWidth="1"/>
    <col min="11" max="11" width="2.85546875" style="166" customWidth="1"/>
    <col min="12" max="12" width="7.42578125" style="166" customWidth="1"/>
    <col min="13" max="13" width="3.42578125" style="166" customWidth="1"/>
    <col min="14" max="14" width="6.28515625" style="166" customWidth="1"/>
    <col min="15" max="15" width="2.140625" style="166" customWidth="1"/>
    <col min="16" max="16" width="8.28515625" style="166" customWidth="1"/>
    <col min="17" max="17" width="2.7109375" style="166" customWidth="1"/>
    <col min="18" max="18" width="4.42578125" style="166" customWidth="1"/>
    <col min="19" max="19" width="2.85546875" style="166" customWidth="1"/>
    <col min="20" max="20" width="11" style="166" customWidth="1"/>
    <col min="21" max="21" width="2.5703125" style="166" customWidth="1"/>
    <col min="22" max="22" width="11" style="166" customWidth="1"/>
    <col min="23" max="23" width="2.5703125" style="166" customWidth="1"/>
    <col min="24" max="24" width="11" style="166" customWidth="1"/>
    <col min="25" max="25" width="2.5703125" style="166" customWidth="1"/>
    <col min="26" max="26" width="11" style="166" customWidth="1"/>
    <col min="27" max="27" width="2.5703125" style="166" customWidth="1"/>
    <col min="28" max="28" width="11" style="166" customWidth="1"/>
    <col min="29" max="29" width="2.5703125" style="166" customWidth="1"/>
    <col min="30" max="30" width="11" style="166" customWidth="1"/>
    <col min="31" max="31" width="2.5703125" style="166" customWidth="1"/>
    <col min="32" max="32" width="11" style="166" customWidth="1"/>
    <col min="33" max="33" width="3.28515625" style="167" customWidth="1"/>
    <col min="34" max="16384" width="9.140625" style="166"/>
  </cols>
  <sheetData>
    <row r="1" spans="1:33">
      <c r="C1" s="198" t="s">
        <v>383</v>
      </c>
    </row>
    <row r="2" spans="1:33" s="198" customFormat="1">
      <c r="H2" s="261" t="s">
        <v>279</v>
      </c>
      <c r="I2" s="261"/>
      <c r="J2" s="261" t="s">
        <v>280</v>
      </c>
      <c r="K2" s="261"/>
      <c r="L2" s="261" t="s">
        <v>281</v>
      </c>
      <c r="M2" s="261"/>
      <c r="N2" s="261" t="s">
        <v>282</v>
      </c>
      <c r="O2" s="261"/>
      <c r="P2" s="261" t="s">
        <v>283</v>
      </c>
      <c r="Q2" s="261"/>
      <c r="R2" s="261" t="s">
        <v>284</v>
      </c>
      <c r="S2" s="261"/>
      <c r="T2" s="261" t="s">
        <v>285</v>
      </c>
      <c r="U2" s="261"/>
      <c r="V2" s="261" t="s">
        <v>286</v>
      </c>
      <c r="W2" s="261"/>
      <c r="X2" s="261" t="s">
        <v>287</v>
      </c>
      <c r="Y2" s="261"/>
      <c r="Z2" s="261" t="s">
        <v>288</v>
      </c>
      <c r="AA2" s="261"/>
      <c r="AB2" s="261" t="s">
        <v>289</v>
      </c>
      <c r="AC2" s="261"/>
      <c r="AD2" s="261" t="s">
        <v>336</v>
      </c>
      <c r="AE2" s="261"/>
      <c r="AF2" s="261" t="s">
        <v>379</v>
      </c>
      <c r="AG2" s="262"/>
    </row>
    <row r="3" spans="1:33">
      <c r="A3" s="166">
        <v>1</v>
      </c>
      <c r="B3" s="166" t="s">
        <v>293</v>
      </c>
      <c r="C3" s="166" t="s">
        <v>294</v>
      </c>
      <c r="D3" s="166" t="str">
        <f>VLOOKUP('CALPUFF Agrium AN'!A3,Agrium_HEA_emis!$A$15:$AD$42,2,FALSE)</f>
        <v>AG_11</v>
      </c>
      <c r="E3" s="166" t="s">
        <v>293</v>
      </c>
    </row>
    <row r="4" spans="1:33">
      <c r="A4" s="166">
        <v>1</v>
      </c>
      <c r="B4" s="166" t="s">
        <v>293</v>
      </c>
      <c r="C4" s="166" t="s">
        <v>295</v>
      </c>
      <c r="D4" s="168">
        <f>VLOOKUP($A$4,Agrium_HEA_emis!$A$15:$AD$44,6,FALSE)</f>
        <v>-20.902587548300001</v>
      </c>
      <c r="E4" s="168" t="s">
        <v>296</v>
      </c>
      <c r="F4" s="168">
        <f>VLOOKUP($A$4,Agrium_HEA_emis!$A$15:$AD$44,7,FALSE)</f>
        <v>186.31694709800001</v>
      </c>
      <c r="G4" s="168" t="s">
        <v>296</v>
      </c>
      <c r="H4" s="169">
        <f>VLOOKUP($A$4,Agrium_HEA_emis!$A$15:$AD$44,26,FALSE)</f>
        <v>8.5050000000000013E-4</v>
      </c>
      <c r="I4" s="166" t="s">
        <v>296</v>
      </c>
      <c r="J4" s="170">
        <f>VLOOKUP($A$4,Agrium_HEA_emis!$A$15:$AD$44,8,FALSE)</f>
        <v>39.6</v>
      </c>
      <c r="K4" s="166" t="s">
        <v>296</v>
      </c>
      <c r="L4" s="169">
        <f>VLOOKUP($A$4,Agrium_HEA_emis!$A$15:$AD$44,29,FALSE)</f>
        <v>45.72</v>
      </c>
      <c r="M4" s="166" t="s">
        <v>296</v>
      </c>
      <c r="N4" s="169">
        <f>VLOOKUP($A$4,Agrium_HEA_emis!$A$15:$AD$44,28,FALSE)</f>
        <v>394.26</v>
      </c>
      <c r="O4" s="166" t="s">
        <v>296</v>
      </c>
      <c r="P4" s="169">
        <f>VLOOKUP($A$4,Agrium_HEA_emis!$A$15:$AD$44,27,FALSE)</f>
        <v>9.14</v>
      </c>
      <c r="Q4" s="166" t="s">
        <v>296</v>
      </c>
      <c r="R4" s="170">
        <v>1</v>
      </c>
      <c r="S4" s="166" t="s">
        <v>296</v>
      </c>
      <c r="T4" s="171">
        <f>VLOOKUP($A$4,Agrium_HEA_emis!$A$15:$AD$44,16,FALSE)</f>
        <v>3.2200000000000002E-3</v>
      </c>
      <c r="U4" s="166" t="s">
        <v>296</v>
      </c>
      <c r="V4" s="171">
        <v>0</v>
      </c>
      <c r="W4" s="166" t="s">
        <v>296</v>
      </c>
      <c r="X4" s="171">
        <f>VLOOKUP($A$4,Agrium_HEA_emis!$A$15:$AD$44,10,FALSE)</f>
        <v>1.0644000000000001E-2</v>
      </c>
      <c r="Y4" s="166" t="s">
        <v>296</v>
      </c>
      <c r="Z4" s="171">
        <v>0</v>
      </c>
      <c r="AA4" s="166" t="s">
        <v>296</v>
      </c>
      <c r="AB4" s="171">
        <v>0</v>
      </c>
      <c r="AC4" s="166" t="s">
        <v>296</v>
      </c>
      <c r="AD4" s="171">
        <f>VLOOKUP($A$4,Agrium_HEA_emis!$A$15:$AD$44,12,FALSE)</f>
        <v>1.1506999999999999E-3</v>
      </c>
      <c r="AE4" s="166" t="s">
        <v>296</v>
      </c>
      <c r="AF4" s="171">
        <f>VLOOKUP($A$4,Agrium_HEA_emis!$A$15:$AD$44,12,FALSE)</f>
        <v>1.1506999999999999E-3</v>
      </c>
      <c r="AG4" s="167" t="s">
        <v>293</v>
      </c>
    </row>
    <row r="5" spans="1:33">
      <c r="A5" s="166">
        <v>1</v>
      </c>
      <c r="B5" s="166" t="s">
        <v>293</v>
      </c>
      <c r="C5" s="166" t="s">
        <v>297</v>
      </c>
      <c r="H5" s="168"/>
      <c r="I5" s="168"/>
      <c r="J5" s="168"/>
      <c r="K5" s="168"/>
      <c r="L5" s="168"/>
    </row>
    <row r="6" spans="1:33">
      <c r="A6" s="166">
        <f t="shared" ref="A6:A69" si="0">A3+1</f>
        <v>2</v>
      </c>
      <c r="B6" s="166" t="s">
        <v>293</v>
      </c>
      <c r="C6" s="166" t="s">
        <v>294</v>
      </c>
      <c r="D6" s="166" t="str">
        <f>VLOOKUP('CALPUFF Agrium AN'!A6,Agrium_HEA_emis!$A$15:$AD$42,2,FALSE)</f>
        <v>AG_12</v>
      </c>
      <c r="E6" s="166" t="s">
        <v>293</v>
      </c>
    </row>
    <row r="7" spans="1:33">
      <c r="A7" s="166">
        <f t="shared" si="0"/>
        <v>2</v>
      </c>
      <c r="B7" s="166" t="s">
        <v>293</v>
      </c>
      <c r="C7" s="166" t="s">
        <v>295</v>
      </c>
      <c r="D7" s="168">
        <f>VLOOKUP(A7,Agrium_HEA_emis!$A$15:$AD$44,6,FALSE)</f>
        <v>-20.885449767899999</v>
      </c>
      <c r="E7" s="168" t="s">
        <v>296</v>
      </c>
      <c r="F7" s="168">
        <f>VLOOKUP(A7,Agrium_HEA_emis!$A$15:$AD$44,7,FALSE)</f>
        <v>186.57868830699999</v>
      </c>
      <c r="G7" s="168" t="s">
        <v>296</v>
      </c>
      <c r="H7" s="169">
        <f>VLOOKUP(A7,Agrium_HEA_emis!$A$15:$AD$44,26,FALSE)</f>
        <v>0.95445000000000013</v>
      </c>
      <c r="I7" s="166" t="s">
        <v>296</v>
      </c>
      <c r="J7" s="170">
        <f>VLOOKUP(A7,Agrium_HEA_emis!$A$15:$AD$44,8,FALSE)</f>
        <v>39.6</v>
      </c>
      <c r="K7" s="166" t="s">
        <v>296</v>
      </c>
      <c r="L7" s="169">
        <f>VLOOKUP(A7,Agrium_HEA_emis!$A$15:$AD$44,29,FALSE)</f>
        <v>24.4</v>
      </c>
      <c r="M7" s="166" t="s">
        <v>296</v>
      </c>
      <c r="N7" s="169">
        <f>VLOOKUP(A7,Agrium_HEA_emis!$A$15:$AD$44,28,FALSE)</f>
        <v>526.48</v>
      </c>
      <c r="O7" s="166" t="s">
        <v>296</v>
      </c>
      <c r="P7" s="169">
        <f>VLOOKUP(A7,Agrium_HEA_emis!$A$15:$AD$44,27,FALSE)</f>
        <v>30.48</v>
      </c>
      <c r="Q7" s="166" t="s">
        <v>296</v>
      </c>
      <c r="R7" s="170">
        <v>1</v>
      </c>
      <c r="S7" s="166" t="s">
        <v>296</v>
      </c>
      <c r="T7" s="171">
        <f>VLOOKUP(A7,Agrium_HEA_emis!$A$15:$AD$44,16,FALSE)</f>
        <v>3.5</v>
      </c>
      <c r="U7" s="166" t="s">
        <v>296</v>
      </c>
      <c r="V7" s="171">
        <v>0</v>
      </c>
      <c r="W7" s="166" t="s">
        <v>296</v>
      </c>
      <c r="X7" s="171">
        <f>VLOOKUP(A7,Agrium_HEA_emis!$A$15:$AD$44,10,FALSE)</f>
        <v>3.4030999999999998</v>
      </c>
      <c r="Y7" s="166" t="s">
        <v>296</v>
      </c>
      <c r="Z7" s="171">
        <v>0</v>
      </c>
      <c r="AA7" s="166" t="s">
        <v>296</v>
      </c>
      <c r="AB7" s="171">
        <v>0</v>
      </c>
      <c r="AC7" s="166" t="s">
        <v>296</v>
      </c>
      <c r="AD7" s="171">
        <f>VLOOKUP($A$7,Agrium_HEA_emis!$A$15:$AD$44,12,FALSE)</f>
        <v>1.2685999999999999</v>
      </c>
      <c r="AE7" s="166" t="s">
        <v>296</v>
      </c>
      <c r="AF7" s="171">
        <f>VLOOKUP($A$7,Agrium_HEA_emis!$A$15:$AD$44,12,FALSE)</f>
        <v>1.2685999999999999</v>
      </c>
      <c r="AG7" s="167" t="s">
        <v>293</v>
      </c>
    </row>
    <row r="8" spans="1:33">
      <c r="A8" s="166">
        <f t="shared" si="0"/>
        <v>2</v>
      </c>
      <c r="B8" s="166" t="s">
        <v>293</v>
      </c>
      <c r="C8" s="166" t="s">
        <v>297</v>
      </c>
      <c r="H8" s="168"/>
      <c r="I8" s="168"/>
      <c r="J8" s="168"/>
      <c r="K8" s="168"/>
      <c r="L8" s="168"/>
    </row>
    <row r="9" spans="1:33">
      <c r="A9" s="166">
        <f t="shared" si="0"/>
        <v>3</v>
      </c>
      <c r="B9" s="166" t="s">
        <v>293</v>
      </c>
      <c r="C9" s="166" t="s">
        <v>294</v>
      </c>
      <c r="D9" s="166" t="str">
        <f>VLOOKUP('CALPUFF Agrium AN'!A9,Agrium_HEA_emis!$A$15:$AD$42,2,FALSE)</f>
        <v>AG_13</v>
      </c>
      <c r="E9" s="166" t="s">
        <v>293</v>
      </c>
    </row>
    <row r="10" spans="1:33">
      <c r="A10" s="166">
        <f t="shared" si="0"/>
        <v>3</v>
      </c>
      <c r="B10" s="166" t="s">
        <v>293</v>
      </c>
      <c r="C10" s="166" t="s">
        <v>295</v>
      </c>
      <c r="D10" s="168">
        <f>VLOOKUP(A10,Agrium_HEA_emis!$A$15:$AD$44,6,FALSE)</f>
        <v>-20.873242305200002</v>
      </c>
      <c r="E10" s="168" t="s">
        <v>296</v>
      </c>
      <c r="F10" s="168">
        <f>VLOOKUP(A10,Agrium_HEA_emis!$A$15:$AD$44,7,FALSE)</f>
        <v>186.60102861300001</v>
      </c>
      <c r="G10" s="168" t="s">
        <v>296</v>
      </c>
      <c r="H10" s="169">
        <f>VLOOKUP(A10,Agrium_HEA_emis!$A$15:$AD$44,26,FALSE)</f>
        <v>7.5600000000000014E-2</v>
      </c>
      <c r="I10" s="166" t="s">
        <v>296</v>
      </c>
      <c r="J10" s="170">
        <f>VLOOKUP(A10,Agrium_HEA_emis!$A$15:$AD$44,8,FALSE)</f>
        <v>39.6</v>
      </c>
      <c r="K10" s="166" t="s">
        <v>296</v>
      </c>
      <c r="L10" s="169">
        <f>VLOOKUP(A10,Agrium_HEA_emis!$A$15:$AD$44,29,FALSE)</f>
        <v>13.53</v>
      </c>
      <c r="M10" s="166" t="s">
        <v>296</v>
      </c>
      <c r="N10" s="169">
        <f>VLOOKUP(A10,Agrium_HEA_emis!$A$15:$AD$44,28,FALSE)</f>
        <v>1033.1500000000001</v>
      </c>
      <c r="O10" s="166" t="s">
        <v>296</v>
      </c>
      <c r="P10" s="169">
        <f>VLOOKUP(A10,Agrium_HEA_emis!$A$15:$AD$44,27,FALSE)</f>
        <v>27.43</v>
      </c>
      <c r="Q10" s="166" t="s">
        <v>296</v>
      </c>
      <c r="R10" s="170">
        <v>1</v>
      </c>
      <c r="S10" s="166" t="s">
        <v>296</v>
      </c>
      <c r="T10" s="171">
        <f>VLOOKUP(A10,Agrium_HEA_emis!$A$15:$AD$44,16,FALSE)</f>
        <v>6.0000000000000001E-3</v>
      </c>
      <c r="U10" s="166" t="s">
        <v>296</v>
      </c>
      <c r="V10" s="171">
        <v>0</v>
      </c>
      <c r="W10" s="166" t="s">
        <v>296</v>
      </c>
      <c r="X10" s="171">
        <f>VLOOKUP(A10,Agrium_HEA_emis!$A$15:$AD$44,10,FALSE)</f>
        <v>2.8479000000000001E-2</v>
      </c>
      <c r="Y10" s="166" t="s">
        <v>296</v>
      </c>
      <c r="Z10" s="171">
        <v>0</v>
      </c>
      <c r="AA10" s="166" t="s">
        <v>296</v>
      </c>
      <c r="AB10" s="171">
        <v>0</v>
      </c>
      <c r="AC10" s="166" t="s">
        <v>296</v>
      </c>
      <c r="AD10" s="171">
        <f>VLOOKUP($A$10,Agrium_HEA_emis!$A$15:$AD$44,12,FALSE)</f>
        <v>2.1575000000000001E-3</v>
      </c>
      <c r="AE10" s="166" t="s">
        <v>296</v>
      </c>
      <c r="AF10" s="171">
        <f>VLOOKUP($A$10,Agrium_HEA_emis!$A$15:$AD$44,12,FALSE)</f>
        <v>2.1575000000000001E-3</v>
      </c>
      <c r="AG10" s="167" t="s">
        <v>293</v>
      </c>
    </row>
    <row r="11" spans="1:33">
      <c r="A11" s="166">
        <f t="shared" si="0"/>
        <v>3</v>
      </c>
      <c r="B11" s="166" t="s">
        <v>293</v>
      </c>
      <c r="C11" s="197" t="s">
        <v>313</v>
      </c>
      <c r="H11" s="168"/>
      <c r="I11" s="168"/>
      <c r="J11" s="168"/>
      <c r="K11" s="168"/>
      <c r="L11" s="168"/>
    </row>
    <row r="12" spans="1:33">
      <c r="A12" s="166">
        <f t="shared" si="0"/>
        <v>4</v>
      </c>
      <c r="B12" s="166" t="s">
        <v>293</v>
      </c>
      <c r="C12" s="166" t="s">
        <v>294</v>
      </c>
      <c r="D12" s="166" t="str">
        <f>VLOOKUP('CALPUFF Agrium AN'!A12,Agrium_HEA_emis!$A$15:$AD$42,2,FALSE)</f>
        <v>AG_14</v>
      </c>
      <c r="E12" s="166" t="s">
        <v>293</v>
      </c>
    </row>
    <row r="13" spans="1:33">
      <c r="A13" s="166">
        <f t="shared" si="0"/>
        <v>4</v>
      </c>
      <c r="B13" s="166" t="s">
        <v>293</v>
      </c>
      <c r="C13" s="166" t="s">
        <v>295</v>
      </c>
      <c r="D13" s="168">
        <f>VLOOKUP(A13,Agrium_HEA_emis!$A$15:$AD$44,6,FALSE)</f>
        <v>-20.803375611900002</v>
      </c>
      <c r="E13" s="168" t="s">
        <v>296</v>
      </c>
      <c r="F13" s="168">
        <f>VLOOKUP(A13,Agrium_HEA_emis!$A$15:$AD$44,7,FALSE)</f>
        <v>186.56349881099999</v>
      </c>
      <c r="G13" s="168" t="s">
        <v>296</v>
      </c>
      <c r="H13" s="169">
        <f>VLOOKUP(A13,Agrium_HEA_emis!$A$15:$AD$44,26,FALSE)</f>
        <v>0</v>
      </c>
      <c r="I13" s="166" t="s">
        <v>296</v>
      </c>
      <c r="J13" s="170">
        <f>VLOOKUP(A13,Agrium_HEA_emis!$A$15:$AD$44,8,FALSE)</f>
        <v>39.6</v>
      </c>
      <c r="K13" s="166" t="s">
        <v>296</v>
      </c>
      <c r="L13" s="169">
        <f>VLOOKUP(A13,Agrium_HEA_emis!$A$15:$AD$44,29,FALSE)</f>
        <v>26.91384</v>
      </c>
      <c r="M13" s="166" t="s">
        <v>296</v>
      </c>
      <c r="N13" s="169">
        <f>VLOOKUP(A13,Agrium_HEA_emis!$A$15:$AD$44,28,FALSE)</f>
        <v>348.15</v>
      </c>
      <c r="O13" s="166" t="s">
        <v>296</v>
      </c>
      <c r="P13" s="169">
        <f>VLOOKUP(A13,Agrium_HEA_emis!$A$15:$AD$44,27,FALSE)</f>
        <v>46.9392</v>
      </c>
      <c r="Q13" s="166" t="s">
        <v>296</v>
      </c>
      <c r="R13" s="170">
        <v>1</v>
      </c>
      <c r="S13" s="166" t="s">
        <v>296</v>
      </c>
      <c r="T13" s="171" t="str">
        <f>VLOOKUP(A13,Agrium_HEA_emis!$A$15:$AD$44,16,FALSE)</f>
        <v>--</v>
      </c>
      <c r="U13" s="166" t="s">
        <v>296</v>
      </c>
      <c r="V13" s="171">
        <v>0</v>
      </c>
      <c r="W13" s="166" t="s">
        <v>296</v>
      </c>
      <c r="X13" s="171">
        <f>VLOOKUP(A13,Agrium_HEA_emis!$A$15:$AD$44,10,FALSE)</f>
        <v>0</v>
      </c>
      <c r="Y13" s="166" t="s">
        <v>296</v>
      </c>
      <c r="Z13" s="171">
        <v>0</v>
      </c>
      <c r="AA13" s="166" t="s">
        <v>296</v>
      </c>
      <c r="AB13" s="171">
        <v>0</v>
      </c>
      <c r="AC13" s="166" t="s">
        <v>296</v>
      </c>
      <c r="AD13" s="171">
        <f>VLOOKUP($A$13,Agrium_HEA_emis!$A$15:$AD$44,12,FALSE)</f>
        <v>0</v>
      </c>
      <c r="AE13" s="166" t="s">
        <v>296</v>
      </c>
      <c r="AF13" s="171">
        <f>VLOOKUP($A$13,Agrium_HEA_emis!$A$15:$AD$44,12,FALSE)</f>
        <v>0</v>
      </c>
      <c r="AG13" s="167" t="s">
        <v>293</v>
      </c>
    </row>
    <row r="14" spans="1:33">
      <c r="A14" s="166">
        <f t="shared" si="0"/>
        <v>4</v>
      </c>
      <c r="B14" s="166" t="s">
        <v>293</v>
      </c>
      <c r="C14" s="166" t="s">
        <v>297</v>
      </c>
      <c r="H14" s="168"/>
      <c r="I14" s="168"/>
      <c r="J14" s="168"/>
      <c r="K14" s="168"/>
      <c r="L14" s="168"/>
    </row>
    <row r="15" spans="1:33">
      <c r="A15" s="166">
        <f t="shared" si="0"/>
        <v>5</v>
      </c>
      <c r="B15" s="166" t="s">
        <v>293</v>
      </c>
      <c r="C15" s="166" t="s">
        <v>294</v>
      </c>
      <c r="D15" s="166" t="str">
        <f>VLOOKUP('CALPUFF Agrium AN'!A15,Agrium_HEA_emis!$A$15:$AD$42,2,FALSE)</f>
        <v>AG_16</v>
      </c>
      <c r="E15" s="166" t="s">
        <v>293</v>
      </c>
    </row>
    <row r="16" spans="1:33">
      <c r="A16" s="166">
        <f t="shared" si="0"/>
        <v>5</v>
      </c>
      <c r="B16" s="166" t="s">
        <v>293</v>
      </c>
      <c r="C16" s="166" t="s">
        <v>295</v>
      </c>
      <c r="D16" s="168">
        <f>VLOOKUP(A16,Agrium_HEA_emis!$A$15:$AD$44,6,FALSE)</f>
        <v>-20.7988027727</v>
      </c>
      <c r="E16" s="168" t="s">
        <v>296</v>
      </c>
      <c r="F16" s="168">
        <f>VLOOKUP(A16,Agrium_HEA_emis!$A$15:$AD$44,7,FALSE)</f>
        <v>186.55198457</v>
      </c>
      <c r="G16" s="168" t="s">
        <v>296</v>
      </c>
      <c r="H16" s="169">
        <f>VLOOKUP(A16,Agrium_HEA_emis!$A$15:$AD$44,26,FALSE)</f>
        <v>0</v>
      </c>
      <c r="I16" s="166" t="s">
        <v>296</v>
      </c>
      <c r="J16" s="170">
        <f>VLOOKUP(A16,Agrium_HEA_emis!$A$15:$AD$44,8,FALSE)</f>
        <v>39.6</v>
      </c>
      <c r="K16" s="166" t="s">
        <v>296</v>
      </c>
      <c r="L16" s="169">
        <f>VLOOKUP(A16,Agrium_HEA_emis!$A$15:$AD$44,29,FALSE)</f>
        <v>12.3</v>
      </c>
      <c r="M16" s="166" t="s">
        <v>296</v>
      </c>
      <c r="N16" s="169">
        <f>VLOOKUP(A16,Agrium_HEA_emis!$A$15:$AD$44,28,FALSE)</f>
        <v>366.5</v>
      </c>
      <c r="O16" s="166" t="s">
        <v>296</v>
      </c>
      <c r="P16" s="169">
        <f>VLOOKUP(A16,Agrium_HEA_emis!$A$15:$AD$44,27,FALSE)</f>
        <v>70</v>
      </c>
      <c r="Q16" s="166" t="s">
        <v>296</v>
      </c>
      <c r="R16" s="170">
        <v>1</v>
      </c>
      <c r="S16" s="166" t="s">
        <v>296</v>
      </c>
      <c r="T16" s="171" t="str">
        <f>VLOOKUP(A16,Agrium_HEA_emis!$A$15:$AD$44,16,FALSE)</f>
        <v>--</v>
      </c>
      <c r="U16" s="166" t="s">
        <v>296</v>
      </c>
      <c r="V16" s="171">
        <v>0</v>
      </c>
      <c r="W16" s="166" t="s">
        <v>296</v>
      </c>
      <c r="X16" s="171">
        <f>VLOOKUP(A16,Agrium_HEA_emis!$A$15:$AD$44,10,FALSE)</f>
        <v>0</v>
      </c>
      <c r="Y16" s="166" t="s">
        <v>296</v>
      </c>
      <c r="Z16" s="171">
        <v>0</v>
      </c>
      <c r="AA16" s="166" t="s">
        <v>296</v>
      </c>
      <c r="AB16" s="171">
        <v>0</v>
      </c>
      <c r="AC16" s="166" t="s">
        <v>296</v>
      </c>
      <c r="AD16" s="171">
        <f>VLOOKUP($A$16,Agrium_HEA_emis!$A$15:$AD$44,12,FALSE)</f>
        <v>0</v>
      </c>
      <c r="AE16" s="166" t="s">
        <v>296</v>
      </c>
      <c r="AF16" s="171">
        <f>VLOOKUP($A$16,Agrium_HEA_emis!$A$15:$AD$44,12,FALSE)</f>
        <v>0</v>
      </c>
      <c r="AG16" s="167" t="s">
        <v>293</v>
      </c>
    </row>
    <row r="17" spans="1:33">
      <c r="A17" s="166">
        <f t="shared" si="0"/>
        <v>5</v>
      </c>
      <c r="B17" s="166" t="s">
        <v>293</v>
      </c>
      <c r="C17" s="166" t="s">
        <v>297</v>
      </c>
      <c r="H17" s="168"/>
      <c r="I17" s="168"/>
      <c r="J17" s="168"/>
      <c r="K17" s="168"/>
      <c r="L17" s="168"/>
    </row>
    <row r="18" spans="1:33">
      <c r="A18" s="166">
        <f t="shared" si="0"/>
        <v>6</v>
      </c>
      <c r="B18" s="166" t="s">
        <v>293</v>
      </c>
      <c r="C18" s="166" t="s">
        <v>294</v>
      </c>
      <c r="D18" s="166" t="str">
        <f>VLOOKUP('CALPUFF Agrium AN'!A18,Agrium_HEA_emis!$A$15:$AD$42,2,FALSE)</f>
        <v>AG_19</v>
      </c>
      <c r="E18" s="166" t="s">
        <v>293</v>
      </c>
    </row>
    <row r="19" spans="1:33">
      <c r="A19" s="166">
        <f t="shared" si="0"/>
        <v>6</v>
      </c>
      <c r="B19" s="166" t="s">
        <v>293</v>
      </c>
      <c r="C19" s="166" t="s">
        <v>295</v>
      </c>
      <c r="D19" s="168">
        <f>VLOOKUP(A19,Agrium_HEA_emis!$A$15:$AD$44,6,FALSE)</f>
        <v>-20.854742206499999</v>
      </c>
      <c r="E19" s="168" t="s">
        <v>296</v>
      </c>
      <c r="F19" s="168">
        <f>VLOOKUP(A19,Agrium_HEA_emis!$A$15:$AD$44,7,FALSE)</f>
        <v>186.576750777</v>
      </c>
      <c r="G19" s="168" t="s">
        <v>296</v>
      </c>
      <c r="H19" s="169">
        <f>VLOOKUP(A19,Agrium_HEA_emis!$A$15:$AD$44,26,FALSE)</f>
        <v>0</v>
      </c>
      <c r="I19" s="166" t="s">
        <v>296</v>
      </c>
      <c r="J19" s="170">
        <f>VLOOKUP(A19,Agrium_HEA_emis!$A$15:$AD$44,8,FALSE)</f>
        <v>39.6</v>
      </c>
      <c r="K19" s="166" t="s">
        <v>296</v>
      </c>
      <c r="L19" s="169">
        <f>VLOOKUP(A19,Agrium_HEA_emis!$A$15:$AD$44,29,FALSE)</f>
        <v>20</v>
      </c>
      <c r="M19" s="166" t="s">
        <v>296</v>
      </c>
      <c r="N19" s="169">
        <f>VLOOKUP(A19,Agrium_HEA_emis!$A$15:$AD$44,28,FALSE)</f>
        <v>373.15</v>
      </c>
      <c r="O19" s="166" t="s">
        <v>296</v>
      </c>
      <c r="P19" s="169">
        <f>VLOOKUP(A19,Agrium_HEA_emis!$A$15:$AD$44,27,FALSE)</f>
        <v>46</v>
      </c>
      <c r="Q19" s="166" t="s">
        <v>296</v>
      </c>
      <c r="R19" s="170">
        <v>1</v>
      </c>
      <c r="S19" s="166" t="s">
        <v>296</v>
      </c>
      <c r="T19" s="171" t="str">
        <f>VLOOKUP(A19,Agrium_HEA_emis!$A$15:$AD$44,16,FALSE)</f>
        <v>--</v>
      </c>
      <c r="U19" s="166" t="s">
        <v>296</v>
      </c>
      <c r="V19" s="171">
        <v>0</v>
      </c>
      <c r="W19" s="166" t="s">
        <v>296</v>
      </c>
      <c r="X19" s="171">
        <f>VLOOKUP(A19,Agrium_HEA_emis!$A$15:$AD$44,10,FALSE)</f>
        <v>0</v>
      </c>
      <c r="Y19" s="166" t="s">
        <v>296</v>
      </c>
      <c r="Z19" s="171">
        <v>0</v>
      </c>
      <c r="AA19" s="166" t="s">
        <v>296</v>
      </c>
      <c r="AB19" s="171">
        <v>0</v>
      </c>
      <c r="AC19" s="166" t="s">
        <v>296</v>
      </c>
      <c r="AD19" s="171">
        <f>VLOOKUP($A$19,Agrium_HEA_emis!$A$15:$AD$44,12,FALSE)</f>
        <v>0</v>
      </c>
      <c r="AE19" s="166" t="s">
        <v>296</v>
      </c>
      <c r="AF19" s="171">
        <f>VLOOKUP($A$19,Agrium_HEA_emis!$A$15:$AD$44,12,FALSE)</f>
        <v>0</v>
      </c>
      <c r="AG19" s="167" t="s">
        <v>293</v>
      </c>
    </row>
    <row r="20" spans="1:33">
      <c r="A20" s="166">
        <f t="shared" si="0"/>
        <v>6</v>
      </c>
      <c r="B20" s="166" t="s">
        <v>293</v>
      </c>
      <c r="C20" s="166" t="s">
        <v>297</v>
      </c>
      <c r="H20" s="168"/>
      <c r="I20" s="168"/>
      <c r="J20" s="168"/>
      <c r="K20" s="168"/>
      <c r="L20" s="168"/>
    </row>
    <row r="21" spans="1:33">
      <c r="A21" s="166">
        <f t="shared" si="0"/>
        <v>7</v>
      </c>
      <c r="B21" s="166" t="s">
        <v>293</v>
      </c>
      <c r="C21" s="166" t="s">
        <v>294</v>
      </c>
      <c r="D21" s="166" t="str">
        <f>VLOOKUP('CALPUFF Agrium AN'!A21,Agrium_HEA_emis!$A$15:$AD$42,2,FALSE)</f>
        <v>AG_22</v>
      </c>
      <c r="E21" s="166" t="s">
        <v>293</v>
      </c>
    </row>
    <row r="22" spans="1:33">
      <c r="A22" s="166">
        <f t="shared" si="0"/>
        <v>7</v>
      </c>
      <c r="B22" s="166" t="s">
        <v>293</v>
      </c>
      <c r="C22" s="166" t="s">
        <v>295</v>
      </c>
      <c r="D22" s="168">
        <f>VLOOKUP(A22,Agrium_HEA_emis!$A$15:$AD$44,6,FALSE)</f>
        <v>-20.879104330200001</v>
      </c>
      <c r="E22" s="168" t="s">
        <v>296</v>
      </c>
      <c r="F22" s="168">
        <f>VLOOKUP(A22,Agrium_HEA_emis!$A$15:$AD$44,7,FALSE)</f>
        <v>186.64760402799999</v>
      </c>
      <c r="G22" s="168" t="s">
        <v>296</v>
      </c>
      <c r="H22" s="169">
        <f>VLOOKUP(A22,Agrium_HEA_emis!$A$15:$AD$44,26,FALSE)</f>
        <v>8.7885000000000014E-4</v>
      </c>
      <c r="I22" s="166" t="s">
        <v>296</v>
      </c>
      <c r="J22" s="170">
        <f>VLOOKUP(A22,Agrium_HEA_emis!$A$15:$AD$44,8,FALSE)</f>
        <v>39.6</v>
      </c>
      <c r="K22" s="166" t="s">
        <v>296</v>
      </c>
      <c r="L22" s="169">
        <f>VLOOKUP(A22,Agrium_HEA_emis!$A$15:$AD$44,29,FALSE)</f>
        <v>1.0900000000000001</v>
      </c>
      <c r="M22" s="166" t="s">
        <v>296</v>
      </c>
      <c r="N22" s="169">
        <f>VLOOKUP(A22,Agrium_HEA_emis!$A$15:$AD$44,28,FALSE)</f>
        <v>922.04</v>
      </c>
      <c r="O22" s="166" t="s">
        <v>296</v>
      </c>
      <c r="P22" s="169">
        <f>VLOOKUP(A22,Agrium_HEA_emis!$A$15:$AD$44,27,FALSE)</f>
        <v>74.98</v>
      </c>
      <c r="Q22" s="166" t="s">
        <v>296</v>
      </c>
      <c r="R22" s="170">
        <v>1</v>
      </c>
      <c r="S22" s="166" t="s">
        <v>296</v>
      </c>
      <c r="T22" s="171">
        <f>VLOOKUP(A22,Agrium_HEA_emis!$A$15:$AD$44,16,FALSE)</f>
        <v>3.2200000000000002E-3</v>
      </c>
      <c r="U22" s="166" t="s">
        <v>296</v>
      </c>
      <c r="V22" s="171">
        <v>0</v>
      </c>
      <c r="W22" s="166" t="s">
        <v>296</v>
      </c>
      <c r="X22" s="171">
        <f>VLOOKUP(A22,Agrium_HEA_emis!$A$15:$AD$44,10,FALSE)</f>
        <v>1.0701E-2</v>
      </c>
      <c r="Y22" s="166" t="s">
        <v>296</v>
      </c>
      <c r="Z22" s="171">
        <v>0</v>
      </c>
      <c r="AA22" s="166" t="s">
        <v>296</v>
      </c>
      <c r="AB22" s="171">
        <v>0</v>
      </c>
      <c r="AC22" s="166" t="s">
        <v>296</v>
      </c>
      <c r="AD22" s="171">
        <f>VLOOKUP($A$22,Agrium_HEA_emis!$A$15:$AD$44,12,FALSE)</f>
        <v>1.1793999999999999E-3</v>
      </c>
      <c r="AE22" s="166" t="s">
        <v>296</v>
      </c>
      <c r="AF22" s="171">
        <f>VLOOKUP($A$22,Agrium_HEA_emis!$A$15:$AD$44,12,FALSE)</f>
        <v>1.1793999999999999E-3</v>
      </c>
      <c r="AG22" s="167" t="s">
        <v>293</v>
      </c>
    </row>
    <row r="23" spans="1:33">
      <c r="A23" s="166">
        <f t="shared" si="0"/>
        <v>7</v>
      </c>
      <c r="B23" s="166" t="s">
        <v>293</v>
      </c>
      <c r="C23" s="166" t="s">
        <v>297</v>
      </c>
      <c r="H23" s="168"/>
      <c r="I23" s="168"/>
      <c r="J23" s="168"/>
      <c r="K23" s="168"/>
      <c r="L23" s="168"/>
    </row>
    <row r="24" spans="1:33">
      <c r="A24" s="166">
        <f t="shared" si="0"/>
        <v>8</v>
      </c>
      <c r="B24" s="166" t="s">
        <v>293</v>
      </c>
      <c r="C24" s="166" t="s">
        <v>294</v>
      </c>
      <c r="D24" s="166" t="str">
        <f>VLOOKUP('CALPUFF Agrium AN'!A24,Agrium_HEA_emis!$A$15:$AD$42,2,FALSE)</f>
        <v>AG_23</v>
      </c>
      <c r="E24" s="166" t="s">
        <v>293</v>
      </c>
    </row>
    <row r="25" spans="1:33">
      <c r="A25" s="166">
        <f t="shared" si="0"/>
        <v>8</v>
      </c>
      <c r="B25" s="166" t="s">
        <v>293</v>
      </c>
      <c r="C25" s="166" t="s">
        <v>295</v>
      </c>
      <c r="D25" s="168">
        <f>VLOOKUP(A25,Agrium_HEA_emis!$A$15:$AD$44,6,FALSE)</f>
        <v>-20.879104330200001</v>
      </c>
      <c r="E25" s="168" t="s">
        <v>296</v>
      </c>
      <c r="F25" s="168">
        <f>VLOOKUP(A25,Agrium_HEA_emis!$A$15:$AD$44,7,FALSE)</f>
        <v>186.64760402799999</v>
      </c>
      <c r="G25" s="168" t="s">
        <v>296</v>
      </c>
      <c r="H25" s="169">
        <f>VLOOKUP(A25,Agrium_HEA_emis!$A$15:$AD$44,26,FALSE)</f>
        <v>2.8349250000000005E-4</v>
      </c>
      <c r="I25" s="166" t="s">
        <v>296</v>
      </c>
      <c r="J25" s="170">
        <f>VLOOKUP(A25,Agrium_HEA_emis!$A$15:$AD$44,8,FALSE)</f>
        <v>39.6</v>
      </c>
      <c r="K25" s="166" t="s">
        <v>296</v>
      </c>
      <c r="L25" s="169">
        <f>VLOOKUP(A25,Agrium_HEA_emis!$A$15:$AD$44,29,FALSE)</f>
        <v>121.92</v>
      </c>
      <c r="M25" s="166" t="s">
        <v>296</v>
      </c>
      <c r="N25" s="169">
        <f>VLOOKUP(A25,Agrium_HEA_emis!$A$15:$AD$44,28,FALSE)</f>
        <v>922.04</v>
      </c>
      <c r="O25" s="166" t="s">
        <v>296</v>
      </c>
      <c r="P25" s="169">
        <f>VLOOKUP(A25,Agrium_HEA_emis!$A$15:$AD$44,27,FALSE)</f>
        <v>74.98</v>
      </c>
      <c r="Q25" s="166" t="s">
        <v>296</v>
      </c>
      <c r="R25" s="170">
        <v>1</v>
      </c>
      <c r="S25" s="166" t="s">
        <v>296</v>
      </c>
      <c r="T25" s="171">
        <f>VLOOKUP(A25,Agrium_HEA_emis!$A$15:$AD$44,16,FALSE)</f>
        <v>1.0300000000000001E-3</v>
      </c>
      <c r="U25" s="166" t="s">
        <v>296</v>
      </c>
      <c r="V25" s="171">
        <v>0</v>
      </c>
      <c r="W25" s="166" t="s">
        <v>296</v>
      </c>
      <c r="X25" s="171">
        <f>VLOOKUP(A25,Agrium_HEA_emis!$A$15:$AD$44,10,FALSE)</f>
        <v>5.7533000000000003E-3</v>
      </c>
      <c r="Y25" s="166" t="s">
        <v>296</v>
      </c>
      <c r="Z25" s="171">
        <v>0</v>
      </c>
      <c r="AA25" s="166" t="s">
        <v>296</v>
      </c>
      <c r="AB25" s="171">
        <v>0</v>
      </c>
      <c r="AC25" s="166" t="s">
        <v>296</v>
      </c>
      <c r="AD25" s="171">
        <f>VLOOKUP($A$25,Agrium_HEA_emis!$A$15:$AD$44,12,FALSE)</f>
        <v>3.7683999999999998E-4</v>
      </c>
      <c r="AE25" s="166" t="s">
        <v>296</v>
      </c>
      <c r="AF25" s="171">
        <f>VLOOKUP($A$25,Agrium_HEA_emis!$A$15:$AD$44,12,FALSE)</f>
        <v>3.7683999999999998E-4</v>
      </c>
      <c r="AG25" s="167" t="s">
        <v>293</v>
      </c>
    </row>
    <row r="26" spans="1:33">
      <c r="A26" s="166">
        <f t="shared" si="0"/>
        <v>8</v>
      </c>
      <c r="B26" s="166" t="s">
        <v>293</v>
      </c>
      <c r="C26" s="166" t="s">
        <v>297</v>
      </c>
      <c r="H26" s="168"/>
      <c r="I26" s="168"/>
      <c r="J26" s="168"/>
      <c r="K26" s="168"/>
      <c r="L26" s="168"/>
    </row>
    <row r="27" spans="1:33">
      <c r="A27" s="166">
        <f t="shared" si="0"/>
        <v>9</v>
      </c>
      <c r="B27" s="166" t="s">
        <v>293</v>
      </c>
      <c r="C27" s="166" t="s">
        <v>294</v>
      </c>
      <c r="D27" s="166" t="str">
        <f>VLOOKUP('CALPUFF Agrium AN'!A27,Agrium_HEA_emis!$A$15:$AD$42,2,FALSE)</f>
        <v>AG_35</v>
      </c>
      <c r="E27" s="166" t="s">
        <v>293</v>
      </c>
    </row>
    <row r="28" spans="1:33">
      <c r="A28" s="166">
        <f t="shared" si="0"/>
        <v>9</v>
      </c>
      <c r="B28" s="166" t="s">
        <v>293</v>
      </c>
      <c r="C28" s="166" t="s">
        <v>295</v>
      </c>
      <c r="D28" s="168">
        <f>VLOOKUP(A28,Agrium_HEA_emis!$A$15:$AD$44,6,FALSE)</f>
        <v>-20.921459580200001</v>
      </c>
      <c r="E28" s="168" t="s">
        <v>296</v>
      </c>
      <c r="F28" s="168">
        <f>VLOOKUP(A28,Agrium_HEA_emis!$A$15:$AD$44,7,FALSE)</f>
        <v>186.71011774199999</v>
      </c>
      <c r="G28" s="168" t="s">
        <v>296</v>
      </c>
      <c r="H28" s="169">
        <f>VLOOKUP(A28,Agrium_HEA_emis!$A$15:$AD$44,26,FALSE)</f>
        <v>1.26</v>
      </c>
      <c r="I28" s="166" t="s">
        <v>296</v>
      </c>
      <c r="J28" s="170">
        <f>VLOOKUP(A28,Agrium_HEA_emis!$A$15:$AD$44,8,FALSE)</f>
        <v>39.6</v>
      </c>
      <c r="K28" s="166" t="s">
        <v>296</v>
      </c>
      <c r="L28" s="169">
        <f>VLOOKUP(A28,Agrium_HEA_emis!$A$15:$AD$44,29,FALSE)</f>
        <v>11.5</v>
      </c>
      <c r="M28" s="166" t="s">
        <v>296</v>
      </c>
      <c r="N28" s="169">
        <f>VLOOKUP(A28,Agrium_HEA_emis!$A$15:$AD$44,28,FALSE)</f>
        <v>449.82</v>
      </c>
      <c r="O28" s="166" t="s">
        <v>296</v>
      </c>
      <c r="P28" s="169">
        <f>VLOOKUP(A28,Agrium_HEA_emis!$A$15:$AD$44,27,FALSE)</f>
        <v>42.67</v>
      </c>
      <c r="Q28" s="166" t="s">
        <v>296</v>
      </c>
      <c r="R28" s="170">
        <v>1</v>
      </c>
      <c r="S28" s="166" t="s">
        <v>296</v>
      </c>
      <c r="T28" s="171">
        <v>0</v>
      </c>
      <c r="U28" s="166" t="s">
        <v>296</v>
      </c>
      <c r="V28" s="171">
        <v>0</v>
      </c>
      <c r="W28" s="166" t="s">
        <v>296</v>
      </c>
      <c r="X28" s="171">
        <f>VLOOKUP(A28,Agrium_HEA_emis!$A$15:$AD$44,10,FALSE)</f>
        <v>0</v>
      </c>
      <c r="Y28" s="166" t="s">
        <v>296</v>
      </c>
      <c r="Z28" s="171">
        <v>0</v>
      </c>
      <c r="AA28" s="166" t="s">
        <v>296</v>
      </c>
      <c r="AB28" s="171">
        <v>0</v>
      </c>
      <c r="AC28" s="166" t="s">
        <v>296</v>
      </c>
      <c r="AD28" s="171">
        <f>VLOOKUP($A$28,Agrium_HEA_emis!$A$15:$AD$44,12,FALSE)</f>
        <v>1.26</v>
      </c>
      <c r="AE28" s="166" t="s">
        <v>296</v>
      </c>
      <c r="AF28" s="171">
        <f>VLOOKUP($A$28,Agrium_HEA_emis!$A$15:$AD$44,12,FALSE)</f>
        <v>1.26</v>
      </c>
      <c r="AG28" s="167" t="s">
        <v>293</v>
      </c>
    </row>
    <row r="29" spans="1:33">
      <c r="A29" s="166">
        <f t="shared" si="0"/>
        <v>9</v>
      </c>
      <c r="B29" s="166" t="s">
        <v>293</v>
      </c>
      <c r="C29" s="166" t="s">
        <v>297</v>
      </c>
      <c r="H29" s="168"/>
      <c r="I29" s="168"/>
      <c r="J29" s="168"/>
      <c r="K29" s="168"/>
      <c r="L29" s="168"/>
    </row>
    <row r="30" spans="1:33">
      <c r="A30" s="166">
        <f t="shared" si="0"/>
        <v>10</v>
      </c>
      <c r="B30" s="166" t="s">
        <v>293</v>
      </c>
      <c r="C30" s="166" t="s">
        <v>294</v>
      </c>
      <c r="D30" s="166" t="str">
        <f>VLOOKUP('CALPUFF Agrium AN'!A30,Agrium_HEA_emis!$A$15:$AD$42,2,FALSE)</f>
        <v>AG_36</v>
      </c>
      <c r="E30" s="166" t="s">
        <v>293</v>
      </c>
    </row>
    <row r="31" spans="1:33">
      <c r="A31" s="166">
        <f t="shared" si="0"/>
        <v>10</v>
      </c>
      <c r="B31" s="166" t="s">
        <v>293</v>
      </c>
      <c r="C31" s="166" t="s">
        <v>295</v>
      </c>
      <c r="D31" s="168">
        <f>VLOOKUP(A31,Agrium_HEA_emis!$A$15:$AD$44,6,FALSE)</f>
        <v>-20.904700652599999</v>
      </c>
      <c r="E31" s="168" t="s">
        <v>296</v>
      </c>
      <c r="F31" s="168">
        <f>VLOOKUP(A31,Agrium_HEA_emis!$A$15:$AD$44,7,FALSE)</f>
        <v>186.71645486400001</v>
      </c>
      <c r="G31" s="168" t="s">
        <v>296</v>
      </c>
      <c r="H31" s="169">
        <f>VLOOKUP(A31,Agrium_HEA_emis!$A$15:$AD$44,26,FALSE)</f>
        <v>1.26</v>
      </c>
      <c r="I31" s="166" t="s">
        <v>296</v>
      </c>
      <c r="J31" s="170">
        <f>VLOOKUP(A31,Agrium_HEA_emis!$A$15:$AD$44,8,FALSE)</f>
        <v>39.6</v>
      </c>
      <c r="K31" s="166" t="s">
        <v>296</v>
      </c>
      <c r="L31" s="169">
        <f>VLOOKUP(A31,Agrium_HEA_emis!$A$15:$AD$44,29,FALSE)</f>
        <v>11.5</v>
      </c>
      <c r="M31" s="166" t="s">
        <v>296</v>
      </c>
      <c r="N31" s="169">
        <f>VLOOKUP(A31,Agrium_HEA_emis!$A$15:$AD$44,28,FALSE)</f>
        <v>449.82</v>
      </c>
      <c r="O31" s="166" t="s">
        <v>296</v>
      </c>
      <c r="P31" s="169">
        <f>VLOOKUP(A31,Agrium_HEA_emis!$A$15:$AD$44,27,FALSE)</f>
        <v>42.67</v>
      </c>
      <c r="Q31" s="166" t="s">
        <v>296</v>
      </c>
      <c r="R31" s="170">
        <v>1</v>
      </c>
      <c r="S31" s="166" t="s">
        <v>296</v>
      </c>
      <c r="T31" s="171">
        <v>0</v>
      </c>
      <c r="U31" s="166" t="s">
        <v>296</v>
      </c>
      <c r="V31" s="171">
        <v>0</v>
      </c>
      <c r="W31" s="166" t="s">
        <v>296</v>
      </c>
      <c r="X31" s="171">
        <f>VLOOKUP(A31,Agrium_HEA_emis!$A$15:$AD$44,10,FALSE)</f>
        <v>0</v>
      </c>
      <c r="Y31" s="166" t="s">
        <v>296</v>
      </c>
      <c r="Z31" s="171">
        <v>0</v>
      </c>
      <c r="AA31" s="166" t="s">
        <v>296</v>
      </c>
      <c r="AB31" s="171">
        <v>0</v>
      </c>
      <c r="AC31" s="166" t="s">
        <v>296</v>
      </c>
      <c r="AD31" s="171">
        <f>VLOOKUP($A$31,Agrium_HEA_emis!$A$15:$AD$44,12,FALSE)</f>
        <v>1.26</v>
      </c>
      <c r="AE31" s="166" t="s">
        <v>296</v>
      </c>
      <c r="AF31" s="171">
        <f>VLOOKUP($A$31,Agrium_HEA_emis!$A$15:$AD$44,12,FALSE)</f>
        <v>1.26</v>
      </c>
      <c r="AG31" s="167" t="s">
        <v>293</v>
      </c>
    </row>
    <row r="32" spans="1:33">
      <c r="A32" s="166">
        <f t="shared" si="0"/>
        <v>10</v>
      </c>
      <c r="B32" s="166" t="s">
        <v>293</v>
      </c>
      <c r="C32" s="166" t="s">
        <v>297</v>
      </c>
      <c r="H32" s="168"/>
      <c r="I32" s="168"/>
      <c r="J32" s="168"/>
      <c r="K32" s="168"/>
      <c r="L32" s="168"/>
    </row>
    <row r="33" spans="1:33">
      <c r="A33" s="166">
        <f t="shared" si="0"/>
        <v>11</v>
      </c>
      <c r="B33" s="166" t="s">
        <v>293</v>
      </c>
      <c r="C33" s="166" t="s">
        <v>294</v>
      </c>
      <c r="D33" s="166" t="str">
        <f>VLOOKUP('CALPUFF Agrium AN'!A33,Agrium_HEA_emis!$A$15:$AD$42,2,FALSE)</f>
        <v>AG_40W</v>
      </c>
      <c r="E33" s="166" t="s">
        <v>293</v>
      </c>
    </row>
    <row r="34" spans="1:33">
      <c r="A34" s="166">
        <f t="shared" si="0"/>
        <v>11</v>
      </c>
      <c r="B34" s="166" t="s">
        <v>293</v>
      </c>
      <c r="C34" s="166" t="s">
        <v>295</v>
      </c>
      <c r="D34" s="168">
        <f>VLOOKUP(A34,Agrium_HEA_emis!$A$15:$AD$44,6,FALSE)</f>
        <v>-20.926436082399999</v>
      </c>
      <c r="E34" s="168" t="s">
        <v>296</v>
      </c>
      <c r="F34" s="168">
        <f>VLOOKUP(A34,Agrium_HEA_emis!$A$15:$AD$44,7,FALSE)</f>
        <v>186.73215998200001</v>
      </c>
      <c r="G34" s="168" t="s">
        <v>296</v>
      </c>
      <c r="H34" s="169">
        <f>VLOOKUP(A34,Agrium_HEA_emis!$A$15:$AD$44,26,FALSE)</f>
        <v>8.8199E-5</v>
      </c>
      <c r="I34" s="166" t="s">
        <v>296</v>
      </c>
      <c r="J34" s="170">
        <f>VLOOKUP(A34,Agrium_HEA_emis!$A$15:$AD$44,8,FALSE)</f>
        <v>39.6</v>
      </c>
      <c r="K34" s="166" t="s">
        <v>296</v>
      </c>
      <c r="L34" s="169">
        <f>VLOOKUP(A34,Agrium_HEA_emis!$A$15:$AD$44,29,FALSE)</f>
        <v>2.8</v>
      </c>
      <c r="M34" s="166" t="s">
        <v>296</v>
      </c>
      <c r="N34" s="169">
        <f>VLOOKUP(A34,Agrium_HEA_emis!$A$15:$AD$44,28,FALSE)</f>
        <v>288.70999999999998</v>
      </c>
      <c r="O34" s="166" t="s">
        <v>296</v>
      </c>
      <c r="P34" s="214">
        <v>250</v>
      </c>
      <c r="Q34" s="166" t="s">
        <v>296</v>
      </c>
      <c r="R34" s="170">
        <v>1</v>
      </c>
      <c r="S34" s="166" t="s">
        <v>296</v>
      </c>
      <c r="T34" s="171">
        <v>0</v>
      </c>
      <c r="U34" s="166" t="s">
        <v>296</v>
      </c>
      <c r="V34" s="171">
        <v>0</v>
      </c>
      <c r="W34" s="166" t="s">
        <v>296</v>
      </c>
      <c r="X34" s="171">
        <f>VLOOKUP(A34,Agrium_HEA_emis!$A$15:$AD$44,10,FALSE)</f>
        <v>0</v>
      </c>
      <c r="Y34" s="166" t="s">
        <v>296</v>
      </c>
      <c r="Z34" s="171">
        <v>0</v>
      </c>
      <c r="AA34" s="166" t="s">
        <v>296</v>
      </c>
      <c r="AB34" s="171">
        <v>0</v>
      </c>
      <c r="AC34" s="166" t="s">
        <v>296</v>
      </c>
      <c r="AD34" s="171">
        <f>VLOOKUP($A$34,Agrium_HEA_emis!$A$15:$AD$44,12,FALSE)</f>
        <v>8.3423000000000004E-5</v>
      </c>
      <c r="AE34" s="166" t="s">
        <v>296</v>
      </c>
      <c r="AF34" s="171">
        <f>VLOOKUP($A$34,Agrium_HEA_emis!$A$15:$AD$44,12,FALSE)</f>
        <v>8.3423000000000004E-5</v>
      </c>
      <c r="AG34" s="167" t="s">
        <v>293</v>
      </c>
    </row>
    <row r="35" spans="1:33">
      <c r="A35" s="166">
        <f t="shared" si="0"/>
        <v>11</v>
      </c>
      <c r="B35" s="166" t="s">
        <v>293</v>
      </c>
      <c r="C35" s="197" t="s">
        <v>313</v>
      </c>
      <c r="H35" s="168"/>
      <c r="I35" s="168"/>
      <c r="J35" s="168"/>
      <c r="K35" s="168"/>
      <c r="L35" s="168"/>
      <c r="P35" s="215"/>
    </row>
    <row r="36" spans="1:33">
      <c r="A36" s="166">
        <f t="shared" si="0"/>
        <v>12</v>
      </c>
      <c r="B36" s="166" t="s">
        <v>293</v>
      </c>
      <c r="C36" s="166" t="s">
        <v>294</v>
      </c>
      <c r="D36" s="166" t="str">
        <f>VLOOKUP('CALPUFF Agrium AN'!A36,Agrium_HEA_emis!$A$15:$AD$42,2,FALSE)</f>
        <v>AG_40E</v>
      </c>
      <c r="E36" s="166" t="s">
        <v>293</v>
      </c>
      <c r="P36" s="215"/>
    </row>
    <row r="37" spans="1:33">
      <c r="A37" s="166">
        <f t="shared" si="0"/>
        <v>12</v>
      </c>
      <c r="B37" s="166" t="s">
        <v>293</v>
      </c>
      <c r="C37" s="166" t="s">
        <v>295</v>
      </c>
      <c r="D37" s="168">
        <f>VLOOKUP(A37,Agrium_HEA_emis!$A$15:$AD$44,6,FALSE)</f>
        <v>-20.917298060099998</v>
      </c>
      <c r="E37" s="168" t="s">
        <v>296</v>
      </c>
      <c r="F37" s="168">
        <f>VLOOKUP(A37,Agrium_HEA_emis!$A$15:$AD$44,7,FALSE)</f>
        <v>186.735507125</v>
      </c>
      <c r="G37" s="168" t="s">
        <v>296</v>
      </c>
      <c r="H37" s="169">
        <f>VLOOKUP(A37,Agrium_HEA_emis!$A$15:$AD$44,26,FALSE)</f>
        <v>8.8199E-5</v>
      </c>
      <c r="I37" s="166" t="s">
        <v>296</v>
      </c>
      <c r="J37" s="170">
        <f>VLOOKUP(A37,Agrium_HEA_emis!$A$15:$AD$44,8,FALSE)</f>
        <v>39.6</v>
      </c>
      <c r="K37" s="166" t="s">
        <v>296</v>
      </c>
      <c r="L37" s="169">
        <f>VLOOKUP(A37,Agrium_HEA_emis!$A$15:$AD$44,29,FALSE)</f>
        <v>2.8</v>
      </c>
      <c r="M37" s="166" t="s">
        <v>296</v>
      </c>
      <c r="N37" s="169">
        <f>VLOOKUP(A37,Agrium_HEA_emis!$A$15:$AD$44,28,FALSE)</f>
        <v>288.70999999999998</v>
      </c>
      <c r="O37" s="166" t="s">
        <v>296</v>
      </c>
      <c r="P37" s="214">
        <v>250</v>
      </c>
      <c r="Q37" s="166" t="s">
        <v>296</v>
      </c>
      <c r="R37" s="170">
        <v>1</v>
      </c>
      <c r="S37" s="166" t="s">
        <v>296</v>
      </c>
      <c r="T37" s="171">
        <v>0</v>
      </c>
      <c r="U37" s="166" t="s">
        <v>296</v>
      </c>
      <c r="V37" s="171">
        <v>0</v>
      </c>
      <c r="W37" s="166" t="s">
        <v>296</v>
      </c>
      <c r="X37" s="171">
        <f>VLOOKUP(A37,Agrium_HEA_emis!$A$15:$AD$44,10,FALSE)</f>
        <v>0</v>
      </c>
      <c r="Y37" s="166" t="s">
        <v>296</v>
      </c>
      <c r="Z37" s="171">
        <v>0</v>
      </c>
      <c r="AA37" s="166" t="s">
        <v>296</v>
      </c>
      <c r="AB37" s="171">
        <v>0</v>
      </c>
      <c r="AC37" s="166" t="s">
        <v>296</v>
      </c>
      <c r="AD37" s="171">
        <f>VLOOKUP($A$37,Agrium_HEA_emis!$A$15:$AD$44,12,FALSE)</f>
        <v>8.3423000000000004E-5</v>
      </c>
      <c r="AE37" s="166" t="s">
        <v>296</v>
      </c>
      <c r="AF37" s="171">
        <f>VLOOKUP($A$37,Agrium_HEA_emis!$A$15:$AD$44,12,FALSE)</f>
        <v>8.3423000000000004E-5</v>
      </c>
      <c r="AG37" s="167" t="s">
        <v>293</v>
      </c>
    </row>
    <row r="38" spans="1:33">
      <c r="A38" s="166">
        <f t="shared" si="0"/>
        <v>12</v>
      </c>
      <c r="B38" s="166" t="s">
        <v>293</v>
      </c>
      <c r="C38" s="197" t="s">
        <v>313</v>
      </c>
      <c r="H38" s="168"/>
      <c r="I38" s="168"/>
      <c r="J38" s="168"/>
      <c r="K38" s="168"/>
      <c r="L38" s="168"/>
    </row>
    <row r="39" spans="1:33">
      <c r="A39" s="166">
        <f t="shared" si="0"/>
        <v>13</v>
      </c>
      <c r="B39" s="166" t="s">
        <v>293</v>
      </c>
      <c r="C39" s="166" t="s">
        <v>294</v>
      </c>
      <c r="D39" s="166" t="str">
        <f>VLOOKUP('CALPUFF Agrium AN'!A39,Agrium_HEA_emis!$A$15:$AD$42,2,FALSE)</f>
        <v>AG_44</v>
      </c>
      <c r="E39" s="166" t="s">
        <v>293</v>
      </c>
    </row>
    <row r="40" spans="1:33">
      <c r="A40" s="166">
        <f t="shared" si="0"/>
        <v>13</v>
      </c>
      <c r="B40" s="166" t="s">
        <v>293</v>
      </c>
      <c r="C40" s="166" t="s">
        <v>295</v>
      </c>
      <c r="D40" s="168">
        <f>VLOOKUP($A$40,Agrium_HEA_emis!$A$15:$AD$44,6,FALSE)</f>
        <v>-20.779937955499999</v>
      </c>
      <c r="E40" s="168" t="s">
        <v>296</v>
      </c>
      <c r="F40" s="168">
        <f>VLOOKUP($A$40,Agrium_HEA_emis!$A$15:$AD$44,7,FALSE)</f>
        <v>186.47112884500001</v>
      </c>
      <c r="G40" s="168" t="s">
        <v>296</v>
      </c>
      <c r="H40" s="169">
        <f>VLOOKUP($A$40,Agrium_HEA_emis!$A$15:$AD$44,26,FALSE)</f>
        <v>0.17010000000000003</v>
      </c>
      <c r="I40" s="166" t="s">
        <v>296</v>
      </c>
      <c r="J40" s="170">
        <f>VLOOKUP($A$40,Agrium_HEA_emis!$A$15:$AD$44,8,FALSE)</f>
        <v>39.6</v>
      </c>
      <c r="K40" s="166" t="s">
        <v>296</v>
      </c>
      <c r="L40" s="169">
        <f>VLOOKUP($A$40,Agrium_HEA_emis!$A$15:$AD$44,29,FALSE)</f>
        <v>12.61</v>
      </c>
      <c r="M40" s="166" t="s">
        <v>296</v>
      </c>
      <c r="N40" s="169">
        <f>VLOOKUP($A$40,Agrium_HEA_emis!$A$15:$AD$44,28,FALSE)</f>
        <v>422.04</v>
      </c>
      <c r="O40" s="166" t="s">
        <v>296</v>
      </c>
      <c r="P40" s="169">
        <f>VLOOKUP($A$40,Agrium_HEA_emis!$A$15:$AD$44,27,FALSE)</f>
        <v>30.48</v>
      </c>
      <c r="Q40" s="166" t="s">
        <v>296</v>
      </c>
      <c r="R40" s="170">
        <v>1</v>
      </c>
      <c r="S40" s="166" t="s">
        <v>296</v>
      </c>
      <c r="T40" s="171">
        <f>VLOOKUP($A$40,Agrium_HEA_emis!$A$15:$AD$44,16,FALSE)</f>
        <v>0.6</v>
      </c>
      <c r="U40" s="166" t="s">
        <v>296</v>
      </c>
      <c r="V40" s="171">
        <v>0</v>
      </c>
      <c r="W40" s="166" t="s">
        <v>296</v>
      </c>
      <c r="X40" s="171">
        <f>VLOOKUP($A$40,Agrium_HEA_emis!$A$15:$AD$44,10,FALSE)</f>
        <v>0.30492999999999998</v>
      </c>
      <c r="Y40" s="166" t="s">
        <v>296</v>
      </c>
      <c r="Z40" s="171">
        <v>0</v>
      </c>
      <c r="AA40" s="166" t="s">
        <v>296</v>
      </c>
      <c r="AB40" s="171">
        <v>0</v>
      </c>
      <c r="AC40" s="166" t="s">
        <v>296</v>
      </c>
      <c r="AD40" s="171">
        <f>VLOOKUP($A$40,Agrium_HEA_emis!$A$15:$AD$44,12,FALSE)</f>
        <v>0.22725999999999999</v>
      </c>
      <c r="AE40" s="166" t="s">
        <v>296</v>
      </c>
      <c r="AF40" s="171">
        <f>VLOOKUP($A$40,Agrium_HEA_emis!$A$15:$AD$44,12,FALSE)</f>
        <v>0.22725999999999999</v>
      </c>
      <c r="AG40" s="167" t="s">
        <v>293</v>
      </c>
    </row>
    <row r="41" spans="1:33">
      <c r="A41" s="166">
        <f t="shared" si="0"/>
        <v>13</v>
      </c>
      <c r="B41" s="166" t="s">
        <v>293</v>
      </c>
      <c r="C41" s="166" t="s">
        <v>297</v>
      </c>
      <c r="H41" s="168"/>
      <c r="I41" s="168"/>
      <c r="J41" s="168"/>
      <c r="K41" s="168"/>
      <c r="L41" s="168"/>
    </row>
    <row r="42" spans="1:33">
      <c r="A42" s="166">
        <f t="shared" si="0"/>
        <v>14</v>
      </c>
      <c r="B42" s="166" t="s">
        <v>293</v>
      </c>
      <c r="C42" s="166" t="s">
        <v>294</v>
      </c>
      <c r="D42" s="166" t="str">
        <f>VLOOKUP('CALPUFF Agrium AN'!A42,Agrium_HEA_emis!$A$15:$AD$42,2,FALSE)</f>
        <v>AG_47C</v>
      </c>
      <c r="E42" s="166" t="s">
        <v>293</v>
      </c>
    </row>
    <row r="43" spans="1:33">
      <c r="A43" s="166">
        <f t="shared" si="0"/>
        <v>14</v>
      </c>
      <c r="B43" s="166" t="s">
        <v>293</v>
      </c>
      <c r="C43" s="166" t="s">
        <v>295</v>
      </c>
      <c r="D43" s="168">
        <f>VLOOKUP($A$43,Agrium_HEA_emis!$A$15:$AD$44,6,FALSE)</f>
        <v>-20.975950976299998</v>
      </c>
      <c r="E43" s="168" t="s">
        <v>296</v>
      </c>
      <c r="F43" s="168">
        <f>VLOOKUP($A$43,Agrium_HEA_emis!$A$15:$AD$44,7,FALSE)</f>
        <v>186.39403102899999</v>
      </c>
      <c r="G43" s="168" t="s">
        <v>296</v>
      </c>
      <c r="H43" s="169">
        <f>VLOOKUP($A$43,Agrium_HEA_emis!$A$15:$AD$44,26,FALSE)</f>
        <v>3.6538999999999999E-3</v>
      </c>
      <c r="I43" s="166" t="s">
        <v>296</v>
      </c>
      <c r="J43" s="170">
        <f>VLOOKUP($A$43,Agrium_HEA_emis!$A$15:$AD$44,8,FALSE)</f>
        <v>39.6</v>
      </c>
      <c r="K43" s="166" t="s">
        <v>296</v>
      </c>
      <c r="L43" s="169">
        <f>VLOOKUP($A$43,Agrium_HEA_emis!$A$15:$AD$44,29,FALSE)</f>
        <v>11.48</v>
      </c>
      <c r="M43" s="166" t="s">
        <v>296</v>
      </c>
      <c r="N43" s="169">
        <f>VLOOKUP($A$43,Agrium_HEA_emis!$A$15:$AD$44,28,FALSE)</f>
        <v>-0.1</v>
      </c>
      <c r="O43" s="166" t="s">
        <v>296</v>
      </c>
      <c r="P43" s="169">
        <v>250</v>
      </c>
      <c r="Q43" s="166" t="s">
        <v>296</v>
      </c>
      <c r="R43" s="170">
        <v>1</v>
      </c>
      <c r="S43" s="166" t="s">
        <v>296</v>
      </c>
      <c r="T43" s="171">
        <v>0</v>
      </c>
      <c r="U43" s="166" t="s">
        <v>296</v>
      </c>
      <c r="V43" s="171">
        <v>0</v>
      </c>
      <c r="W43" s="166" t="s">
        <v>296</v>
      </c>
      <c r="X43" s="171">
        <f>VLOOKUP($A$43,Agrium_HEA_emis!$A$15:$AD$44,10,FALSE)</f>
        <v>0</v>
      </c>
      <c r="Y43" s="166" t="s">
        <v>296</v>
      </c>
      <c r="Z43" s="171">
        <v>0</v>
      </c>
      <c r="AA43" s="166" t="s">
        <v>296</v>
      </c>
      <c r="AB43" s="171">
        <v>0</v>
      </c>
      <c r="AC43" s="166" t="s">
        <v>296</v>
      </c>
      <c r="AD43" s="171">
        <f>VLOOKUP($A$43,Agrium_HEA_emis!$A$15:$AD$44,12,FALSE)</f>
        <v>3.4519999999999999E-4</v>
      </c>
      <c r="AE43" s="166" t="s">
        <v>296</v>
      </c>
      <c r="AF43" s="171">
        <f>VLOOKUP($A$43,Agrium_HEA_emis!$A$15:$AD$44,12,FALSE)</f>
        <v>3.4519999999999999E-4</v>
      </c>
      <c r="AG43" s="167" t="s">
        <v>293</v>
      </c>
    </row>
    <row r="44" spans="1:33">
      <c r="A44" s="166">
        <f t="shared" si="0"/>
        <v>14</v>
      </c>
      <c r="B44" s="166" t="s">
        <v>293</v>
      </c>
      <c r="C44" s="166" t="s">
        <v>297</v>
      </c>
      <c r="H44" s="168"/>
      <c r="I44" s="168"/>
      <c r="J44" s="168"/>
      <c r="K44" s="168"/>
      <c r="L44" s="168"/>
    </row>
    <row r="45" spans="1:33">
      <c r="A45" s="166">
        <f t="shared" si="0"/>
        <v>15</v>
      </c>
      <c r="B45" s="166" t="s">
        <v>293</v>
      </c>
      <c r="C45" s="166" t="s">
        <v>294</v>
      </c>
      <c r="D45" s="166" t="str">
        <f>VLOOKUP('CALPUFF Agrium AN'!A45,Agrium_HEA_emis!$A$15:$AD$42,2,FALSE)</f>
        <v>AG_47D</v>
      </c>
      <c r="E45" s="166" t="s">
        <v>293</v>
      </c>
    </row>
    <row r="46" spans="1:33">
      <c r="A46" s="166">
        <f t="shared" si="0"/>
        <v>15</v>
      </c>
      <c r="B46" s="166" t="s">
        <v>293</v>
      </c>
      <c r="C46" s="166" t="s">
        <v>295</v>
      </c>
      <c r="D46" s="168">
        <f>VLOOKUP($A$46,Agrium_HEA_emis!$A$15:$AD$44,6,FALSE)</f>
        <v>-21.482529711800002</v>
      </c>
      <c r="E46" s="168" t="s">
        <v>296</v>
      </c>
      <c r="F46" s="168">
        <f>VLOOKUP($A$46,Agrium_HEA_emis!$A$15:$AD$44,7,FALSE)</f>
        <v>186.09424748000001</v>
      </c>
      <c r="G46" s="168" t="s">
        <v>296</v>
      </c>
      <c r="H46" s="169">
        <f>VLOOKUP($A$46,Agrium_HEA_emis!$A$15:$AD$44,26,FALSE)</f>
        <v>3.7799000000000001E-3</v>
      </c>
      <c r="I46" s="166" t="s">
        <v>296</v>
      </c>
      <c r="J46" s="170">
        <f>VLOOKUP($A$46,Agrium_HEA_emis!$A$15:$AD$44,8,FALSE)</f>
        <v>0</v>
      </c>
      <c r="K46" s="166" t="s">
        <v>296</v>
      </c>
      <c r="L46" s="169">
        <f>VLOOKUP($A$46,Agrium_HEA_emis!$A$15:$AD$44,29,FALSE)</f>
        <v>4.8499999999999996</v>
      </c>
      <c r="M46" s="166" t="s">
        <v>296</v>
      </c>
      <c r="N46" s="169">
        <f>VLOOKUP($A$46,Agrium_HEA_emis!$A$15:$AD$44,28,FALSE)</f>
        <v>-0.1</v>
      </c>
      <c r="O46" s="166" t="s">
        <v>296</v>
      </c>
      <c r="P46" s="169">
        <v>250</v>
      </c>
      <c r="Q46" s="166" t="s">
        <v>296</v>
      </c>
      <c r="R46" s="170">
        <v>1</v>
      </c>
      <c r="S46" s="166" t="s">
        <v>296</v>
      </c>
      <c r="T46" s="171">
        <v>0</v>
      </c>
      <c r="U46" s="166" t="s">
        <v>296</v>
      </c>
      <c r="V46" s="171">
        <v>0</v>
      </c>
      <c r="W46" s="166" t="s">
        <v>296</v>
      </c>
      <c r="X46" s="171">
        <f>VLOOKUP($A$46,Agrium_HEA_emis!$A$15:$AD$44,10,FALSE)</f>
        <v>0</v>
      </c>
      <c r="Y46" s="166" t="s">
        <v>296</v>
      </c>
      <c r="Z46" s="171">
        <v>0</v>
      </c>
      <c r="AA46" s="166" t="s">
        <v>296</v>
      </c>
      <c r="AB46" s="171">
        <v>0</v>
      </c>
      <c r="AC46" s="166" t="s">
        <v>296</v>
      </c>
      <c r="AD46" s="171">
        <f>VLOOKUP($A$46,Agrium_HEA_emis!$A$15:$AD$44,12,FALSE)</f>
        <v>3.7397E-4</v>
      </c>
      <c r="AE46" s="166" t="s">
        <v>296</v>
      </c>
      <c r="AF46" s="171">
        <f>VLOOKUP($A$46,Agrium_HEA_emis!$A$15:$AD$44,12,FALSE)</f>
        <v>3.7397E-4</v>
      </c>
      <c r="AG46" s="167" t="s">
        <v>293</v>
      </c>
    </row>
    <row r="47" spans="1:33">
      <c r="A47" s="166">
        <f t="shared" si="0"/>
        <v>15</v>
      </c>
      <c r="B47" s="166" t="s">
        <v>293</v>
      </c>
      <c r="C47" s="166" t="s">
        <v>297</v>
      </c>
      <c r="H47" s="168"/>
      <c r="I47" s="168"/>
      <c r="J47" s="168"/>
      <c r="K47" s="168"/>
      <c r="L47" s="168"/>
    </row>
    <row r="48" spans="1:33">
      <c r="A48" s="166">
        <f t="shared" si="0"/>
        <v>16</v>
      </c>
      <c r="B48" s="166" t="s">
        <v>293</v>
      </c>
      <c r="C48" s="166" t="s">
        <v>294</v>
      </c>
      <c r="D48" s="166" t="str">
        <f>VLOOKUP('CALPUFF Agrium AN'!A48,Agrium_HEA_emis!$A$15:$AD$42,2,FALSE)</f>
        <v>AG_48</v>
      </c>
      <c r="E48" s="166" t="s">
        <v>293</v>
      </c>
    </row>
    <row r="49" spans="1:33">
      <c r="A49" s="166">
        <f t="shared" si="0"/>
        <v>16</v>
      </c>
      <c r="B49" s="166" t="s">
        <v>293</v>
      </c>
      <c r="C49" s="166" t="s">
        <v>295</v>
      </c>
      <c r="D49" s="168">
        <f>VLOOKUP($A$49,Agrium_HEA_emis!$A$15:$AD$44,6,FALSE)</f>
        <v>-20.788919478099999</v>
      </c>
      <c r="E49" s="168" t="s">
        <v>296</v>
      </c>
      <c r="F49" s="168">
        <f>VLOOKUP($A$49,Agrium_HEA_emis!$A$15:$AD$44,7,FALSE)</f>
        <v>186.49358996300001</v>
      </c>
      <c r="G49" s="168" t="s">
        <v>296</v>
      </c>
      <c r="H49" s="169">
        <f>VLOOKUP($A$49,Agrium_HEA_emis!$A$15:$AD$44,26,FALSE)</f>
        <v>0.17010000000000003</v>
      </c>
      <c r="I49" s="166" t="s">
        <v>296</v>
      </c>
      <c r="J49" s="170">
        <f>VLOOKUP($A$49,Agrium_HEA_emis!$A$15:$AD$44,8,FALSE)</f>
        <v>39.6</v>
      </c>
      <c r="K49" s="166" t="s">
        <v>296</v>
      </c>
      <c r="L49" s="169">
        <f>VLOOKUP($A$49,Agrium_HEA_emis!$A$15:$AD$44,29,FALSE)</f>
        <v>10.75</v>
      </c>
      <c r="M49" s="166" t="s">
        <v>296</v>
      </c>
      <c r="N49" s="169">
        <f>VLOOKUP($A$49,Agrium_HEA_emis!$A$15:$AD$44,28,FALSE)</f>
        <v>422.04</v>
      </c>
      <c r="O49" s="166" t="s">
        <v>296</v>
      </c>
      <c r="P49" s="169">
        <f>VLOOKUP($A$49,Agrium_HEA_emis!$A$15:$AD$44,27,FALSE)</f>
        <v>30.48</v>
      </c>
      <c r="Q49" s="166" t="s">
        <v>296</v>
      </c>
      <c r="R49" s="170">
        <v>1</v>
      </c>
      <c r="S49" s="166" t="s">
        <v>296</v>
      </c>
      <c r="T49" s="171">
        <f>VLOOKUP($A$49,Agrium_HEA_emis!$A$15:$AD$44,16,FALSE)</f>
        <v>0.6</v>
      </c>
      <c r="U49" s="166" t="s">
        <v>296</v>
      </c>
      <c r="V49" s="171">
        <v>0</v>
      </c>
      <c r="W49" s="166" t="s">
        <v>296</v>
      </c>
      <c r="X49" s="171">
        <f>VLOOKUP($A$49,Agrium_HEA_emis!$A$15:$AD$44,10,FALSE)</f>
        <v>0.30492999999999998</v>
      </c>
      <c r="Y49" s="166" t="s">
        <v>296</v>
      </c>
      <c r="Z49" s="171">
        <v>0</v>
      </c>
      <c r="AA49" s="166" t="s">
        <v>296</v>
      </c>
      <c r="AB49" s="171">
        <v>0</v>
      </c>
      <c r="AC49" s="166" t="s">
        <v>296</v>
      </c>
      <c r="AD49" s="171">
        <f>VLOOKUP($A$49,Agrium_HEA_emis!$A$15:$AD$44,12,FALSE)</f>
        <v>0.22725999999999999</v>
      </c>
      <c r="AE49" s="166" t="s">
        <v>296</v>
      </c>
      <c r="AF49" s="171">
        <f>VLOOKUP($A$49,Agrium_HEA_emis!$A$15:$AD$44,12,FALSE)</f>
        <v>0.22725999999999999</v>
      </c>
      <c r="AG49" s="167" t="s">
        <v>293</v>
      </c>
    </row>
    <row r="50" spans="1:33">
      <c r="A50" s="166">
        <f t="shared" si="0"/>
        <v>16</v>
      </c>
      <c r="B50" s="166" t="s">
        <v>293</v>
      </c>
      <c r="C50" s="166" t="s">
        <v>297</v>
      </c>
      <c r="H50" s="168"/>
      <c r="I50" s="168"/>
      <c r="J50" s="168"/>
      <c r="K50" s="168"/>
      <c r="L50" s="168"/>
    </row>
    <row r="51" spans="1:33">
      <c r="A51" s="166">
        <f t="shared" si="0"/>
        <v>17</v>
      </c>
      <c r="B51" s="166" t="s">
        <v>293</v>
      </c>
      <c r="C51" s="166" t="s">
        <v>294</v>
      </c>
      <c r="D51" s="166" t="str">
        <f>VLOOKUP('CALPUFF Agrium AN'!A51,Agrium_HEA_emis!$A$15:$AD$42,2,FALSE)</f>
        <v>AG_49</v>
      </c>
      <c r="E51" s="166" t="s">
        <v>293</v>
      </c>
    </row>
    <row r="52" spans="1:33">
      <c r="A52" s="166">
        <f t="shared" si="0"/>
        <v>17</v>
      </c>
      <c r="B52" s="166" t="s">
        <v>293</v>
      </c>
      <c r="C52" s="166" t="s">
        <v>295</v>
      </c>
      <c r="D52" s="168">
        <f>VLOOKUP(A52,Agrium_HEA_emis!$A$15:$AD$44,6,FALSE)</f>
        <v>-20.7925971003</v>
      </c>
      <c r="E52" s="168" t="s">
        <v>296</v>
      </c>
      <c r="F52" s="168">
        <f>VLOOKUP(A52,Agrium_HEA_emis!$A$15:$AD$44,7,FALSE)</f>
        <v>186.50514815099999</v>
      </c>
      <c r="G52" s="168" t="s">
        <v>296</v>
      </c>
      <c r="H52" s="169">
        <f>VLOOKUP(A52,Agrium_HEA_emis!$A$15:$AD$44,26,FALSE)</f>
        <v>0.17010000000000003</v>
      </c>
      <c r="I52" s="166" t="s">
        <v>296</v>
      </c>
      <c r="J52" s="170">
        <f>VLOOKUP(A52,Agrium_HEA_emis!$A$15:$AD$44,8,FALSE)</f>
        <v>39.6</v>
      </c>
      <c r="K52" s="166" t="s">
        <v>296</v>
      </c>
      <c r="L52" s="169">
        <f>VLOOKUP(A52,Agrium_HEA_emis!$A$15:$AD$44,29,FALSE)</f>
        <v>10.75</v>
      </c>
      <c r="M52" s="166" t="s">
        <v>296</v>
      </c>
      <c r="N52" s="169">
        <f>VLOOKUP(A52,Agrium_HEA_emis!$A$15:$AD$44,28,FALSE)</f>
        <v>422.04</v>
      </c>
      <c r="O52" s="166" t="s">
        <v>296</v>
      </c>
      <c r="P52" s="169">
        <f>VLOOKUP(A52,Agrium_HEA_emis!$A$15:$AD$44,27,FALSE)</f>
        <v>30.48</v>
      </c>
      <c r="Q52" s="166" t="s">
        <v>296</v>
      </c>
      <c r="R52" s="170">
        <v>1</v>
      </c>
      <c r="S52" s="166" t="s">
        <v>296</v>
      </c>
      <c r="T52" s="171">
        <f>VLOOKUP(A52,Agrium_HEA_emis!$A$15:$AD$44,16,FALSE)</f>
        <v>0.6</v>
      </c>
      <c r="U52" s="166" t="s">
        <v>296</v>
      </c>
      <c r="V52" s="171">
        <v>0</v>
      </c>
      <c r="W52" s="166" t="s">
        <v>296</v>
      </c>
      <c r="X52" s="171">
        <f>VLOOKUP(A52,Agrium_HEA_emis!$A$15:$AD$44,10,FALSE)</f>
        <v>0.30492999999999998</v>
      </c>
      <c r="Y52" s="166" t="s">
        <v>296</v>
      </c>
      <c r="Z52" s="171">
        <v>0</v>
      </c>
      <c r="AA52" s="166" t="s">
        <v>296</v>
      </c>
      <c r="AB52" s="171">
        <v>0</v>
      </c>
      <c r="AC52" s="166" t="s">
        <v>296</v>
      </c>
      <c r="AD52" s="171">
        <f>VLOOKUP($A$52,Agrium_HEA_emis!$A$15:$AD$44,12,FALSE)</f>
        <v>0.22725999999999999</v>
      </c>
      <c r="AE52" s="166" t="s">
        <v>296</v>
      </c>
      <c r="AF52" s="171">
        <f>VLOOKUP($A$52,Agrium_HEA_emis!$A$15:$AD$44,12,FALSE)</f>
        <v>0.22725999999999999</v>
      </c>
      <c r="AG52" s="167" t="s">
        <v>293</v>
      </c>
    </row>
    <row r="53" spans="1:33">
      <c r="A53" s="166">
        <f t="shared" si="0"/>
        <v>17</v>
      </c>
      <c r="B53" s="166" t="s">
        <v>293</v>
      </c>
      <c r="C53" s="166" t="s">
        <v>297</v>
      </c>
      <c r="H53" s="168"/>
      <c r="I53" s="168"/>
      <c r="J53" s="168"/>
      <c r="K53" s="168"/>
      <c r="L53" s="168"/>
    </row>
    <row r="54" spans="1:33">
      <c r="A54" s="166">
        <f t="shared" si="0"/>
        <v>18</v>
      </c>
      <c r="B54" s="166" t="s">
        <v>293</v>
      </c>
      <c r="C54" s="166" t="s">
        <v>294</v>
      </c>
      <c r="D54" s="166" t="str">
        <f>VLOOKUP('CALPUFF Agrium AN'!A54,Agrium_HEA_emis!$A$15:$AD$42,2,FALSE)</f>
        <v>AG_50</v>
      </c>
      <c r="E54" s="166" t="s">
        <v>293</v>
      </c>
    </row>
    <row r="55" spans="1:33">
      <c r="A55" s="166">
        <f t="shared" si="0"/>
        <v>18</v>
      </c>
      <c r="B55" s="166" t="s">
        <v>293</v>
      </c>
      <c r="C55" s="166" t="s">
        <v>295</v>
      </c>
      <c r="D55" s="168">
        <f>VLOOKUP(A55,Agrium_HEA_emis!$A$15:$AD$44,6,FALSE)</f>
        <v>-20.749070850799999</v>
      </c>
      <c r="E55" s="168" t="s">
        <v>296</v>
      </c>
      <c r="F55" s="168">
        <f>VLOOKUP(A55,Agrium_HEA_emis!$A$15:$AD$44,7,FALSE)</f>
        <v>186.530283419</v>
      </c>
      <c r="G55" s="168" t="s">
        <v>296</v>
      </c>
      <c r="H55" s="169">
        <f>VLOOKUP(A55,Agrium_HEA_emis!$A$15:$AD$44,26,FALSE)</f>
        <v>5.8589250000000002E-2</v>
      </c>
      <c r="I55" s="166" t="s">
        <v>296</v>
      </c>
      <c r="J55" s="170">
        <f>VLOOKUP(A55,Agrium_HEA_emis!$A$15:$AD$44,8,FALSE)</f>
        <v>39.6</v>
      </c>
      <c r="K55" s="166" t="s">
        <v>296</v>
      </c>
      <c r="L55" s="169">
        <f>VLOOKUP(A55,Agrium_HEA_emis!$A$15:$AD$44,29,FALSE)</f>
        <v>17.88</v>
      </c>
      <c r="M55" s="166" t="s">
        <v>296</v>
      </c>
      <c r="N55" s="169">
        <f>VLOOKUP(A55,Agrium_HEA_emis!$A$15:$AD$44,28,FALSE)</f>
        <v>416.48</v>
      </c>
      <c r="O55" s="166" t="s">
        <v>296</v>
      </c>
      <c r="P55" s="169">
        <f>VLOOKUP(A55,Agrium_HEA_emis!$A$15:$AD$44,27,FALSE)</f>
        <v>30.48</v>
      </c>
      <c r="Q55" s="166" t="s">
        <v>296</v>
      </c>
      <c r="R55" s="170">
        <v>1</v>
      </c>
      <c r="S55" s="166" t="s">
        <v>296</v>
      </c>
      <c r="T55" s="171">
        <f>VLOOKUP(A55,Agrium_HEA_emis!$A$15:$AD$44,16,FALSE)</f>
        <v>0.13</v>
      </c>
      <c r="U55" s="166" t="s">
        <v>296</v>
      </c>
      <c r="V55" s="171">
        <v>0</v>
      </c>
      <c r="W55" s="166" t="s">
        <v>296</v>
      </c>
      <c r="X55" s="171">
        <f>VLOOKUP(A55,Agrium_HEA_emis!$A$15:$AD$44,10,FALSE)</f>
        <v>0.27328000000000002</v>
      </c>
      <c r="Y55" s="166" t="s">
        <v>296</v>
      </c>
      <c r="Z55" s="171">
        <v>0</v>
      </c>
      <c r="AA55" s="166" t="s">
        <v>296</v>
      </c>
      <c r="AB55" s="171">
        <v>0</v>
      </c>
      <c r="AC55" s="166" t="s">
        <v>296</v>
      </c>
      <c r="AD55" s="171">
        <f>VLOOKUP($A$55,Agrium_HEA_emis!$A$15:$AD$44,12,FALSE)</f>
        <v>7.6231999999999994E-2</v>
      </c>
      <c r="AE55" s="166" t="s">
        <v>296</v>
      </c>
      <c r="AF55" s="171">
        <f>VLOOKUP($A$55,Agrium_HEA_emis!$A$15:$AD$44,12,FALSE)</f>
        <v>7.6231999999999994E-2</v>
      </c>
      <c r="AG55" s="167" t="s">
        <v>293</v>
      </c>
    </row>
    <row r="56" spans="1:33">
      <c r="A56" s="166">
        <f t="shared" si="0"/>
        <v>18</v>
      </c>
      <c r="B56" s="166" t="s">
        <v>293</v>
      </c>
      <c r="C56" s="166" t="s">
        <v>297</v>
      </c>
      <c r="H56" s="168"/>
      <c r="I56" s="168"/>
      <c r="J56" s="168"/>
      <c r="K56" s="168"/>
      <c r="L56" s="168"/>
    </row>
    <row r="57" spans="1:33">
      <c r="A57" s="166">
        <f t="shared" si="0"/>
        <v>19</v>
      </c>
      <c r="B57" s="166" t="s">
        <v>293</v>
      </c>
      <c r="C57" s="166" t="s">
        <v>294</v>
      </c>
      <c r="D57" s="166" t="str">
        <f>VLOOKUP('CALPUFF Agrium AN'!A57,Agrium_HEA_emis!$A$15:$AD$42,2,FALSE)</f>
        <v>AG_51</v>
      </c>
      <c r="E57" s="166" t="s">
        <v>293</v>
      </c>
    </row>
    <row r="58" spans="1:33">
      <c r="A58" s="166">
        <f t="shared" si="0"/>
        <v>19</v>
      </c>
      <c r="B58" s="166" t="s">
        <v>293</v>
      </c>
      <c r="C58" s="166" t="s">
        <v>295</v>
      </c>
      <c r="D58" s="168">
        <f>VLOOKUP(A58,Agrium_HEA_emis!$A$15:$AD$44,6,FALSE)</f>
        <v>-20.744611080399999</v>
      </c>
      <c r="E58" s="168" t="s">
        <v>296</v>
      </c>
      <c r="F58" s="168">
        <f>VLOOKUP(A58,Agrium_HEA_emis!$A$15:$AD$44,7,FALSE)</f>
        <v>186.53165883</v>
      </c>
      <c r="G58" s="168" t="s">
        <v>296</v>
      </c>
      <c r="H58" s="169">
        <f>VLOOKUP(A58,Agrium_HEA_emis!$A$15:$AD$44,26,FALSE)</f>
        <v>5.8589250000000002E-2</v>
      </c>
      <c r="I58" s="166" t="s">
        <v>296</v>
      </c>
      <c r="J58" s="170">
        <f>VLOOKUP(A58,Agrium_HEA_emis!$A$15:$AD$44,8,FALSE)</f>
        <v>39.6</v>
      </c>
      <c r="K58" s="166" t="s">
        <v>296</v>
      </c>
      <c r="L58" s="169">
        <f>VLOOKUP(A58,Agrium_HEA_emis!$A$15:$AD$44,29,FALSE)</f>
        <v>17.88</v>
      </c>
      <c r="M58" s="166" t="s">
        <v>296</v>
      </c>
      <c r="N58" s="169">
        <f>VLOOKUP(A58,Agrium_HEA_emis!$A$15:$AD$44,28,FALSE)</f>
        <v>416.48</v>
      </c>
      <c r="O58" s="166" t="s">
        <v>296</v>
      </c>
      <c r="P58" s="169">
        <f>VLOOKUP(A58,Agrium_HEA_emis!$A$15:$AD$44,27,FALSE)</f>
        <v>30.48</v>
      </c>
      <c r="Q58" s="166" t="s">
        <v>296</v>
      </c>
      <c r="R58" s="170">
        <v>1</v>
      </c>
      <c r="S58" s="166" t="s">
        <v>296</v>
      </c>
      <c r="T58" s="171">
        <f>VLOOKUP(A58,Agrium_HEA_emis!$A$15:$AD$44,16,FALSE)</f>
        <v>0.13</v>
      </c>
      <c r="U58" s="166" t="s">
        <v>296</v>
      </c>
      <c r="V58" s="171">
        <v>0</v>
      </c>
      <c r="W58" s="166" t="s">
        <v>296</v>
      </c>
      <c r="X58" s="171">
        <f>VLOOKUP(A58,Agrium_HEA_emis!$A$15:$AD$44,10,FALSE)</f>
        <v>0.27961000000000003</v>
      </c>
      <c r="Y58" s="166" t="s">
        <v>296</v>
      </c>
      <c r="Z58" s="171">
        <v>0</v>
      </c>
      <c r="AA58" s="166" t="s">
        <v>296</v>
      </c>
      <c r="AB58" s="171">
        <v>0</v>
      </c>
      <c r="AC58" s="166" t="s">
        <v>296</v>
      </c>
      <c r="AD58" s="171">
        <f>VLOOKUP($A$58,Agrium_HEA_emis!$A$15:$AD$44,12,FALSE)</f>
        <v>7.8244999999999995E-2</v>
      </c>
      <c r="AE58" s="166" t="s">
        <v>296</v>
      </c>
      <c r="AF58" s="171">
        <f>VLOOKUP($A$58,Agrium_HEA_emis!$A$15:$AD$44,12,FALSE)</f>
        <v>7.8244999999999995E-2</v>
      </c>
      <c r="AG58" s="167" t="s">
        <v>293</v>
      </c>
    </row>
    <row r="59" spans="1:33">
      <c r="A59" s="166">
        <f t="shared" si="0"/>
        <v>19</v>
      </c>
      <c r="B59" s="166" t="s">
        <v>293</v>
      </c>
      <c r="C59" s="166" t="s">
        <v>297</v>
      </c>
      <c r="H59" s="168"/>
      <c r="I59" s="168"/>
      <c r="J59" s="168"/>
      <c r="K59" s="168"/>
      <c r="L59" s="168"/>
    </row>
    <row r="60" spans="1:33">
      <c r="A60" s="166">
        <f t="shared" si="0"/>
        <v>20</v>
      </c>
      <c r="B60" s="166" t="s">
        <v>293</v>
      </c>
      <c r="C60" s="166" t="s">
        <v>294</v>
      </c>
      <c r="D60" s="166" t="str">
        <f>VLOOKUP('CALPUFF Agrium AN'!A60,Agrium_HEA_emis!$A$15:$AD$42,2,FALSE)</f>
        <v>AG_52</v>
      </c>
      <c r="E60" s="166" t="s">
        <v>293</v>
      </c>
    </row>
    <row r="61" spans="1:33">
      <c r="A61" s="166">
        <f t="shared" si="0"/>
        <v>20</v>
      </c>
      <c r="B61" s="166" t="s">
        <v>293</v>
      </c>
      <c r="C61" s="166" t="s">
        <v>295</v>
      </c>
      <c r="D61" s="168">
        <f>VLOOKUP(A61,Agrium_HEA_emis!$A$15:$AD$44,6,FALSE)</f>
        <v>-20.7402398551</v>
      </c>
      <c r="E61" s="168" t="s">
        <v>296</v>
      </c>
      <c r="F61" s="168">
        <f>VLOOKUP(A61,Agrium_HEA_emis!$A$15:$AD$44,7,FALSE)</f>
        <v>186.53343860000001</v>
      </c>
      <c r="G61" s="168" t="s">
        <v>296</v>
      </c>
      <c r="H61" s="169">
        <f>VLOOKUP(A61,Agrium_HEA_emis!$A$15:$AD$44,26,FALSE)</f>
        <v>5.8589250000000002E-2</v>
      </c>
      <c r="I61" s="166" t="s">
        <v>296</v>
      </c>
      <c r="J61" s="170">
        <f>VLOOKUP(A61,Agrium_HEA_emis!$A$15:$AD$44,8,FALSE)</f>
        <v>39.6</v>
      </c>
      <c r="K61" s="166" t="s">
        <v>296</v>
      </c>
      <c r="L61" s="169">
        <f>VLOOKUP(A61,Agrium_HEA_emis!$A$15:$AD$44,29,FALSE)</f>
        <v>17.88</v>
      </c>
      <c r="M61" s="166" t="s">
        <v>296</v>
      </c>
      <c r="N61" s="169">
        <f>VLOOKUP(A61,Agrium_HEA_emis!$A$15:$AD$44,28,FALSE)</f>
        <v>416.48</v>
      </c>
      <c r="O61" s="166" t="s">
        <v>296</v>
      </c>
      <c r="P61" s="169">
        <f>VLOOKUP(A61,Agrium_HEA_emis!$A$15:$AD$44,27,FALSE)</f>
        <v>30.48</v>
      </c>
      <c r="Q61" s="166" t="s">
        <v>296</v>
      </c>
      <c r="R61" s="170">
        <v>1</v>
      </c>
      <c r="S61" s="166" t="s">
        <v>296</v>
      </c>
      <c r="T61" s="171">
        <f>VLOOKUP(A61,Agrium_HEA_emis!$A$15:$AD$44,16,FALSE)</f>
        <v>0.13</v>
      </c>
      <c r="U61" s="166" t="s">
        <v>296</v>
      </c>
      <c r="V61" s="171">
        <v>0</v>
      </c>
      <c r="W61" s="166" t="s">
        <v>296</v>
      </c>
      <c r="X61" s="171">
        <f>VLOOKUP(A61,Agrium_HEA_emis!$A$15:$AD$44,10,FALSE)</f>
        <v>0.27961000000000003</v>
      </c>
      <c r="Y61" s="166" t="s">
        <v>296</v>
      </c>
      <c r="Z61" s="171">
        <v>0</v>
      </c>
      <c r="AA61" s="166" t="s">
        <v>296</v>
      </c>
      <c r="AB61" s="171">
        <v>0</v>
      </c>
      <c r="AC61" s="166" t="s">
        <v>296</v>
      </c>
      <c r="AD61" s="171">
        <f>VLOOKUP($A$61,Agrium_HEA_emis!$A$15:$AD$44,12,FALSE)</f>
        <v>7.8244999999999995E-2</v>
      </c>
      <c r="AE61" s="166" t="s">
        <v>296</v>
      </c>
      <c r="AF61" s="171">
        <f>VLOOKUP($A$61,Agrium_HEA_emis!$A$15:$AD$44,12,FALSE)</f>
        <v>7.8244999999999995E-2</v>
      </c>
      <c r="AG61" s="167" t="s">
        <v>293</v>
      </c>
    </row>
    <row r="62" spans="1:33">
      <c r="A62" s="166">
        <f t="shared" si="0"/>
        <v>20</v>
      </c>
      <c r="B62" s="166" t="s">
        <v>293</v>
      </c>
      <c r="C62" s="166" t="s">
        <v>297</v>
      </c>
      <c r="H62" s="168"/>
      <c r="I62" s="168"/>
      <c r="J62" s="168"/>
      <c r="K62" s="168"/>
      <c r="L62" s="168"/>
    </row>
    <row r="63" spans="1:33">
      <c r="A63" s="166">
        <f t="shared" si="0"/>
        <v>21</v>
      </c>
      <c r="B63" s="166" t="s">
        <v>293</v>
      </c>
      <c r="C63" s="166" t="s">
        <v>294</v>
      </c>
      <c r="D63" s="166" t="str">
        <f>VLOOKUP('CALPUFF Agrium AN'!A63,Agrium_HEA_emis!$A$15:$AD$42,2,FALSE)</f>
        <v>AG_53</v>
      </c>
      <c r="E63" s="166" t="s">
        <v>293</v>
      </c>
    </row>
    <row r="64" spans="1:33">
      <c r="A64" s="166">
        <f t="shared" si="0"/>
        <v>21</v>
      </c>
      <c r="B64" s="166" t="s">
        <v>293</v>
      </c>
      <c r="C64" s="166" t="s">
        <v>295</v>
      </c>
      <c r="D64" s="168">
        <f>VLOOKUP(A64,Agrium_HEA_emis!$A$15:$AD$44,6,FALSE)</f>
        <v>-20.7358804357</v>
      </c>
      <c r="E64" s="168" t="s">
        <v>296</v>
      </c>
      <c r="F64" s="168">
        <f>VLOOKUP(A64,Agrium_HEA_emis!$A$15:$AD$44,7,FALSE)</f>
        <v>186.53481696099999</v>
      </c>
      <c r="G64" s="168" t="s">
        <v>296</v>
      </c>
      <c r="H64" s="169">
        <f>VLOOKUP(A64,Agrium_HEA_emis!$A$15:$AD$44,26,FALSE)</f>
        <v>5.8589250000000002E-2</v>
      </c>
      <c r="I64" s="166" t="s">
        <v>296</v>
      </c>
      <c r="J64" s="170">
        <f>VLOOKUP(A64,Agrium_HEA_emis!$A$15:$AD$44,8,FALSE)</f>
        <v>39.6</v>
      </c>
      <c r="K64" s="166" t="s">
        <v>296</v>
      </c>
      <c r="L64" s="169">
        <f>VLOOKUP(A64,Agrium_HEA_emis!$A$15:$AD$44,29,FALSE)</f>
        <v>17.88</v>
      </c>
      <c r="M64" s="166" t="s">
        <v>296</v>
      </c>
      <c r="N64" s="169">
        <f>VLOOKUP(A64,Agrium_HEA_emis!$A$15:$AD$44,28,FALSE)</f>
        <v>416.48</v>
      </c>
      <c r="O64" s="166" t="s">
        <v>296</v>
      </c>
      <c r="P64" s="169">
        <f>VLOOKUP(A64,Agrium_HEA_emis!$A$15:$AD$44,27,FALSE)</f>
        <v>30.48</v>
      </c>
      <c r="Q64" s="166" t="s">
        <v>296</v>
      </c>
      <c r="R64" s="170">
        <v>0</v>
      </c>
      <c r="S64" s="166" t="s">
        <v>296</v>
      </c>
      <c r="T64" s="171">
        <f>VLOOKUP(A64,Agrium_HEA_emis!$A$15:$AD$44,16,FALSE)</f>
        <v>0.13</v>
      </c>
      <c r="U64" s="166" t="s">
        <v>296</v>
      </c>
      <c r="V64" s="171">
        <v>0</v>
      </c>
      <c r="W64" s="166" t="s">
        <v>296</v>
      </c>
      <c r="X64" s="171">
        <f>VLOOKUP(A64,Agrium_HEA_emis!$A$15:$AD$44,10,FALSE)</f>
        <v>0.27961000000000003</v>
      </c>
      <c r="Y64" s="166" t="s">
        <v>296</v>
      </c>
      <c r="Z64" s="171">
        <v>0</v>
      </c>
      <c r="AA64" s="166" t="s">
        <v>296</v>
      </c>
      <c r="AB64" s="171">
        <v>0</v>
      </c>
      <c r="AC64" s="166" t="s">
        <v>296</v>
      </c>
      <c r="AD64" s="171">
        <f>VLOOKUP($A$64,Agrium_HEA_emis!$A$15:$AD$44,12,FALSE)</f>
        <v>7.8244999999999995E-2</v>
      </c>
      <c r="AE64" s="166" t="s">
        <v>296</v>
      </c>
      <c r="AF64" s="171">
        <f>VLOOKUP($A$64,Agrium_HEA_emis!$A$15:$AD$44,12,FALSE)</f>
        <v>7.8244999999999995E-2</v>
      </c>
      <c r="AG64" s="167" t="s">
        <v>293</v>
      </c>
    </row>
    <row r="65" spans="1:33">
      <c r="A65" s="166">
        <f t="shared" si="0"/>
        <v>21</v>
      </c>
      <c r="B65" s="166" t="s">
        <v>293</v>
      </c>
      <c r="C65" s="197" t="s">
        <v>313</v>
      </c>
      <c r="H65" s="168"/>
      <c r="I65" s="168"/>
      <c r="J65" s="168"/>
      <c r="K65" s="168"/>
      <c r="L65" s="168"/>
    </row>
    <row r="66" spans="1:33">
      <c r="A66" s="166">
        <f t="shared" si="0"/>
        <v>22</v>
      </c>
      <c r="B66" s="166" t="s">
        <v>293</v>
      </c>
      <c r="C66" s="166" t="s">
        <v>294</v>
      </c>
      <c r="D66" s="166" t="str">
        <f>VLOOKUP('CALPUFF Agrium AN'!A66,Agrium_HEA_emis!$A$15:$AD$42,2,FALSE)</f>
        <v>AG_54</v>
      </c>
      <c r="E66" s="166" t="s">
        <v>293</v>
      </c>
    </row>
    <row r="67" spans="1:33">
      <c r="A67" s="166">
        <f t="shared" si="0"/>
        <v>22</v>
      </c>
      <c r="B67" s="166" t="s">
        <v>293</v>
      </c>
      <c r="C67" s="166" t="s">
        <v>295</v>
      </c>
      <c r="D67" s="168">
        <f>VLOOKUP(A67,Agrium_HEA_emis!$A$15:$AD$44,6,FALSE)</f>
        <v>-20.731825023999999</v>
      </c>
      <c r="E67" s="168" t="s">
        <v>296</v>
      </c>
      <c r="F67" s="168">
        <f>VLOOKUP(A67,Agrium_HEA_emis!$A$15:$AD$44,7,FALSE)</f>
        <v>186.53610382400001</v>
      </c>
      <c r="G67" s="168" t="s">
        <v>296</v>
      </c>
      <c r="H67" s="169">
        <f>VLOOKUP(A67,Agrium_HEA_emis!$A$15:$AD$44,26,FALSE)</f>
        <v>5.8589250000000002E-2</v>
      </c>
      <c r="I67" s="166" t="s">
        <v>296</v>
      </c>
      <c r="J67" s="170">
        <f>VLOOKUP(A67,Agrium_HEA_emis!$A$15:$AD$44,8,FALSE)</f>
        <v>39.6</v>
      </c>
      <c r="K67" s="166" t="s">
        <v>296</v>
      </c>
      <c r="L67" s="169">
        <f>VLOOKUP(A67,Agrium_HEA_emis!$A$15:$AD$44,29,FALSE)</f>
        <v>17.88</v>
      </c>
      <c r="M67" s="166" t="s">
        <v>296</v>
      </c>
      <c r="N67" s="169">
        <f>VLOOKUP(A67,Agrium_HEA_emis!$A$15:$AD$44,28,FALSE)</f>
        <v>416.48</v>
      </c>
      <c r="O67" s="166" t="s">
        <v>296</v>
      </c>
      <c r="P67" s="169">
        <f>VLOOKUP(A67,Agrium_HEA_emis!$A$15:$AD$44,27,FALSE)</f>
        <v>30.48</v>
      </c>
      <c r="Q67" s="166" t="s">
        <v>296</v>
      </c>
      <c r="R67" s="170">
        <v>1</v>
      </c>
      <c r="S67" s="166" t="s">
        <v>296</v>
      </c>
      <c r="T67" s="171">
        <f>VLOOKUP(A67,Agrium_HEA_emis!$A$15:$AD$44,16,FALSE)</f>
        <v>0.13</v>
      </c>
      <c r="U67" s="166" t="s">
        <v>296</v>
      </c>
      <c r="V67" s="171">
        <v>0</v>
      </c>
      <c r="W67" s="166" t="s">
        <v>296</v>
      </c>
      <c r="X67" s="171">
        <f>VLOOKUP(A67,Agrium_HEA_emis!$A$15:$AD$44,10,FALSE)</f>
        <v>0.27961000000000003</v>
      </c>
      <c r="Y67" s="166" t="s">
        <v>296</v>
      </c>
      <c r="Z67" s="171">
        <v>0</v>
      </c>
      <c r="AA67" s="166" t="s">
        <v>296</v>
      </c>
      <c r="AB67" s="171">
        <v>0</v>
      </c>
      <c r="AC67" s="166" t="s">
        <v>296</v>
      </c>
      <c r="AD67" s="171">
        <f>VLOOKUP($A$67,Agrium_HEA_emis!$A$15:$AD$44,12,FALSE)</f>
        <v>7.8244999999999995E-2</v>
      </c>
      <c r="AE67" s="166" t="s">
        <v>296</v>
      </c>
      <c r="AF67" s="171">
        <f>VLOOKUP($A$67,Agrium_HEA_emis!$A$15:$AD$44,12,FALSE)</f>
        <v>7.8244999999999995E-2</v>
      </c>
      <c r="AG67" s="167" t="s">
        <v>293</v>
      </c>
    </row>
    <row r="68" spans="1:33">
      <c r="A68" s="166">
        <f t="shared" si="0"/>
        <v>22</v>
      </c>
      <c r="B68" s="166" t="s">
        <v>293</v>
      </c>
      <c r="C68" s="197" t="s">
        <v>313</v>
      </c>
      <c r="H68" s="168"/>
      <c r="I68" s="168"/>
      <c r="J68" s="168"/>
      <c r="K68" s="168"/>
      <c r="L68" s="168"/>
    </row>
    <row r="69" spans="1:33">
      <c r="A69" s="166">
        <f t="shared" si="0"/>
        <v>23</v>
      </c>
      <c r="B69" s="166" t="s">
        <v>293</v>
      </c>
      <c r="C69" s="166" t="s">
        <v>294</v>
      </c>
      <c r="D69" s="166" t="str">
        <f>VLOOKUP('CALPUFF Agrium AN'!A69,Agrium_HEA_emis!$A$15:$AD$42,2,FALSE)</f>
        <v>AG_55</v>
      </c>
      <c r="E69" s="166" t="s">
        <v>293</v>
      </c>
    </row>
    <row r="70" spans="1:33">
      <c r="A70" s="166">
        <f t="shared" ref="A70:A86" si="1">A67+1</f>
        <v>23</v>
      </c>
      <c r="B70" s="166" t="s">
        <v>293</v>
      </c>
      <c r="C70" s="166" t="s">
        <v>295</v>
      </c>
      <c r="D70" s="168">
        <f>VLOOKUP(A70,Agrium_HEA_emis!$A$15:$AD$44,6,FALSE)</f>
        <v>-20.744481226000001</v>
      </c>
      <c r="E70" s="168" t="s">
        <v>296</v>
      </c>
      <c r="F70" s="168">
        <f>VLOOKUP(A70,Agrium_HEA_emis!$A$15:$AD$44,7,FALSE)</f>
        <v>186.51899969999999</v>
      </c>
      <c r="G70" s="168" t="s">
        <v>296</v>
      </c>
      <c r="H70" s="169">
        <f>VLOOKUP(A70,Agrium_HEA_emis!$A$15:$AD$44,26,FALSE)</f>
        <v>0</v>
      </c>
      <c r="I70" s="166" t="s">
        <v>296</v>
      </c>
      <c r="J70" s="170">
        <f>VLOOKUP(A70,Agrium_HEA_emis!$A$15:$AD$44,8,FALSE)</f>
        <v>39.6</v>
      </c>
      <c r="K70" s="166" t="s">
        <v>296</v>
      </c>
      <c r="L70" s="169">
        <f>VLOOKUP(A70,Agrium_HEA_emis!$A$15:$AD$44,29,FALSE)</f>
        <v>40.21</v>
      </c>
      <c r="M70" s="166" t="s">
        <v>296</v>
      </c>
      <c r="N70" s="169">
        <f>VLOOKUP(A70,Agrium_HEA_emis!$A$15:$AD$44,28,FALSE)</f>
        <v>608.15</v>
      </c>
      <c r="O70" s="166" t="s">
        <v>296</v>
      </c>
      <c r="P70" s="169">
        <f>VLOOKUP(A70,Agrium_HEA_emis!$A$15:$AD$44,27,FALSE)</f>
        <v>18.29</v>
      </c>
      <c r="Q70" s="166" t="s">
        <v>296</v>
      </c>
      <c r="R70" s="170">
        <v>1</v>
      </c>
      <c r="S70" s="166" t="s">
        <v>296</v>
      </c>
      <c r="T70" s="171">
        <f>VLOOKUP(A70,Agrium_HEA_emis!$A$15:$AD$44,16,FALSE)</f>
        <v>3</v>
      </c>
      <c r="U70" s="166" t="s">
        <v>296</v>
      </c>
      <c r="V70" s="171">
        <v>0</v>
      </c>
      <c r="W70" s="166" t="s">
        <v>296</v>
      </c>
      <c r="X70" s="171">
        <f>VLOOKUP(A70,Agrium_HEA_emis!$A$15:$AD$44,10,FALSE)</f>
        <v>5.7820999999999997E-2</v>
      </c>
      <c r="Y70" s="166" t="s">
        <v>296</v>
      </c>
      <c r="Z70" s="171">
        <v>0</v>
      </c>
      <c r="AA70" s="166" t="s">
        <v>296</v>
      </c>
      <c r="AB70" s="171">
        <v>0</v>
      </c>
      <c r="AC70" s="166" t="s">
        <v>296</v>
      </c>
      <c r="AD70" s="171">
        <f>VLOOKUP($A$70,Agrium_HEA_emis!$A$15:$AD$44,12,FALSE)</f>
        <v>7.3355000000000002E-4</v>
      </c>
      <c r="AE70" s="166" t="s">
        <v>296</v>
      </c>
      <c r="AF70" s="171">
        <f>VLOOKUP($A$70,Agrium_HEA_emis!$A$15:$AD$44,12,FALSE)</f>
        <v>7.3355000000000002E-4</v>
      </c>
      <c r="AG70" s="167" t="s">
        <v>293</v>
      </c>
    </row>
    <row r="71" spans="1:33">
      <c r="A71" s="166">
        <f t="shared" si="1"/>
        <v>23</v>
      </c>
      <c r="B71" s="166" t="s">
        <v>293</v>
      </c>
      <c r="C71" s="197" t="s">
        <v>313</v>
      </c>
      <c r="H71" s="168"/>
      <c r="I71" s="168"/>
      <c r="J71" s="168"/>
      <c r="K71" s="168"/>
      <c r="L71" s="168"/>
    </row>
    <row r="72" spans="1:33">
      <c r="A72" s="166">
        <f t="shared" si="1"/>
        <v>24</v>
      </c>
      <c r="B72" s="166" t="s">
        <v>293</v>
      </c>
      <c r="C72" s="166" t="s">
        <v>294</v>
      </c>
      <c r="D72" s="166" t="str">
        <f>VLOOKUP('CALPUFF Agrium AN'!A72,Agrium_HEA_emis!$A$15:$AD$42,2,FALSE)</f>
        <v>AG_65</v>
      </c>
      <c r="E72" s="166" t="s">
        <v>293</v>
      </c>
    </row>
    <row r="73" spans="1:33">
      <c r="A73" s="166">
        <f t="shared" si="1"/>
        <v>24</v>
      </c>
      <c r="B73" s="166" t="s">
        <v>293</v>
      </c>
      <c r="C73" s="166" t="s">
        <v>295</v>
      </c>
      <c r="D73" s="168">
        <f>VLOOKUP(A73,Agrium_HEA_emis!$A$15:$AD$44,6,FALSE)</f>
        <v>-18.452983672799999</v>
      </c>
      <c r="E73" s="168" t="s">
        <v>296</v>
      </c>
      <c r="F73" s="168">
        <f>VLOOKUP(A73,Agrium_HEA_emis!$A$15:$AD$44,7,FALSE)</f>
        <v>186.521877284</v>
      </c>
      <c r="G73" s="168" t="s">
        <v>296</v>
      </c>
      <c r="H73" s="169">
        <f>VLOOKUP(A73,Agrium_HEA_emis!$A$15:$AD$44,26,FALSE)</f>
        <v>1.3545549738219897E-2</v>
      </c>
      <c r="I73" s="166" t="s">
        <v>296</v>
      </c>
      <c r="J73" s="170">
        <f>VLOOKUP(A73,Agrium_HEA_emis!$A$15:$AD$44,8,FALSE)</f>
        <v>39.6</v>
      </c>
      <c r="K73" s="166" t="s">
        <v>296</v>
      </c>
      <c r="L73" s="169">
        <f>VLOOKUP(A73,Agrium_HEA_emis!$A$15:$AD$44,29,FALSE)</f>
        <v>16.170000000000002</v>
      </c>
      <c r="M73" s="166" t="s">
        <v>296</v>
      </c>
      <c r="N73" s="169">
        <f>VLOOKUP(A73,Agrium_HEA_emis!$A$15:$AD$44,28,FALSE)</f>
        <v>533.15</v>
      </c>
      <c r="O73" s="166" t="s">
        <v>296</v>
      </c>
      <c r="P73" s="169">
        <f>VLOOKUP(A73,Agrium_HEA_emis!$A$15:$AD$44,27,FALSE)</f>
        <v>9.14</v>
      </c>
      <c r="Q73" s="166" t="s">
        <v>296</v>
      </c>
      <c r="R73" s="170">
        <v>1</v>
      </c>
      <c r="S73" s="166" t="s">
        <v>296</v>
      </c>
      <c r="T73" s="171">
        <f>VLOOKUP(A73,Agrium_HEA_emis!$A$15:$AD$44,16,FALSE)</f>
        <v>6.9999999999999993E-2</v>
      </c>
      <c r="U73" s="166" t="s">
        <v>296</v>
      </c>
      <c r="V73" s="171">
        <v>0</v>
      </c>
      <c r="W73" s="166" t="s">
        <v>296</v>
      </c>
      <c r="X73" s="171">
        <f>VLOOKUP(A73,Agrium_HEA_emis!$A$15:$AD$44,10,FALSE)</f>
        <v>2.8728E-2</v>
      </c>
      <c r="Y73" s="166" t="s">
        <v>296</v>
      </c>
      <c r="Z73" s="171">
        <v>0</v>
      </c>
      <c r="AA73" s="166" t="s">
        <v>296</v>
      </c>
      <c r="AB73" s="171">
        <v>0</v>
      </c>
      <c r="AC73" s="166" t="s">
        <v>296</v>
      </c>
      <c r="AD73" s="171">
        <f>VLOOKUP($A$73,Agrium_HEA_emis!$A$15:$AD$44,12,FALSE)</f>
        <v>2.0225E-3</v>
      </c>
      <c r="AE73" s="166" t="s">
        <v>296</v>
      </c>
      <c r="AF73" s="171">
        <f>VLOOKUP($A$73,Agrium_HEA_emis!$A$15:$AD$44,12,FALSE)</f>
        <v>2.0225E-3</v>
      </c>
      <c r="AG73" s="167" t="s">
        <v>293</v>
      </c>
    </row>
    <row r="74" spans="1:33">
      <c r="A74" s="166">
        <f t="shared" si="1"/>
        <v>24</v>
      </c>
      <c r="B74" s="166" t="s">
        <v>293</v>
      </c>
      <c r="C74" s="166" t="s">
        <v>297</v>
      </c>
      <c r="H74" s="168"/>
      <c r="I74" s="168"/>
      <c r="J74" s="168"/>
      <c r="K74" s="168"/>
      <c r="L74" s="168"/>
    </row>
    <row r="75" spans="1:33">
      <c r="A75" s="166">
        <f t="shared" si="1"/>
        <v>25</v>
      </c>
      <c r="B75" s="166" t="s">
        <v>293</v>
      </c>
      <c r="C75" s="166" t="s">
        <v>294</v>
      </c>
      <c r="D75" s="166" t="str">
        <f>VLOOKUP('CALPUFF Agrium AN'!A75,Agrium_HEA_emis!$A$15:$AD$42,2,FALSE)</f>
        <v>AG_66A</v>
      </c>
      <c r="E75" s="166" t="s">
        <v>293</v>
      </c>
    </row>
    <row r="76" spans="1:33">
      <c r="A76" s="166">
        <f t="shared" si="1"/>
        <v>25</v>
      </c>
      <c r="B76" s="166" t="s">
        <v>293</v>
      </c>
      <c r="C76" s="166" t="s">
        <v>295</v>
      </c>
      <c r="D76" s="168">
        <f>VLOOKUP(A76,Agrium_HEA_emis!$A$15:$AD$44,6,FALSE)</f>
        <v>-20.719142877100001</v>
      </c>
      <c r="E76" s="168" t="s">
        <v>296</v>
      </c>
      <c r="F76" s="168">
        <f>VLOOKUP(A76,Agrium_HEA_emis!$A$15:$AD$44,7,FALSE)</f>
        <v>186.239940066</v>
      </c>
      <c r="G76" s="168" t="s">
        <v>296</v>
      </c>
      <c r="H76" s="169">
        <f>VLOOKUP(A76,Agrium_HEA_emis!$A$15:$AD$44,26,FALSE)</f>
        <v>1.1257882534775889E-3</v>
      </c>
      <c r="I76" s="166" t="s">
        <v>296</v>
      </c>
      <c r="J76" s="170">
        <f>VLOOKUP(A76,Agrium_HEA_emis!$A$15:$AD$44,8,FALSE)</f>
        <v>34.1</v>
      </c>
      <c r="K76" s="166" t="s">
        <v>296</v>
      </c>
      <c r="L76" s="169">
        <f>VLOOKUP(A76,Agrium_HEA_emis!$A$15:$AD$44,29,FALSE)</f>
        <v>29.11</v>
      </c>
      <c r="M76" s="166" t="s">
        <v>296</v>
      </c>
      <c r="N76" s="169">
        <f>VLOOKUP(A76,Agrium_HEA_emis!$A$15:$AD$44,28,FALSE)</f>
        <v>699.82</v>
      </c>
      <c r="O76" s="166" t="s">
        <v>296</v>
      </c>
      <c r="P76" s="169">
        <f>VLOOKUP(A76,Agrium_HEA_emis!$A$15:$AD$44,27,FALSE)</f>
        <v>2.08</v>
      </c>
      <c r="Q76" s="166" t="s">
        <v>296</v>
      </c>
      <c r="R76" s="170">
        <v>1</v>
      </c>
      <c r="S76" s="166" t="s">
        <v>296</v>
      </c>
      <c r="T76" s="171">
        <f>VLOOKUP(A76,Agrium_HEA_emis!$A$15:$AD$44,16,FALSE)</f>
        <v>7.4199999999999995E-3</v>
      </c>
      <c r="U76" s="166" t="s">
        <v>296</v>
      </c>
      <c r="V76" s="171">
        <v>0</v>
      </c>
      <c r="W76" s="166" t="s">
        <v>296</v>
      </c>
      <c r="X76" s="171">
        <f>VLOOKUP(A76,Agrium_HEA_emis!$A$15:$AD$44,10,FALSE)</f>
        <v>4.1326999999999996E-3</v>
      </c>
      <c r="Y76" s="166" t="s">
        <v>296</v>
      </c>
      <c r="Z76" s="171">
        <v>0</v>
      </c>
      <c r="AA76" s="166" t="s">
        <v>296</v>
      </c>
      <c r="AB76" s="171">
        <v>0</v>
      </c>
      <c r="AC76" s="166" t="s">
        <v>296</v>
      </c>
      <c r="AD76" s="171">
        <f>VLOOKUP($A$76,Agrium_HEA_emis!$A$15:$AD$44,12,FALSE)</f>
        <v>2.5371999999999998E-4</v>
      </c>
      <c r="AE76" s="166" t="s">
        <v>296</v>
      </c>
      <c r="AF76" s="171">
        <f>VLOOKUP($A$76,Agrium_HEA_emis!$A$15:$AD$44,12,FALSE)</f>
        <v>2.5371999999999998E-4</v>
      </c>
      <c r="AG76" s="167" t="s">
        <v>293</v>
      </c>
    </row>
    <row r="77" spans="1:33">
      <c r="A77" s="166">
        <f t="shared" si="1"/>
        <v>25</v>
      </c>
      <c r="B77" s="166" t="s">
        <v>293</v>
      </c>
      <c r="C77" s="166" t="s">
        <v>297</v>
      </c>
      <c r="H77" s="168"/>
      <c r="I77" s="168"/>
      <c r="J77" s="168"/>
      <c r="K77" s="168"/>
      <c r="L77" s="168"/>
    </row>
    <row r="78" spans="1:33">
      <c r="A78" s="166">
        <f t="shared" si="1"/>
        <v>26</v>
      </c>
      <c r="B78" s="166" t="s">
        <v>293</v>
      </c>
      <c r="C78" s="166" t="s">
        <v>294</v>
      </c>
      <c r="D78" s="166" t="str">
        <f>VLOOKUP('CALPUFF Agrium AN'!A78,Agrium_HEA_emis!$A$15:$AD$42,2,FALSE)</f>
        <v>AG_66B</v>
      </c>
      <c r="E78" s="166" t="s">
        <v>293</v>
      </c>
    </row>
    <row r="79" spans="1:33">
      <c r="A79" s="166">
        <f t="shared" si="1"/>
        <v>26</v>
      </c>
      <c r="B79" s="166" t="s">
        <v>293</v>
      </c>
      <c r="C79" s="166" t="s">
        <v>295</v>
      </c>
      <c r="D79" s="168">
        <f>VLOOKUP(A79,Agrium_HEA_emis!$A$15:$AD$44,6,FALSE)</f>
        <v>-20.719142877100001</v>
      </c>
      <c r="E79" s="168" t="s">
        <v>296</v>
      </c>
      <c r="F79" s="168">
        <f>VLOOKUP(A79,Agrium_HEA_emis!$A$15:$AD$44,7,FALSE)</f>
        <v>186.239940066</v>
      </c>
      <c r="G79" s="168" t="s">
        <v>296</v>
      </c>
      <c r="H79" s="169">
        <f>VLOOKUP(A79,Agrium_HEA_emis!$A$15:$AD$44,26,FALSE)</f>
        <v>1.1257882534775889E-3</v>
      </c>
      <c r="I79" s="166" t="s">
        <v>296</v>
      </c>
      <c r="J79" s="170">
        <f>VLOOKUP(A79,Agrium_HEA_emis!$A$15:$AD$44,8,FALSE)</f>
        <v>34.1</v>
      </c>
      <c r="K79" s="166" t="s">
        <v>296</v>
      </c>
      <c r="L79" s="169">
        <f>VLOOKUP(A79,Agrium_HEA_emis!$A$15:$AD$44,29,FALSE)</f>
        <v>29.11</v>
      </c>
      <c r="M79" s="166" t="s">
        <v>296</v>
      </c>
      <c r="N79" s="169">
        <f>VLOOKUP(A79,Agrium_HEA_emis!$A$15:$AD$44,28,FALSE)</f>
        <v>699.82</v>
      </c>
      <c r="O79" s="166" t="s">
        <v>296</v>
      </c>
      <c r="P79" s="169">
        <f>VLOOKUP(A79,Agrium_HEA_emis!$A$15:$AD$44,27,FALSE)</f>
        <v>2.08</v>
      </c>
      <c r="Q79" s="166" t="s">
        <v>296</v>
      </c>
      <c r="R79" s="170">
        <v>1</v>
      </c>
      <c r="S79" s="166" t="s">
        <v>296</v>
      </c>
      <c r="T79" s="171">
        <f>VLOOKUP(A79,Agrium_HEA_emis!$A$15:$AD$44,16,FALSE)</f>
        <v>7.4199999999999995E-3</v>
      </c>
      <c r="U79" s="166" t="s">
        <v>296</v>
      </c>
      <c r="V79" s="171">
        <v>0</v>
      </c>
      <c r="W79" s="166" t="s">
        <v>296</v>
      </c>
      <c r="X79" s="171">
        <f>VLOOKUP(A79,Agrium_HEA_emis!$A$15:$AD$44,10,FALSE)</f>
        <v>4.1326999999999996E-3</v>
      </c>
      <c r="Y79" s="166" t="s">
        <v>296</v>
      </c>
      <c r="Z79" s="171">
        <v>0</v>
      </c>
      <c r="AA79" s="166" t="s">
        <v>296</v>
      </c>
      <c r="AB79" s="171">
        <v>0</v>
      </c>
      <c r="AC79" s="166" t="s">
        <v>296</v>
      </c>
      <c r="AD79" s="171">
        <f>VLOOKUP($A$79,Agrium_HEA_emis!$A$15:$AD$44,12,FALSE)</f>
        <v>2.5371999999999998E-4</v>
      </c>
      <c r="AE79" s="166" t="s">
        <v>296</v>
      </c>
      <c r="AF79" s="171">
        <f>VLOOKUP($A$79,Agrium_HEA_emis!$A$15:$AD$44,12,FALSE)</f>
        <v>2.5371999999999998E-4</v>
      </c>
      <c r="AG79" s="167" t="s">
        <v>293</v>
      </c>
    </row>
    <row r="80" spans="1:33">
      <c r="A80" s="166">
        <f t="shared" si="1"/>
        <v>26</v>
      </c>
      <c r="B80" s="166" t="s">
        <v>293</v>
      </c>
      <c r="C80" s="166" t="s">
        <v>297</v>
      </c>
      <c r="H80" s="168"/>
      <c r="I80" s="168"/>
      <c r="J80" s="168"/>
      <c r="K80" s="168"/>
      <c r="L80" s="168"/>
    </row>
    <row r="81" spans="1:33">
      <c r="A81" s="166">
        <f t="shared" si="1"/>
        <v>27</v>
      </c>
      <c r="B81" s="166" t="s">
        <v>293</v>
      </c>
      <c r="C81" s="166" t="s">
        <v>294</v>
      </c>
      <c r="D81" s="166" t="str">
        <f>VLOOKUP('CALPUFF Agrium AN'!A81,Agrium_HEA_emis!$A$15:$AD$42,2,FALSE)</f>
        <v>ASHIPSTK</v>
      </c>
      <c r="E81" s="166" t="s">
        <v>293</v>
      </c>
    </row>
    <row r="82" spans="1:33">
      <c r="A82" s="166">
        <f t="shared" si="1"/>
        <v>27</v>
      </c>
      <c r="B82" s="166" t="s">
        <v>293</v>
      </c>
      <c r="C82" s="166" t="s">
        <v>295</v>
      </c>
      <c r="D82" s="168">
        <f>VLOOKUP(A82,Agrium_HEA_emis!$A$15:$AD$44,6,FALSE)</f>
        <v>-21.533288043199999</v>
      </c>
      <c r="E82" s="168" t="s">
        <v>296</v>
      </c>
      <c r="F82" s="168">
        <f>VLOOKUP(A82,Agrium_HEA_emis!$A$15:$AD$44,7,FALSE)</f>
        <v>186.14083465100001</v>
      </c>
      <c r="G82" s="168" t="s">
        <v>296</v>
      </c>
      <c r="H82" s="169">
        <f>VLOOKUP(A82,Agrium_HEA_emis!$A$15:$AD$44,26,FALSE)</f>
        <v>1.7101256544502622E-2</v>
      </c>
      <c r="I82" s="166" t="s">
        <v>296</v>
      </c>
      <c r="J82" s="170">
        <f>VLOOKUP(A82,Agrium_HEA_emis!$A$15:$AD$44,8,FALSE)</f>
        <v>0</v>
      </c>
      <c r="K82" s="166" t="s">
        <v>296</v>
      </c>
      <c r="L82" s="169">
        <f>VLOOKUP(A82,Agrium_HEA_emis!$A$15:$AD$44,29,FALSE)</f>
        <v>69.72</v>
      </c>
      <c r="M82" s="166" t="s">
        <v>296</v>
      </c>
      <c r="N82" s="169">
        <f>VLOOKUP(A82,Agrium_HEA_emis!$A$15:$AD$44,28,FALSE)</f>
        <v>613.15</v>
      </c>
      <c r="O82" s="166" t="s">
        <v>296</v>
      </c>
      <c r="P82" s="169">
        <f>VLOOKUP(A82,Agrium_HEA_emis!$A$15:$AD$44,27,FALSE)</f>
        <v>39</v>
      </c>
      <c r="Q82" s="166" t="s">
        <v>296</v>
      </c>
      <c r="R82" s="170">
        <v>1</v>
      </c>
      <c r="S82" s="166" t="s">
        <v>296</v>
      </c>
      <c r="T82" s="171">
        <f>VLOOKUP(A82,Agrium_HEA_emis!$A$15:$AD$44,16,FALSE)</f>
        <v>0.30463121519999997</v>
      </c>
      <c r="U82" s="166" t="s">
        <v>296</v>
      </c>
      <c r="V82" s="171">
        <v>0</v>
      </c>
      <c r="W82" s="166" t="s">
        <v>296</v>
      </c>
      <c r="X82" s="171">
        <f>VLOOKUP(A82,Agrium_HEA_emis!$A$15:$AD$44,10,FALSE)</f>
        <v>0.51980999999999999</v>
      </c>
      <c r="Y82" s="166" t="s">
        <v>296</v>
      </c>
      <c r="Z82" s="171">
        <v>0</v>
      </c>
      <c r="AA82" s="166" t="s">
        <v>296</v>
      </c>
      <c r="AB82" s="171">
        <v>0</v>
      </c>
      <c r="AC82" s="166" t="s">
        <v>296</v>
      </c>
      <c r="AD82" s="171">
        <f>VLOOKUP($A$82,Agrium_HEA_emis!$A$15:$AD$44,12,FALSE)</f>
        <v>8.9177000000000006E-3</v>
      </c>
      <c r="AE82" s="166" t="s">
        <v>296</v>
      </c>
      <c r="AF82" s="171">
        <f>VLOOKUP($A$82,Agrium_HEA_emis!$A$15:$AD$44,12,FALSE)</f>
        <v>8.9177000000000006E-3</v>
      </c>
      <c r="AG82" s="167" t="s">
        <v>293</v>
      </c>
    </row>
    <row r="83" spans="1:33">
      <c r="A83" s="166">
        <f t="shared" si="1"/>
        <v>27</v>
      </c>
      <c r="B83" s="166" t="s">
        <v>293</v>
      </c>
      <c r="C83" s="166" t="s">
        <v>297</v>
      </c>
      <c r="H83" s="168"/>
      <c r="I83" s="168"/>
      <c r="J83" s="168"/>
      <c r="K83" s="168"/>
      <c r="L83" s="168"/>
    </row>
    <row r="84" spans="1:33">
      <c r="A84" s="166">
        <f t="shared" si="1"/>
        <v>28</v>
      </c>
      <c r="B84" s="166" t="s">
        <v>293</v>
      </c>
      <c r="C84" s="166" t="s">
        <v>294</v>
      </c>
      <c r="D84" s="166" t="str">
        <f>VLOOKUP('CALPUFF Agrium AN'!A84,Agrium_HEA_emis!$A$15:$AD$42,2,FALSE)</f>
        <v>USHIPSTK</v>
      </c>
      <c r="E84" s="166" t="s">
        <v>293</v>
      </c>
    </row>
    <row r="85" spans="1:33">
      <c r="A85" s="166">
        <f t="shared" si="1"/>
        <v>28</v>
      </c>
      <c r="B85" s="166" t="s">
        <v>293</v>
      </c>
      <c r="C85" s="166" t="s">
        <v>295</v>
      </c>
      <c r="D85" s="168">
        <f>VLOOKUP(A85,Agrium_HEA_emis!$A$15:$AD$44,6,FALSE)</f>
        <v>-21.5317680478</v>
      </c>
      <c r="E85" s="168" t="s">
        <v>296</v>
      </c>
      <c r="F85" s="168">
        <f>VLOOKUP(A85,Agrium_HEA_emis!$A$15:$AD$44,7,FALSE)</f>
        <v>186.14129219</v>
      </c>
      <c r="G85" s="168" t="s">
        <v>296</v>
      </c>
      <c r="H85" s="169">
        <f>VLOOKUP(A85,Agrium_HEA_emis!$A$15:$AD$44,26,FALSE)</f>
        <v>2.2011518324607333E-3</v>
      </c>
      <c r="I85" s="166" t="s">
        <v>296</v>
      </c>
      <c r="J85" s="170">
        <f>VLOOKUP(A85,Agrium_HEA_emis!$A$15:$AD$44,8,FALSE)</f>
        <v>0</v>
      </c>
      <c r="K85" s="166" t="s">
        <v>296</v>
      </c>
      <c r="L85" s="169">
        <f>VLOOKUP(A85,Agrium_HEA_emis!$A$15:$AD$44,29,FALSE)</f>
        <v>6.14</v>
      </c>
      <c r="M85" s="166" t="s">
        <v>296</v>
      </c>
      <c r="N85" s="169">
        <f>VLOOKUP(A85,Agrium_HEA_emis!$A$15:$AD$44,28,FALSE)</f>
        <v>358.15</v>
      </c>
      <c r="O85" s="166" t="s">
        <v>296</v>
      </c>
      <c r="P85" s="169">
        <f>VLOOKUP(A85,Agrium_HEA_emis!$A$15:$AD$44,27,FALSE)</f>
        <v>29</v>
      </c>
      <c r="Q85" s="166" t="s">
        <v>296</v>
      </c>
      <c r="R85" s="170">
        <v>1</v>
      </c>
      <c r="S85" s="166" t="s">
        <v>296</v>
      </c>
      <c r="T85" s="171">
        <f>VLOOKUP(A85,Agrium_HEA_emis!$A$15:$AD$44,16,FALSE)</f>
        <v>0.40773716495999995</v>
      </c>
      <c r="U85" s="166" t="s">
        <v>296</v>
      </c>
      <c r="V85" s="171">
        <v>0</v>
      </c>
      <c r="W85" s="166" t="s">
        <v>296</v>
      </c>
      <c r="X85" s="171">
        <f>VLOOKUP(A85,Agrium_HEA_emis!$A$15:$AD$44,10,FALSE)</f>
        <v>0.28220000000000001</v>
      </c>
      <c r="Y85" s="166" t="s">
        <v>296</v>
      </c>
      <c r="Z85" s="171">
        <v>0</v>
      </c>
      <c r="AA85" s="166" t="s">
        <v>296</v>
      </c>
      <c r="AB85" s="171">
        <v>0</v>
      </c>
      <c r="AC85" s="166" t="s">
        <v>296</v>
      </c>
      <c r="AD85" s="171">
        <f>VLOOKUP($A$84,Agrium_HEA_emis!$A$15:$AD$44,12,FALSE)</f>
        <v>4.8903000000000002E-3</v>
      </c>
      <c r="AE85" s="166" t="s">
        <v>296</v>
      </c>
      <c r="AF85" s="171">
        <f>VLOOKUP($A$84,Agrium_HEA_emis!$A$15:$AD$44,12,FALSE)</f>
        <v>4.8903000000000002E-3</v>
      </c>
      <c r="AG85" s="167" t="s">
        <v>293</v>
      </c>
    </row>
    <row r="86" spans="1:33">
      <c r="A86" s="166">
        <f t="shared" si="1"/>
        <v>28</v>
      </c>
      <c r="B86" s="166" t="s">
        <v>293</v>
      </c>
      <c r="C86" s="166" t="s">
        <v>297</v>
      </c>
      <c r="H86" s="168"/>
      <c r="I86" s="168"/>
      <c r="J86" s="168"/>
      <c r="K86" s="168"/>
      <c r="L86" s="168"/>
    </row>
    <row r="88" spans="1:33">
      <c r="T88" s="171"/>
      <c r="V88" s="171"/>
      <c r="X88" s="171"/>
      <c r="Z88" s="171"/>
      <c r="AB88" s="171"/>
      <c r="AD88" s="171"/>
      <c r="AF88" s="171"/>
    </row>
    <row r="89" spans="1:33" ht="19.5">
      <c r="C89" s="260" t="s">
        <v>374</v>
      </c>
    </row>
    <row r="90" spans="1:33" ht="19.5">
      <c r="C90" s="260" t="s">
        <v>375</v>
      </c>
    </row>
    <row r="91" spans="1:33" ht="19.5">
      <c r="C91" s="260" t="s">
        <v>376</v>
      </c>
    </row>
    <row r="92" spans="1:33" ht="19.5">
      <c r="C92" s="260" t="s">
        <v>377</v>
      </c>
    </row>
    <row r="93" spans="1:33">
      <c r="C93" s="166" t="s">
        <v>378</v>
      </c>
    </row>
  </sheetData>
  <pageMargins left="0.7" right="0.7" top="0.75" bottom="0.75" header="0.3" footer="0.3"/>
  <pageSetup orientation="portrait" horizont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Tesoro_emis</vt:lpstr>
      <vt:lpstr>Agrium_HEA_emis</vt:lpstr>
      <vt:lpstr>Kenai_LNG_emis</vt:lpstr>
      <vt:lpstr>Other Offsite_emis</vt:lpstr>
      <vt:lpstr>VOL Sources_emis</vt:lpstr>
      <vt:lpstr>CALPUFF Tesoro ST</vt:lpstr>
      <vt:lpstr>CALPUFF Tesoro AN</vt:lpstr>
      <vt:lpstr>CALPUFF Agrium ST</vt:lpstr>
      <vt:lpstr>CALPUFF Agrium AN</vt:lpstr>
      <vt:lpstr>CALPUFF Kenai ST</vt:lpstr>
      <vt:lpstr>CALPUFF Kenai AN</vt:lpstr>
      <vt:lpstr>CALPUFF Other</vt:lpstr>
      <vt:lpstr>PSD Baseline Dates</vt:lpstr>
      <vt:lpstr>AQRV Speciation</vt:lpstr>
      <vt:lpstr>Sheet1</vt:lpstr>
    </vt:vector>
  </TitlesOfParts>
  <Company>AECOM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MacNutt, Amanda</dc:creator>
  <cp:lastModifiedBy>MacNutt, Amanda</cp:lastModifiedBy>
  <cp:lastPrinted>2015-12-29T15:49:18Z</cp:lastPrinted>
  <dcterms:created xsi:type="dcterms:W3CDTF">2013-03-19T15:32:01Z</dcterms:created>
  <dcterms:modified xsi:type="dcterms:W3CDTF">2016-07-19T18:11:26Z</dcterms:modified>
</cp:coreProperties>
</file>