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Jn-svrfile\groups\AQ\PERMITS\AIRFACS\Alaska Gasline Dev Corp (AK LNG Project)\Liquefaction Plant (1539)\Construction\CPT01\Pre\Emission Calcs\"/>
    </mc:Choice>
  </mc:AlternateContent>
  <bookViews>
    <workbookView xWindow="28680" yWindow="-120" windowWidth="29040" windowHeight="15840"/>
  </bookViews>
  <sheets>
    <sheet name="Diesel Eng-DPF (575hp)" sheetId="3" r:id="rId1"/>
  </sheets>
  <externalReferences>
    <externalReference r:id="rId2"/>
  </externalReferences>
  <definedNames>
    <definedName name="A" localSheetId="0">#REF!</definedName>
    <definedName name="A">#REF!</definedName>
    <definedName name="dc" localSheetId="0">#REF!</definedName>
    <definedName name="dc">#REF!</definedName>
    <definedName name="DLE" localSheetId="0">#REF!</definedName>
    <definedName name="DLE">#REF!</definedName>
    <definedName name="DPLeva" localSheetId="0">#REF!</definedName>
    <definedName name="DPLeva">#REF!</definedName>
    <definedName name="eps" localSheetId="0">#REF!</definedName>
    <definedName name="eps">#REF!</definedName>
    <definedName name="EqDiam" localSheetId="0">#REF!</definedName>
    <definedName name="EqDiam">#REF!</definedName>
    <definedName name="f" localSheetId="0">#REF!</definedName>
    <definedName name="f">#REF!</definedName>
    <definedName name="G" localSheetId="0">#REF!</definedName>
    <definedName name="G">#REF!</definedName>
    <definedName name="Gc" localSheetId="0">#REF!</definedName>
    <definedName name="Gc">#REF!</definedName>
    <definedName name="h" localSheetId="0">#REF!</definedName>
    <definedName name="h">#REF!</definedName>
    <definedName name="i" localSheetId="0">#REF!</definedName>
    <definedName name="i">#REF!</definedName>
    <definedName name="L" localSheetId="0">#REF!</definedName>
    <definedName name="L">#REF!</definedName>
    <definedName name="n" localSheetId="0">#REF!</definedName>
    <definedName name="n">#REF!</definedName>
    <definedName name="NRe" localSheetId="0">#REF!</definedName>
    <definedName name="NRe">#REF!</definedName>
    <definedName name="PhiS" localSheetId="0">#REF!</definedName>
    <definedName name="PhiS">#REF!</definedName>
    <definedName name="Pollutant" localSheetId="0">#REF!</definedName>
    <definedName name="Pollutant">[1]Generic!$B$10</definedName>
    <definedName name="_xlnm.Print_Area" localSheetId="0">'Diesel Eng-DPF (575hp)'!$A$1:$G$152</definedName>
    <definedName name="RhoF" localSheetId="0">#REF!</definedName>
    <definedName name="RhoF">#REF!</definedName>
    <definedName name="SCR" localSheetId="0">#REF!</definedName>
    <definedName name="SCR">#REF!</definedName>
    <definedName name="Shape" localSheetId="0">#REF!</definedName>
    <definedName name="Shape">#REF!</definedName>
    <definedName name="StateofFlowTable" localSheetId="0">#REF!</definedName>
    <definedName name="StateofFlowTable">#REF!</definedName>
    <definedName name="V" localSheetId="0">#REF!</definedName>
    <definedName name="V">#REF!</definedName>
    <definedName name="Visc" localSheetId="0">#REF!</definedName>
    <definedName name="Vis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6" i="3" l="1"/>
  <c r="B11" i="3" l="1"/>
  <c r="L126" i="3" l="1"/>
  <c r="L11" i="3"/>
  <c r="L149" i="3"/>
  <c r="J149" i="3"/>
  <c r="L148" i="3"/>
  <c r="L147" i="3"/>
  <c r="J147" i="3"/>
  <c r="L143" i="3"/>
  <c r="L142" i="3"/>
  <c r="L141" i="3"/>
  <c r="L140" i="3"/>
  <c r="J140" i="3"/>
  <c r="I142" i="3" s="1"/>
  <c r="A140" i="3"/>
  <c r="K138" i="3"/>
  <c r="L136" i="3"/>
  <c r="J136" i="3"/>
  <c r="L135" i="3"/>
  <c r="L134" i="3"/>
  <c r="K134" i="3"/>
  <c r="J134" i="3"/>
  <c r="J130" i="3"/>
  <c r="A130" i="3"/>
  <c r="L128" i="3"/>
  <c r="L127" i="3"/>
  <c r="J127" i="3"/>
  <c r="J126" i="3"/>
  <c r="L125" i="3"/>
  <c r="J125" i="3"/>
  <c r="K123" i="3"/>
  <c r="J123" i="3"/>
  <c r="B128" i="3" s="1"/>
  <c r="J119" i="3"/>
  <c r="A119" i="3"/>
  <c r="J115" i="3"/>
  <c r="I101" i="3" s="1"/>
  <c r="J98" i="3" s="1"/>
  <c r="A115" i="3"/>
  <c r="J114" i="3"/>
  <c r="I104" i="3" s="1"/>
  <c r="A114" i="3"/>
  <c r="L110" i="3"/>
  <c r="L109" i="3"/>
  <c r="L108" i="3"/>
  <c r="I108" i="3"/>
  <c r="I103" i="3"/>
  <c r="L101" i="3"/>
  <c r="L100" i="3"/>
  <c r="L99" i="3"/>
  <c r="L98" i="3"/>
  <c r="I98" i="3"/>
  <c r="J94" i="3"/>
  <c r="L104" i="3" s="1"/>
  <c r="L93" i="3"/>
  <c r="J93" i="3"/>
  <c r="L81" i="3"/>
  <c r="J67" i="3"/>
  <c r="J66" i="3"/>
  <c r="E62" i="3"/>
  <c r="E61" i="3"/>
  <c r="E60" i="3"/>
  <c r="E59" i="3"/>
  <c r="L54" i="3"/>
  <c r="J54" i="3"/>
  <c r="L53" i="3"/>
  <c r="J53" i="3"/>
  <c r="E52" i="3"/>
  <c r="E47" i="3"/>
  <c r="L45" i="3"/>
  <c r="J45" i="3"/>
  <c r="C46" i="3" s="1"/>
  <c r="J46" i="3" s="1"/>
  <c r="E39" i="3"/>
  <c r="E38" i="3"/>
  <c r="E34" i="3"/>
  <c r="E33" i="3"/>
  <c r="E32" i="3"/>
  <c r="E31" i="3"/>
  <c r="E30" i="3"/>
  <c r="E24" i="3"/>
  <c r="J23" i="3"/>
  <c r="E23" i="3"/>
  <c r="E22" i="3"/>
  <c r="E21" i="3"/>
  <c r="E20" i="3"/>
  <c r="E19" i="3"/>
  <c r="J18" i="3"/>
  <c r="E18" i="3"/>
  <c r="E14" i="3"/>
  <c r="E13" i="3"/>
  <c r="C13" i="3"/>
  <c r="J13" i="3" s="1"/>
  <c r="L12" i="3"/>
  <c r="J12" i="3"/>
  <c r="I105" i="3" l="1"/>
  <c r="I106" i="3"/>
  <c r="J103" i="3" s="1"/>
  <c r="L106" i="3"/>
  <c r="I99" i="3"/>
  <c r="I109" i="3"/>
  <c r="I100" i="3"/>
  <c r="B68" i="3"/>
  <c r="I110" i="3"/>
  <c r="J108" i="3" s="1"/>
  <c r="I141" i="3" s="1"/>
  <c r="J141" i="3" s="1"/>
  <c r="C50" i="3"/>
  <c r="J50" i="3" s="1"/>
  <c r="B77" i="3"/>
  <c r="B24" i="3"/>
  <c r="L24" i="3" s="1"/>
  <c r="J142" i="3"/>
  <c r="A142" i="3"/>
  <c r="C14" i="3"/>
  <c r="J14" i="3" s="1"/>
  <c r="J11" i="3"/>
  <c r="L105" i="3"/>
  <c r="J148" i="3"/>
  <c r="I150" i="3" s="1"/>
  <c r="J150" i="3" s="1"/>
  <c r="L103" i="3"/>
  <c r="I123" i="3" l="1"/>
  <c r="J24" i="3"/>
  <c r="I138" i="3"/>
  <c r="J138" i="3" s="1"/>
  <c r="C49" i="3" s="1"/>
  <c r="B150" i="3"/>
  <c r="C51" i="3"/>
  <c r="J51" i="3" s="1"/>
  <c r="C52" i="3" s="1"/>
  <c r="J52" i="3" s="1"/>
  <c r="C15" i="3"/>
  <c r="J15" i="3" s="1"/>
  <c r="J16" i="3" s="1"/>
  <c r="J49" i="3"/>
  <c r="B143" i="3" l="1"/>
  <c r="J135" i="3"/>
  <c r="C40" i="3" s="1"/>
  <c r="J40" i="3" s="1"/>
  <c r="B16" i="3"/>
  <c r="C21" i="3" l="1"/>
  <c r="J21" i="3" s="1"/>
  <c r="C34" i="3"/>
  <c r="J34" i="3" s="1"/>
  <c r="C32" i="3"/>
  <c r="J32" i="3" s="1"/>
  <c r="C23" i="3"/>
  <c r="C31" i="3"/>
  <c r="J31" i="3" s="1"/>
  <c r="C22" i="3"/>
  <c r="J22" i="3" s="1"/>
  <c r="C33" i="3"/>
  <c r="J33" i="3" s="1"/>
  <c r="C19" i="3"/>
  <c r="J19" i="3" s="1"/>
  <c r="C20" i="3"/>
  <c r="J20" i="3" s="1"/>
  <c r="C30" i="3"/>
  <c r="J30" i="3" s="1"/>
  <c r="C18" i="3"/>
  <c r="J25" i="3" l="1"/>
  <c r="J35" i="3"/>
  <c r="B35" i="3" s="1"/>
  <c r="B25" i="3" l="1"/>
  <c r="B26" i="3" s="1"/>
  <c r="J26" i="3"/>
  <c r="C38" i="3" l="1"/>
  <c r="J38" i="3" s="1"/>
  <c r="C39" i="3" s="1"/>
  <c r="J39" i="3" s="1"/>
  <c r="J41" i="3" l="1"/>
  <c r="B41" i="3" s="1"/>
  <c r="C47" i="3" l="1"/>
  <c r="J47" i="3" s="1"/>
  <c r="C60" i="3"/>
  <c r="J60" i="3" s="1"/>
  <c r="C62" i="3"/>
  <c r="J62" i="3" s="1"/>
  <c r="C61" i="3"/>
  <c r="J61" i="3" s="1"/>
  <c r="B69" i="3"/>
  <c r="J69" i="3" s="1"/>
  <c r="C48" i="3" l="1"/>
  <c r="J48" i="3" s="1"/>
  <c r="C59" i="3" s="1"/>
  <c r="J59" i="3" s="1"/>
  <c r="J63" i="3" s="1"/>
  <c r="B63" i="3" s="1"/>
  <c r="J55" i="3"/>
  <c r="J71" i="3" l="1"/>
  <c r="B55" i="3"/>
  <c r="B71" i="3" s="1"/>
  <c r="B79" i="3" s="1"/>
  <c r="B80" i="3" s="1"/>
  <c r="A84" i="3" s="1"/>
</calcChain>
</file>

<file path=xl/comments1.xml><?xml version="1.0" encoding="utf-8"?>
<comments xmlns="http://schemas.openxmlformats.org/spreadsheetml/2006/main">
  <authors>
    <author>Lara Gertler</author>
  </authors>
  <commentList>
    <comment ref="A130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Default cost from EIA data, Table 5.6.A Nov 2014 - Retail Price of Electricity to Industrial Customers in Alaska: http://www.eia.gov/electricity/monthly/epm_table_grapher.cfm?t=epmt_5_06_a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sharedStrings.xml><?xml version="1.0" encoding="utf-8"?>
<sst xmlns="http://schemas.openxmlformats.org/spreadsheetml/2006/main" count="319" uniqueCount="201">
  <si>
    <t>Alaska LNG Project</t>
  </si>
  <si>
    <t>Cost Quantification:</t>
  </si>
  <si>
    <t>Cost Category</t>
  </si>
  <si>
    <t>Project Cost</t>
  </si>
  <si>
    <t>Default Estimate</t>
  </si>
  <si>
    <t>Default % Applied</t>
  </si>
  <si>
    <t>EPA Equation /
Estimate Basis</t>
  </si>
  <si>
    <t>Reference</t>
  </si>
  <si>
    <t>Default</t>
  </si>
  <si>
    <t>Final</t>
  </si>
  <si>
    <t>Final Units</t>
  </si>
  <si>
    <t>Cond Format</t>
  </si>
  <si>
    <t>Notes</t>
  </si>
  <si>
    <t>Direct Capital Costs</t>
  </si>
  <si>
    <t>Purchased Equipment:</t>
  </si>
  <si>
    <t>Purchased Equipment Costs</t>
  </si>
  <si>
    <t>-</t>
  </si>
  <si>
    <t>A</t>
  </si>
  <si>
    <t>Vendor Supplied</t>
  </si>
  <si>
    <t>$</t>
  </si>
  <si>
    <t>Need input</t>
  </si>
  <si>
    <t>Ammonia System</t>
  </si>
  <si>
    <t>B</t>
  </si>
  <si>
    <t>Instrumentation &amp; Controls</t>
  </si>
  <si>
    <t>Freight</t>
  </si>
  <si>
    <r>
      <t xml:space="preserve">Taxes </t>
    </r>
    <r>
      <rPr>
        <sz val="9"/>
        <color theme="1"/>
        <rFont val="Calibri"/>
        <family val="2"/>
        <scheme val="minor"/>
      </rPr>
      <t>(Enter sales tax rate in "% Applied")</t>
    </r>
  </si>
  <si>
    <t>TaxRate x (A+B+C)</t>
  </si>
  <si>
    <t>No sales tax in Alaska</t>
  </si>
  <si>
    <t>Total Purchased Equipment Cost (PE)</t>
  </si>
  <si>
    <t>PE</t>
  </si>
  <si>
    <t>Direct Installation Costs:</t>
  </si>
  <si>
    <t>Foundation &amp; Supports</t>
  </si>
  <si>
    <t>Erection and Handling</t>
  </si>
  <si>
    <t>Electrical</t>
  </si>
  <si>
    <t>Piping</t>
  </si>
  <si>
    <t>Insulation</t>
  </si>
  <si>
    <t>Painting</t>
  </si>
  <si>
    <t>Site Preparation</t>
  </si>
  <si>
    <t>engineering judgement</t>
  </si>
  <si>
    <t>Total Direct Installation Cost (DI)</t>
  </si>
  <si>
    <t>DI</t>
  </si>
  <si>
    <t>Total Direct Capital Costs (DC)</t>
  </si>
  <si>
    <t>DC = PE + DI</t>
  </si>
  <si>
    <t>Indirect Capital Costs</t>
  </si>
  <si>
    <t>Indirect Costs:</t>
  </si>
  <si>
    <t>Engineering &amp; Supervision</t>
  </si>
  <si>
    <t>Construction and Field Expenses</t>
  </si>
  <si>
    <t>Contractor Fees</t>
  </si>
  <si>
    <t>Startup-up</t>
  </si>
  <si>
    <t>Performance Testing</t>
  </si>
  <si>
    <t>Total Indirect Costs (TIC)</t>
  </si>
  <si>
    <t>IC</t>
  </si>
  <si>
    <t>Capital Investment:</t>
  </si>
  <si>
    <t>Project Contingency</t>
  </si>
  <si>
    <t>OAQPS (15% of DC &amp; TIC)</t>
  </si>
  <si>
    <t>Preproduction Cost</t>
  </si>
  <si>
    <t>OAQPS (2% of DC &amp; TIC &amp; Proj Contingency)</t>
  </si>
  <si>
    <t>Inventory Capital (initial reagent fill)</t>
  </si>
  <si>
    <t>G = [Storage Gal] x [Reagent $/gal]</t>
  </si>
  <si>
    <t>See parameters below</t>
  </si>
  <si>
    <t>Eqn. 2.44 (Section 4.2, Ch. 2)</t>
  </si>
  <si>
    <t>Total Capital Investment</t>
  </si>
  <si>
    <t>TCI = DC + IC + E + F + G</t>
  </si>
  <si>
    <t>Direct Annual Costs</t>
  </si>
  <si>
    <t>Direct Annual Costs:</t>
  </si>
  <si>
    <t>Operating Labor</t>
  </si>
  <si>
    <t>Supervisory Labor</t>
  </si>
  <si>
    <t>15% of Op. Labor</t>
  </si>
  <si>
    <t>OAQPS (15% of Op Labor)</t>
  </si>
  <si>
    <t>Maintenance Labor</t>
  </si>
  <si>
    <t>OAQPS (1.5% of TCI)</t>
  </si>
  <si>
    <t>Maintenance Materials</t>
  </si>
  <si>
    <t>100% of Maint. Labor</t>
  </si>
  <si>
    <t>OAQPS (15% of Maint. Labor)</t>
  </si>
  <si>
    <t>Annual Reagent Cost</t>
  </si>
  <si>
    <t>q*Cost*[op hr/yr]</t>
  </si>
  <si>
    <t>Eqn 2.47 (Section 4.2, Ch. 2)</t>
  </si>
  <si>
    <t>Annual Electricity Cost</t>
  </si>
  <si>
    <t>Eqn 2.49 (Section 4.2, Ch. 2)</t>
  </si>
  <si>
    <t>Catalyst Replacement</t>
  </si>
  <si>
    <t>Catalyst Disposal Cost</t>
  </si>
  <si>
    <t>Engineering Estimate</t>
  </si>
  <si>
    <t>Fuel Penalty Costs (specify)</t>
  </si>
  <si>
    <t>Other Maintenance Cost (specify)</t>
  </si>
  <si>
    <t>Total Direct Annual Costs</t>
  </si>
  <si>
    <t>DAC</t>
  </si>
  <si>
    <t>Indirect Annual Costs</t>
  </si>
  <si>
    <t>Indirect Annual Costs:</t>
  </si>
  <si>
    <t>Overhead</t>
  </si>
  <si>
    <t>OAQPS (60% of Op/Super/Maint. Labor &amp; Mtls)</t>
  </si>
  <si>
    <t>Property Tax</t>
  </si>
  <si>
    <t>OAQPS (1%)</t>
  </si>
  <si>
    <t>Insurance</t>
  </si>
  <si>
    <t>General Administrative</t>
  </si>
  <si>
    <t>OAQPS (2%)</t>
  </si>
  <si>
    <t>Total Indirect Annual Costs</t>
  </si>
  <si>
    <t>Capital Recovery Cost</t>
  </si>
  <si>
    <t>Equipment Life (years)</t>
  </si>
  <si>
    <t>n</t>
  </si>
  <si>
    <t>years</t>
  </si>
  <si>
    <t>Interest Rate</t>
  </si>
  <si>
    <t>i</t>
  </si>
  <si>
    <t>7% per Agrium US Inc, Kenai Nitrogen Operations Facility Air Quality Control Construction Permit AQ0083CPT06</t>
  </si>
  <si>
    <t>%</t>
  </si>
  <si>
    <t>Capital Recovery Factor</t>
  </si>
  <si>
    <t>CRF = i/(1-(1+i)^-n)</t>
  </si>
  <si>
    <t>Capital Recovery Cost (CRC)</t>
  </si>
  <si>
    <t>OAQPS Eqn 2.54 (Section 4.2, Ch. 2)</t>
  </si>
  <si>
    <t>Eqn 2.54 (Section 4.2, Ch. 2)</t>
  </si>
  <si>
    <t>Total Annual Costs</t>
  </si>
  <si>
    <t>TAC = DA + IDAC + CRC</t>
  </si>
  <si>
    <t>OAQPS Eqn 2.56 (Section 4.2, Ch. 2)</t>
  </si>
  <si>
    <t>$/yr</t>
  </si>
  <si>
    <t>Eqn 2.56 (Section 4.2, Ch. 2)</t>
  </si>
  <si>
    <t>Cost Effectiveness Analysis:</t>
  </si>
  <si>
    <t>Calculated below</t>
  </si>
  <si>
    <t>Calculated above</t>
  </si>
  <si>
    <t>Cost Effectiveness ($/ton/yr)</t>
  </si>
  <si>
    <t>OAQPS Eqn 2.58 (Section 4.2, Ch. 2)</t>
  </si>
  <si>
    <t>Cost Effectiveness Threshold ($/ton/yr)</t>
  </si>
  <si>
    <t>Conclusion:</t>
  </si>
  <si>
    <t>Design Parameters:</t>
  </si>
  <si>
    <t>Enter values in boxes below. Where default value is available, entered value will override default.</t>
  </si>
  <si>
    <t>Required data is highlighted yellow.</t>
  </si>
  <si>
    <t>Combustion Unit Sizing</t>
  </si>
  <si>
    <t>Turbine heat capacity:</t>
  </si>
  <si>
    <t>MMBtu/hr</t>
  </si>
  <si>
    <t>Duct burner heat capacity, if applicable:</t>
  </si>
  <si>
    <t>NOx Emission Rates</t>
  </si>
  <si>
    <t>Turbine uncontrolled NOx concentration:</t>
  </si>
  <si>
    <t>lb NOx/MMBtu</t>
  </si>
  <si>
    <t>lb/MMBtu</t>
  </si>
  <si>
    <t>or</t>
  </si>
  <si>
    <t>lb NOx/MMscf</t>
  </si>
  <si>
    <t>ppmv @ 15% O2</t>
  </si>
  <si>
    <t>Assumption for baseline/uncontrolled emissions</t>
  </si>
  <si>
    <t>or (default)</t>
  </si>
  <si>
    <t>Duct burner uncontrolled NOx concentration:</t>
  </si>
  <si>
    <t>ppmv @ 3% O2</t>
  </si>
  <si>
    <t>Controlled NOx concentration:</t>
  </si>
  <si>
    <t>Most stringent limit identified as BACT</t>
  </si>
  <si>
    <t>Natural Gas Properties</t>
  </si>
  <si>
    <t>Btu/scf</t>
  </si>
  <si>
    <t>dscf/MMBtu</t>
  </si>
  <si>
    <t xml:space="preserve">EPA 40 CFR Part 60 Appendix A, Method 19, Table 19-2 </t>
  </si>
  <si>
    <t>Operational Parameters</t>
  </si>
  <si>
    <t>hr/yr</t>
  </si>
  <si>
    <t>hours</t>
  </si>
  <si>
    <r>
      <rPr>
        <b/>
        <sz val="10"/>
        <color theme="1"/>
        <rFont val="Calibri"/>
        <family val="2"/>
        <scheme val="minor"/>
      </rPr>
      <t>Annual Electricity Costs:</t>
    </r>
    <r>
      <rPr>
        <sz val="10"/>
        <color theme="1"/>
        <rFont val="Calibri"/>
        <family val="2"/>
        <scheme val="minor"/>
      </rPr>
      <t xml:space="preserve"> Enter values below. Where default value is available, entered number overrides default.</t>
    </r>
  </si>
  <si>
    <t>Power demand:</t>
  </si>
  <si>
    <t>kW</t>
  </si>
  <si>
    <t>Eqn 2.48 (Section 4.2, Ch. 2)</t>
  </si>
  <si>
    <t>If power demand is not known, estimate on the basis of the parameters below:</t>
  </si>
  <si>
    <t>delta P duct [Default: 3 in H2O]</t>
  </si>
  <si>
    <t>OAQPS Eqn 2.48 (Section 4.2, Ch. 2)</t>
  </si>
  <si>
    <t>in H2O</t>
  </si>
  <si>
    <t>delta P catalyst (per layer) [Default: 1 in H2O]</t>
  </si>
  <si>
    <t>number of layers of catalyst</t>
  </si>
  <si>
    <t># layers</t>
  </si>
  <si>
    <t>Calculated Power demand:</t>
  </si>
  <si>
    <t>$/kWh</t>
  </si>
  <si>
    <r>
      <rPr>
        <b/>
        <sz val="10"/>
        <color theme="1"/>
        <rFont val="Calibri"/>
        <family val="2"/>
        <scheme val="minor"/>
      </rPr>
      <t>Aqueous Ammonia Costs:</t>
    </r>
    <r>
      <rPr>
        <sz val="10"/>
        <color theme="1"/>
        <rFont val="Calibri"/>
        <family val="2"/>
        <scheme val="minor"/>
      </rPr>
      <t xml:space="preserve"> Enter values below or parameters to estimate.</t>
    </r>
  </si>
  <si>
    <t>Aqueous ammonia cost:</t>
  </si>
  <si>
    <t>$/gallon</t>
  </si>
  <si>
    <t>Aqueous ammonia storage volume:</t>
  </si>
  <si>
    <t>gallons</t>
  </si>
  <si>
    <t>days' worth</t>
  </si>
  <si>
    <t>Aqueous ammonia consumption rate:</t>
  </si>
  <si>
    <t>gal/hr</t>
  </si>
  <si>
    <t>If aqueous ammonia consumption rate not known, estimate on the basis of the parameters below:</t>
  </si>
  <si>
    <t>wt%</t>
  </si>
  <si>
    <t>Eqn 2.34 (Section 4.2, Ch. 2)</t>
  </si>
  <si>
    <r>
      <t>NH3 solution mass flow rate (m</t>
    </r>
    <r>
      <rPr>
        <vertAlign val="subscript"/>
        <sz val="11"/>
        <color theme="1"/>
        <rFont val="Calibri"/>
        <family val="2"/>
        <scheme val="minor"/>
      </rPr>
      <t>sol</t>
    </r>
    <r>
      <rPr>
        <sz val="11"/>
        <color theme="1"/>
        <rFont val="Calibri"/>
        <family val="2"/>
        <scheme val="minor"/>
      </rPr>
      <t>)</t>
    </r>
  </si>
  <si>
    <t>lb/hr</t>
  </si>
  <si>
    <t>Eqn 2.32, 2.33 (Section 4.2, Ch. 2)</t>
  </si>
  <si>
    <t>lb/gal</t>
  </si>
  <si>
    <t>Engineeering Data</t>
  </si>
  <si>
    <t>Calculated Aqueous ammonia consumption rate:</t>
  </si>
  <si>
    <t>OAQPS Eqn 2.32-2.34 (Section 4.2, Ch. 2)</t>
  </si>
  <si>
    <t xml:space="preserve">Catalyst Costs: </t>
  </si>
  <si>
    <t>Initial catalyst cost:</t>
  </si>
  <si>
    <t>Catalyst replacement frequency:</t>
  </si>
  <si>
    <t>ADEC Default</t>
  </si>
  <si>
    <t>Annual Catalyst Replacement Cost</t>
  </si>
  <si>
    <t>OAQPS Eqn 2.51 (Section 4.2, Ch. 2)</t>
  </si>
  <si>
    <t>Eqn 2.51 (Section 4.2, Ch. 2)</t>
  </si>
  <si>
    <t>* OAQPS refers to the EPA Air Pollution Control Cost Manual, Sixt Edition and subsequent revisions.</t>
  </si>
  <si>
    <t>Vendor Data</t>
  </si>
  <si>
    <t>PTE Calculations before add on emissions controls</t>
  </si>
  <si>
    <t>Uncontrolled Emissions (tpy)</t>
  </si>
  <si>
    <t>Included in A</t>
  </si>
  <si>
    <t>Not needed, equipment is skid mounted</t>
  </si>
  <si>
    <t>Not needed, included in equipment purchase price</t>
  </si>
  <si>
    <t>Vendor Estimate (DCL email Aug. 1, 2018)</t>
  </si>
  <si>
    <t>No Reagent needed</t>
  </si>
  <si>
    <t>Diesel Particulate Filter (DPF) PM Cost Effectiveness Analysis</t>
  </si>
  <si>
    <t>PM</t>
  </si>
  <si>
    <t>Controlled PM Emissions (tpy)</t>
  </si>
  <si>
    <t>PM Reduction (tpy)</t>
  </si>
  <si>
    <t>Vendor Emissions Reduction Percentage (90%)</t>
  </si>
  <si>
    <t>Diesel Driven Equipment - Firewater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</si>
</sst>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&quot;$&quot;* #,##0_);_(&quot;$&quot;* \(#,##0\);_(&quot;$&quot;* &quot;-&quot;??_);_(@_)"/>
    <numFmt numFmtId="167" formatCode="&quot;$&quot;#,##0.00"/>
    <numFmt numFmtId="168" formatCode="#,##0.0000"/>
    <numFmt numFmtId="169" formatCode="0.000"/>
    <numFmt numFmtId="170" formatCode="0.0"/>
    <numFmt numFmtId="171" formatCode="&quot;$&quot;#,##0.0000"/>
    <numFmt numFmtId="172" formatCode="_(* #,##0.000_);_(* \(#,##0.000\);_(* &quot;-&quot;??_);_(@_)"/>
    <numFmt numFmtId="173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72">
    <xf numFmtId="0" fontId="0" fillId="0" borderId="0" xfId="0"/>
    <xf numFmtId="0" fontId="4" fillId="0" borderId="0" xfId="4" applyFont="1" applyFill="1" applyAlignment="1">
      <alignment horizontal="centerContinuous"/>
    </xf>
    <xf numFmtId="0" fontId="5" fillId="0" borderId="0" xfId="4" applyFont="1" applyFill="1"/>
    <xf numFmtId="0" fontId="1" fillId="0" borderId="0" xfId="4" applyFont="1" applyFill="1" applyAlignment="1">
      <alignment horizontal="center" wrapText="1"/>
    </xf>
    <xf numFmtId="0" fontId="0" fillId="0" borderId="0" xfId="0" applyFill="1"/>
    <xf numFmtId="0" fontId="6" fillId="0" borderId="1" xfId="4" applyFont="1" applyFill="1" applyBorder="1"/>
    <xf numFmtId="0" fontId="5" fillId="0" borderId="1" xfId="4" applyFont="1" applyFill="1" applyBorder="1" applyAlignment="1">
      <alignment horizontal="center"/>
    </xf>
    <xf numFmtId="0" fontId="1" fillId="0" borderId="1" xfId="4" applyFont="1" applyFill="1" applyBorder="1" applyAlignment="1">
      <alignment horizontal="center" wrapText="1"/>
    </xf>
    <xf numFmtId="164" fontId="7" fillId="0" borderId="0" xfId="0" applyNumberFormat="1" applyFont="1" applyFill="1"/>
    <xf numFmtId="0" fontId="7" fillId="0" borderId="0" xfId="0" quotePrefix="1" applyFont="1" applyFill="1"/>
    <xf numFmtId="0" fontId="5" fillId="0" borderId="0" xfId="0" applyFont="1"/>
    <xf numFmtId="0" fontId="8" fillId="0" borderId="0" xfId="0" applyFont="1" applyBorder="1" applyAlignment="1">
      <alignment horizontal="centerContinuous"/>
    </xf>
    <xf numFmtId="0" fontId="5" fillId="0" borderId="0" xfId="4" applyFont="1" applyFill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2" fillId="0" borderId="2" xfId="4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Continuous" wrapText="1"/>
    </xf>
    <xf numFmtId="0" fontId="0" fillId="0" borderId="2" xfId="0" applyFont="1" applyBorder="1" applyAlignment="1">
      <alignment horizontal="centerContinuous" wrapText="1"/>
    </xf>
    <xf numFmtId="0" fontId="2" fillId="0" borderId="2" xfId="0" applyFont="1" applyFill="1" applyBorder="1" applyAlignment="1">
      <alignment horizontal="center" wrapText="1"/>
    </xf>
    <xf numFmtId="0" fontId="7" fillId="0" borderId="5" xfId="4" applyFont="1" applyFill="1" applyBorder="1" applyAlignment="1">
      <alignment horizontal="center"/>
    </xf>
    <xf numFmtId="0" fontId="7" fillId="0" borderId="6" xfId="4" applyFont="1" applyFill="1" applyBorder="1" applyAlignment="1">
      <alignment horizontal="center"/>
    </xf>
    <xf numFmtId="0" fontId="7" fillId="0" borderId="4" xfId="4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top" wrapText="1"/>
    </xf>
    <xf numFmtId="164" fontId="4" fillId="0" borderId="7" xfId="4" applyNumberFormat="1" applyFont="1" applyFill="1" applyBorder="1" applyAlignment="1">
      <alignment vertical="center"/>
    </xf>
    <xf numFmtId="164" fontId="2" fillId="0" borderId="8" xfId="4" applyNumberFormat="1" applyFont="1" applyFill="1" applyBorder="1" applyAlignment="1">
      <alignment vertical="center"/>
    </xf>
    <xf numFmtId="0" fontId="0" fillId="0" borderId="9" xfId="0" applyFill="1" applyBorder="1"/>
    <xf numFmtId="164" fontId="5" fillId="0" borderId="10" xfId="4" applyNumberFormat="1" applyFont="1" applyFill="1" applyBorder="1" applyAlignment="1">
      <alignment horizontal="center" vertical="center"/>
    </xf>
    <xf numFmtId="164" fontId="7" fillId="0" borderId="10" xfId="4" applyNumberFormat="1" applyFont="1" applyFill="1" applyBorder="1" applyAlignment="1" applyProtection="1">
      <alignment horizontal="center" vertical="center"/>
      <protection locked="0"/>
    </xf>
    <xf numFmtId="0" fontId="5" fillId="0" borderId="10" xfId="4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/>
    </xf>
    <xf numFmtId="0" fontId="0" fillId="0" borderId="12" xfId="0" applyBorder="1" applyAlignment="1">
      <alignment horizontal="left" vertical="top" wrapText="1" indent="2"/>
    </xf>
    <xf numFmtId="164" fontId="9" fillId="2" borderId="13" xfId="4" applyNumberFormat="1" applyFont="1" applyFill="1" applyBorder="1" applyAlignment="1" applyProtection="1">
      <alignment horizontal="right" vertical="top"/>
      <protection locked="0"/>
    </xf>
    <xf numFmtId="164" fontId="5" fillId="3" borderId="14" xfId="4" applyNumberFormat="1" applyFont="1" applyFill="1" applyBorder="1" applyAlignment="1">
      <alignment horizontal="center" vertical="top"/>
    </xf>
    <xf numFmtId="9" fontId="5" fillId="0" borderId="15" xfId="4" applyNumberFormat="1" applyFont="1" applyFill="1" applyBorder="1" applyAlignment="1">
      <alignment horizontal="center" vertical="top"/>
    </xf>
    <xf numFmtId="0" fontId="10" fillId="0" borderId="12" xfId="4" applyFont="1" applyFill="1" applyBorder="1" applyAlignment="1">
      <alignment horizontal="centerContinuous" vertical="center"/>
    </xf>
    <xf numFmtId="0" fontId="0" fillId="0" borderId="16" xfId="4" applyFont="1" applyFill="1" applyBorder="1" applyAlignment="1">
      <alignment horizontal="centerContinuous" vertical="center"/>
    </xf>
    <xf numFmtId="0" fontId="1" fillId="0" borderId="17" xfId="4" applyFont="1" applyFill="1" applyBorder="1" applyAlignment="1">
      <alignment horizontal="left" wrapText="1"/>
    </xf>
    <xf numFmtId="0" fontId="0" fillId="0" borderId="18" xfId="0" applyFill="1" applyBorder="1"/>
    <xf numFmtId="164" fontId="7" fillId="0" borderId="19" xfId="4" applyNumberFormat="1" applyFont="1" applyFill="1" applyBorder="1" applyAlignment="1" applyProtection="1">
      <alignment horizontal="center" vertical="center"/>
      <protection locked="0"/>
    </xf>
    <xf numFmtId="164" fontId="5" fillId="0" borderId="19" xfId="4" applyNumberFormat="1" applyFont="1" applyFill="1" applyBorder="1" applyAlignment="1" applyProtection="1">
      <alignment horizontal="center" vertical="center"/>
      <protection locked="0"/>
    </xf>
    <xf numFmtId="0" fontId="5" fillId="0" borderId="19" xfId="4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/>
    </xf>
    <xf numFmtId="0" fontId="0" fillId="0" borderId="21" xfId="0" applyFill="1" applyBorder="1" applyAlignment="1">
      <alignment horizontal="left" vertical="top" wrapText="1" indent="2"/>
    </xf>
    <xf numFmtId="164" fontId="9" fillId="2" borderId="18" xfId="4" applyNumberFormat="1" applyFont="1" applyFill="1" applyBorder="1" applyAlignment="1" applyProtection="1">
      <alignment horizontal="right" vertical="top"/>
      <protection locked="0"/>
    </xf>
    <xf numFmtId="164" fontId="5" fillId="3" borderId="20" xfId="4" applyNumberFormat="1" applyFont="1" applyFill="1" applyBorder="1" applyAlignment="1">
      <alignment horizontal="center" vertical="top"/>
    </xf>
    <xf numFmtId="9" fontId="5" fillId="0" borderId="22" xfId="4" applyNumberFormat="1" applyFont="1" applyFill="1" applyBorder="1" applyAlignment="1">
      <alignment horizontal="center" vertical="top"/>
    </xf>
    <xf numFmtId="0" fontId="10" fillId="0" borderId="21" xfId="4" applyFont="1" applyFill="1" applyBorder="1" applyAlignment="1">
      <alignment horizontal="centerContinuous" vertical="center"/>
    </xf>
    <xf numFmtId="0" fontId="0" fillId="0" borderId="23" xfId="4" applyFont="1" applyFill="1" applyBorder="1" applyAlignment="1">
      <alignment horizontal="centerContinuous" vertical="center"/>
    </xf>
    <xf numFmtId="0" fontId="0" fillId="0" borderId="13" xfId="0" applyFill="1" applyBorder="1"/>
    <xf numFmtId="164" fontId="5" fillId="0" borderId="24" xfId="4" applyNumberFormat="1" applyFont="1" applyFill="1" applyBorder="1" applyAlignment="1">
      <alignment horizontal="center" vertical="center"/>
    </xf>
    <xf numFmtId="164" fontId="5" fillId="0" borderId="24" xfId="4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left" vertical="top" wrapText="1" indent="2"/>
    </xf>
    <xf numFmtId="164" fontId="5" fillId="0" borderId="20" xfId="4" applyNumberFormat="1" applyFont="1" applyFill="1" applyBorder="1" applyAlignment="1">
      <alignment horizontal="right" vertical="top"/>
    </xf>
    <xf numFmtId="0" fontId="0" fillId="0" borderId="17" xfId="4" applyFont="1" applyFill="1" applyBorder="1" applyAlignment="1">
      <alignment horizontal="left" wrapText="1"/>
    </xf>
    <xf numFmtId="164" fontId="5" fillId="0" borderId="19" xfId="4" applyNumberFormat="1" applyFont="1" applyFill="1" applyBorder="1" applyAlignment="1">
      <alignment horizontal="center" vertical="center"/>
    </xf>
    <xf numFmtId="164" fontId="9" fillId="2" borderId="25" xfId="4" applyNumberFormat="1" applyFont="1" applyFill="1" applyBorder="1" applyAlignment="1" applyProtection="1">
      <alignment horizontal="right" vertical="top"/>
      <protection locked="0"/>
    </xf>
    <xf numFmtId="165" fontId="9" fillId="0" borderId="22" xfId="4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 indent="2"/>
    </xf>
    <xf numFmtId="164" fontId="1" fillId="0" borderId="26" xfId="4" applyNumberFormat="1" applyFont="1" applyFill="1" applyBorder="1" applyAlignment="1" applyProtection="1">
      <alignment horizontal="right" vertical="top"/>
      <protection locked="0"/>
    </xf>
    <xf numFmtId="164" fontId="5" fillId="3" borderId="4" xfId="4" applyNumberFormat="1" applyFont="1" applyFill="1" applyBorder="1" applyAlignment="1">
      <alignment horizontal="center" vertical="top"/>
    </xf>
    <xf numFmtId="9" fontId="5" fillId="0" borderId="7" xfId="4" applyNumberFormat="1" applyFont="1" applyFill="1" applyBorder="1" applyAlignment="1">
      <alignment horizontal="center" vertical="top"/>
    </xf>
    <xf numFmtId="0" fontId="0" fillId="0" borderId="3" xfId="4" applyFont="1" applyFill="1" applyBorder="1" applyAlignment="1">
      <alignment horizontal="centerContinuous" vertical="center"/>
    </xf>
    <xf numFmtId="0" fontId="0" fillId="0" borderId="8" xfId="4" applyFont="1" applyFill="1" applyBorder="1" applyAlignment="1">
      <alignment horizontal="centerContinuous" vertical="center"/>
    </xf>
    <xf numFmtId="0" fontId="1" fillId="0" borderId="2" xfId="4" applyFont="1" applyFill="1" applyBorder="1" applyAlignment="1">
      <alignment horizontal="left" wrapText="1"/>
    </xf>
    <xf numFmtId="0" fontId="0" fillId="0" borderId="27" xfId="0" applyFill="1" applyBorder="1"/>
    <xf numFmtId="164" fontId="5" fillId="0" borderId="28" xfId="4" applyNumberFormat="1" applyFont="1" applyFill="1" applyBorder="1" applyAlignment="1">
      <alignment horizontal="center" vertical="center"/>
    </xf>
    <xf numFmtId="164" fontId="5" fillId="0" borderId="28" xfId="4" applyNumberFormat="1" applyFont="1" applyFill="1" applyBorder="1" applyAlignment="1" applyProtection="1">
      <alignment horizontal="center" vertical="center"/>
      <protection locked="0"/>
    </xf>
    <xf numFmtId="0" fontId="5" fillId="0" borderId="28" xfId="4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/>
    </xf>
    <xf numFmtId="164" fontId="9" fillId="0" borderId="7" xfId="4" applyNumberFormat="1" applyFont="1" applyFill="1" applyBorder="1" applyAlignment="1" applyProtection="1">
      <alignment horizontal="center" vertical="top"/>
      <protection locked="0"/>
    </xf>
    <xf numFmtId="164" fontId="5" fillId="0" borderId="7" xfId="4" applyNumberFormat="1" applyFont="1" applyFill="1" applyBorder="1" applyAlignment="1">
      <alignment horizontal="center" vertical="top"/>
    </xf>
    <xf numFmtId="0" fontId="0" fillId="0" borderId="7" xfId="4" applyFont="1" applyFill="1" applyBorder="1" applyAlignment="1">
      <alignment horizontal="centerContinuous" vertical="center"/>
    </xf>
    <xf numFmtId="0" fontId="1" fillId="0" borderId="8" xfId="4" applyFont="1" applyFill="1" applyBorder="1" applyAlignment="1">
      <alignment horizontal="left" wrapText="1"/>
    </xf>
    <xf numFmtId="164" fontId="5" fillId="0" borderId="14" xfId="4" applyNumberFormat="1" applyFont="1" applyFill="1" applyBorder="1" applyAlignment="1">
      <alignment horizontal="right" vertical="top"/>
    </xf>
    <xf numFmtId="0" fontId="0" fillId="0" borderId="12" xfId="4" applyFont="1" applyFill="1" applyBorder="1" applyAlignment="1">
      <alignment horizontal="centerContinuous" vertical="center"/>
    </xf>
    <xf numFmtId="0" fontId="0" fillId="0" borderId="21" xfId="4" applyFont="1" applyFill="1" applyBorder="1" applyAlignment="1">
      <alignment horizontal="centerContinuous" vertical="center"/>
    </xf>
    <xf numFmtId="164" fontId="5" fillId="3" borderId="20" xfId="4" applyNumberFormat="1" applyFont="1" applyFill="1" applyBorder="1" applyAlignment="1">
      <alignment horizontal="right" vertical="top"/>
    </xf>
    <xf numFmtId="9" fontId="12" fillId="0" borderId="22" xfId="4" applyNumberFormat="1" applyFont="1" applyFill="1" applyBorder="1" applyAlignment="1">
      <alignment horizontal="center" vertical="top"/>
    </xf>
    <xf numFmtId="0" fontId="0" fillId="0" borderId="25" xfId="0" applyFill="1" applyBorder="1"/>
    <xf numFmtId="164" fontId="5" fillId="0" borderId="30" xfId="4" applyNumberFormat="1" applyFont="1" applyFill="1" applyBorder="1" applyAlignment="1">
      <alignment horizontal="center" vertical="center"/>
    </xf>
    <xf numFmtId="164" fontId="5" fillId="0" borderId="30" xfId="4" applyNumberFormat="1" applyFont="1" applyFill="1" applyBorder="1" applyAlignment="1" applyProtection="1">
      <alignment horizontal="center" vertical="center"/>
      <protection locked="0"/>
    </xf>
    <xf numFmtId="0" fontId="5" fillId="0" borderId="30" xfId="4" applyFont="1" applyFill="1" applyBorder="1" applyAlignment="1">
      <alignment horizontal="center" vertical="center"/>
    </xf>
    <xf numFmtId="0" fontId="0" fillId="0" borderId="31" xfId="0" applyFill="1" applyBorder="1" applyAlignment="1">
      <alignment horizontal="left"/>
    </xf>
    <xf numFmtId="0" fontId="0" fillId="0" borderId="3" xfId="0" applyBorder="1" applyAlignment="1">
      <alignment horizontal="left" vertical="top" wrapText="1" indent="2"/>
    </xf>
    <xf numFmtId="164" fontId="5" fillId="3" borderId="4" xfId="4" applyNumberFormat="1" applyFont="1" applyFill="1" applyBorder="1" applyAlignment="1">
      <alignment horizontal="right" vertical="top"/>
    </xf>
    <xf numFmtId="0" fontId="0" fillId="0" borderId="3" xfId="4" applyFont="1" applyFill="1" applyBorder="1" applyAlignment="1">
      <alignment horizontal="centerContinuous" vertical="center" shrinkToFit="1"/>
    </xf>
    <xf numFmtId="0" fontId="0" fillId="0" borderId="8" xfId="4" applyFont="1" applyFill="1" applyBorder="1" applyAlignment="1">
      <alignment horizontal="centerContinuous" vertical="center" shrinkToFit="1"/>
    </xf>
    <xf numFmtId="0" fontId="0" fillId="0" borderId="26" xfId="0" applyFill="1" applyBorder="1"/>
    <xf numFmtId="164" fontId="5" fillId="0" borderId="32" xfId="4" applyNumberFormat="1" applyFont="1" applyFill="1" applyBorder="1" applyAlignment="1">
      <alignment horizontal="center" vertical="center"/>
    </xf>
    <xf numFmtId="164" fontId="5" fillId="0" borderId="32" xfId="4" applyNumberFormat="1" applyFont="1" applyFill="1" applyBorder="1" applyAlignment="1" applyProtection="1">
      <alignment horizontal="center" vertical="center"/>
      <protection locked="0"/>
    </xf>
    <xf numFmtId="0" fontId="5" fillId="0" borderId="32" xfId="4" applyFont="1" applyFill="1" applyBorder="1" applyAlignment="1">
      <alignment horizontal="center" vertical="center"/>
    </xf>
    <xf numFmtId="0" fontId="0" fillId="0" borderId="33" xfId="0" applyFill="1" applyBorder="1" applyAlignment="1">
      <alignment horizontal="left"/>
    </xf>
    <xf numFmtId="0" fontId="2" fillId="0" borderId="34" xfId="4" applyFont="1" applyFill="1" applyBorder="1" applyAlignment="1" applyProtection="1">
      <alignment vertical="top"/>
      <protection locked="0"/>
    </xf>
    <xf numFmtId="164" fontId="13" fillId="0" borderId="5" xfId="4" applyNumberFormat="1" applyFont="1" applyFill="1" applyBorder="1" applyAlignment="1" applyProtection="1">
      <alignment horizontal="right"/>
      <protection locked="0"/>
    </xf>
    <xf numFmtId="0" fontId="5" fillId="3" borderId="4" xfId="4" applyFont="1" applyFill="1" applyBorder="1" applyAlignment="1">
      <alignment horizontal="right"/>
    </xf>
    <xf numFmtId="9" fontId="5" fillId="0" borderId="7" xfId="4" applyNumberFormat="1" applyFont="1" applyFill="1" applyBorder="1" applyAlignment="1">
      <alignment horizontal="center"/>
    </xf>
    <xf numFmtId="0" fontId="2" fillId="0" borderId="3" xfId="4" applyFont="1" applyFill="1" applyBorder="1" applyAlignment="1" applyProtection="1">
      <alignment horizontal="centerContinuous" vertical="center"/>
      <protection locked="0"/>
    </xf>
    <xf numFmtId="0" fontId="0" fillId="0" borderId="8" xfId="4" applyFont="1" applyFill="1" applyBorder="1" applyAlignment="1" applyProtection="1">
      <alignment horizontal="centerContinuous" vertical="center"/>
      <protection locked="0"/>
    </xf>
    <xf numFmtId="0" fontId="0" fillId="0" borderId="5" xfId="0" applyFill="1" applyBorder="1"/>
    <xf numFmtId="164" fontId="7" fillId="0" borderId="6" xfId="4" applyNumberFormat="1" applyFont="1" applyFill="1" applyBorder="1" applyAlignment="1" applyProtection="1">
      <alignment horizontal="center" vertical="center"/>
      <protection locked="0"/>
    </xf>
    <xf numFmtId="164" fontId="5" fillId="0" borderId="6" xfId="4" applyNumberFormat="1" applyFont="1" applyFill="1" applyBorder="1" applyAlignment="1" applyProtection="1">
      <alignment horizontal="center" vertical="center"/>
      <protection locked="0"/>
    </xf>
    <xf numFmtId="0" fontId="5" fillId="0" borderId="6" xfId="4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/>
    </xf>
    <xf numFmtId="0" fontId="0" fillId="0" borderId="0" xfId="0" applyBorder="1" applyAlignment="1">
      <alignment horizontal="left" vertical="top" wrapText="1" indent="2"/>
    </xf>
    <xf numFmtId="164" fontId="9" fillId="0" borderId="0" xfId="4" applyNumberFormat="1" applyFont="1" applyFill="1" applyBorder="1" applyAlignment="1" applyProtection="1">
      <alignment horizontal="center" vertical="top"/>
      <protection locked="0"/>
    </xf>
    <xf numFmtId="164" fontId="5" fillId="0" borderId="0" xfId="4" applyNumberFormat="1" applyFont="1" applyFill="1" applyBorder="1" applyAlignment="1">
      <alignment horizontal="center" vertical="top"/>
    </xf>
    <xf numFmtId="9" fontId="5" fillId="0" borderId="0" xfId="4" applyNumberFormat="1" applyFont="1" applyFill="1" applyBorder="1" applyAlignment="1">
      <alignment horizontal="center" vertical="top"/>
    </xf>
    <xf numFmtId="0" fontId="0" fillId="0" borderId="0" xfId="4" applyFont="1" applyFill="1" applyBorder="1" applyAlignment="1">
      <alignment horizontal="centerContinuous" vertical="center"/>
    </xf>
    <xf numFmtId="0" fontId="0" fillId="0" borderId="0" xfId="0" applyFill="1" applyBorder="1"/>
    <xf numFmtId="164" fontId="5" fillId="0" borderId="0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7" xfId="4" applyFont="1" applyFill="1" applyBorder="1" applyAlignment="1">
      <alignment horizontal="center"/>
    </xf>
    <xf numFmtId="0" fontId="0" fillId="0" borderId="7" xfId="0" applyBorder="1"/>
    <xf numFmtId="0" fontId="1" fillId="0" borderId="8" xfId="4" applyFont="1" applyFill="1" applyBorder="1" applyAlignment="1">
      <alignment horizontal="center" wrapText="1"/>
    </xf>
    <xf numFmtId="164" fontId="9" fillId="2" borderId="13" xfId="4" applyNumberFormat="1" applyFont="1" applyFill="1" applyBorder="1" applyAlignment="1" applyProtection="1">
      <alignment horizontal="center" vertical="top"/>
      <protection locked="0"/>
    </xf>
    <xf numFmtId="16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vertical="center"/>
    </xf>
    <xf numFmtId="164" fontId="9" fillId="2" borderId="18" xfId="4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left" vertical="top" wrapText="1" indent="2"/>
    </xf>
    <xf numFmtId="164" fontId="9" fillId="2" borderId="25" xfId="4" applyNumberFormat="1" applyFont="1" applyFill="1" applyBorder="1" applyAlignment="1" applyProtection="1">
      <alignment horizontal="center" vertical="top"/>
      <protection locked="0"/>
    </xf>
    <xf numFmtId="164" fontId="5" fillId="0" borderId="31" xfId="4" applyNumberFormat="1" applyFont="1" applyFill="1" applyBorder="1" applyAlignment="1">
      <alignment horizontal="right" vertical="top"/>
    </xf>
    <xf numFmtId="9" fontId="5" fillId="0" borderId="36" xfId="4" applyNumberFormat="1" applyFont="1" applyFill="1" applyBorder="1" applyAlignment="1">
      <alignment horizontal="center" vertical="top"/>
    </xf>
    <xf numFmtId="0" fontId="0" fillId="0" borderId="35" xfId="4" applyFont="1" applyFill="1" applyBorder="1" applyAlignment="1">
      <alignment horizontal="centerContinuous" vertical="center"/>
    </xf>
    <xf numFmtId="0" fontId="0" fillId="0" borderId="37" xfId="4" applyFont="1" applyFill="1" applyBorder="1" applyAlignment="1">
      <alignment horizontal="centerContinuous" vertical="center"/>
    </xf>
    <xf numFmtId="164" fontId="2" fillId="0" borderId="26" xfId="4" applyNumberFormat="1" applyFont="1" applyFill="1" applyBorder="1" applyAlignment="1" applyProtection="1">
      <alignment horizontal="right" vertical="top"/>
      <protection locked="0"/>
    </xf>
    <xf numFmtId="0" fontId="0" fillId="3" borderId="33" xfId="0" applyFill="1" applyBorder="1" applyAlignment="1">
      <alignment vertical="top"/>
    </xf>
    <xf numFmtId="9" fontId="0" fillId="0" borderId="38" xfId="0" applyNumberFormat="1" applyFill="1" applyBorder="1" applyAlignment="1">
      <alignment horizontal="center" vertical="top"/>
    </xf>
    <xf numFmtId="0" fontId="0" fillId="0" borderId="34" xfId="4" applyFont="1" applyFill="1" applyBorder="1" applyAlignment="1" applyProtection="1">
      <alignment horizontal="centerContinuous" vertical="center"/>
      <protection locked="0"/>
    </xf>
    <xf numFmtId="0" fontId="1" fillId="0" borderId="39" xfId="4" applyFont="1" applyFill="1" applyBorder="1" applyAlignment="1" applyProtection="1">
      <alignment horizontal="centerContinuous" vertical="center"/>
      <protection locked="0"/>
    </xf>
    <xf numFmtId="0" fontId="1" fillId="0" borderId="0" xfId="4" applyFont="1" applyFill="1" applyAlignment="1">
      <alignment horizontal="left" wrapText="1"/>
    </xf>
    <xf numFmtId="0" fontId="1" fillId="0" borderId="12" xfId="4" applyFont="1" applyFill="1" applyBorder="1" applyAlignment="1" applyProtection="1">
      <alignment horizontal="left" vertical="center" indent="2"/>
      <protection locked="0"/>
    </xf>
    <xf numFmtId="166" fontId="9" fillId="2" borderId="13" xfId="2" applyNumberFormat="1" applyFont="1" applyFill="1" applyBorder="1" applyAlignment="1" applyProtection="1">
      <alignment horizontal="right" vertical="center" wrapText="1"/>
      <protection locked="0"/>
    </xf>
    <xf numFmtId="167" fontId="1" fillId="0" borderId="14" xfId="4" applyNumberFormat="1" applyFont="1" applyFill="1" applyBorder="1" applyAlignment="1" applyProtection="1">
      <alignment horizontal="right" vertical="center"/>
      <protection locked="0"/>
    </xf>
    <xf numFmtId="9" fontId="1" fillId="0" borderId="40" xfId="4" applyNumberFormat="1" applyFont="1" applyFill="1" applyBorder="1" applyAlignment="1" applyProtection="1">
      <alignment horizontal="center" vertical="center"/>
      <protection locked="0"/>
    </xf>
    <xf numFmtId="0" fontId="0" fillId="0" borderId="12" xfId="4" applyFont="1" applyFill="1" applyBorder="1" applyAlignment="1" applyProtection="1">
      <alignment horizontal="centerContinuous" vertical="center"/>
      <protection locked="0"/>
    </xf>
    <xf numFmtId="0" fontId="0" fillId="0" borderId="16" xfId="4" applyFont="1" applyFill="1" applyBorder="1" applyAlignment="1" applyProtection="1">
      <alignment horizontal="centerContinuous" vertical="center"/>
      <protection locked="0"/>
    </xf>
    <xf numFmtId="0" fontId="1" fillId="0" borderId="40" xfId="4" applyFont="1" applyFill="1" applyBorder="1" applyAlignment="1">
      <alignment horizontal="left" wrapText="1"/>
    </xf>
    <xf numFmtId="0" fontId="5" fillId="0" borderId="0" xfId="4" applyFont="1" applyFill="1" applyAlignment="1">
      <alignment wrapText="1"/>
    </xf>
    <xf numFmtId="0" fontId="1" fillId="0" borderId="5" xfId="4" applyFont="1" applyFill="1" applyBorder="1" applyAlignment="1">
      <alignment vertical="center" wrapText="1"/>
    </xf>
    <xf numFmtId="0" fontId="5" fillId="0" borderId="4" xfId="4" applyFont="1" applyFill="1" applyBorder="1" applyAlignment="1">
      <alignment horizontal="left" vertical="center"/>
    </xf>
    <xf numFmtId="0" fontId="10" fillId="0" borderId="15" xfId="4" applyFont="1" applyFill="1" applyBorder="1" applyAlignment="1" applyProtection="1">
      <alignment horizontal="centerContinuous" vertical="center"/>
      <protection locked="0"/>
    </xf>
    <xf numFmtId="0" fontId="1" fillId="0" borderId="16" xfId="4" applyFont="1" applyFill="1" applyBorder="1" applyAlignment="1" applyProtection="1">
      <alignment horizontal="centerContinuous" vertical="center"/>
      <protection locked="0"/>
    </xf>
    <xf numFmtId="0" fontId="0" fillId="0" borderId="34" xfId="4" applyFont="1" applyFill="1" applyBorder="1" applyAlignment="1" applyProtection="1">
      <alignment horizontal="left" vertical="center" indent="2"/>
      <protection locked="0"/>
    </xf>
    <xf numFmtId="0" fontId="9" fillId="2" borderId="26" xfId="4" applyFont="1" applyFill="1" applyBorder="1" applyAlignment="1" applyProtection="1">
      <alignment horizontal="right" vertical="center" wrapText="1"/>
      <protection locked="0"/>
    </xf>
    <xf numFmtId="164" fontId="1" fillId="0" borderId="33" xfId="4" applyNumberFormat="1" applyFont="1" applyFill="1" applyBorder="1" applyAlignment="1" applyProtection="1">
      <alignment horizontal="right" vertical="center"/>
      <protection locked="0"/>
    </xf>
    <xf numFmtId="9" fontId="0" fillId="0" borderId="41" xfId="4" applyNumberFormat="1" applyFont="1" applyFill="1" applyBorder="1" applyAlignment="1" applyProtection="1">
      <alignment horizontal="center" vertical="center"/>
      <protection locked="0"/>
    </xf>
    <xf numFmtId="0" fontId="10" fillId="0" borderId="38" xfId="4" applyFont="1" applyFill="1" applyBorder="1" applyAlignment="1" applyProtection="1">
      <alignment horizontal="centerContinuous" vertical="center" shrinkToFit="1"/>
      <protection locked="0"/>
    </xf>
    <xf numFmtId="0" fontId="0" fillId="0" borderId="39" xfId="4" applyFont="1" applyFill="1" applyBorder="1" applyAlignment="1" applyProtection="1">
      <alignment horizontal="centerContinuous" vertical="center" shrinkToFit="1"/>
      <protection locked="0"/>
    </xf>
    <xf numFmtId="0" fontId="1" fillId="0" borderId="42" xfId="4" quotePrefix="1" applyFont="1" applyFill="1" applyBorder="1" applyAlignment="1">
      <alignment horizontal="left" wrapText="1"/>
    </xf>
    <xf numFmtId="0" fontId="0" fillId="0" borderId="4" xfId="4" applyFont="1" applyFill="1" applyBorder="1" applyAlignment="1">
      <alignment horizontal="left" vertical="center"/>
    </xf>
    <xf numFmtId="0" fontId="2" fillId="0" borderId="34" xfId="4" applyFont="1" applyFill="1" applyBorder="1" applyAlignment="1" applyProtection="1">
      <alignment vertical="center"/>
      <protection locked="0"/>
    </xf>
    <xf numFmtId="164" fontId="2" fillId="0" borderId="26" xfId="4" applyNumberFormat="1" applyFont="1" applyFill="1" applyBorder="1" applyAlignment="1" applyProtection="1">
      <alignment horizontal="right" vertical="center"/>
      <protection locked="0"/>
    </xf>
    <xf numFmtId="164" fontId="2" fillId="3" borderId="33" xfId="4" applyNumberFormat="1" applyFont="1" applyFill="1" applyBorder="1" applyAlignment="1" applyProtection="1">
      <alignment horizontal="center" vertical="center"/>
      <protection locked="0"/>
    </xf>
    <xf numFmtId="0" fontId="14" fillId="0" borderId="38" xfId="4" applyFont="1" applyFill="1" applyBorder="1" applyAlignment="1" applyProtection="1">
      <alignment horizontal="centerContinuous" vertical="center"/>
      <protection locked="0"/>
    </xf>
    <xf numFmtId="0" fontId="2" fillId="0" borderId="39" xfId="4" applyFont="1" applyFill="1" applyBorder="1" applyAlignment="1" applyProtection="1">
      <alignment horizontal="centerContinuous" vertical="center"/>
      <protection locked="0"/>
    </xf>
    <xf numFmtId="9" fontId="5" fillId="0" borderId="0" xfId="4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12" xfId="4" applyFont="1" applyFill="1" applyBorder="1" applyAlignment="1" applyProtection="1">
      <alignment horizontal="left" vertical="center" indent="2"/>
      <protection locked="0"/>
    </xf>
    <xf numFmtId="164" fontId="1" fillId="3" borderId="43" xfId="4" applyNumberFormat="1" applyFont="1" applyFill="1" applyBorder="1" applyAlignment="1" applyProtection="1">
      <alignment horizontal="right" vertical="center"/>
      <protection locked="0"/>
    </xf>
    <xf numFmtId="9" fontId="0" fillId="0" borderId="40" xfId="4" applyNumberFormat="1" applyFont="1" applyFill="1" applyBorder="1" applyAlignment="1" applyProtection="1">
      <alignment horizontal="center" vertical="center"/>
      <protection locked="0"/>
    </xf>
    <xf numFmtId="0" fontId="1" fillId="0" borderId="15" xfId="4" applyFont="1" applyFill="1" applyBorder="1" applyAlignment="1" applyProtection="1">
      <alignment horizontal="centerContinuous" vertical="center"/>
      <protection locked="0"/>
    </xf>
    <xf numFmtId="0" fontId="5" fillId="0" borderId="16" xfId="4" applyFont="1" applyFill="1" applyBorder="1" applyAlignment="1" applyProtection="1">
      <alignment horizontal="centerContinuous" vertical="center"/>
      <protection locked="0"/>
    </xf>
    <xf numFmtId="0" fontId="1" fillId="0" borderId="40" xfId="4" quotePrefix="1" applyFont="1" applyFill="1" applyBorder="1" applyAlignment="1">
      <alignment horizontal="left" wrapText="1"/>
    </xf>
    <xf numFmtId="0" fontId="0" fillId="0" borderId="21" xfId="4" applyFont="1" applyFill="1" applyBorder="1" applyAlignment="1" applyProtection="1">
      <alignment horizontal="left" vertical="center" indent="2"/>
      <protection locked="0"/>
    </xf>
    <xf numFmtId="166" fontId="9" fillId="2" borderId="18" xfId="2" applyNumberFormat="1" applyFont="1" applyFill="1" applyBorder="1" applyAlignment="1" applyProtection="1">
      <alignment horizontal="right" vertical="center" wrapText="1"/>
      <protection locked="0"/>
    </xf>
    <xf numFmtId="164" fontId="1" fillId="0" borderId="43" xfId="4" applyNumberFormat="1" applyFont="1" applyFill="1" applyBorder="1" applyAlignment="1" applyProtection="1">
      <alignment horizontal="right" vertical="center"/>
      <protection locked="0"/>
    </xf>
    <xf numFmtId="9" fontId="0" fillId="0" borderId="17" xfId="4" applyNumberFormat="1" applyFont="1" applyFill="1" applyBorder="1" applyAlignment="1" applyProtection="1">
      <alignment horizontal="center" vertical="center"/>
      <protection locked="0"/>
    </xf>
    <xf numFmtId="0" fontId="0" fillId="0" borderId="15" xfId="4" applyFont="1" applyFill="1" applyBorder="1" applyAlignment="1" applyProtection="1">
      <alignment horizontal="centerContinuous" vertical="center"/>
      <protection locked="0"/>
    </xf>
    <xf numFmtId="0" fontId="5" fillId="0" borderId="23" xfId="4" applyFont="1" applyFill="1" applyBorder="1" applyAlignment="1" applyProtection="1">
      <alignment horizontal="centerContinuous" vertical="center"/>
      <protection locked="0"/>
    </xf>
    <xf numFmtId="165" fontId="1" fillId="0" borderId="40" xfId="4" applyNumberFormat="1" applyFont="1" applyFill="1" applyBorder="1" applyAlignment="1" applyProtection="1">
      <alignment horizontal="center" vertical="center"/>
      <protection locked="0"/>
    </xf>
    <xf numFmtId="0" fontId="1" fillId="0" borderId="22" xfId="4" applyFont="1" applyFill="1" applyBorder="1" applyAlignment="1" applyProtection="1">
      <alignment horizontal="centerContinuous" vertical="center"/>
      <protection locked="0"/>
    </xf>
    <xf numFmtId="0" fontId="1" fillId="0" borderId="17" xfId="4" quotePrefix="1" applyFont="1" applyFill="1" applyBorder="1" applyAlignment="1">
      <alignment horizontal="left" wrapText="1"/>
    </xf>
    <xf numFmtId="0" fontId="0" fillId="0" borderId="4" xfId="4" applyFont="1" applyFill="1" applyBorder="1" applyAlignment="1" applyProtection="1">
      <alignment horizontal="left" vertical="center"/>
      <protection locked="0"/>
    </xf>
    <xf numFmtId="0" fontId="0" fillId="0" borderId="21" xfId="4" applyFont="1" applyFill="1" applyBorder="1" applyAlignment="1">
      <alignment horizontal="left" vertical="center" indent="2"/>
    </xf>
    <xf numFmtId="0" fontId="1" fillId="0" borderId="22" xfId="4" applyFont="1" applyFill="1" applyBorder="1" applyAlignment="1">
      <alignment horizontal="centerContinuous" vertical="center"/>
    </xf>
    <xf numFmtId="0" fontId="5" fillId="0" borderId="23" xfId="4" applyFont="1" applyFill="1" applyBorder="1" applyAlignment="1">
      <alignment horizontal="centerContinuous" vertical="center"/>
    </xf>
    <xf numFmtId="0" fontId="5" fillId="0" borderId="5" xfId="4" applyFont="1" applyFill="1" applyBorder="1" applyAlignment="1">
      <alignment vertical="center" wrapText="1"/>
    </xf>
    <xf numFmtId="164" fontId="1" fillId="0" borderId="44" xfId="4" applyNumberFormat="1" applyFont="1" applyFill="1" applyBorder="1" applyAlignment="1" applyProtection="1">
      <alignment horizontal="right" vertical="center"/>
      <protection locked="0"/>
    </xf>
    <xf numFmtId="44" fontId="1" fillId="0" borderId="5" xfId="2" applyFont="1" applyFill="1" applyBorder="1" applyAlignment="1">
      <alignment vertical="center" wrapText="1"/>
    </xf>
    <xf numFmtId="0" fontId="5" fillId="0" borderId="28" xfId="4" applyFont="1" applyFill="1" applyBorder="1" applyAlignment="1">
      <alignment vertical="center"/>
    </xf>
    <xf numFmtId="0" fontId="5" fillId="0" borderId="29" xfId="4" applyFont="1" applyFill="1" applyBorder="1" applyAlignment="1">
      <alignment horizontal="left" vertical="center"/>
    </xf>
    <xf numFmtId="164" fontId="1" fillId="3" borderId="44" xfId="4" applyNumberFormat="1" applyFont="1" applyFill="1" applyBorder="1" applyAlignment="1" applyProtection="1">
      <alignment horizontal="right" vertical="center"/>
      <protection locked="0"/>
    </xf>
    <xf numFmtId="0" fontId="0" fillId="0" borderId="35" xfId="4" applyFont="1" applyFill="1" applyBorder="1" applyAlignment="1">
      <alignment horizontal="left" vertical="center" indent="2"/>
    </xf>
    <xf numFmtId="166" fontId="9" fillId="2" borderId="25" xfId="2" applyNumberFormat="1" applyFont="1" applyFill="1" applyBorder="1" applyAlignment="1" applyProtection="1">
      <alignment horizontal="right" vertical="center" wrapText="1"/>
      <protection locked="0"/>
    </xf>
    <xf numFmtId="164" fontId="1" fillId="3" borderId="45" xfId="4" applyNumberFormat="1" applyFont="1" applyFill="1" applyBorder="1" applyAlignment="1" applyProtection="1">
      <alignment horizontal="right" vertical="center"/>
      <protection locked="0"/>
    </xf>
    <xf numFmtId="9" fontId="0" fillId="0" borderId="42" xfId="4" applyNumberFormat="1" applyFont="1" applyFill="1" applyBorder="1" applyAlignment="1" applyProtection="1">
      <alignment horizontal="center" vertical="center"/>
      <protection locked="0"/>
    </xf>
    <xf numFmtId="0" fontId="1" fillId="0" borderId="36" xfId="4" applyFont="1" applyFill="1" applyBorder="1" applyAlignment="1" applyProtection="1">
      <alignment horizontal="centerContinuous" vertical="center"/>
      <protection locked="0"/>
    </xf>
    <xf numFmtId="0" fontId="5" fillId="0" borderId="37" xfId="4" applyFont="1" applyFill="1" applyBorder="1" applyAlignment="1" applyProtection="1">
      <alignment horizontal="centerContinuous" vertical="center"/>
      <protection locked="0"/>
    </xf>
    <xf numFmtId="0" fontId="1" fillId="0" borderId="42" xfId="4" applyFont="1" applyFill="1" applyBorder="1" applyAlignment="1">
      <alignment horizontal="left" wrapText="1"/>
    </xf>
    <xf numFmtId="164" fontId="2" fillId="3" borderId="33" xfId="4" applyNumberFormat="1" applyFont="1" applyFill="1" applyBorder="1" applyAlignment="1" applyProtection="1">
      <alignment horizontal="right" vertical="center"/>
      <protection locked="0"/>
    </xf>
    <xf numFmtId="0" fontId="2" fillId="0" borderId="38" xfId="4" applyFont="1" applyFill="1" applyBorder="1" applyAlignment="1" applyProtection="1">
      <alignment horizontal="centerContinuous" vertical="center"/>
      <protection locked="0"/>
    </xf>
    <xf numFmtId="0" fontId="2" fillId="0" borderId="0" xfId="4" applyFont="1" applyFill="1" applyBorder="1" applyAlignment="1" applyProtection="1">
      <alignment vertical="center"/>
      <protection locked="0"/>
    </xf>
    <xf numFmtId="164" fontId="2" fillId="0" borderId="0" xfId="4" applyNumberFormat="1" applyFont="1" applyFill="1" applyBorder="1" applyAlignment="1" applyProtection="1">
      <alignment horizontal="right" vertical="center"/>
      <protection locked="0"/>
    </xf>
    <xf numFmtId="9" fontId="0" fillId="0" borderId="0" xfId="4" applyNumberFormat="1" applyFont="1" applyFill="1" applyBorder="1" applyAlignment="1" applyProtection="1">
      <alignment horizontal="center" vertical="center"/>
      <protection locked="0"/>
    </xf>
    <xf numFmtId="0" fontId="2" fillId="0" borderId="0" xfId="4" applyFont="1" applyFill="1" applyBorder="1" applyAlignment="1" applyProtection="1">
      <alignment horizontal="centerContinuous" vertical="center"/>
      <protection locked="0"/>
    </xf>
    <xf numFmtId="0" fontId="1" fillId="0" borderId="0" xfId="4" applyFont="1" applyFill="1" applyBorder="1" applyAlignment="1" applyProtection="1">
      <alignment horizontal="centerContinuous" vertical="center"/>
      <protection locked="0"/>
    </xf>
    <xf numFmtId="0" fontId="1" fillId="0" borderId="0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horizontal="left" vertical="center"/>
    </xf>
    <xf numFmtId="167" fontId="9" fillId="2" borderId="13" xfId="4" applyNumberFormat="1" applyFont="1" applyFill="1" applyBorder="1" applyAlignment="1" applyProtection="1">
      <alignment horizontal="right" vertical="center" wrapText="1"/>
      <protection locked="0"/>
    </xf>
    <xf numFmtId="0" fontId="9" fillId="2" borderId="18" xfId="4" applyFont="1" applyFill="1" applyBorder="1" applyAlignment="1" applyProtection="1">
      <alignment horizontal="right" vertical="center" wrapText="1"/>
      <protection locked="0"/>
    </xf>
    <xf numFmtId="9" fontId="5" fillId="0" borderId="0" xfId="4" applyNumberFormat="1" applyFont="1" applyFill="1" applyAlignment="1">
      <alignment wrapText="1"/>
    </xf>
    <xf numFmtId="0" fontId="9" fillId="2" borderId="13" xfId="4" applyFont="1" applyFill="1" applyBorder="1" applyAlignment="1" applyProtection="1">
      <alignment horizontal="right" vertical="center" wrapText="1"/>
      <protection locked="0"/>
    </xf>
    <xf numFmtId="0" fontId="0" fillId="0" borderId="35" xfId="4" applyFont="1" applyFill="1" applyBorder="1" applyAlignment="1" applyProtection="1">
      <alignment horizontal="left" vertical="center" indent="2"/>
      <protection locked="0"/>
    </xf>
    <xf numFmtId="0" fontId="9" fillId="2" borderId="25" xfId="4" applyFont="1" applyFill="1" applyBorder="1" applyAlignment="1" applyProtection="1">
      <alignment horizontal="right" vertical="center"/>
      <protection locked="0"/>
    </xf>
    <xf numFmtId="164" fontId="1" fillId="0" borderId="45" xfId="4" applyNumberFormat="1" applyFont="1" applyFill="1" applyBorder="1" applyAlignment="1" applyProtection="1">
      <alignment horizontal="right" vertical="center"/>
      <protection locked="0"/>
    </xf>
    <xf numFmtId="165" fontId="1" fillId="0" borderId="42" xfId="4" applyNumberFormat="1" applyFont="1" applyFill="1" applyBorder="1" applyAlignment="1" applyProtection="1">
      <alignment horizontal="center" vertical="center"/>
      <protection locked="0"/>
    </xf>
    <xf numFmtId="0" fontId="0" fillId="0" borderId="9" xfId="4" applyFont="1" applyFill="1" applyBorder="1" applyAlignment="1" applyProtection="1">
      <alignment vertical="center"/>
      <protection locked="0"/>
    </xf>
    <xf numFmtId="0" fontId="9" fillId="0" borderId="46" xfId="4" applyFont="1" applyFill="1" applyBorder="1" applyAlignment="1" applyProtection="1">
      <alignment horizontal="right" vertical="center" wrapText="1"/>
      <protection locked="0"/>
    </xf>
    <xf numFmtId="0" fontId="1" fillId="2" borderId="47" xfId="4" applyNumberFormat="1" applyFont="1" applyFill="1" applyBorder="1" applyAlignment="1" applyProtection="1">
      <alignment horizontal="center" vertical="center"/>
      <protection locked="0"/>
    </xf>
    <xf numFmtId="9" fontId="0" fillId="0" borderId="48" xfId="4" applyNumberFormat="1" applyFont="1" applyFill="1" applyBorder="1" applyAlignment="1" applyProtection="1">
      <alignment horizontal="center" vertical="center"/>
      <protection locked="0"/>
    </xf>
    <xf numFmtId="0" fontId="5" fillId="0" borderId="10" xfId="4" applyFont="1" applyFill="1" applyBorder="1" applyAlignment="1" applyProtection="1">
      <alignment horizontal="centerContinuous" vertical="center"/>
      <protection locked="0"/>
    </xf>
    <xf numFmtId="0" fontId="5" fillId="0" borderId="11" xfId="4" applyFont="1" applyFill="1" applyBorder="1" applyAlignment="1" applyProtection="1">
      <alignment horizontal="centerContinuous" vertical="center"/>
      <protection locked="0"/>
    </xf>
    <xf numFmtId="0" fontId="1" fillId="0" borderId="48" xfId="4" quotePrefix="1" applyFont="1" applyFill="1" applyBorder="1" applyAlignment="1">
      <alignment horizontal="left" wrapText="1"/>
    </xf>
    <xf numFmtId="0" fontId="5" fillId="0" borderId="5" xfId="4" applyFont="1" applyFill="1" applyBorder="1"/>
    <xf numFmtId="0" fontId="1" fillId="0" borderId="6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/>
    </xf>
    <xf numFmtId="0" fontId="0" fillId="0" borderId="6" xfId="0" applyFill="1" applyBorder="1"/>
    <xf numFmtId="0" fontId="1" fillId="0" borderId="21" xfId="4" applyFont="1" applyFill="1" applyBorder="1" applyAlignment="1" applyProtection="1">
      <alignment vertical="center"/>
      <protection locked="0"/>
    </xf>
    <xf numFmtId="10" fontId="9" fillId="2" borderId="18" xfId="3" applyNumberFormat="1" applyFont="1" applyFill="1" applyBorder="1" applyAlignment="1" applyProtection="1">
      <alignment horizontal="right" vertical="center" wrapText="1"/>
      <protection locked="0"/>
    </xf>
    <xf numFmtId="10" fontId="1" fillId="0" borderId="20" xfId="4" applyNumberFormat="1" applyFont="1" applyFill="1" applyBorder="1" applyAlignment="1" applyProtection="1">
      <alignment horizontal="center" vertical="center"/>
      <protection locked="0"/>
    </xf>
    <xf numFmtId="0" fontId="5" fillId="0" borderId="22" xfId="4" applyFont="1" applyFill="1" applyBorder="1" applyAlignment="1" applyProtection="1">
      <alignment horizontal="centerContinuous" vertical="center"/>
      <protection locked="0"/>
    </xf>
    <xf numFmtId="0" fontId="0" fillId="0" borderId="35" xfId="4" applyFont="1" applyFill="1" applyBorder="1" applyAlignment="1" applyProtection="1">
      <alignment vertical="center"/>
      <protection locked="0"/>
    </xf>
    <xf numFmtId="168" fontId="1" fillId="0" borderId="25" xfId="4" applyNumberFormat="1" applyFont="1" applyFill="1" applyBorder="1" applyAlignment="1" applyProtection="1">
      <alignment horizontal="right" vertical="center"/>
      <protection locked="0"/>
    </xf>
    <xf numFmtId="164" fontId="2" fillId="3" borderId="31" xfId="4" applyNumberFormat="1" applyFont="1" applyFill="1" applyBorder="1" applyAlignment="1">
      <alignment horizontal="right" vertical="center"/>
    </xf>
    <xf numFmtId="9" fontId="2" fillId="0" borderId="42" xfId="4" applyNumberFormat="1" applyFont="1" applyFill="1" applyBorder="1" applyAlignment="1">
      <alignment horizontal="center" vertical="center"/>
    </xf>
    <xf numFmtId="0" fontId="5" fillId="0" borderId="36" xfId="4" applyFont="1" applyFill="1" applyBorder="1" applyAlignment="1" applyProtection="1">
      <alignment horizontal="centerContinuous" vertical="center"/>
      <protection locked="0"/>
    </xf>
    <xf numFmtId="0" fontId="5" fillId="0" borderId="6" xfId="4" applyFont="1" applyFill="1" applyBorder="1" applyAlignment="1">
      <alignment horizontal="center"/>
    </xf>
    <xf numFmtId="0" fontId="5" fillId="0" borderId="6" xfId="4" applyFont="1" applyFill="1" applyBorder="1"/>
    <xf numFmtId="0" fontId="5" fillId="0" borderId="4" xfId="4" applyFont="1" applyFill="1" applyBorder="1" applyAlignment="1">
      <alignment horizontal="left"/>
    </xf>
    <xf numFmtId="0" fontId="2" fillId="0" borderId="3" xfId="4" applyFont="1" applyFill="1" applyBorder="1" applyAlignment="1" applyProtection="1">
      <alignment vertical="center"/>
      <protection locked="0"/>
    </xf>
    <xf numFmtId="164" fontId="2" fillId="0" borderId="5" xfId="4" applyNumberFormat="1" applyFont="1" applyFill="1" applyBorder="1" applyAlignment="1" applyProtection="1">
      <alignment horizontal="right" vertical="center"/>
      <protection locked="0"/>
    </xf>
    <xf numFmtId="164" fontId="2" fillId="3" borderId="4" xfId="4" applyNumberFormat="1" applyFont="1" applyFill="1" applyBorder="1" applyAlignment="1">
      <alignment horizontal="right" vertical="center"/>
    </xf>
    <xf numFmtId="0" fontId="2" fillId="0" borderId="7" xfId="4" applyFont="1" applyFill="1" applyBorder="1" applyAlignment="1" applyProtection="1">
      <alignment horizontal="centerContinuous" vertical="center"/>
      <protection locked="0"/>
    </xf>
    <xf numFmtId="0" fontId="1" fillId="0" borderId="8" xfId="4" applyFont="1" applyFill="1" applyBorder="1" applyAlignment="1" applyProtection="1">
      <alignment horizontal="centerContinuous" vertical="center"/>
      <protection locked="0"/>
    </xf>
    <xf numFmtId="9" fontId="0" fillId="0" borderId="0" xfId="0" applyNumberFormat="1" applyFill="1" applyAlignment="1">
      <alignment horizontal="center"/>
    </xf>
    <xf numFmtId="9" fontId="2" fillId="0" borderId="2" xfId="4" applyNumberFormat="1" applyFont="1" applyFill="1" applyBorder="1" applyAlignment="1">
      <alignment horizontal="center" vertical="center"/>
    </xf>
    <xf numFmtId="164" fontId="2" fillId="0" borderId="7" xfId="4" applyNumberFormat="1" applyFont="1" applyFill="1" applyBorder="1" applyAlignment="1" applyProtection="1">
      <alignment horizontal="centerContinuous" vertical="center"/>
      <protection locked="0"/>
    </xf>
    <xf numFmtId="164" fontId="1" fillId="0" borderId="8" xfId="4" applyNumberFormat="1" applyFont="1" applyFill="1" applyBorder="1" applyAlignment="1" applyProtection="1">
      <alignment horizontal="centerContinuous" vertical="center"/>
      <protection locked="0"/>
    </xf>
    <xf numFmtId="164" fontId="7" fillId="0" borderId="6" xfId="4" applyNumberFormat="1" applyFont="1" applyFill="1" applyBorder="1" applyAlignment="1">
      <alignment horizontal="center" vertical="center"/>
    </xf>
    <xf numFmtId="0" fontId="1" fillId="0" borderId="0" xfId="4" applyFont="1" applyFill="1" applyAlignment="1" applyProtection="1">
      <alignment vertical="center"/>
      <protection locked="0"/>
    </xf>
    <xf numFmtId="164" fontId="1" fillId="0" borderId="0" xfId="4" applyNumberFormat="1" applyFont="1" applyFill="1" applyAlignment="1" applyProtection="1">
      <alignment horizontal="center" vertical="center"/>
      <protection locked="0"/>
    </xf>
    <xf numFmtId="0" fontId="5" fillId="0" borderId="0" xfId="4" applyFont="1" applyFill="1" applyAlignment="1">
      <alignment vertical="center" wrapText="1"/>
    </xf>
    <xf numFmtId="0" fontId="1" fillId="0" borderId="0" xfId="4" applyFont="1" applyFill="1" applyAlignment="1" applyProtection="1">
      <alignment horizontal="center" vertical="center"/>
      <protection locked="0"/>
    </xf>
    <xf numFmtId="0" fontId="1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vertical="center"/>
    </xf>
    <xf numFmtId="0" fontId="2" fillId="0" borderId="1" xfId="4" applyFont="1" applyFill="1" applyBorder="1" applyAlignment="1">
      <alignment horizontal="center"/>
    </xf>
    <xf numFmtId="2" fontId="1" fillId="0" borderId="0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Fill="1" applyBorder="1" applyAlignment="1" applyProtection="1">
      <alignment horizontal="center" vertical="center"/>
      <protection locked="0"/>
    </xf>
    <xf numFmtId="0" fontId="2" fillId="0" borderId="0" xfId="4" applyFont="1" applyFill="1" applyAlignment="1">
      <alignment horizontal="center" wrapText="1"/>
    </xf>
    <xf numFmtId="0" fontId="5" fillId="0" borderId="0" xfId="4" applyFont="1" applyFill="1" applyBorder="1"/>
    <xf numFmtId="0" fontId="0" fillId="0" borderId="48" xfId="4" applyFont="1" applyFill="1" applyBorder="1" applyAlignment="1">
      <alignment vertical="center"/>
    </xf>
    <xf numFmtId="4" fontId="1" fillId="0" borderId="48" xfId="4" applyNumberFormat="1" applyFont="1" applyFill="1" applyBorder="1" applyAlignment="1">
      <alignment horizontal="center" vertical="center"/>
    </xf>
    <xf numFmtId="0" fontId="1" fillId="0" borderId="49" xfId="4" applyFont="1" applyFill="1" applyBorder="1" applyAlignment="1">
      <alignment horizontal="left" wrapText="1"/>
    </xf>
    <xf numFmtId="0" fontId="1" fillId="0" borderId="0" xfId="4" applyFont="1" applyFill="1" applyAlignment="1" applyProtection="1">
      <alignment horizontal="left" vertical="center"/>
      <protection locked="0"/>
    </xf>
    <xf numFmtId="0" fontId="0" fillId="0" borderId="41" xfId="4" applyFont="1" applyFill="1" applyBorder="1" applyAlignment="1" applyProtection="1">
      <alignment vertical="center"/>
      <protection locked="0"/>
    </xf>
    <xf numFmtId="4" fontId="1" fillId="0" borderId="41" xfId="4" applyNumberFormat="1" applyFont="1" applyFill="1" applyBorder="1" applyAlignment="1" applyProtection="1">
      <alignment horizontal="center" vertical="center"/>
      <protection locked="0"/>
    </xf>
    <xf numFmtId="0" fontId="0" fillId="0" borderId="0" xfId="4" applyFont="1" applyFill="1" applyAlignment="1" applyProtection="1">
      <alignment vertical="center"/>
      <protection locked="0"/>
    </xf>
    <xf numFmtId="4" fontId="1" fillId="0" borderId="0" xfId="4" applyNumberFormat="1" applyFont="1" applyFill="1" applyAlignment="1" applyProtection="1">
      <alignment horizontal="center" vertical="center"/>
      <protection locked="0"/>
    </xf>
    <xf numFmtId="0" fontId="1" fillId="0" borderId="9" xfId="4" applyFont="1" applyFill="1" applyBorder="1" applyAlignment="1" applyProtection="1">
      <alignment vertical="center"/>
      <protection locked="0"/>
    </xf>
    <xf numFmtId="164" fontId="1" fillId="0" borderId="48" xfId="4" applyNumberFormat="1" applyFont="1" applyFill="1" applyBorder="1" applyAlignment="1" applyProtection="1">
      <alignment horizontal="right" vertical="center"/>
      <protection locked="0"/>
    </xf>
    <xf numFmtId="0" fontId="2" fillId="0" borderId="35" xfId="4" applyFont="1" applyFill="1" applyBorder="1" applyAlignment="1" applyProtection="1">
      <alignment vertical="center"/>
      <protection locked="0"/>
    </xf>
    <xf numFmtId="164" fontId="2" fillId="0" borderId="42" xfId="4" applyNumberFormat="1" applyFont="1" applyFill="1" applyBorder="1" applyAlignment="1" applyProtection="1">
      <alignment horizontal="right" vertical="center"/>
      <protection locked="0"/>
    </xf>
    <xf numFmtId="0" fontId="2" fillId="0" borderId="0" xfId="4" applyFont="1" applyFill="1" applyBorder="1" applyAlignment="1">
      <alignment horizontal="center" vertical="center"/>
    </xf>
    <xf numFmtId="0" fontId="0" fillId="0" borderId="34" xfId="4" applyFont="1" applyFill="1" applyBorder="1" applyAlignment="1">
      <alignment horizontal="left" vertical="center"/>
    </xf>
    <xf numFmtId="164" fontId="15" fillId="0" borderId="41" xfId="4" applyNumberFormat="1" applyFont="1" applyFill="1" applyBorder="1" applyAlignment="1" applyProtection="1">
      <alignment horizontal="right" vertical="center"/>
      <protection locked="0"/>
    </xf>
    <xf numFmtId="0" fontId="1" fillId="0" borderId="0" xfId="4" applyFont="1" applyFill="1" applyBorder="1" applyAlignment="1">
      <alignment horizontal="left" vertical="center"/>
    </xf>
    <xf numFmtId="164" fontId="1" fillId="0" borderId="0" xfId="4" applyNumberFormat="1" applyFont="1" applyFill="1" applyBorder="1" applyAlignment="1" applyProtection="1">
      <alignment horizontal="right" vertical="center"/>
      <protection locked="0"/>
    </xf>
    <xf numFmtId="0" fontId="2" fillId="0" borderId="50" xfId="4" applyFont="1" applyFill="1" applyBorder="1" applyAlignment="1" applyProtection="1">
      <alignment vertical="center"/>
      <protection locked="0"/>
    </xf>
    <xf numFmtId="0" fontId="1" fillId="0" borderId="51" xfId="4" applyFont="1" applyFill="1" applyBorder="1" applyAlignment="1" applyProtection="1">
      <alignment horizontal="center" vertical="center"/>
      <protection locked="0"/>
    </xf>
    <xf numFmtId="166" fontId="1" fillId="0" borderId="51" xfId="5" applyNumberFormat="1" applyFont="1" applyFill="1" applyBorder="1" applyAlignment="1">
      <alignment vertical="center"/>
    </xf>
    <xf numFmtId="164" fontId="1" fillId="0" borderId="51" xfId="4" applyNumberFormat="1" applyFont="1" applyFill="1" applyBorder="1" applyAlignment="1" applyProtection="1">
      <alignment horizontal="center" vertical="center"/>
      <protection locked="0"/>
    </xf>
    <xf numFmtId="0" fontId="1" fillId="0" borderId="52" xfId="4" applyFont="1" applyFill="1" applyBorder="1" applyAlignment="1" applyProtection="1">
      <alignment horizontal="center" vertical="center"/>
      <protection locked="0"/>
    </xf>
    <xf numFmtId="0" fontId="1" fillId="0" borderId="53" xfId="4" applyFont="1" applyFill="1" applyBorder="1" applyAlignment="1" applyProtection="1">
      <alignment vertical="center"/>
      <protection locked="0"/>
    </xf>
    <xf numFmtId="0" fontId="1" fillId="0" borderId="54" xfId="4" applyFont="1" applyFill="1" applyBorder="1" applyAlignment="1" applyProtection="1">
      <alignment horizontal="center" vertical="center"/>
      <protection locked="0"/>
    </xf>
    <xf numFmtId="164" fontId="1" fillId="0" borderId="54" xfId="4" applyNumberFormat="1" applyFont="1" applyFill="1" applyBorder="1" applyAlignment="1" applyProtection="1">
      <alignment horizontal="center" vertical="center"/>
      <protection locked="0"/>
    </xf>
    <xf numFmtId="0" fontId="1" fillId="0" borderId="55" xfId="4" applyFont="1" applyFill="1" applyBorder="1" applyAlignment="1" applyProtection="1">
      <alignment horizontal="center" vertical="center"/>
      <protection locked="0"/>
    </xf>
    <xf numFmtId="0" fontId="1" fillId="0" borderId="1" xfId="4" applyFont="1" applyFill="1" applyBorder="1" applyAlignment="1">
      <alignment horizontal="center"/>
    </xf>
    <xf numFmtId="0" fontId="7" fillId="0" borderId="38" xfId="4" applyFont="1" applyFill="1" applyBorder="1"/>
    <xf numFmtId="0" fontId="5" fillId="0" borderId="38" xfId="4" applyFont="1" applyFill="1" applyBorder="1" applyAlignment="1">
      <alignment horizontal="center"/>
    </xf>
    <xf numFmtId="0" fontId="1" fillId="0" borderId="38" xfId="4" applyFont="1" applyFill="1" applyBorder="1" applyAlignment="1">
      <alignment horizontal="center"/>
    </xf>
    <xf numFmtId="0" fontId="7" fillId="0" borderId="56" xfId="4" applyFont="1" applyFill="1" applyBorder="1" applyAlignment="1">
      <alignment horizontal="center"/>
    </xf>
    <xf numFmtId="0" fontId="7" fillId="0" borderId="0" xfId="4" applyFont="1" applyFill="1" applyBorder="1"/>
    <xf numFmtId="0" fontId="5" fillId="0" borderId="0" xfId="4" applyFont="1" applyFill="1" applyBorder="1" applyAlignment="1">
      <alignment horizontal="center"/>
    </xf>
    <xf numFmtId="0" fontId="7" fillId="0" borderId="4" xfId="4" applyFont="1" applyFill="1" applyBorder="1" applyAlignment="1">
      <alignment horizontal="left"/>
    </xf>
    <xf numFmtId="2" fontId="9" fillId="2" borderId="49" xfId="4" applyNumberFormat="1" applyFont="1" applyFill="1" applyBorder="1" applyAlignment="1" applyProtection="1">
      <alignment horizontal="center"/>
      <protection locked="0"/>
    </xf>
    <xf numFmtId="0" fontId="5" fillId="0" borderId="0" xfId="4" applyFont="1" applyFill="1" applyAlignment="1">
      <alignment horizontal="left"/>
    </xf>
    <xf numFmtId="0" fontId="0" fillId="2" borderId="49" xfId="4" applyFont="1" applyFill="1" applyBorder="1" applyAlignment="1">
      <alignment horizontal="left" wrapText="1"/>
    </xf>
    <xf numFmtId="0" fontId="0" fillId="3" borderId="5" xfId="0" applyFill="1" applyBorder="1"/>
    <xf numFmtId="0" fontId="5" fillId="0" borderId="56" xfId="4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/>
    </xf>
    <xf numFmtId="0" fontId="9" fillId="2" borderId="49" xfId="4" applyFont="1" applyFill="1" applyBorder="1" applyAlignment="1" applyProtection="1">
      <alignment horizontal="center"/>
      <protection locked="0"/>
    </xf>
    <xf numFmtId="0" fontId="1" fillId="2" borderId="49" xfId="4" applyFont="1" applyFill="1" applyBorder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169" fontId="5" fillId="0" borderId="5" xfId="4" applyNumberFormat="1" applyFont="1" applyFill="1" applyBorder="1" applyAlignment="1">
      <alignment horizontal="center"/>
    </xf>
    <xf numFmtId="169" fontId="5" fillId="0" borderId="6" xfId="4" applyNumberFormat="1" applyFont="1" applyFill="1" applyBorder="1" applyAlignment="1">
      <alignment horizontal="center"/>
    </xf>
    <xf numFmtId="0" fontId="5" fillId="0" borderId="0" xfId="4" applyFont="1" applyFill="1" applyAlignment="1">
      <alignment horizontal="right"/>
    </xf>
    <xf numFmtId="0" fontId="5" fillId="3" borderId="6" xfId="4" applyFont="1" applyFill="1" applyBorder="1" applyAlignment="1">
      <alignment horizontal="center"/>
    </xf>
    <xf numFmtId="0" fontId="5" fillId="3" borderId="56" xfId="4" applyFont="1" applyFill="1" applyBorder="1" applyAlignment="1">
      <alignment horizontal="center"/>
    </xf>
    <xf numFmtId="0" fontId="12" fillId="2" borderId="49" xfId="4" applyFont="1" applyFill="1" applyBorder="1" applyAlignment="1" applyProtection="1">
      <alignment horizontal="center"/>
    </xf>
    <xf numFmtId="0" fontId="0" fillId="4" borderId="49" xfId="4" applyFont="1" applyFill="1" applyBorder="1" applyAlignment="1">
      <alignment horizontal="left" wrapText="1"/>
    </xf>
    <xf numFmtId="0" fontId="1" fillId="2" borderId="49" xfId="4" applyFont="1" applyFill="1" applyBorder="1" applyAlignment="1">
      <alignment horizontal="center" wrapText="1"/>
    </xf>
    <xf numFmtId="0" fontId="0" fillId="0" borderId="5" xfId="0" applyBorder="1"/>
    <xf numFmtId="0" fontId="0" fillId="0" borderId="0" xfId="0" applyFill="1" applyAlignment="1">
      <alignment horizontal="center"/>
    </xf>
    <xf numFmtId="2" fontId="1" fillId="0" borderId="5" xfId="4" applyNumberFormat="1" applyFont="1" applyFill="1" applyBorder="1" applyAlignment="1" applyProtection="1">
      <alignment horizontal="center" vertical="center"/>
      <protection locked="0"/>
    </xf>
    <xf numFmtId="170" fontId="2" fillId="0" borderId="6" xfId="4" applyNumberFormat="1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>
      <alignment horizontal="center"/>
    </xf>
    <xf numFmtId="0" fontId="9" fillId="0" borderId="49" xfId="4" applyFont="1" applyFill="1" applyBorder="1" applyAlignment="1" applyProtection="1">
      <alignment horizontal="center"/>
      <protection locked="0"/>
    </xf>
    <xf numFmtId="0" fontId="0" fillId="0" borderId="7" xfId="0" applyFill="1" applyBorder="1"/>
    <xf numFmtId="2" fontId="1" fillId="0" borderId="7" xfId="4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2" fontId="1" fillId="0" borderId="6" xfId="4" applyNumberFormat="1" applyFont="1" applyFill="1" applyBorder="1" applyAlignment="1" applyProtection="1">
      <alignment horizontal="center" vertical="center"/>
      <protection locked="0"/>
    </xf>
    <xf numFmtId="170" fontId="9" fillId="0" borderId="49" xfId="4" applyNumberFormat="1" applyFont="1" applyFill="1" applyBorder="1" applyAlignment="1" applyProtection="1">
      <alignment horizontal="center"/>
      <protection locked="0"/>
    </xf>
    <xf numFmtId="166" fontId="5" fillId="0" borderId="0" xfId="2" applyNumberFormat="1" applyFont="1" applyFill="1" applyAlignment="1">
      <alignment horizontal="left"/>
    </xf>
    <xf numFmtId="171" fontId="5" fillId="0" borderId="0" xfId="4" applyNumberFormat="1" applyFont="1" applyFill="1" applyBorder="1" applyAlignment="1">
      <alignment horizontal="center"/>
    </xf>
    <xf numFmtId="0" fontId="9" fillId="0" borderId="57" xfId="4" applyFont="1" applyFill="1" applyBorder="1" applyAlignment="1" applyProtection="1">
      <alignment horizontal="center"/>
      <protection locked="0"/>
    </xf>
    <xf numFmtId="0" fontId="5" fillId="0" borderId="0" xfId="4" applyFont="1" applyFill="1" applyBorder="1" applyAlignment="1">
      <alignment horizontal="left"/>
    </xf>
    <xf numFmtId="171" fontId="5" fillId="0" borderId="6" xfId="4" applyNumberFormat="1" applyFont="1" applyFill="1" applyBorder="1" applyAlignment="1">
      <alignment horizontal="center"/>
    </xf>
    <xf numFmtId="0" fontId="1" fillId="4" borderId="0" xfId="4" applyFont="1" applyFill="1" applyAlignment="1">
      <alignment horizontal="center" wrapText="1"/>
    </xf>
    <xf numFmtId="0" fontId="1" fillId="4" borderId="38" xfId="4" applyFont="1" applyFill="1" applyBorder="1" applyAlignment="1">
      <alignment horizontal="center"/>
    </xf>
    <xf numFmtId="0" fontId="2" fillId="4" borderId="0" xfId="4" applyFont="1" applyFill="1" applyAlignment="1">
      <alignment horizontal="center" wrapText="1"/>
    </xf>
    <xf numFmtId="167" fontId="9" fillId="2" borderId="49" xfId="4" applyNumberFormat="1" applyFont="1" applyFill="1" applyBorder="1" applyAlignment="1" applyProtection="1">
      <alignment horizontal="center"/>
      <protection locked="0"/>
    </xf>
    <xf numFmtId="0" fontId="1" fillId="4" borderId="49" xfId="4" applyFont="1" applyFill="1" applyBorder="1" applyAlignment="1">
      <alignment horizontal="left" wrapText="1"/>
    </xf>
    <xf numFmtId="165" fontId="9" fillId="2" borderId="49" xfId="3" applyNumberFormat="1" applyFont="1" applyFill="1" applyBorder="1" applyAlignment="1" applyProtection="1">
      <alignment horizontal="center"/>
      <protection locked="0"/>
    </xf>
    <xf numFmtId="165" fontId="1" fillId="0" borderId="5" xfId="4" applyNumberFormat="1" applyFont="1" applyFill="1" applyBorder="1" applyAlignment="1">
      <alignment horizontal="center" vertical="center"/>
    </xf>
    <xf numFmtId="165" fontId="1" fillId="0" borderId="6" xfId="3" applyNumberFormat="1" applyFont="1" applyFill="1" applyBorder="1" applyAlignment="1" applyProtection="1">
      <alignment horizontal="center" vertical="center"/>
      <protection locked="0"/>
    </xf>
    <xf numFmtId="0" fontId="0" fillId="0" borderId="56" xfId="4" applyFont="1" applyFill="1" applyBorder="1" applyAlignment="1">
      <alignment horizontal="center" vertical="center"/>
    </xf>
    <xf numFmtId="0" fontId="9" fillId="2" borderId="49" xfId="4" applyNumberFormat="1" applyFont="1" applyFill="1" applyBorder="1" applyAlignment="1" applyProtection="1">
      <alignment horizontal="center"/>
      <protection locked="0"/>
    </xf>
    <xf numFmtId="2" fontId="0" fillId="0" borderId="56" xfId="4" applyNumberFormat="1" applyFont="1" applyFill="1" applyBorder="1" applyAlignment="1" applyProtection="1">
      <alignment horizontal="center" vertical="center"/>
      <protection locked="0"/>
    </xf>
    <xf numFmtId="2" fontId="0" fillId="0" borderId="0" xfId="4" applyNumberFormat="1" applyFont="1" applyFill="1" applyBorder="1" applyAlignment="1" applyProtection="1">
      <alignment horizontal="center" vertical="center"/>
      <protection locked="0"/>
    </xf>
    <xf numFmtId="164" fontId="9" fillId="2" borderId="49" xfId="4" applyNumberFormat="1" applyFont="1" applyFill="1" applyBorder="1" applyAlignment="1" applyProtection="1">
      <alignment horizontal="center"/>
      <protection locked="0"/>
    </xf>
    <xf numFmtId="164" fontId="5" fillId="0" borderId="6" xfId="4" applyNumberFormat="1" applyFont="1" applyFill="1" applyBorder="1" applyAlignment="1">
      <alignment horizontal="center"/>
    </xf>
    <xf numFmtId="0" fontId="1" fillId="0" borderId="58" xfId="4" applyFont="1" applyFill="1" applyBorder="1" applyAlignment="1" applyProtection="1">
      <alignment vertical="center"/>
      <protection locked="0"/>
    </xf>
    <xf numFmtId="10" fontId="9" fillId="2" borderId="49" xfId="3" applyNumberFormat="1" applyFont="1" applyFill="1" applyBorder="1" applyAlignment="1" applyProtection="1">
      <alignment horizontal="center"/>
      <protection locked="0"/>
    </xf>
    <xf numFmtId="10" fontId="5" fillId="0" borderId="6" xfId="3" applyNumberFormat="1" applyFont="1" applyFill="1" applyBorder="1" applyAlignment="1">
      <alignment horizontal="center"/>
    </xf>
    <xf numFmtId="0" fontId="0" fillId="0" borderId="0" xfId="4" applyFont="1" applyFill="1" applyBorder="1" applyAlignment="1" applyProtection="1">
      <alignment vertical="center"/>
      <protection locked="0"/>
    </xf>
    <xf numFmtId="5" fontId="5" fillId="0" borderId="49" xfId="2" applyNumberFormat="1" applyFont="1" applyFill="1" applyBorder="1" applyAlignment="1">
      <alignment horizontal="center"/>
    </xf>
    <xf numFmtId="164" fontId="0" fillId="0" borderId="5" xfId="0" applyNumberFormat="1" applyBorder="1"/>
    <xf numFmtId="0" fontId="0" fillId="0" borderId="6" xfId="0" applyBorder="1"/>
    <xf numFmtId="172" fontId="0" fillId="0" borderId="0" xfId="1" applyNumberFormat="1" applyFont="1" applyFill="1"/>
    <xf numFmtId="167" fontId="5" fillId="0" borderId="0" xfId="4" applyNumberFormat="1" applyFont="1" applyFill="1" applyAlignment="1">
      <alignment horizontal="center"/>
    </xf>
    <xf numFmtId="166" fontId="0" fillId="0" borderId="0" xfId="2" applyNumberFormat="1" applyFont="1"/>
    <xf numFmtId="0" fontId="5" fillId="0" borderId="0" xfId="4" applyFont="1" applyFill="1" applyBorder="1" applyAlignment="1">
      <alignment horizontal="right" vertical="center"/>
    </xf>
    <xf numFmtId="2" fontId="5" fillId="0" borderId="0" xfId="4" applyNumberFormat="1" applyFont="1" applyFill="1" applyBorder="1" applyAlignment="1">
      <alignment vertical="center"/>
    </xf>
    <xf numFmtId="0" fontId="5" fillId="0" borderId="0" xfId="4" quotePrefix="1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1" fillId="0" borderId="0" xfId="4" applyFont="1" applyFill="1" applyAlignment="1">
      <alignment horizontal="center" vertical="center" wrapText="1"/>
    </xf>
    <xf numFmtId="0" fontId="0" fillId="0" borderId="49" xfId="4" applyFont="1" applyFill="1" applyBorder="1" applyAlignment="1">
      <alignment horizontal="left" wrapText="1"/>
    </xf>
    <xf numFmtId="0" fontId="0" fillId="0" borderId="0" xfId="4" applyFont="1" applyFill="1" applyBorder="1" applyAlignment="1" applyProtection="1">
      <alignment horizontal="center" vertical="center"/>
      <protection locked="0"/>
    </xf>
    <xf numFmtId="0" fontId="0" fillId="0" borderId="17" xfId="4" applyFont="1" applyFill="1" applyBorder="1" applyAlignment="1" applyProtection="1">
      <alignment vertical="center"/>
      <protection locked="0"/>
    </xf>
    <xf numFmtId="4" fontId="1" fillId="0" borderId="40" xfId="4" applyNumberFormat="1" applyFont="1" applyFill="1" applyBorder="1" applyAlignment="1">
      <alignment horizontal="center" vertical="center"/>
    </xf>
    <xf numFmtId="164" fontId="1" fillId="0" borderId="48" xfId="4" applyNumberFormat="1" applyFont="1" applyFill="1" applyBorder="1" applyAlignment="1" applyProtection="1">
      <alignment horizontal="center" vertical="center"/>
      <protection locked="0"/>
    </xf>
    <xf numFmtId="164" fontId="2" fillId="0" borderId="42" xfId="4" applyNumberFormat="1" applyFont="1" applyFill="1" applyBorder="1" applyAlignment="1" applyProtection="1">
      <alignment horizontal="center" vertical="center"/>
      <protection locked="0"/>
    </xf>
    <xf numFmtId="1" fontId="9" fillId="2" borderId="49" xfId="4" applyNumberFormat="1" applyFont="1" applyFill="1" applyBorder="1" applyAlignment="1" applyProtection="1">
      <alignment horizontal="center"/>
      <protection locked="0"/>
    </xf>
    <xf numFmtId="0" fontId="0" fillId="0" borderId="17" xfId="4" quotePrefix="1" applyFont="1" applyFill="1" applyBorder="1" applyAlignment="1">
      <alignment horizontal="left" wrapText="1"/>
    </xf>
    <xf numFmtId="173" fontId="1" fillId="0" borderId="40" xfId="4" applyNumberFormat="1" applyFont="1" applyFill="1" applyBorder="1" applyAlignment="1">
      <alignment horizontal="center" vertical="center"/>
    </xf>
    <xf numFmtId="173" fontId="1" fillId="0" borderId="48" xfId="4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0" borderId="0" xfId="4" applyFont="1" applyFill="1" applyAlignment="1">
      <alignment horizontal="center"/>
    </xf>
  </cellXfs>
  <cellStyles count="6">
    <cellStyle name="Comma" xfId="1" builtinId="3"/>
    <cellStyle name="Currency" xfId="2" builtinId="4"/>
    <cellStyle name="Currency 2" xfId="5"/>
    <cellStyle name="Normal" xfId="0" builtinId="0"/>
    <cellStyle name="Normal 2" xfId="4"/>
    <cellStyle name="Percent" xfId="3" builtinId="5"/>
  </cellStyles>
  <dxfs count="51"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xonMobil\Alaska\GTP%20Incompleteness%20Response\Incompleteness%20Letter%20(June%202018)\Other%20Docs\USAG-EC-PCCAL-00-000131_BACT_Cost_RevB_chk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input_optimization"/>
      <sheetName val="Output Summary"/>
      <sheetName val="CO2 Compression -  SCR"/>
      <sheetName val="SCR Heater"/>
      <sheetName val="DLN, ULNB Turbine"/>
      <sheetName val="DLN, ULNB Heater"/>
      <sheetName val="TG Compression -  SCR"/>
      <sheetName val="PGen Compression -  SCR"/>
      <sheetName val="CO2 Compression -  CO Cat"/>
      <sheetName val="TG Compression -  CO Cat"/>
      <sheetName val="PGen Compression -  CO Cat"/>
      <sheetName val="SCR-Utility Heater, new"/>
      <sheetName val="CO Cat - Utility Heater"/>
      <sheetName val="Ox Cat Heater"/>
      <sheetName val="Generic"/>
      <sheetName val="ref 3, ref 7"/>
      <sheetName val="ref 11"/>
      <sheetName val="ref 13"/>
      <sheetName val="ref 14"/>
    </sheetNames>
    <sheetDataSet>
      <sheetData sheetId="0"/>
      <sheetData sheetId="1">
        <row r="5">
          <cell r="C5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 t="str">
            <v>SOx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showGridLines="0" tabSelected="1" topLeftCell="A62" zoomScaleNormal="100" zoomScaleSheetLayoutView="100" workbookViewId="0">
      <selection activeCell="A67" sqref="A67"/>
    </sheetView>
  </sheetViews>
  <sheetFormatPr defaultColWidth="9.109375" defaultRowHeight="14.4" x14ac:dyDescent="0.3"/>
  <cols>
    <col min="1" max="1" width="42" style="2" customWidth="1"/>
    <col min="2" max="2" width="17.109375" style="12" customWidth="1"/>
    <col min="3" max="3" width="14.5546875" style="12" customWidth="1"/>
    <col min="4" max="4" width="11.5546875" style="12" customWidth="1"/>
    <col min="5" max="5" width="12.44140625" style="12" customWidth="1"/>
    <col min="6" max="6" width="24.5546875" style="12" customWidth="1"/>
    <col min="7" max="7" width="48.6640625" style="3" customWidth="1"/>
    <col min="8" max="8" width="12.44140625" style="12" customWidth="1"/>
    <col min="9" max="9" width="12.44140625" style="2" hidden="1" customWidth="1"/>
    <col min="10" max="10" width="12.44140625" style="12" hidden="1" customWidth="1"/>
    <col min="11" max="11" width="17.44140625" style="12" hidden="1" customWidth="1"/>
    <col min="12" max="12" width="12.44140625" style="2" hidden="1" customWidth="1"/>
    <col min="13" max="13" width="30.33203125" style="2" hidden="1" customWidth="1"/>
    <col min="14" max="14" width="0" style="2" hidden="1" customWidth="1"/>
    <col min="15" max="16384" width="9.109375" style="2"/>
  </cols>
  <sheetData>
    <row r="1" spans="1:13" ht="18" x14ac:dyDescent="0.35">
      <c r="A1" s="371" t="s">
        <v>0</v>
      </c>
      <c r="B1" s="371"/>
      <c r="C1" s="371"/>
      <c r="D1" s="371"/>
      <c r="E1" s="371"/>
      <c r="F1" s="371"/>
      <c r="G1" s="371"/>
      <c r="H1" s="1"/>
      <c r="I1" s="1"/>
      <c r="J1" s="1"/>
      <c r="K1" s="1"/>
      <c r="L1" s="1"/>
      <c r="M1" s="1"/>
    </row>
    <row r="2" spans="1:13" ht="18" x14ac:dyDescent="0.35">
      <c r="A2" s="371" t="s">
        <v>200</v>
      </c>
      <c r="B2" s="371"/>
      <c r="C2" s="371"/>
      <c r="D2" s="371"/>
      <c r="E2" s="371"/>
      <c r="F2" s="371"/>
      <c r="G2" s="371"/>
      <c r="H2" s="1"/>
      <c r="I2" s="1"/>
      <c r="J2" s="1"/>
      <c r="K2" s="1"/>
      <c r="L2" s="1"/>
      <c r="M2" s="1"/>
    </row>
    <row r="3" spans="1:13" ht="18" x14ac:dyDescent="0.35">
      <c r="A3" s="371" t="s">
        <v>195</v>
      </c>
      <c r="B3" s="371"/>
      <c r="C3" s="371"/>
      <c r="D3" s="371"/>
      <c r="E3" s="371"/>
      <c r="F3" s="371"/>
      <c r="G3" s="371"/>
      <c r="H3" s="1"/>
      <c r="I3" s="1"/>
      <c r="J3" s="1"/>
      <c r="K3" s="1"/>
      <c r="L3" s="1"/>
      <c r="M3" s="1"/>
    </row>
    <row r="4" spans="1:13" customFormat="1" ht="8.25" customHeight="1" x14ac:dyDescent="0.3">
      <c r="G4" s="3"/>
      <c r="H4" s="4"/>
    </row>
    <row r="5" spans="1:13" customFormat="1" ht="18.600000000000001" thickBot="1" x14ac:dyDescent="0.4">
      <c r="A5" s="5" t="s">
        <v>1</v>
      </c>
      <c r="B5" s="6"/>
      <c r="C5" s="6"/>
      <c r="D5" s="6"/>
      <c r="E5" s="6"/>
      <c r="F5" s="6"/>
      <c r="G5" s="7"/>
      <c r="H5" s="4"/>
      <c r="M5" s="1"/>
    </row>
    <row r="6" spans="1:13" s="10" customFormat="1" ht="15" thickTop="1" x14ac:dyDescent="0.3">
      <c r="A6" s="2"/>
      <c r="B6" s="8"/>
      <c r="C6" s="9"/>
      <c r="E6" s="11"/>
      <c r="F6" s="11"/>
      <c r="G6" s="3"/>
      <c r="H6" s="12"/>
      <c r="M6" s="13"/>
    </row>
    <row r="7" spans="1:13" customFormat="1" ht="28.8" x14ac:dyDescent="0.3">
      <c r="A7" s="14" t="s">
        <v>2</v>
      </c>
      <c r="B7" s="15" t="s">
        <v>3</v>
      </c>
      <c r="C7" s="16" t="s">
        <v>4</v>
      </c>
      <c r="D7" s="17" t="s">
        <v>5</v>
      </c>
      <c r="E7" s="18" t="s">
        <v>6</v>
      </c>
      <c r="F7" s="19"/>
      <c r="G7" s="20" t="s">
        <v>7</v>
      </c>
      <c r="H7" s="12"/>
      <c r="I7" s="21" t="s">
        <v>8</v>
      </c>
      <c r="J7" s="22" t="s">
        <v>9</v>
      </c>
      <c r="K7" s="22" t="s">
        <v>10</v>
      </c>
      <c r="L7" s="22" t="s">
        <v>11</v>
      </c>
      <c r="M7" s="23" t="s">
        <v>12</v>
      </c>
    </row>
    <row r="8" spans="1:13" customFormat="1" x14ac:dyDescent="0.3">
      <c r="G8" s="3"/>
      <c r="H8" s="4"/>
      <c r="M8" s="24"/>
    </row>
    <row r="9" spans="1:13" customFormat="1" x14ac:dyDescent="0.3">
      <c r="A9" s="368" t="s">
        <v>13</v>
      </c>
      <c r="B9" s="369"/>
      <c r="C9" s="369"/>
      <c r="D9" s="369"/>
      <c r="E9" s="369"/>
      <c r="F9" s="369"/>
      <c r="G9" s="370"/>
      <c r="H9" s="12"/>
      <c r="M9" s="24"/>
    </row>
    <row r="10" spans="1:13" ht="18" x14ac:dyDescent="0.3">
      <c r="A10" s="25" t="s">
        <v>14</v>
      </c>
      <c r="B10" s="26"/>
      <c r="C10" s="26"/>
      <c r="D10" s="26"/>
      <c r="E10" s="26"/>
      <c r="F10" s="26"/>
      <c r="G10" s="27"/>
      <c r="I10" s="28"/>
      <c r="J10" s="29"/>
      <c r="K10" s="30"/>
      <c r="L10" s="31"/>
      <c r="M10" s="32"/>
    </row>
    <row r="11" spans="1:13" x14ac:dyDescent="0.3">
      <c r="A11" s="33" t="s">
        <v>15</v>
      </c>
      <c r="B11" s="34">
        <f>40*B123</f>
        <v>17160</v>
      </c>
      <c r="C11" s="35"/>
      <c r="D11" s="36" t="s">
        <v>16</v>
      </c>
      <c r="E11" s="37" t="s">
        <v>17</v>
      </c>
      <c r="F11" s="38"/>
      <c r="G11" s="56" t="s">
        <v>193</v>
      </c>
      <c r="I11" s="40"/>
      <c r="J11" s="41">
        <f>B11</f>
        <v>17160</v>
      </c>
      <c r="K11" s="42" t="s">
        <v>19</v>
      </c>
      <c r="L11" s="43" t="b">
        <f>IF(B11="","Req'd")</f>
        <v>0</v>
      </c>
      <c r="M11" s="44" t="s">
        <v>20</v>
      </c>
    </row>
    <row r="12" spans="1:13" x14ac:dyDescent="0.3">
      <c r="A12" s="45" t="s">
        <v>21</v>
      </c>
      <c r="B12" s="46"/>
      <c r="C12" s="47"/>
      <c r="D12" s="48" t="s">
        <v>16</v>
      </c>
      <c r="E12" s="49" t="s">
        <v>22</v>
      </c>
      <c r="F12" s="50"/>
      <c r="G12" s="56" t="s">
        <v>190</v>
      </c>
      <c r="I12" s="51"/>
      <c r="J12" s="52">
        <f>IF(ISNUMBER(B12),B12,C12)</f>
        <v>0</v>
      </c>
      <c r="K12" s="53" t="s">
        <v>19</v>
      </c>
      <c r="L12" s="43" t="str">
        <f>IF(B12="","Req'd")</f>
        <v>Req'd</v>
      </c>
      <c r="M12" s="44" t="s">
        <v>20</v>
      </c>
    </row>
    <row r="13" spans="1:13" x14ac:dyDescent="0.3">
      <c r="A13" s="54" t="s">
        <v>23</v>
      </c>
      <c r="B13" s="46"/>
      <c r="C13" s="55">
        <f>D13*B11</f>
        <v>1716</v>
      </c>
      <c r="D13" s="48">
        <v>0.1</v>
      </c>
      <c r="E13" s="49" t="str">
        <f>"C = "&amp;TEXT(D13,"0.00")&amp;" x A"</f>
        <v>C = 0.10 x A</v>
      </c>
      <c r="F13" s="50"/>
      <c r="G13" s="56"/>
      <c r="I13" s="40"/>
      <c r="J13" s="57">
        <f>IF(ISNUMBER(B13),B13,C13)</f>
        <v>1716</v>
      </c>
      <c r="K13" s="42" t="s">
        <v>19</v>
      </c>
      <c r="L13" s="43"/>
      <c r="M13" s="44"/>
    </row>
    <row r="14" spans="1:13" x14ac:dyDescent="0.3">
      <c r="A14" s="54" t="s">
        <v>24</v>
      </c>
      <c r="B14" s="46"/>
      <c r="C14" s="55">
        <f>D14*(B11+B12)</f>
        <v>858</v>
      </c>
      <c r="D14" s="48">
        <v>0.05</v>
      </c>
      <c r="E14" s="49" t="str">
        <f>"D = "&amp;TEXT(D14,"0.00")&amp;" x (A+B)"</f>
        <v>D = 0.05 x (A+B)</v>
      </c>
      <c r="F14" s="50"/>
      <c r="G14" s="56"/>
      <c r="I14" s="40"/>
      <c r="J14" s="57">
        <f>IF(ISNUMBER(B14),B14,C14)</f>
        <v>858</v>
      </c>
      <c r="K14" s="42" t="s">
        <v>19</v>
      </c>
      <c r="L14" s="43"/>
      <c r="M14" s="44"/>
    </row>
    <row r="15" spans="1:13" x14ac:dyDescent="0.3">
      <c r="A15" s="54" t="s">
        <v>25</v>
      </c>
      <c r="B15" s="58"/>
      <c r="C15" s="55">
        <f>D15*SUM(J11:J13)</f>
        <v>0</v>
      </c>
      <c r="D15" s="59">
        <v>0</v>
      </c>
      <c r="E15" s="49" t="s">
        <v>26</v>
      </c>
      <c r="F15" s="50"/>
      <c r="G15" s="39" t="s">
        <v>27</v>
      </c>
      <c r="I15" s="40"/>
      <c r="J15" s="57">
        <f>IF(ISNUMBER(B15),B15,C15)</f>
        <v>0</v>
      </c>
      <c r="K15" s="42" t="s">
        <v>19</v>
      </c>
      <c r="L15" s="43"/>
      <c r="M15" s="44"/>
    </row>
    <row r="16" spans="1:13" x14ac:dyDescent="0.3">
      <c r="A16" s="60" t="s">
        <v>28</v>
      </c>
      <c r="B16" s="61">
        <f>J16</f>
        <v>19734</v>
      </c>
      <c r="C16" s="62"/>
      <c r="D16" s="63" t="s">
        <v>16</v>
      </c>
      <c r="E16" s="64" t="s">
        <v>29</v>
      </c>
      <c r="F16" s="65"/>
      <c r="G16" s="66"/>
      <c r="I16" s="67"/>
      <c r="J16" s="68">
        <f>SUM(J11:J15)</f>
        <v>19734</v>
      </c>
      <c r="K16" s="69" t="s">
        <v>19</v>
      </c>
      <c r="L16" s="70"/>
      <c r="M16" s="71"/>
    </row>
    <row r="17" spans="1:13" x14ac:dyDescent="0.3">
      <c r="A17" s="25" t="s">
        <v>30</v>
      </c>
      <c r="B17" s="72"/>
      <c r="C17" s="73"/>
      <c r="D17" s="63"/>
      <c r="E17" s="74"/>
      <c r="F17" s="74"/>
      <c r="G17" s="75"/>
      <c r="I17" s="28"/>
      <c r="J17" s="29"/>
      <c r="K17" s="30"/>
      <c r="L17" s="31"/>
      <c r="M17" s="32"/>
    </row>
    <row r="18" spans="1:13" x14ac:dyDescent="0.3">
      <c r="A18" s="33" t="s">
        <v>31</v>
      </c>
      <c r="B18" s="34">
        <v>0</v>
      </c>
      <c r="C18" s="76">
        <f t="shared" ref="C18:C23" si="0">D18*$B$16</f>
        <v>1973.4</v>
      </c>
      <c r="D18" s="36">
        <v>0.1</v>
      </c>
      <c r="E18" s="77" t="str">
        <f t="shared" ref="E18:E23" si="1">TEXT(D18,"0.00")&amp;" x PE"</f>
        <v>0.10 x PE</v>
      </c>
      <c r="F18" s="38"/>
      <c r="G18" s="56" t="s">
        <v>191</v>
      </c>
      <c r="I18" s="40"/>
      <c r="J18" s="57">
        <f t="shared" ref="J18:J23" si="2">IF(ISNUMBER(B18),B18,C18)</f>
        <v>0</v>
      </c>
      <c r="K18" s="42" t="s">
        <v>19</v>
      </c>
      <c r="L18" s="43"/>
      <c r="M18" s="44"/>
    </row>
    <row r="19" spans="1:13" x14ac:dyDescent="0.3">
      <c r="A19" s="54" t="s">
        <v>32</v>
      </c>
      <c r="B19" s="46"/>
      <c r="C19" s="55">
        <f t="shared" si="0"/>
        <v>6906.9</v>
      </c>
      <c r="D19" s="48">
        <v>0.35</v>
      </c>
      <c r="E19" s="78" t="str">
        <f t="shared" si="1"/>
        <v>0.35 x PE</v>
      </c>
      <c r="F19" s="50"/>
      <c r="G19" s="56"/>
      <c r="I19" s="40"/>
      <c r="J19" s="57">
        <f t="shared" si="2"/>
        <v>6906.9</v>
      </c>
      <c r="K19" s="42" t="s">
        <v>19</v>
      </c>
      <c r="L19" s="43"/>
      <c r="M19" s="44"/>
    </row>
    <row r="20" spans="1:13" x14ac:dyDescent="0.3">
      <c r="A20" s="54" t="s">
        <v>33</v>
      </c>
      <c r="B20" s="46"/>
      <c r="C20" s="55">
        <f t="shared" si="0"/>
        <v>1184.04</v>
      </c>
      <c r="D20" s="48">
        <v>0.06</v>
      </c>
      <c r="E20" s="78" t="str">
        <f t="shared" si="1"/>
        <v>0.06 x PE</v>
      </c>
      <c r="F20" s="50"/>
      <c r="G20" s="56"/>
      <c r="I20" s="40"/>
      <c r="J20" s="57">
        <f>IF(ISNUMBER(B20),B20,C20)</f>
        <v>1184.04</v>
      </c>
      <c r="K20" s="42" t="s">
        <v>19</v>
      </c>
      <c r="L20" s="43"/>
      <c r="M20" s="44"/>
    </row>
    <row r="21" spans="1:13" x14ac:dyDescent="0.3">
      <c r="A21" s="54" t="s">
        <v>34</v>
      </c>
      <c r="B21" s="46"/>
      <c r="C21" s="55">
        <f t="shared" si="0"/>
        <v>1578.72</v>
      </c>
      <c r="D21" s="48">
        <v>0.08</v>
      </c>
      <c r="E21" s="78" t="str">
        <f t="shared" si="1"/>
        <v>0.08 x PE</v>
      </c>
      <c r="F21" s="50"/>
      <c r="G21" s="56"/>
      <c r="I21" s="40"/>
      <c r="J21" s="57">
        <f t="shared" si="2"/>
        <v>1578.72</v>
      </c>
      <c r="K21" s="42" t="s">
        <v>19</v>
      </c>
      <c r="L21" s="43"/>
      <c r="M21" s="44"/>
    </row>
    <row r="22" spans="1:13" x14ac:dyDescent="0.3">
      <c r="A22" s="54" t="s">
        <v>35</v>
      </c>
      <c r="B22" s="46"/>
      <c r="C22" s="55">
        <f t="shared" si="0"/>
        <v>394.68</v>
      </c>
      <c r="D22" s="48">
        <v>0.02</v>
      </c>
      <c r="E22" s="78" t="str">
        <f t="shared" si="1"/>
        <v>0.02 x PE</v>
      </c>
      <c r="F22" s="50"/>
      <c r="G22" s="56"/>
      <c r="I22" s="40"/>
      <c r="J22" s="57">
        <f t="shared" si="2"/>
        <v>394.68</v>
      </c>
      <c r="K22" s="42" t="s">
        <v>19</v>
      </c>
      <c r="L22" s="43"/>
      <c r="M22" s="44"/>
    </row>
    <row r="23" spans="1:13" x14ac:dyDescent="0.3">
      <c r="A23" s="54" t="s">
        <v>36</v>
      </c>
      <c r="B23" s="46">
        <v>0</v>
      </c>
      <c r="C23" s="55">
        <f t="shared" si="0"/>
        <v>789.36</v>
      </c>
      <c r="D23" s="48">
        <v>0.04</v>
      </c>
      <c r="E23" s="78" t="str">
        <f t="shared" si="1"/>
        <v>0.04 x PE</v>
      </c>
      <c r="F23" s="50"/>
      <c r="G23" s="56" t="s">
        <v>192</v>
      </c>
      <c r="I23" s="40"/>
      <c r="J23" s="57">
        <f t="shared" si="2"/>
        <v>0</v>
      </c>
      <c r="K23" s="42" t="s">
        <v>19</v>
      </c>
      <c r="L23" s="43"/>
      <c r="M23" s="44"/>
    </row>
    <row r="24" spans="1:13" x14ac:dyDescent="0.3">
      <c r="A24" s="54" t="s">
        <v>37</v>
      </c>
      <c r="B24" s="58">
        <f>D24*(B11+B12)</f>
        <v>1201.2</v>
      </c>
      <c r="C24" s="79"/>
      <c r="D24" s="80">
        <v>7.0000000000000007E-2</v>
      </c>
      <c r="E24" s="78" t="str">
        <f>D24&amp;" x (A+B)"</f>
        <v>0.07 x (A+B)</v>
      </c>
      <c r="F24" s="50"/>
      <c r="G24" s="56" t="s">
        <v>38</v>
      </c>
      <c r="I24" s="81"/>
      <c r="J24" s="82">
        <f>B24</f>
        <v>1201.2</v>
      </c>
      <c r="K24" s="83" t="s">
        <v>19</v>
      </c>
      <c r="L24" s="84" t="b">
        <f>IF(B24="","Req'd")</f>
        <v>0</v>
      </c>
      <c r="M24" s="85"/>
    </row>
    <row r="25" spans="1:13" x14ac:dyDescent="0.3">
      <c r="A25" s="86" t="s">
        <v>39</v>
      </c>
      <c r="B25" s="61">
        <f>J25</f>
        <v>11265.54</v>
      </c>
      <c r="C25" s="87"/>
      <c r="D25" s="63" t="s">
        <v>16</v>
      </c>
      <c r="E25" s="88" t="s">
        <v>40</v>
      </c>
      <c r="F25" s="89"/>
      <c r="G25" s="66"/>
      <c r="I25" s="90"/>
      <c r="J25" s="91">
        <f>SUM(J18:J24)</f>
        <v>11265.54</v>
      </c>
      <c r="K25" s="92" t="s">
        <v>19</v>
      </c>
      <c r="L25" s="93"/>
      <c r="M25" s="94"/>
    </row>
    <row r="26" spans="1:13" customFormat="1" x14ac:dyDescent="0.3">
      <c r="A26" s="95" t="s">
        <v>41</v>
      </c>
      <c r="B26" s="96">
        <f>SUM(B16,B25)</f>
        <v>30999.54</v>
      </c>
      <c r="C26" s="97"/>
      <c r="D26" s="98" t="s">
        <v>16</v>
      </c>
      <c r="E26" s="99" t="s">
        <v>42</v>
      </c>
      <c r="F26" s="100"/>
      <c r="G26" s="66"/>
      <c r="H26" s="2"/>
      <c r="I26" s="101"/>
      <c r="J26" s="102">
        <f>SUM(J16,J25)</f>
        <v>30999.54</v>
      </c>
      <c r="K26" s="103" t="s">
        <v>19</v>
      </c>
      <c r="L26" s="104"/>
      <c r="M26" s="105"/>
    </row>
    <row r="27" spans="1:13" x14ac:dyDescent="0.3">
      <c r="A27" s="106"/>
      <c r="B27" s="107"/>
      <c r="C27" s="108"/>
      <c r="D27" s="109"/>
      <c r="E27" s="110"/>
      <c r="F27" s="110"/>
      <c r="I27" s="111"/>
      <c r="J27" s="112"/>
      <c r="K27" s="113"/>
      <c r="L27" s="114"/>
      <c r="M27" s="115"/>
    </row>
    <row r="28" spans="1:13" customFormat="1" x14ac:dyDescent="0.3">
      <c r="A28" s="368" t="s">
        <v>43</v>
      </c>
      <c r="B28" s="369"/>
      <c r="C28" s="369"/>
      <c r="D28" s="369"/>
      <c r="E28" s="369"/>
      <c r="F28" s="369"/>
      <c r="G28" s="370"/>
      <c r="H28" s="12"/>
      <c r="M28" s="24"/>
    </row>
    <row r="29" spans="1:13" customFormat="1" x14ac:dyDescent="0.3">
      <c r="A29" s="116" t="s">
        <v>44</v>
      </c>
      <c r="B29" s="117"/>
      <c r="C29" s="117"/>
      <c r="D29" s="98"/>
      <c r="E29" s="118"/>
      <c r="F29" s="118"/>
      <c r="G29" s="119"/>
      <c r="H29" s="12"/>
      <c r="M29" s="24"/>
    </row>
    <row r="30" spans="1:13" customFormat="1" x14ac:dyDescent="0.3">
      <c r="A30" s="33" t="s">
        <v>45</v>
      </c>
      <c r="B30" s="120"/>
      <c r="C30" s="76">
        <f>D30*$B$16</f>
        <v>2960.1</v>
      </c>
      <c r="D30" s="36">
        <v>0.15</v>
      </c>
      <c r="E30" s="77" t="str">
        <f>TEXT(D30,"0.00")&amp;" x PE"</f>
        <v>0.15 x PE</v>
      </c>
      <c r="F30" s="38"/>
      <c r="G30" s="56"/>
      <c r="H30" s="12"/>
      <c r="I30" s="101"/>
      <c r="J30" s="121">
        <f>IF(ISNUMBER(B30),B30,C30)</f>
        <v>2960.1</v>
      </c>
      <c r="K30" s="103" t="s">
        <v>19</v>
      </c>
      <c r="L30" s="122" t="b">
        <v>0</v>
      </c>
      <c r="M30" s="105"/>
    </row>
    <row r="31" spans="1:13" customFormat="1" x14ac:dyDescent="0.3">
      <c r="A31" s="33" t="s">
        <v>46</v>
      </c>
      <c r="B31" s="120"/>
      <c r="C31" s="76">
        <f>D31*$B$16</f>
        <v>1973.4</v>
      </c>
      <c r="D31" s="36">
        <v>0.1</v>
      </c>
      <c r="E31" s="77" t="str">
        <f>TEXT(D31,"0.00")&amp;" x PE"</f>
        <v>0.10 x PE</v>
      </c>
      <c r="F31" s="38"/>
      <c r="G31" s="56"/>
      <c r="H31" s="12"/>
      <c r="I31" s="101"/>
      <c r="J31" s="121">
        <f>IF(ISNUMBER(B31),B31,C31)</f>
        <v>1973.4</v>
      </c>
      <c r="K31" s="103" t="s">
        <v>19</v>
      </c>
      <c r="L31" s="122" t="b">
        <v>0</v>
      </c>
      <c r="M31" s="105"/>
    </row>
    <row r="32" spans="1:13" customFormat="1" x14ac:dyDescent="0.3">
      <c r="A32" s="33" t="s">
        <v>47</v>
      </c>
      <c r="B32" s="120"/>
      <c r="C32" s="76">
        <f>D32*$B$16</f>
        <v>986.7</v>
      </c>
      <c r="D32" s="36">
        <v>0.05</v>
      </c>
      <c r="E32" s="77" t="str">
        <f>TEXT(D32,"0.00")&amp;" x PE"</f>
        <v>0.05 x PE</v>
      </c>
      <c r="F32" s="38"/>
      <c r="G32" s="56"/>
      <c r="H32" s="12"/>
      <c r="I32" s="101"/>
      <c r="J32" s="121">
        <f>IF(ISNUMBER(B32),B32,C32)</f>
        <v>986.7</v>
      </c>
      <c r="K32" s="103" t="s">
        <v>19</v>
      </c>
      <c r="L32" s="122" t="b">
        <v>0</v>
      </c>
      <c r="M32" s="105"/>
    </row>
    <row r="33" spans="1:13" customFormat="1" x14ac:dyDescent="0.3">
      <c r="A33" s="54" t="s">
        <v>48</v>
      </c>
      <c r="B33" s="123"/>
      <c r="C33" s="55">
        <f>D33*$B$16</f>
        <v>197.34</v>
      </c>
      <c r="D33" s="48">
        <v>0.01</v>
      </c>
      <c r="E33" s="78" t="str">
        <f>TEXT(D33,"0.00")&amp;" x PE"</f>
        <v>0.01 x PE</v>
      </c>
      <c r="F33" s="50"/>
      <c r="G33" s="56"/>
      <c r="H33" s="12"/>
      <c r="I33" s="101"/>
      <c r="J33" s="121">
        <f>IF(ISNUMBER(B33),B33,C33)</f>
        <v>197.34</v>
      </c>
      <c r="K33" s="103" t="s">
        <v>19</v>
      </c>
      <c r="L33" s="122" t="b">
        <v>0</v>
      </c>
      <c r="M33" s="105"/>
    </row>
    <row r="34" spans="1:13" customFormat="1" x14ac:dyDescent="0.3">
      <c r="A34" s="124" t="s">
        <v>49</v>
      </c>
      <c r="B34" s="125"/>
      <c r="C34" s="126">
        <f>D34*$B$16</f>
        <v>197.34</v>
      </c>
      <c r="D34" s="127">
        <v>0.01</v>
      </c>
      <c r="E34" s="128" t="str">
        <f>TEXT(D34,"0.00")&amp;" x PE"</f>
        <v>0.01 x PE</v>
      </c>
      <c r="F34" s="129"/>
      <c r="G34" s="56"/>
      <c r="H34" s="12"/>
      <c r="I34" s="101"/>
      <c r="J34" s="121">
        <f>IF(ISNUMBER(B34),B34,C34)</f>
        <v>197.34</v>
      </c>
      <c r="K34" s="103" t="s">
        <v>19</v>
      </c>
      <c r="L34" s="122" t="b">
        <v>0</v>
      </c>
      <c r="M34" s="105"/>
    </row>
    <row r="35" spans="1:13" customFormat="1" x14ac:dyDescent="0.3">
      <c r="A35" s="95" t="s">
        <v>50</v>
      </c>
      <c r="B35" s="130">
        <f>J35</f>
        <v>6314.88</v>
      </c>
      <c r="C35" s="131"/>
      <c r="D35" s="132" t="s">
        <v>16</v>
      </c>
      <c r="E35" s="133" t="s">
        <v>51</v>
      </c>
      <c r="F35" s="134"/>
      <c r="G35" s="66"/>
      <c r="H35" s="12"/>
      <c r="I35" s="101"/>
      <c r="J35" s="102">
        <f>SUM(J30:J34)</f>
        <v>6314.88</v>
      </c>
      <c r="K35" s="103" t="s">
        <v>19</v>
      </c>
      <c r="L35" s="122"/>
      <c r="M35" s="105"/>
    </row>
    <row r="36" spans="1:13" customFormat="1" x14ac:dyDescent="0.3">
      <c r="G36" s="135"/>
      <c r="H36" s="4"/>
    </row>
    <row r="37" spans="1:13" customFormat="1" x14ac:dyDescent="0.3">
      <c r="A37" s="116" t="s">
        <v>52</v>
      </c>
      <c r="B37" s="117"/>
      <c r="C37" s="117"/>
      <c r="D37" s="98"/>
      <c r="E37" s="118"/>
      <c r="F37" s="118"/>
      <c r="G37" s="119"/>
      <c r="H37" s="12"/>
      <c r="M37" s="24"/>
    </row>
    <row r="38" spans="1:13" s="143" customFormat="1" x14ac:dyDescent="0.3">
      <c r="A38" s="136" t="s">
        <v>53</v>
      </c>
      <c r="B38" s="137"/>
      <c r="C38" s="138">
        <f>D38*(B26+B35)</f>
        <v>5597.1629999999996</v>
      </c>
      <c r="D38" s="139">
        <v>0.15</v>
      </c>
      <c r="E38" s="140" t="str">
        <f>"E = "&amp;TEXT(D38,"0.00") &amp;" x (DC+IC)"</f>
        <v>E = 0.15 x (DC+IC)</v>
      </c>
      <c r="F38" s="141"/>
      <c r="G38" s="142" t="s">
        <v>54</v>
      </c>
      <c r="I38" s="144"/>
      <c r="J38" s="121">
        <f>IF(ISNUMBER(B38),B38,C38)</f>
        <v>5597.1629999999996</v>
      </c>
      <c r="K38" s="103" t="s">
        <v>19</v>
      </c>
      <c r="L38" s="122"/>
      <c r="M38" s="145"/>
    </row>
    <row r="39" spans="1:13" s="143" customFormat="1" x14ac:dyDescent="0.3">
      <c r="A39" s="136" t="s">
        <v>55</v>
      </c>
      <c r="B39" s="137"/>
      <c r="C39" s="138">
        <f>D39*SUM(B26,B35,J38)</f>
        <v>858.23166000000003</v>
      </c>
      <c r="D39" s="139">
        <v>0.02</v>
      </c>
      <c r="E39" s="146" t="str">
        <f>"F = "&amp;TEXT(D39,"0.00")&amp;" x (DC+IC+Cont)"</f>
        <v>F = 0.02 x (DC+IC+Cont)</v>
      </c>
      <c r="F39" s="147"/>
      <c r="G39" s="39" t="s">
        <v>56</v>
      </c>
      <c r="I39" s="144"/>
      <c r="J39" s="121">
        <f>IF(ISNUMBER(B39),B39,C39)</f>
        <v>858.23166000000003</v>
      </c>
      <c r="K39" s="103" t="s">
        <v>19</v>
      </c>
      <c r="L39" s="122"/>
      <c r="M39" s="145"/>
    </row>
    <row r="40" spans="1:13" s="143" customFormat="1" x14ac:dyDescent="0.3">
      <c r="A40" s="148" t="s">
        <v>57</v>
      </c>
      <c r="B40" s="149"/>
      <c r="C40" s="150">
        <f>J135*J134</f>
        <v>0</v>
      </c>
      <c r="D40" s="151" t="s">
        <v>16</v>
      </c>
      <c r="E40" s="152" t="s">
        <v>58</v>
      </c>
      <c r="F40" s="153"/>
      <c r="G40" s="154" t="s">
        <v>59</v>
      </c>
      <c r="I40" s="144"/>
      <c r="J40" s="121">
        <f>IF(ISNUMBER(B40),B40,C40)</f>
        <v>0</v>
      </c>
      <c r="K40" s="103" t="s">
        <v>19</v>
      </c>
      <c r="L40" s="122"/>
      <c r="M40" s="155" t="s">
        <v>60</v>
      </c>
    </row>
    <row r="41" spans="1:13" s="143" customFormat="1" ht="15.75" customHeight="1" x14ac:dyDescent="0.3">
      <c r="A41" s="156" t="s">
        <v>61</v>
      </c>
      <c r="B41" s="157">
        <f>J41</f>
        <v>43769.814659999996</v>
      </c>
      <c r="C41" s="158"/>
      <c r="D41" s="151" t="s">
        <v>16</v>
      </c>
      <c r="E41" s="159" t="s">
        <v>62</v>
      </c>
      <c r="F41" s="160"/>
      <c r="G41" s="66"/>
      <c r="I41" s="144"/>
      <c r="J41" s="102">
        <f>SUM(J26,J35,J38,J39,J40)</f>
        <v>43769.814659999996</v>
      </c>
      <c r="K41" s="103" t="s">
        <v>19</v>
      </c>
      <c r="L41" s="122"/>
      <c r="M41" s="145"/>
    </row>
    <row r="42" spans="1:13" x14ac:dyDescent="0.3">
      <c r="D42" s="161"/>
      <c r="I42"/>
      <c r="J42"/>
      <c r="K42"/>
      <c r="L42"/>
      <c r="M42" s="24"/>
    </row>
    <row r="43" spans="1:13" customFormat="1" x14ac:dyDescent="0.3">
      <c r="A43" s="368" t="s">
        <v>63</v>
      </c>
      <c r="B43" s="369"/>
      <c r="C43" s="369"/>
      <c r="D43" s="369"/>
      <c r="E43" s="369"/>
      <c r="F43" s="369"/>
      <c r="G43" s="370"/>
      <c r="H43" s="162"/>
      <c r="M43" s="24"/>
    </row>
    <row r="44" spans="1:13" customFormat="1" x14ac:dyDescent="0.3">
      <c r="A44" s="116" t="s">
        <v>64</v>
      </c>
      <c r="B44" s="118"/>
      <c r="C44" s="118"/>
      <c r="D44" s="163"/>
      <c r="E44" s="118"/>
      <c r="F44" s="118"/>
      <c r="G44" s="119"/>
      <c r="H44" s="12"/>
      <c r="M44" s="24"/>
    </row>
    <row r="45" spans="1:13" s="143" customFormat="1" x14ac:dyDescent="0.3">
      <c r="A45" s="164" t="s">
        <v>65</v>
      </c>
      <c r="B45" s="137"/>
      <c r="C45" s="165"/>
      <c r="D45" s="166" t="s">
        <v>16</v>
      </c>
      <c r="E45" s="167"/>
      <c r="F45" s="168"/>
      <c r="G45" s="169" t="s">
        <v>18</v>
      </c>
      <c r="I45" s="144"/>
      <c r="J45" s="121">
        <f t="shared" ref="J45:J54" si="3">IF(ISNUMBER(B45),B45,C45)</f>
        <v>0</v>
      </c>
      <c r="K45" s="121"/>
      <c r="L45" s="43" t="str">
        <f>IF(B45="","Req'd")</f>
        <v>Req'd</v>
      </c>
      <c r="M45" s="44" t="s">
        <v>20</v>
      </c>
    </row>
    <row r="46" spans="1:13" s="143" customFormat="1" x14ac:dyDescent="0.3">
      <c r="A46" s="170" t="s">
        <v>66</v>
      </c>
      <c r="B46" s="171"/>
      <c r="C46" s="172">
        <f>J45*D46</f>
        <v>0</v>
      </c>
      <c r="D46" s="173">
        <v>0.15</v>
      </c>
      <c r="E46" s="174" t="s">
        <v>67</v>
      </c>
      <c r="F46" s="175"/>
      <c r="G46" s="39" t="s">
        <v>68</v>
      </c>
      <c r="I46" s="144"/>
      <c r="J46" s="121">
        <f t="shared" si="3"/>
        <v>0</v>
      </c>
      <c r="K46" s="121"/>
      <c r="L46" s="122"/>
      <c r="M46" s="44" t="s">
        <v>20</v>
      </c>
    </row>
    <row r="47" spans="1:13" s="143" customFormat="1" x14ac:dyDescent="0.3">
      <c r="A47" s="164" t="s">
        <v>69</v>
      </c>
      <c r="B47" s="137"/>
      <c r="C47" s="172">
        <f>B41*D47</f>
        <v>656.54721989999996</v>
      </c>
      <c r="D47" s="176">
        <v>1.4999999999999999E-2</v>
      </c>
      <c r="E47" s="167" t="str">
        <f>TEXT(D47,"0.000")&amp;" x TCI"</f>
        <v>0.015 x TCI</v>
      </c>
      <c r="F47" s="168"/>
      <c r="G47" s="39" t="s">
        <v>70</v>
      </c>
      <c r="I47" s="144"/>
      <c r="J47" s="121">
        <f t="shared" si="3"/>
        <v>656.54721989999996</v>
      </c>
      <c r="K47" s="121"/>
      <c r="L47" s="122"/>
      <c r="M47" s="145"/>
    </row>
    <row r="48" spans="1:13" s="143" customFormat="1" x14ac:dyDescent="0.3">
      <c r="A48" s="164" t="s">
        <v>71</v>
      </c>
      <c r="B48" s="137"/>
      <c r="C48" s="172">
        <f>J47</f>
        <v>656.54721989999996</v>
      </c>
      <c r="D48" s="173" t="s">
        <v>16</v>
      </c>
      <c r="E48" s="174" t="s">
        <v>72</v>
      </c>
      <c r="F48" s="168"/>
      <c r="G48" s="39" t="s">
        <v>73</v>
      </c>
      <c r="I48" s="144"/>
      <c r="J48" s="121">
        <f t="shared" si="3"/>
        <v>656.54721989999996</v>
      </c>
      <c r="K48" s="121"/>
      <c r="L48" s="122"/>
      <c r="M48" s="145"/>
    </row>
    <row r="49" spans="1:13" x14ac:dyDescent="0.3">
      <c r="A49" s="170" t="s">
        <v>74</v>
      </c>
      <c r="B49" s="171">
        <v>0</v>
      </c>
      <c r="C49" s="172">
        <f>J134*J138*J119</f>
        <v>0</v>
      </c>
      <c r="D49" s="173" t="s">
        <v>16</v>
      </c>
      <c r="E49" s="177" t="s">
        <v>75</v>
      </c>
      <c r="F49" s="175"/>
      <c r="G49" s="365" t="s">
        <v>194</v>
      </c>
      <c r="H49" s="2"/>
      <c r="I49" s="144"/>
      <c r="J49" s="121">
        <f t="shared" si="3"/>
        <v>0</v>
      </c>
      <c r="K49" s="121"/>
      <c r="L49" s="122"/>
      <c r="M49" s="179" t="s">
        <v>76</v>
      </c>
    </row>
    <row r="50" spans="1:13" x14ac:dyDescent="0.3">
      <c r="A50" s="180" t="s">
        <v>77</v>
      </c>
      <c r="B50" s="171"/>
      <c r="C50" s="172">
        <f>J123*J130*J119</f>
        <v>0</v>
      </c>
      <c r="D50" s="173" t="s">
        <v>16</v>
      </c>
      <c r="E50" s="181" t="s">
        <v>59</v>
      </c>
      <c r="F50" s="182"/>
      <c r="G50" s="178" t="s">
        <v>59</v>
      </c>
      <c r="H50" s="2"/>
      <c r="I50" s="183"/>
      <c r="J50" s="121">
        <f t="shared" si="3"/>
        <v>0</v>
      </c>
      <c r="K50" s="121"/>
      <c r="L50" s="122"/>
      <c r="M50" s="179" t="s">
        <v>78</v>
      </c>
    </row>
    <row r="51" spans="1:13" x14ac:dyDescent="0.3">
      <c r="A51" s="170" t="s">
        <v>79</v>
      </c>
      <c r="B51" s="171"/>
      <c r="C51" s="184">
        <f>J150</f>
        <v>0</v>
      </c>
      <c r="D51" s="173" t="s">
        <v>16</v>
      </c>
      <c r="E51" s="177" t="s">
        <v>59</v>
      </c>
      <c r="F51" s="175"/>
      <c r="G51" s="178" t="s">
        <v>59</v>
      </c>
      <c r="H51" s="2"/>
      <c r="I51" s="185"/>
      <c r="J51" s="121">
        <f t="shared" si="3"/>
        <v>0</v>
      </c>
      <c r="K51" s="121"/>
      <c r="L51" s="122"/>
      <c r="M51" s="145"/>
    </row>
    <row r="52" spans="1:13" x14ac:dyDescent="0.3">
      <c r="A52" s="170" t="s">
        <v>80</v>
      </c>
      <c r="B52" s="171"/>
      <c r="C52" s="172">
        <f>J51*D52</f>
        <v>0</v>
      </c>
      <c r="D52" s="173">
        <v>0.1</v>
      </c>
      <c r="E52" s="167" t="str">
        <f>TEXT(D52,"0.000")&amp;" x Cat Repl"</f>
        <v>0.100 x Cat Repl</v>
      </c>
      <c r="F52" s="175"/>
      <c r="G52" s="178" t="s">
        <v>81</v>
      </c>
      <c r="H52" s="2"/>
      <c r="I52" s="185"/>
      <c r="J52" s="121">
        <f t="shared" si="3"/>
        <v>0</v>
      </c>
      <c r="K52" s="121"/>
      <c r="L52" s="186"/>
      <c r="M52" s="187"/>
    </row>
    <row r="53" spans="1:13" x14ac:dyDescent="0.3">
      <c r="A53" s="170" t="s">
        <v>82</v>
      </c>
      <c r="B53" s="171"/>
      <c r="C53" s="188"/>
      <c r="D53" s="173" t="s">
        <v>16</v>
      </c>
      <c r="E53" s="177"/>
      <c r="F53" s="175"/>
      <c r="G53" s="39" t="s">
        <v>18</v>
      </c>
      <c r="H53" s="143"/>
      <c r="I53" s="144"/>
      <c r="J53" s="121">
        <f t="shared" si="3"/>
        <v>0</v>
      </c>
      <c r="K53" s="121"/>
      <c r="L53" s="43" t="str">
        <f>IF(B53="","Req'd")</f>
        <v>Req'd</v>
      </c>
      <c r="M53" s="44" t="s">
        <v>20</v>
      </c>
    </row>
    <row r="54" spans="1:13" x14ac:dyDescent="0.3">
      <c r="A54" s="189" t="s">
        <v>83</v>
      </c>
      <c r="B54" s="190"/>
      <c r="C54" s="191"/>
      <c r="D54" s="192" t="s">
        <v>16</v>
      </c>
      <c r="E54" s="193"/>
      <c r="F54" s="194"/>
      <c r="G54" s="195" t="s">
        <v>18</v>
      </c>
      <c r="H54" s="143"/>
      <c r="I54" s="144"/>
      <c r="J54" s="121">
        <f t="shared" si="3"/>
        <v>0</v>
      </c>
      <c r="K54" s="121"/>
      <c r="L54" s="43" t="str">
        <f>IF(B54="","Req'd")</f>
        <v>Req'd</v>
      </c>
      <c r="M54" s="44" t="s">
        <v>20</v>
      </c>
    </row>
    <row r="55" spans="1:13" x14ac:dyDescent="0.3">
      <c r="A55" s="156" t="s">
        <v>84</v>
      </c>
      <c r="B55" s="157">
        <f>J55</f>
        <v>1313.0944397999999</v>
      </c>
      <c r="C55" s="196"/>
      <c r="D55" s="151" t="s">
        <v>16</v>
      </c>
      <c r="E55" s="197" t="s">
        <v>85</v>
      </c>
      <c r="F55" s="134"/>
      <c r="G55" s="66"/>
      <c r="H55" s="2"/>
      <c r="I55" s="144"/>
      <c r="J55" s="102">
        <f>SUM(J45:J54)</f>
        <v>1313.0944397999999</v>
      </c>
      <c r="K55" s="102"/>
      <c r="L55" s="122"/>
      <c r="M55" s="145"/>
    </row>
    <row r="56" spans="1:13" x14ac:dyDescent="0.3">
      <c r="A56" s="198"/>
      <c r="B56" s="199"/>
      <c r="C56" s="199"/>
      <c r="D56" s="200"/>
      <c r="E56" s="201"/>
      <c r="F56" s="202"/>
      <c r="H56" s="2"/>
      <c r="I56" s="203"/>
      <c r="J56" s="113"/>
      <c r="K56" s="113"/>
      <c r="L56" s="114"/>
      <c r="M56" s="204"/>
    </row>
    <row r="57" spans="1:13" customFormat="1" x14ac:dyDescent="0.3">
      <c r="A57" s="368" t="s">
        <v>86</v>
      </c>
      <c r="B57" s="369"/>
      <c r="C57" s="369"/>
      <c r="D57" s="369"/>
      <c r="E57" s="369"/>
      <c r="F57" s="369"/>
      <c r="G57" s="370"/>
      <c r="H57" s="12"/>
      <c r="M57" s="24"/>
    </row>
    <row r="58" spans="1:13" customFormat="1" x14ac:dyDescent="0.3">
      <c r="A58" s="116" t="s">
        <v>87</v>
      </c>
      <c r="B58" s="118"/>
      <c r="C58" s="118"/>
      <c r="D58" s="163"/>
      <c r="E58" s="118"/>
      <c r="F58" s="118"/>
      <c r="G58" s="119"/>
      <c r="H58" s="12"/>
      <c r="M58" s="24"/>
    </row>
    <row r="59" spans="1:13" s="143" customFormat="1" x14ac:dyDescent="0.3">
      <c r="A59" s="164" t="s">
        <v>88</v>
      </c>
      <c r="B59" s="205"/>
      <c r="C59" s="172">
        <f>SUM(J45:J48)*D59</f>
        <v>787.85666387999993</v>
      </c>
      <c r="D59" s="176">
        <v>0.6</v>
      </c>
      <c r="E59" s="167" t="str">
        <f>TEXT(D59,"0.000")&amp;" x Op/Super/Maint Labor &amp; Mtls"</f>
        <v>0.600 x Op/Super/Maint Labor &amp; Mtls</v>
      </c>
      <c r="F59" s="168"/>
      <c r="G59" s="142" t="s">
        <v>89</v>
      </c>
      <c r="I59" s="144"/>
      <c r="J59" s="121">
        <f>IF(ISNUMBER(B59),B59,C59)</f>
        <v>787.85666387999993</v>
      </c>
      <c r="K59" s="121"/>
      <c r="L59" s="122"/>
      <c r="M59" s="145"/>
    </row>
    <row r="60" spans="1:13" s="143" customFormat="1" x14ac:dyDescent="0.3">
      <c r="A60" s="170" t="s">
        <v>90</v>
      </c>
      <c r="B60" s="206"/>
      <c r="C60" s="172">
        <f>B41*D60</f>
        <v>656.54721989999996</v>
      </c>
      <c r="D60" s="176">
        <v>1.4999999999999999E-2</v>
      </c>
      <c r="E60" s="167" t="str">
        <f>TEXT(D60,"0.0000")&amp;" x TCI"</f>
        <v>0.0150 x TCI</v>
      </c>
      <c r="F60" s="168"/>
      <c r="G60" s="39" t="s">
        <v>91</v>
      </c>
      <c r="H60" s="207"/>
      <c r="I60" s="144"/>
      <c r="J60" s="121">
        <f>IF(ISNUMBER(B60),B60,C60)</f>
        <v>656.54721989999996</v>
      </c>
      <c r="K60" s="121"/>
      <c r="L60" s="122"/>
      <c r="M60" s="145"/>
    </row>
    <row r="61" spans="1:13" s="143" customFormat="1" x14ac:dyDescent="0.3">
      <c r="A61" s="164" t="s">
        <v>92</v>
      </c>
      <c r="B61" s="208"/>
      <c r="C61" s="172">
        <f>B41*D61</f>
        <v>437.69814659999997</v>
      </c>
      <c r="D61" s="176">
        <v>0.01</v>
      </c>
      <c r="E61" s="167" t="str">
        <f>TEXT(D61,"0.000")&amp;" x TCI"</f>
        <v>0.010 x TCI</v>
      </c>
      <c r="F61" s="168"/>
      <c r="G61" s="39" t="s">
        <v>91</v>
      </c>
      <c r="I61" s="144"/>
      <c r="J61" s="121">
        <f>IF(ISNUMBER(B61),B61,C61)</f>
        <v>437.69814659999997</v>
      </c>
      <c r="K61" s="121"/>
      <c r="L61" s="122"/>
      <c r="M61" s="145"/>
    </row>
    <row r="62" spans="1:13" x14ac:dyDescent="0.3">
      <c r="A62" s="209" t="s">
        <v>93</v>
      </c>
      <c r="B62" s="210"/>
      <c r="C62" s="211">
        <f>B41*D62</f>
        <v>875.39629319999995</v>
      </c>
      <c r="D62" s="212">
        <v>0.02</v>
      </c>
      <c r="E62" s="193" t="str">
        <f>TEXT(D62,"0.000")&amp;" x TCI"</f>
        <v>0.020 x TCI</v>
      </c>
      <c r="F62" s="194"/>
      <c r="G62" s="195" t="s">
        <v>94</v>
      </c>
      <c r="H62" s="143"/>
      <c r="I62" s="144"/>
      <c r="J62" s="121">
        <f>IF(ISNUMBER(B62),B62,C62)</f>
        <v>875.39629319999995</v>
      </c>
      <c r="K62" s="121"/>
      <c r="L62" s="122"/>
      <c r="M62" s="145"/>
    </row>
    <row r="63" spans="1:13" x14ac:dyDescent="0.3">
      <c r="A63" s="156" t="s">
        <v>95</v>
      </c>
      <c r="B63" s="157">
        <f>J63</f>
        <v>2757.49832358</v>
      </c>
      <c r="C63" s="196"/>
      <c r="D63" s="151" t="s">
        <v>16</v>
      </c>
      <c r="E63" s="197" t="s">
        <v>85</v>
      </c>
      <c r="F63" s="134"/>
      <c r="G63" s="66"/>
      <c r="H63" s="2"/>
      <c r="I63" s="144"/>
      <c r="J63" s="102">
        <f>SUM(J59:J62)</f>
        <v>2757.49832358</v>
      </c>
      <c r="K63" s="102"/>
      <c r="L63" s="122"/>
      <c r="M63" s="145"/>
    </row>
    <row r="64" spans="1:13" x14ac:dyDescent="0.3">
      <c r="A64" s="198"/>
      <c r="B64" s="199"/>
      <c r="C64" s="199"/>
      <c r="D64" s="200"/>
      <c r="E64" s="201"/>
      <c r="F64" s="202"/>
      <c r="H64" s="2"/>
      <c r="I64" s="203"/>
      <c r="J64" s="113"/>
      <c r="K64" s="113"/>
      <c r="L64" s="114"/>
      <c r="M64" s="204"/>
    </row>
    <row r="65" spans="1:13" x14ac:dyDescent="0.3">
      <c r="A65" s="368" t="s">
        <v>96</v>
      </c>
      <c r="B65" s="369"/>
      <c r="C65" s="369"/>
      <c r="D65" s="369"/>
      <c r="E65" s="369"/>
      <c r="F65" s="369"/>
      <c r="G65" s="370"/>
      <c r="H65" s="4"/>
      <c r="I65"/>
      <c r="J65"/>
      <c r="K65"/>
      <c r="L65"/>
      <c r="M65" s="24"/>
    </row>
    <row r="66" spans="1:13" x14ac:dyDescent="0.3">
      <c r="A66" s="213" t="s">
        <v>97</v>
      </c>
      <c r="B66" s="214"/>
      <c r="C66" s="215">
        <v>25</v>
      </c>
      <c r="D66" s="216" t="s">
        <v>16</v>
      </c>
      <c r="E66" s="217" t="s">
        <v>98</v>
      </c>
      <c r="F66" s="218"/>
      <c r="G66" s="219" t="s">
        <v>18</v>
      </c>
      <c r="H66" s="4"/>
      <c r="I66" s="220"/>
      <c r="J66" s="221">
        <f>IF(ISNUMBER(B66),B66,C66)</f>
        <v>25</v>
      </c>
      <c r="K66" s="222" t="s">
        <v>99</v>
      </c>
      <c r="L66" s="223" t="b">
        <v>0</v>
      </c>
      <c r="M66" s="105"/>
    </row>
    <row r="67" spans="1:13" ht="28.8" x14ac:dyDescent="0.3">
      <c r="A67" s="224" t="s">
        <v>100</v>
      </c>
      <c r="B67" s="225">
        <v>3.2500000000000001E-2</v>
      </c>
      <c r="C67" s="226">
        <v>7.0000000000000007E-2</v>
      </c>
      <c r="D67" s="173" t="s">
        <v>16</v>
      </c>
      <c r="E67" s="227" t="s">
        <v>101</v>
      </c>
      <c r="F67" s="175"/>
      <c r="G67" s="39" t="s">
        <v>102</v>
      </c>
      <c r="H67" s="4"/>
      <c r="I67" s="220"/>
      <c r="J67" s="221">
        <f>IF(ISNUMBER(B67),B67,C67)</f>
        <v>3.2500000000000001E-2</v>
      </c>
      <c r="K67" s="222" t="s">
        <v>103</v>
      </c>
      <c r="L67" s="223" t="b">
        <v>0</v>
      </c>
      <c r="M67" s="105"/>
    </row>
    <row r="68" spans="1:13" ht="15" customHeight="1" x14ac:dyDescent="0.3">
      <c r="A68" s="228" t="s">
        <v>104</v>
      </c>
      <c r="B68" s="229">
        <f>J67/(1-(1+J67)^-J66)</f>
        <v>5.9039325274868763E-2</v>
      </c>
      <c r="C68" s="230"/>
      <c r="D68" s="231" t="s">
        <v>16</v>
      </c>
      <c r="E68" s="232" t="s">
        <v>105</v>
      </c>
      <c r="F68" s="194"/>
      <c r="G68" s="154" t="s">
        <v>16</v>
      </c>
      <c r="I68" s="220"/>
      <c r="J68" s="233"/>
      <c r="K68" s="233"/>
      <c r="L68" s="234"/>
      <c r="M68" s="235"/>
    </row>
    <row r="69" spans="1:13" x14ac:dyDescent="0.3">
      <c r="A69" s="236" t="s">
        <v>106</v>
      </c>
      <c r="B69" s="237">
        <f>B68*B41</f>
        <v>2584.140324932459</v>
      </c>
      <c r="C69" s="238"/>
      <c r="D69" s="151" t="s">
        <v>16</v>
      </c>
      <c r="E69" s="239"/>
      <c r="F69" s="240"/>
      <c r="G69" s="66" t="s">
        <v>107</v>
      </c>
      <c r="H69" s="2"/>
      <c r="I69" s="144"/>
      <c r="J69" s="102">
        <f>IF(ISNUMBER(B69),B69,C69)</f>
        <v>2584.140324932459</v>
      </c>
      <c r="K69" s="102"/>
      <c r="L69" s="122"/>
      <c r="M69" s="155" t="s">
        <v>108</v>
      </c>
    </row>
    <row r="70" spans="1:13" customFormat="1" x14ac:dyDescent="0.3">
      <c r="D70" s="241"/>
      <c r="G70" s="3"/>
      <c r="H70" s="4"/>
      <c r="M70" s="24"/>
    </row>
    <row r="71" spans="1:13" s="143" customFormat="1" x14ac:dyDescent="0.3">
      <c r="A71" s="236" t="s">
        <v>109</v>
      </c>
      <c r="B71" s="237">
        <f>SUM(B55,B63, B69)</f>
        <v>6654.7330883124596</v>
      </c>
      <c r="C71" s="238"/>
      <c r="D71" s="242" t="s">
        <v>16</v>
      </c>
      <c r="E71" s="243" t="s">
        <v>110</v>
      </c>
      <c r="F71" s="244"/>
      <c r="G71" s="66" t="s">
        <v>111</v>
      </c>
      <c r="I71" s="144"/>
      <c r="J71" s="245">
        <f>SUM(J55,J63, J69)</f>
        <v>6654.7330883124596</v>
      </c>
      <c r="K71" s="245" t="s">
        <v>112</v>
      </c>
      <c r="L71" s="122"/>
      <c r="M71" s="155" t="s">
        <v>113</v>
      </c>
    </row>
    <row r="72" spans="1:13" s="143" customFormat="1" x14ac:dyDescent="0.3">
      <c r="A72" s="246"/>
      <c r="B72" s="247"/>
      <c r="C72" s="248"/>
      <c r="D72" s="248"/>
      <c r="E72" s="247"/>
      <c r="F72" s="249"/>
      <c r="G72" s="3"/>
      <c r="H72" s="250"/>
      <c r="I72" s="251"/>
      <c r="J72" s="247"/>
      <c r="K72" s="247"/>
      <c r="L72" s="251"/>
      <c r="M72" s="251"/>
    </row>
    <row r="73" spans="1:13" customFormat="1" ht="16.2" thickBot="1" x14ac:dyDescent="0.35">
      <c r="A73" s="5" t="s">
        <v>114</v>
      </c>
      <c r="B73" s="6"/>
      <c r="C73" s="6"/>
      <c r="D73" s="6"/>
      <c r="E73" s="6"/>
      <c r="F73" s="6"/>
      <c r="G73" s="252"/>
      <c r="H73" s="4"/>
    </row>
    <row r="74" spans="1:13" s="256" customFormat="1" ht="15" thickTop="1" x14ac:dyDescent="0.3">
      <c r="A74" s="198"/>
      <c r="B74" s="340" t="s">
        <v>196</v>
      </c>
      <c r="C74" s="359"/>
      <c r="D74" s="359"/>
      <c r="E74" s="254"/>
      <c r="F74" s="254"/>
      <c r="G74" s="255" t="s">
        <v>7</v>
      </c>
      <c r="H74" s="4"/>
      <c r="I74"/>
      <c r="J74"/>
      <c r="K74"/>
      <c r="L74"/>
      <c r="M74"/>
    </row>
    <row r="75" spans="1:13" s="143" customFormat="1" x14ac:dyDescent="0.3">
      <c r="A75" s="257" t="s">
        <v>189</v>
      </c>
      <c r="B75" s="367">
        <v>0.188</v>
      </c>
      <c r="C75" s="258"/>
      <c r="D75" s="258"/>
      <c r="F75"/>
      <c r="G75" s="358" t="s">
        <v>188</v>
      </c>
      <c r="H75" s="4"/>
      <c r="I75" s="144"/>
      <c r="J75" s="245"/>
      <c r="K75" s="245"/>
      <c r="L75" s="122"/>
      <c r="M75" s="155"/>
    </row>
    <row r="76" spans="1:13" s="143" customFormat="1" x14ac:dyDescent="0.3">
      <c r="A76" s="360" t="s">
        <v>197</v>
      </c>
      <c r="B76" s="366">
        <f>B75*(1-0.9)</f>
        <v>1.8799999999999997E-2</v>
      </c>
      <c r="C76" s="361"/>
      <c r="D76" s="361"/>
      <c r="F76" s="260"/>
      <c r="G76" s="358" t="s">
        <v>199</v>
      </c>
      <c r="H76" s="250"/>
      <c r="I76" s="144"/>
      <c r="J76" s="245"/>
      <c r="K76" s="245"/>
      <c r="L76" s="122"/>
      <c r="M76" s="155"/>
    </row>
    <row r="77" spans="1:13" s="143" customFormat="1" x14ac:dyDescent="0.3">
      <c r="A77" s="261" t="s">
        <v>198</v>
      </c>
      <c r="B77" s="262">
        <f>B75-B76</f>
        <v>0.16920000000000002</v>
      </c>
      <c r="C77" s="262"/>
      <c r="D77" s="262"/>
      <c r="F77"/>
      <c r="G77" s="259" t="s">
        <v>115</v>
      </c>
      <c r="H77" s="4"/>
      <c r="I77" s="144"/>
      <c r="J77" s="245"/>
      <c r="K77" s="245"/>
      <c r="L77" s="122"/>
      <c r="M77" s="155"/>
    </row>
    <row r="78" spans="1:13" s="143" customFormat="1" x14ac:dyDescent="0.3">
      <c r="A78" s="263"/>
      <c r="B78" s="264"/>
      <c r="C78" s="264"/>
      <c r="D78" s="264"/>
      <c r="F78"/>
      <c r="G78" s="3"/>
      <c r="H78" s="4"/>
      <c r="I78" s="251"/>
      <c r="J78"/>
      <c r="K78"/>
      <c r="L78" s="251"/>
      <c r="M78" s="251"/>
    </row>
    <row r="79" spans="1:13" s="143" customFormat="1" x14ac:dyDescent="0.3">
      <c r="A79" s="265" t="s">
        <v>109</v>
      </c>
      <c r="B79" s="362">
        <f>$B71</f>
        <v>6654.7330883124596</v>
      </c>
      <c r="C79" s="266"/>
      <c r="D79" s="266"/>
      <c r="F79"/>
      <c r="G79" s="259" t="s">
        <v>116</v>
      </c>
      <c r="H79" s="4"/>
      <c r="I79" s="144"/>
      <c r="J79" s="245"/>
      <c r="K79" s="245"/>
      <c r="L79" s="122"/>
      <c r="M79" s="155"/>
    </row>
    <row r="80" spans="1:13" s="143" customFormat="1" x14ac:dyDescent="0.3">
      <c r="A80" s="267" t="s">
        <v>117</v>
      </c>
      <c r="B80" s="363">
        <f>IF(B77=0,"",B79/B77)</f>
        <v>39330.573807993256</v>
      </c>
      <c r="C80" s="268"/>
      <c r="D80" s="268"/>
      <c r="G80" s="259" t="s">
        <v>118</v>
      </c>
      <c r="H80" s="269"/>
      <c r="I80" s="144"/>
      <c r="J80" s="245"/>
      <c r="K80" s="245"/>
      <c r="L80" s="122"/>
      <c r="M80" s="155"/>
    </row>
    <row r="81" spans="1:13" s="143" customFormat="1" hidden="1" x14ac:dyDescent="0.3">
      <c r="A81" s="270" t="s">
        <v>119</v>
      </c>
      <c r="B81" s="271"/>
      <c r="C81" s="249"/>
      <c r="D81" s="249"/>
      <c r="F81" s="249"/>
      <c r="G81" s="3"/>
      <c r="H81" s="250"/>
      <c r="I81" s="144"/>
      <c r="J81" s="245"/>
      <c r="K81" s="245"/>
      <c r="L81" s="104" t="str">
        <f>IF(B81="","Req'd")</f>
        <v>Req'd</v>
      </c>
      <c r="M81" s="155"/>
    </row>
    <row r="82" spans="1:13" s="143" customFormat="1" hidden="1" x14ac:dyDescent="0.3">
      <c r="A82" s="272"/>
      <c r="B82" s="273"/>
      <c r="C82" s="249"/>
      <c r="D82" s="249"/>
      <c r="F82" s="249"/>
      <c r="G82" s="3"/>
      <c r="H82" s="250"/>
      <c r="I82" s="251"/>
      <c r="J82" s="247"/>
      <c r="K82" s="247"/>
      <c r="L82" s="251"/>
      <c r="M82" s="251"/>
    </row>
    <row r="83" spans="1:13" s="143" customFormat="1" hidden="1" x14ac:dyDescent="0.3">
      <c r="A83" s="274" t="s">
        <v>120</v>
      </c>
      <c r="B83" s="275"/>
      <c r="C83" s="276"/>
      <c r="D83" s="276"/>
      <c r="E83" s="277"/>
      <c r="F83" s="278"/>
      <c r="G83" s="3"/>
      <c r="H83" s="250"/>
      <c r="I83" s="251"/>
      <c r="J83" s="247"/>
      <c r="K83" s="247"/>
      <c r="L83" s="251"/>
      <c r="M83" s="251"/>
    </row>
    <row r="84" spans="1:13" s="143" customFormat="1" ht="15" hidden="1" thickBot="1" x14ac:dyDescent="0.35">
      <c r="A84" s="27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280"/>
      <c r="C84" s="281"/>
      <c r="D84" s="281"/>
      <c r="E84" s="281"/>
      <c r="F84" s="282"/>
      <c r="G84" s="3"/>
      <c r="H84" s="250"/>
      <c r="I84" s="251"/>
      <c r="J84" s="247"/>
      <c r="K84" s="247"/>
      <c r="L84" s="251"/>
      <c r="M84" s="251"/>
    </row>
    <row r="85" spans="1:13" s="143" customFormat="1" x14ac:dyDescent="0.3">
      <c r="A85" s="246"/>
      <c r="B85" s="249"/>
      <c r="C85" s="247"/>
      <c r="D85" s="247"/>
      <c r="E85" s="247"/>
      <c r="F85" s="249"/>
      <c r="G85" s="3"/>
      <c r="H85" s="250"/>
      <c r="I85" s="251"/>
      <c r="J85" s="247"/>
      <c r="K85" s="247"/>
      <c r="L85" s="251"/>
      <c r="M85" s="251"/>
    </row>
    <row r="86" spans="1:13" customFormat="1" ht="16.2" thickBot="1" x14ac:dyDescent="0.35">
      <c r="A86" s="5" t="s">
        <v>121</v>
      </c>
      <c r="B86" s="6"/>
      <c r="C86" s="6"/>
      <c r="D86" s="6"/>
      <c r="E86" s="6"/>
      <c r="F86" s="6"/>
      <c r="G86" s="283"/>
      <c r="H86" s="4"/>
    </row>
    <row r="87" spans="1:13" ht="15" thickTop="1" x14ac:dyDescent="0.3">
      <c r="H87" s="4"/>
      <c r="J87" s="2"/>
      <c r="K87" s="2"/>
      <c r="M87"/>
    </row>
    <row r="88" spans="1:13" x14ac:dyDescent="0.3">
      <c r="A88" s="2" t="s">
        <v>122</v>
      </c>
      <c r="H88" s="4"/>
      <c r="I88"/>
      <c r="J88"/>
      <c r="K88"/>
      <c r="L88"/>
      <c r="M88"/>
    </row>
    <row r="89" spans="1:13" x14ac:dyDescent="0.3">
      <c r="A89" s="2" t="s">
        <v>123</v>
      </c>
      <c r="H89" s="4"/>
      <c r="I89"/>
      <c r="J89"/>
      <c r="K89"/>
      <c r="L89"/>
      <c r="M89"/>
    </row>
    <row r="90" spans="1:13" ht="8.25" customHeight="1" x14ac:dyDescent="0.3">
      <c r="H90" s="4"/>
      <c r="I90"/>
      <c r="J90"/>
      <c r="K90"/>
      <c r="L90"/>
      <c r="M90"/>
    </row>
    <row r="91" spans="1:13" hidden="1" x14ac:dyDescent="0.3">
      <c r="A91" s="284" t="s">
        <v>124</v>
      </c>
      <c r="B91" s="285"/>
      <c r="C91" s="285"/>
      <c r="D91" s="285"/>
      <c r="E91" s="285"/>
      <c r="F91" s="285"/>
      <c r="G91" s="286"/>
      <c r="H91" s="4"/>
      <c r="I91" s="21" t="s">
        <v>8</v>
      </c>
      <c r="J91" s="22" t="s">
        <v>9</v>
      </c>
      <c r="K91" s="287" t="s">
        <v>10</v>
      </c>
      <c r="L91" s="22" t="s">
        <v>11</v>
      </c>
      <c r="M91" s="23" t="s">
        <v>12</v>
      </c>
    </row>
    <row r="92" spans="1:13" hidden="1" x14ac:dyDescent="0.3">
      <c r="A92" s="288"/>
      <c r="B92" s="289"/>
      <c r="C92" s="289"/>
      <c r="D92" s="289"/>
      <c r="E92" s="289"/>
      <c r="F92" s="289"/>
      <c r="G92" s="255" t="s">
        <v>7</v>
      </c>
      <c r="H92" s="4"/>
      <c r="I92" s="21"/>
      <c r="J92" s="22"/>
      <c r="K92" s="287"/>
      <c r="L92" s="22"/>
      <c r="M92" s="290"/>
    </row>
    <row r="93" spans="1:13" hidden="1" x14ac:dyDescent="0.3">
      <c r="A93" s="2" t="s">
        <v>125</v>
      </c>
      <c r="B93" s="291"/>
      <c r="C93" s="292" t="s">
        <v>126</v>
      </c>
      <c r="D93" s="292"/>
      <c r="G93" s="293"/>
      <c r="H93" s="4"/>
      <c r="I93" s="294"/>
      <c r="J93" s="233">
        <f>B93</f>
        <v>0</v>
      </c>
      <c r="K93" s="295" t="s">
        <v>126</v>
      </c>
      <c r="L93" s="296" t="str">
        <f>IF(B93="","Req'd")</f>
        <v>Req'd</v>
      </c>
      <c r="M93" s="297"/>
    </row>
    <row r="94" spans="1:13" hidden="1" x14ac:dyDescent="0.3">
      <c r="A94" s="2" t="s">
        <v>127</v>
      </c>
      <c r="B94" s="298"/>
      <c r="C94" s="292" t="s">
        <v>126</v>
      </c>
      <c r="D94" s="292"/>
      <c r="G94" s="299"/>
      <c r="H94" s="4"/>
      <c r="I94" s="294"/>
      <c r="J94" s="233">
        <f>B94</f>
        <v>0</v>
      </c>
      <c r="K94" s="295" t="s">
        <v>126</v>
      </c>
      <c r="L94" s="296" t="b">
        <v>0</v>
      </c>
      <c r="M94" s="297"/>
    </row>
    <row r="95" spans="1:13" s="256" customFormat="1" ht="8.25" hidden="1" customHeight="1" x14ac:dyDescent="0.3">
      <c r="B95" s="289"/>
      <c r="C95" s="289"/>
      <c r="D95" s="289"/>
      <c r="E95" s="289"/>
      <c r="F95" s="289"/>
      <c r="G95" s="3"/>
      <c r="H95" s="111"/>
      <c r="I95" s="300"/>
      <c r="J95" s="300"/>
      <c r="K95" s="300"/>
      <c r="L95" s="301"/>
      <c r="M95" s="302"/>
    </row>
    <row r="96" spans="1:13" hidden="1" x14ac:dyDescent="0.3">
      <c r="A96" s="284" t="s">
        <v>128</v>
      </c>
      <c r="B96" s="285"/>
      <c r="C96" s="285"/>
      <c r="D96" s="285"/>
      <c r="E96" s="285"/>
      <c r="F96" s="285"/>
      <c r="G96" s="286"/>
      <c r="H96" s="4"/>
      <c r="I96"/>
      <c r="J96"/>
      <c r="K96"/>
      <c r="L96" s="303"/>
      <c r="M96" s="24"/>
    </row>
    <row r="97" spans="1:13" hidden="1" x14ac:dyDescent="0.3">
      <c r="A97" s="288"/>
      <c r="B97" s="289"/>
      <c r="C97" s="289"/>
      <c r="D97" s="289"/>
      <c r="E97" s="289"/>
      <c r="F97" s="289"/>
      <c r="G97" s="255" t="s">
        <v>7</v>
      </c>
      <c r="H97" s="4"/>
      <c r="I97"/>
      <c r="J97"/>
      <c r="K97"/>
      <c r="L97" s="303"/>
      <c r="M97" s="24"/>
    </row>
    <row r="98" spans="1:13" hidden="1" x14ac:dyDescent="0.3">
      <c r="A98" s="2" t="s">
        <v>129</v>
      </c>
      <c r="B98" s="298"/>
      <c r="C98" s="292" t="s">
        <v>130</v>
      </c>
      <c r="D98" s="292"/>
      <c r="G98" s="299"/>
      <c r="H98" s="4"/>
      <c r="I98" s="304">
        <f>B98</f>
        <v>0</v>
      </c>
      <c r="J98" s="305">
        <f>IF(ISNUMBER(B98),I98,IF(ISNUMBER(B99),I99,IF(ISNUMBER(B100),I100,I101)))</f>
        <v>0</v>
      </c>
      <c r="K98" s="295" t="s">
        <v>131</v>
      </c>
      <c r="L98" s="296" t="b">
        <f>IF(OR(B99&lt;&gt;"",B100&lt;&gt;""),"N/A")</f>
        <v>0</v>
      </c>
      <c r="M98" s="297"/>
    </row>
    <row r="99" spans="1:13" hidden="1" x14ac:dyDescent="0.3">
      <c r="A99" s="306" t="s">
        <v>132</v>
      </c>
      <c r="B99" s="298"/>
      <c r="C99" s="292" t="s">
        <v>133</v>
      </c>
      <c r="D99" s="292"/>
      <c r="G99" s="299"/>
      <c r="H99" s="4"/>
      <c r="I99" s="304">
        <f>B99/$J$114</f>
        <v>0</v>
      </c>
      <c r="J99" s="307"/>
      <c r="K99" s="308"/>
      <c r="L99" s="296" t="b">
        <f>IF(OR(B98&lt;&gt;"",B100&lt;&gt;""),"N/A")</f>
        <v>0</v>
      </c>
      <c r="M99" s="297"/>
    </row>
    <row r="100" spans="1:13" hidden="1" x14ac:dyDescent="0.3">
      <c r="A100" s="306" t="s">
        <v>132</v>
      </c>
      <c r="B100" s="298"/>
      <c r="C100" s="292" t="s">
        <v>134</v>
      </c>
      <c r="D100" s="292"/>
      <c r="G100" s="299" t="s">
        <v>135</v>
      </c>
      <c r="H100" s="4"/>
      <c r="I100" s="304">
        <f>B100*1.194*10^-7*J$115*(20.946/(20.946-15))</f>
        <v>0</v>
      </c>
      <c r="J100" s="307"/>
      <c r="K100" s="308"/>
      <c r="L100" s="296" t="b">
        <f>IF(OR(B98&lt;&gt;"",B99&lt;&gt;""),"N/A")</f>
        <v>0</v>
      </c>
      <c r="M100" s="297"/>
    </row>
    <row r="101" spans="1:13" hidden="1" x14ac:dyDescent="0.3">
      <c r="A101" s="306" t="s">
        <v>136</v>
      </c>
      <c r="B101" s="309"/>
      <c r="C101" s="292" t="s">
        <v>134</v>
      </c>
      <c r="D101" s="292"/>
      <c r="G101" s="299"/>
      <c r="H101" s="4"/>
      <c r="I101" s="304">
        <f>B101*1.194*10^-7*J$115*(20.946/(20.946-15))</f>
        <v>0</v>
      </c>
      <c r="J101" s="307"/>
      <c r="K101" s="308"/>
      <c r="L101" s="296" t="b">
        <f>IF(COUNTA(B98:B100)&gt;0,"N/A")</f>
        <v>0</v>
      </c>
      <c r="M101" s="297"/>
    </row>
    <row r="102" spans="1:13" hidden="1" x14ac:dyDescent="0.3">
      <c r="H102" s="4"/>
      <c r="I102"/>
      <c r="J102"/>
      <c r="K102"/>
      <c r="L102" s="303"/>
      <c r="M102" s="24"/>
    </row>
    <row r="103" spans="1:13" hidden="1" x14ac:dyDescent="0.3">
      <c r="A103" s="2" t="s">
        <v>137</v>
      </c>
      <c r="B103" s="298"/>
      <c r="C103" s="292" t="s">
        <v>130</v>
      </c>
      <c r="D103" s="292"/>
      <c r="G103" s="299"/>
      <c r="H103" s="4"/>
      <c r="I103" s="304">
        <f>B103</f>
        <v>0</v>
      </c>
      <c r="J103" s="305">
        <f>IF(ISNUMBER(B103),I103,IF(ISNUMBER(B104),I104,IF(ISNUMBER(B105),I105,I106)))</f>
        <v>0</v>
      </c>
      <c r="K103" s="295" t="s">
        <v>131</v>
      </c>
      <c r="L103" s="296" t="str">
        <f>IF($J$94=0,"N/A",IF(OR(B104&lt;&gt;"",B105&lt;&gt;""),"N/A"))</f>
        <v>N/A</v>
      </c>
      <c r="M103" s="297"/>
    </row>
    <row r="104" spans="1:13" hidden="1" x14ac:dyDescent="0.3">
      <c r="A104" s="306" t="s">
        <v>132</v>
      </c>
      <c r="B104" s="298"/>
      <c r="C104" s="292" t="s">
        <v>133</v>
      </c>
      <c r="D104" s="292"/>
      <c r="G104" s="299"/>
      <c r="H104" s="4"/>
      <c r="I104" s="304">
        <f>B104/$J$114</f>
        <v>0</v>
      </c>
      <c r="J104" s="307"/>
      <c r="K104" s="308"/>
      <c r="L104" s="296" t="str">
        <f>IF($J$94=0,"N/A",IF(OR(B103&lt;&gt;"",B105&lt;&gt;""),"N/A"))</f>
        <v>N/A</v>
      </c>
      <c r="M104" s="297"/>
    </row>
    <row r="105" spans="1:13" hidden="1" x14ac:dyDescent="0.3">
      <c r="A105" s="306" t="s">
        <v>132</v>
      </c>
      <c r="B105" s="298"/>
      <c r="C105" s="292" t="s">
        <v>138</v>
      </c>
      <c r="D105" s="292"/>
      <c r="G105" s="299"/>
      <c r="H105" s="4"/>
      <c r="I105" s="304">
        <f>B105*1.194*10^-7*J$115*(20.946/(20.946-3))</f>
        <v>0</v>
      </c>
      <c r="J105" s="307"/>
      <c r="K105" s="308"/>
      <c r="L105" s="296" t="str">
        <f>IF($J$94=0,"N/A",IF(OR(B103&lt;&gt;"",B104&lt;&gt;""),"N/A"))</f>
        <v>N/A</v>
      </c>
      <c r="M105" s="297"/>
    </row>
    <row r="106" spans="1:13" hidden="1" x14ac:dyDescent="0.3">
      <c r="A106" s="306" t="s">
        <v>136</v>
      </c>
      <c r="B106" s="309"/>
      <c r="C106" s="292" t="s">
        <v>138</v>
      </c>
      <c r="D106" s="292"/>
      <c r="G106" s="299"/>
      <c r="H106" s="4"/>
      <c r="I106" s="304">
        <f>B106*1.194*10^-7*J$115*(20.946/(20.946-3))</f>
        <v>0</v>
      </c>
      <c r="J106" s="307"/>
      <c r="K106" s="308"/>
      <c r="L106" s="296" t="str">
        <f>IF($J$94=0,"N/A",IF(COUNTA(B103:B105)&gt;0,"N/A"))</f>
        <v>N/A</v>
      </c>
      <c r="M106" s="297"/>
    </row>
    <row r="107" spans="1:13" hidden="1" x14ac:dyDescent="0.3">
      <c r="H107" s="4"/>
      <c r="I107"/>
      <c r="J107"/>
      <c r="K107"/>
      <c r="L107" s="303"/>
      <c r="M107" s="24"/>
    </row>
    <row r="108" spans="1:13" hidden="1" x14ac:dyDescent="0.3">
      <c r="A108" s="2" t="s">
        <v>139</v>
      </c>
      <c r="B108" s="298"/>
      <c r="C108" s="292" t="s">
        <v>130</v>
      </c>
      <c r="D108" s="292"/>
      <c r="G108" s="299"/>
      <c r="H108" s="4"/>
      <c r="I108" s="304">
        <f>B108</f>
        <v>0</v>
      </c>
      <c r="J108" s="305">
        <f>IF(ISNUMBER(B108),I108,IF(ISNUMBER(B109),I109,I110))</f>
        <v>0</v>
      </c>
      <c r="K108" s="295" t="s">
        <v>131</v>
      </c>
      <c r="L108" s="296" t="str">
        <f>IF(COUNTA(B108:B110)=0,"Req'd",IF(OR(B109&lt;&gt;"",B110&lt;&gt;""),"N/A"))</f>
        <v>Req'd</v>
      </c>
      <c r="M108" s="297"/>
    </row>
    <row r="109" spans="1:13" hidden="1" x14ac:dyDescent="0.3">
      <c r="A109" s="306" t="s">
        <v>132</v>
      </c>
      <c r="B109" s="298"/>
      <c r="C109" s="292" t="s">
        <v>133</v>
      </c>
      <c r="D109" s="292"/>
      <c r="G109" s="299"/>
      <c r="H109" s="4"/>
      <c r="I109" s="304">
        <f>B109/$J$114</f>
        <v>0</v>
      </c>
      <c r="J109" s="307"/>
      <c r="K109" s="308"/>
      <c r="L109" s="296" t="str">
        <f>IF(COUNTA(B108:B110)=0,"Req'd",IF(OR(B108&lt;&gt;"",B110&lt;&gt;""),"N/A"))</f>
        <v>Req'd</v>
      </c>
      <c r="M109" s="297"/>
    </row>
    <row r="110" spans="1:13" hidden="1" x14ac:dyDescent="0.3">
      <c r="A110" s="306" t="s">
        <v>132</v>
      </c>
      <c r="B110" s="298"/>
      <c r="C110" s="292" t="s">
        <v>134</v>
      </c>
      <c r="D110" s="292"/>
      <c r="G110" s="310" t="s">
        <v>140</v>
      </c>
      <c r="H110" s="4"/>
      <c r="I110" s="304">
        <f>B110*1.194*10^-7*J$115*(20.946/(20.946-15))</f>
        <v>0</v>
      </c>
      <c r="J110" s="307"/>
      <c r="K110" s="308"/>
      <c r="L110" s="296" t="str">
        <f>IF(COUNTA(B108:B110)=0,"Req'd",IF(OR(B108&lt;&gt;"",B109&lt;&gt;""),"N/A"))</f>
        <v>Req'd</v>
      </c>
      <c r="M110" s="297"/>
    </row>
    <row r="111" spans="1:13" ht="8.25" hidden="1" customHeight="1" x14ac:dyDescent="0.3">
      <c r="A111" s="256"/>
      <c r="B111" s="289"/>
      <c r="C111" s="289"/>
      <c r="D111" s="289"/>
      <c r="E111" s="289"/>
      <c r="F111" s="289"/>
      <c r="H111" s="4"/>
      <c r="I111"/>
      <c r="J111"/>
      <c r="K111"/>
      <c r="L111" s="303"/>
      <c r="M111" s="24"/>
    </row>
    <row r="112" spans="1:13" hidden="1" x14ac:dyDescent="0.3">
      <c r="A112" s="284" t="s">
        <v>141</v>
      </c>
      <c r="B112" s="285"/>
      <c r="C112" s="285"/>
      <c r="D112" s="285"/>
      <c r="E112" s="285"/>
      <c r="F112" s="285"/>
      <c r="G112" s="286"/>
      <c r="H112" s="4"/>
      <c r="I112"/>
      <c r="J112"/>
      <c r="K112"/>
      <c r="L112" s="303"/>
      <c r="M112" s="24"/>
    </row>
    <row r="113" spans="1:14" hidden="1" x14ac:dyDescent="0.3">
      <c r="A113" s="288"/>
      <c r="B113" s="289"/>
      <c r="C113" s="289"/>
      <c r="D113" s="289"/>
      <c r="E113" s="289"/>
      <c r="F113" s="289"/>
      <c r="G113" s="255" t="s">
        <v>7</v>
      </c>
      <c r="H113" s="4"/>
      <c r="I113"/>
      <c r="J113"/>
      <c r="K113"/>
      <c r="L113" s="303"/>
      <c r="M113" s="24"/>
    </row>
    <row r="114" spans="1:14" hidden="1" x14ac:dyDescent="0.3">
      <c r="A114" s="2" t="str">
        <f>"HHV  [Default: "&amp;I114&amp;" " &amp; C114&amp;"]"</f>
        <v>HHV  [Default: 1050 Btu/scf]</v>
      </c>
      <c r="B114" s="298"/>
      <c r="C114" s="292" t="s">
        <v>142</v>
      </c>
      <c r="D114" s="292"/>
      <c r="G114" s="311"/>
      <c r="H114" s="4"/>
      <c r="I114" s="312">
        <v>1050</v>
      </c>
      <c r="J114" s="233">
        <f>IF(ISNUMBER(B114),B114,I114)</f>
        <v>1050</v>
      </c>
      <c r="K114" s="295" t="s">
        <v>142</v>
      </c>
      <c r="L114" s="296" t="b">
        <v>0</v>
      </c>
      <c r="M114" s="297"/>
    </row>
    <row r="115" spans="1:14" hidden="1" x14ac:dyDescent="0.3">
      <c r="A115" s="2" t="str">
        <f>"F-factor (dry)  [Default: "&amp;I115&amp;" " &amp; C115&amp;"]"</f>
        <v>F-factor (dry)  [Default: 8710 dscf/MMBtu]</v>
      </c>
      <c r="B115" s="298"/>
      <c r="C115" s="292" t="s">
        <v>143</v>
      </c>
      <c r="D115" s="292"/>
      <c r="G115" s="259" t="s">
        <v>144</v>
      </c>
      <c r="H115" s="4"/>
      <c r="I115" s="312">
        <v>8710</v>
      </c>
      <c r="J115" s="233">
        <f>IF(ISNUMBER(B115),B115,I115)</f>
        <v>8710</v>
      </c>
      <c r="K115" s="295" t="s">
        <v>143</v>
      </c>
      <c r="L115" s="296" t="b">
        <v>0</v>
      </c>
      <c r="M115" s="297"/>
    </row>
    <row r="116" spans="1:14" ht="8.25" hidden="1" customHeight="1" x14ac:dyDescent="0.3">
      <c r="A116" s="256"/>
      <c r="B116" s="289"/>
      <c r="C116" s="289"/>
      <c r="D116" s="289"/>
      <c r="E116" s="289"/>
      <c r="F116" s="289"/>
      <c r="H116" s="4"/>
      <c r="I116"/>
      <c r="J116"/>
      <c r="K116"/>
      <c r="L116" s="303"/>
      <c r="M116" s="24"/>
    </row>
    <row r="117" spans="1:14" x14ac:dyDescent="0.3">
      <c r="A117" s="284" t="s">
        <v>145</v>
      </c>
      <c r="B117" s="285"/>
      <c r="C117" s="285"/>
      <c r="D117" s="285"/>
      <c r="E117" s="285"/>
      <c r="F117" s="285"/>
      <c r="G117" s="286"/>
      <c r="H117" s="4"/>
      <c r="I117"/>
      <c r="J117"/>
      <c r="K117"/>
      <c r="L117" s="303"/>
      <c r="M117" s="24"/>
    </row>
    <row r="118" spans="1:14" x14ac:dyDescent="0.3">
      <c r="A118" s="288"/>
      <c r="B118" s="289"/>
      <c r="C118" s="289"/>
      <c r="D118" s="289"/>
      <c r="E118" s="289"/>
      <c r="F118" s="289"/>
      <c r="G118" s="255" t="s">
        <v>7</v>
      </c>
      <c r="H118" s="4"/>
      <c r="I118"/>
      <c r="J118"/>
      <c r="K118"/>
      <c r="L118" s="303"/>
      <c r="M118" s="24"/>
    </row>
    <row r="119" spans="1:14" x14ac:dyDescent="0.3">
      <c r="A119" s="2" t="str">
        <f>"Max annual op hours [Default: "&amp;I119&amp;" " &amp; C119&amp;"]"</f>
        <v>Max annual op hours [Default: 8760 hr/yr]</v>
      </c>
      <c r="B119" s="298">
        <v>500</v>
      </c>
      <c r="C119" s="292" t="s">
        <v>146</v>
      </c>
      <c r="D119" s="292"/>
      <c r="G119" s="293"/>
      <c r="H119" s="4"/>
      <c r="I119" s="312">
        <v>8760</v>
      </c>
      <c r="J119" s="233">
        <f>IF(ISNUMBER(B119),B119,I119)</f>
        <v>500</v>
      </c>
      <c r="K119" s="295" t="s">
        <v>147</v>
      </c>
      <c r="L119" s="296" t="b">
        <v>0</v>
      </c>
      <c r="M119" s="297"/>
    </row>
    <row r="120" spans="1:14" ht="9" customHeight="1" x14ac:dyDescent="0.3">
      <c r="A120" s="256"/>
      <c r="B120" s="289"/>
      <c r="C120" s="289"/>
      <c r="D120" s="289"/>
      <c r="E120" s="289"/>
      <c r="F120" s="289"/>
      <c r="H120" s="4"/>
      <c r="I120"/>
      <c r="J120"/>
      <c r="K120"/>
      <c r="L120" s="303"/>
      <c r="M120" s="24"/>
    </row>
    <row r="121" spans="1:14" x14ac:dyDescent="0.3">
      <c r="A121" s="284" t="s">
        <v>148</v>
      </c>
      <c r="B121" s="285"/>
      <c r="C121" s="285"/>
      <c r="D121" s="285"/>
      <c r="E121" s="285"/>
      <c r="F121" s="285"/>
      <c r="G121" s="286"/>
      <c r="H121" s="4"/>
      <c r="I121"/>
      <c r="J121"/>
      <c r="K121"/>
      <c r="L121" s="313"/>
      <c r="M121" s="24"/>
    </row>
    <row r="122" spans="1:14" x14ac:dyDescent="0.3">
      <c r="A122" s="288"/>
      <c r="B122" s="289"/>
      <c r="C122" s="289"/>
      <c r="D122" s="289"/>
      <c r="E122" s="289"/>
      <c r="F122" s="289"/>
      <c r="G122" s="255" t="s">
        <v>7</v>
      </c>
      <c r="H122" s="4"/>
      <c r="I122"/>
      <c r="J122"/>
      <c r="K122"/>
      <c r="L122" s="313"/>
      <c r="M122" s="24"/>
    </row>
    <row r="123" spans="1:14" x14ac:dyDescent="0.3">
      <c r="A123" s="2" t="s">
        <v>149</v>
      </c>
      <c r="B123" s="364">
        <v>429</v>
      </c>
      <c r="C123" s="292" t="s">
        <v>150</v>
      </c>
      <c r="D123" s="292"/>
      <c r="G123" s="259" t="s">
        <v>115</v>
      </c>
      <c r="H123" s="4"/>
      <c r="I123" s="314" t="e">
        <f>0.105*B93*(J98*((J98-J108)/J98)+0.5*(J125+J127*J126))</f>
        <v>#DIV/0!</v>
      </c>
      <c r="J123" s="315">
        <f>IF(ISNUMBER(B123),B123,I123)</f>
        <v>429</v>
      </c>
      <c r="K123" s="295" t="str">
        <f>C123</f>
        <v>kW</v>
      </c>
      <c r="L123" s="316"/>
      <c r="M123" s="297" t="s">
        <v>151</v>
      </c>
    </row>
    <row r="124" spans="1:14" x14ac:dyDescent="0.3">
      <c r="A124" s="256" t="s">
        <v>152</v>
      </c>
      <c r="B124" s="317"/>
      <c r="C124" s="292"/>
      <c r="D124" s="292"/>
      <c r="H124" s="4"/>
      <c r="I124" s="318"/>
      <c r="J124" s="319"/>
      <c r="K124" s="117"/>
      <c r="L124" s="320"/>
      <c r="M124" s="321"/>
      <c r="N124" s="256"/>
    </row>
    <row r="125" spans="1:14" x14ac:dyDescent="0.3">
      <c r="A125" s="2" t="s">
        <v>153</v>
      </c>
      <c r="B125" s="298"/>
      <c r="C125" s="292"/>
      <c r="D125" s="292"/>
      <c r="G125" s="259" t="s">
        <v>154</v>
      </c>
      <c r="H125" s="4"/>
      <c r="I125" s="312">
        <v>3</v>
      </c>
      <c r="J125" s="322">
        <f>IF(ISNUMBER(B125),B125,I125)</f>
        <v>3</v>
      </c>
      <c r="K125" s="295" t="s">
        <v>155</v>
      </c>
      <c r="L125" s="316" t="str">
        <f>IF(B$123&lt;&gt;"","N/A")</f>
        <v>N/A</v>
      </c>
      <c r="M125" s="297"/>
    </row>
    <row r="126" spans="1:14" x14ac:dyDescent="0.3">
      <c r="A126" s="2" t="s">
        <v>156</v>
      </c>
      <c r="B126" s="298"/>
      <c r="C126" s="292"/>
      <c r="D126" s="292"/>
      <c r="G126" s="259" t="s">
        <v>154</v>
      </c>
      <c r="H126" s="4"/>
      <c r="I126" s="312">
        <v>1</v>
      </c>
      <c r="J126" s="322">
        <f>IF(ISNUMBER(B126),B126,I126)</f>
        <v>1</v>
      </c>
      <c r="K126" s="295" t="s">
        <v>155</v>
      </c>
      <c r="L126" s="316" t="str">
        <f t="shared" ref="L126" si="4">IF(B$123&lt;&gt;"","N/A")</f>
        <v>N/A</v>
      </c>
      <c r="M126" s="297"/>
    </row>
    <row r="127" spans="1:14" x14ac:dyDescent="0.3">
      <c r="A127" s="2" t="s">
        <v>157</v>
      </c>
      <c r="B127" s="298">
        <v>1</v>
      </c>
      <c r="C127" s="292"/>
      <c r="D127" s="292"/>
      <c r="G127" s="299"/>
      <c r="H127" s="4"/>
      <c r="I127" s="101"/>
      <c r="J127" s="322">
        <f>IF(ISNUMBER(B127),B127,I127)</f>
        <v>1</v>
      </c>
      <c r="K127" s="295" t="s">
        <v>158</v>
      </c>
      <c r="L127" s="316" t="str">
        <f>IF(B$123&lt;&gt;"","N/A",IF(B127="","Req'd"))</f>
        <v>N/A</v>
      </c>
      <c r="M127" s="297"/>
    </row>
    <row r="128" spans="1:14" x14ac:dyDescent="0.3">
      <c r="A128" s="2" t="s">
        <v>159</v>
      </c>
      <c r="B128" s="323">
        <f>J123</f>
        <v>429</v>
      </c>
      <c r="C128" s="292" t="s">
        <v>150</v>
      </c>
      <c r="D128" s="324"/>
      <c r="G128" s="259" t="s">
        <v>154</v>
      </c>
      <c r="H128" s="4"/>
      <c r="I128" s="300"/>
      <c r="J128" s="325"/>
      <c r="K128" s="289"/>
      <c r="L128" s="316" t="str">
        <f>IF(B$123&lt;&gt;"","N/A")</f>
        <v>N/A</v>
      </c>
      <c r="M128" s="302"/>
    </row>
    <row r="129" spans="1:14" x14ac:dyDescent="0.3">
      <c r="A129" s="256"/>
      <c r="B129" s="326"/>
      <c r="C129" s="327"/>
      <c r="D129" s="327"/>
      <c r="E129" s="289"/>
      <c r="F129" s="289"/>
      <c r="H129" s="111"/>
      <c r="I129" s="318"/>
      <c r="J129" s="319"/>
      <c r="K129" s="117"/>
      <c r="L129" s="320"/>
      <c r="M129" s="321"/>
      <c r="N129" s="256"/>
    </row>
    <row r="130" spans="1:14" x14ac:dyDescent="0.3">
      <c r="A130" s="2" t="str">
        <f>"Electricity Cost  [Default: "&amp;I130&amp;" " &amp; C130&amp;"]"</f>
        <v>Electricity Cost  [Default: 0.1572 $/kWh]</v>
      </c>
      <c r="B130" s="298">
        <v>0</v>
      </c>
      <c r="C130" s="292" t="s">
        <v>160</v>
      </c>
      <c r="D130" s="292"/>
      <c r="G130" s="299"/>
      <c r="H130" s="4"/>
      <c r="I130" s="312">
        <v>0.15720000000000001</v>
      </c>
      <c r="J130" s="328">
        <f>IF(ISNUMBER(B130),B130,I130)</f>
        <v>0</v>
      </c>
      <c r="K130" s="295" t="s">
        <v>160</v>
      </c>
      <c r="L130" s="316" t="b">
        <v>0</v>
      </c>
      <c r="M130" s="297"/>
    </row>
    <row r="131" spans="1:14" ht="8.25" customHeight="1" x14ac:dyDescent="0.3">
      <c r="A131" s="256"/>
      <c r="B131" s="289"/>
      <c r="C131" s="289"/>
      <c r="D131" s="289"/>
      <c r="E131" s="289"/>
      <c r="F131" s="289"/>
      <c r="G131" s="329"/>
      <c r="H131" s="4"/>
      <c r="I131"/>
      <c r="J131"/>
      <c r="K131"/>
      <c r="L131" s="303"/>
      <c r="M131" s="24"/>
    </row>
    <row r="132" spans="1:14" hidden="1" x14ac:dyDescent="0.3">
      <c r="A132" s="284" t="s">
        <v>161</v>
      </c>
      <c r="B132" s="285"/>
      <c r="C132" s="285"/>
      <c r="D132" s="285"/>
      <c r="E132" s="285"/>
      <c r="F132" s="285"/>
      <c r="G132" s="330"/>
      <c r="H132" s="4"/>
      <c r="I132"/>
      <c r="J132"/>
      <c r="K132"/>
      <c r="L132" s="303"/>
      <c r="M132" s="24"/>
    </row>
    <row r="133" spans="1:14" hidden="1" x14ac:dyDescent="0.3">
      <c r="A133" s="288"/>
      <c r="B133" s="289"/>
      <c r="C133" s="289"/>
      <c r="D133" s="289"/>
      <c r="E133" s="289"/>
      <c r="F133" s="289"/>
      <c r="G133" s="331" t="s">
        <v>7</v>
      </c>
      <c r="H133" s="4"/>
      <c r="I133"/>
      <c r="J133"/>
      <c r="K133"/>
      <c r="L133" s="303"/>
      <c r="M133" s="24"/>
    </row>
    <row r="134" spans="1:14" hidden="1" x14ac:dyDescent="0.3">
      <c r="A134" s="2" t="s">
        <v>162</v>
      </c>
      <c r="B134" s="332"/>
      <c r="C134" s="292" t="s">
        <v>163</v>
      </c>
      <c r="D134" s="292"/>
      <c r="G134" s="299"/>
      <c r="H134" s="4"/>
      <c r="I134" s="312"/>
      <c r="J134" s="328">
        <f>B134</f>
        <v>0</v>
      </c>
      <c r="K134" s="295" t="str">
        <f>C134</f>
        <v>$/gallon</v>
      </c>
      <c r="L134" s="296" t="str">
        <f>IF(B134="","Req'd")</f>
        <v>Req'd</v>
      </c>
      <c r="M134" s="297"/>
    </row>
    <row r="135" spans="1:14" hidden="1" x14ac:dyDescent="0.3">
      <c r="A135" s="2" t="s">
        <v>164</v>
      </c>
      <c r="B135" s="298"/>
      <c r="C135" s="292" t="s">
        <v>165</v>
      </c>
      <c r="D135" s="292"/>
      <c r="G135" s="333" t="s">
        <v>115</v>
      </c>
      <c r="H135" s="4"/>
      <c r="I135" s="312"/>
      <c r="J135" s="233">
        <f>IF(ISNUMBER(B135),B135,B136*24*J138)</f>
        <v>0</v>
      </c>
      <c r="K135" s="295" t="s">
        <v>165</v>
      </c>
      <c r="L135" s="296" t="str">
        <f>IF(AND(B135="",B136=""),"Req'd")</f>
        <v>Req'd</v>
      </c>
      <c r="M135" s="297"/>
    </row>
    <row r="136" spans="1:14" hidden="1" x14ac:dyDescent="0.3">
      <c r="A136" s="306" t="s">
        <v>132</v>
      </c>
      <c r="B136" s="298"/>
      <c r="C136" s="292" t="s">
        <v>166</v>
      </c>
      <c r="D136" s="292"/>
      <c r="G136" s="299" t="s">
        <v>81</v>
      </c>
      <c r="H136" s="4"/>
      <c r="I136" s="312"/>
      <c r="J136" s="233">
        <f>IF(ISNUMBER(B136),B136,B137*24*J139)</f>
        <v>0</v>
      </c>
      <c r="K136" s="295" t="s">
        <v>165</v>
      </c>
      <c r="L136" s="296" t="str">
        <f>IF(AND(B135="",B136=""),"Req'd",IF(B135&lt;&gt;"","N/A"))</f>
        <v>Req'd</v>
      </c>
      <c r="M136" s="297"/>
    </row>
    <row r="137" spans="1:14" hidden="1" x14ac:dyDescent="0.3">
      <c r="B137" s="2"/>
      <c r="G137" s="329"/>
      <c r="H137" s="4"/>
      <c r="I137"/>
      <c r="J137"/>
      <c r="K137"/>
      <c r="L137" s="303"/>
      <c r="M137" s="24"/>
    </row>
    <row r="138" spans="1:14" hidden="1" x14ac:dyDescent="0.3">
      <c r="A138" s="2" t="s">
        <v>167</v>
      </c>
      <c r="B138" s="291"/>
      <c r="C138" s="292" t="s">
        <v>168</v>
      </c>
      <c r="D138" s="292"/>
      <c r="G138" s="333" t="s">
        <v>115</v>
      </c>
      <c r="H138" s="4"/>
      <c r="I138" s="312">
        <f>(J141/J142)</f>
        <v>0</v>
      </c>
      <c r="J138" s="233">
        <f>IF(ISNUMBER(B138),B138,I138)</f>
        <v>0</v>
      </c>
      <c r="K138" s="295" t="str">
        <f>C138</f>
        <v>gal/hr</v>
      </c>
      <c r="L138" s="296"/>
      <c r="M138" s="297"/>
    </row>
    <row r="139" spans="1:14" customFormat="1" hidden="1" x14ac:dyDescent="0.3">
      <c r="A139" s="256" t="s">
        <v>169</v>
      </c>
      <c r="G139" s="329"/>
      <c r="H139" s="4"/>
      <c r="L139" s="303"/>
      <c r="M139" s="24"/>
    </row>
    <row r="140" spans="1:14" hidden="1" x14ac:dyDescent="0.3">
      <c r="A140" s="306" t="str">
        <f>"Stored NH3 concentration  [Default: "&amp;TEXT(I140,"0.0%")&amp;"]"</f>
        <v>Stored NH3 concentration  [Default: 19.4%]</v>
      </c>
      <c r="B140" s="334"/>
      <c r="C140" s="292" t="s">
        <v>170</v>
      </c>
      <c r="D140" s="292"/>
      <c r="E140" s="2"/>
      <c r="F140" s="251"/>
      <c r="G140" s="299"/>
      <c r="H140" s="2"/>
      <c r="I140" s="335">
        <v>0.19400000000000001</v>
      </c>
      <c r="J140" s="336">
        <f>IF(ISNUMBER(B140),B140,I140)</f>
        <v>0.19400000000000001</v>
      </c>
      <c r="K140" s="337" t="s">
        <v>170</v>
      </c>
      <c r="L140" s="296" t="b">
        <f>IF(B$138&lt;&gt;"","N/A")</f>
        <v>0</v>
      </c>
      <c r="M140" s="297" t="s">
        <v>171</v>
      </c>
    </row>
    <row r="141" spans="1:14" ht="15.6" hidden="1" x14ac:dyDescent="0.35">
      <c r="A141" s="306" t="s">
        <v>172</v>
      </c>
      <c r="B141" s="338"/>
      <c r="C141" s="292" t="s">
        <v>173</v>
      </c>
      <c r="D141" s="292"/>
      <c r="E141" s="2"/>
      <c r="F141" s="2"/>
      <c r="G141" s="259" t="s">
        <v>115</v>
      </c>
      <c r="H141" s="2"/>
      <c r="I141" s="314">
        <f>(J93*(J98-J108)+J94*(J103-J108))*(1.05*17.03)/(1*46.01)/J140</f>
        <v>0</v>
      </c>
      <c r="J141" s="322">
        <f>IF(ISNUMBER(B141),B141,I141)</f>
        <v>0</v>
      </c>
      <c r="K141" s="339" t="s">
        <v>173</v>
      </c>
      <c r="L141" s="296" t="b">
        <f>IF(B$138&lt;&gt;"","N/A")</f>
        <v>0</v>
      </c>
      <c r="M141" s="297" t="s">
        <v>174</v>
      </c>
    </row>
    <row r="142" spans="1:14" hidden="1" x14ac:dyDescent="0.3">
      <c r="A142" s="306" t="str">
        <f>"NH3 solution density  [Default: "&amp;TEXT(I142,"0.000")&amp;" "&amp;K142&amp;"]"</f>
        <v>NH3 solution density  [Default: 7.782 lb/gal]</v>
      </c>
      <c r="B142" s="338"/>
      <c r="C142" s="292" t="s">
        <v>175</v>
      </c>
      <c r="D142" s="292"/>
      <c r="E142" s="2"/>
      <c r="F142" s="2"/>
      <c r="G142" s="299" t="s">
        <v>176</v>
      </c>
      <c r="H142" s="2"/>
      <c r="I142" s="314">
        <f>-3.3395*J140 + 8.4297</f>
        <v>7.7818370000000003</v>
      </c>
      <c r="J142" s="322">
        <f>IF(ISNUMBER(B142),B142,I142)</f>
        <v>7.7818370000000003</v>
      </c>
      <c r="K142" s="339" t="s">
        <v>175</v>
      </c>
      <c r="L142" s="296" t="b">
        <f>IF(B$138&lt;&gt;"","N/A")</f>
        <v>0</v>
      </c>
      <c r="M142" s="297"/>
    </row>
    <row r="143" spans="1:14" hidden="1" x14ac:dyDescent="0.3">
      <c r="A143" s="2" t="s">
        <v>177</v>
      </c>
      <c r="B143" s="323">
        <f>J138</f>
        <v>0</v>
      </c>
      <c r="C143" s="292" t="s">
        <v>168</v>
      </c>
      <c r="D143" s="292"/>
      <c r="E143" s="2"/>
      <c r="F143" s="2"/>
      <c r="G143" s="259" t="s">
        <v>178</v>
      </c>
      <c r="H143" s="2"/>
      <c r="I143" s="253"/>
      <c r="J143" s="253"/>
      <c r="K143" s="340"/>
      <c r="L143" s="316" t="b">
        <f>IF(B$138&lt;&gt;"","N/A")</f>
        <v>0</v>
      </c>
      <c r="M143" s="302"/>
    </row>
    <row r="144" spans="1:14" ht="8.25" customHeight="1" x14ac:dyDescent="0.3">
      <c r="A144" s="256"/>
      <c r="B144" s="289"/>
      <c r="C144" s="289"/>
      <c r="D144" s="289"/>
      <c r="E144" s="289"/>
      <c r="F144" s="289"/>
      <c r="H144" s="4"/>
      <c r="I144"/>
      <c r="J144"/>
      <c r="K144"/>
      <c r="L144"/>
      <c r="M144" s="24"/>
    </row>
    <row r="145" spans="1:13" x14ac:dyDescent="0.3">
      <c r="A145" s="284" t="s">
        <v>179</v>
      </c>
      <c r="B145" s="285"/>
      <c r="C145" s="285"/>
      <c r="D145" s="285"/>
      <c r="E145" s="285"/>
      <c r="F145" s="285"/>
      <c r="G145" s="286"/>
      <c r="H145" s="4"/>
      <c r="I145"/>
      <c r="J145"/>
      <c r="K145"/>
      <c r="L145"/>
      <c r="M145" s="24"/>
    </row>
    <row r="146" spans="1:13" x14ac:dyDescent="0.3">
      <c r="A146" s="288"/>
      <c r="B146" s="289"/>
      <c r="C146" s="289"/>
      <c r="D146" s="289"/>
      <c r="E146" s="289"/>
      <c r="F146" s="289"/>
      <c r="G146" s="255" t="s">
        <v>7</v>
      </c>
      <c r="H146" s="4"/>
      <c r="I146"/>
      <c r="J146"/>
      <c r="K146"/>
      <c r="L146"/>
      <c r="M146" s="24"/>
    </row>
    <row r="147" spans="1:13" x14ac:dyDescent="0.3">
      <c r="A147" s="2" t="s">
        <v>180</v>
      </c>
      <c r="B147" s="341"/>
      <c r="G147" s="293" t="s">
        <v>187</v>
      </c>
      <c r="H147" s="4"/>
      <c r="I147" s="294"/>
      <c r="J147" s="342">
        <f>B147</f>
        <v>0</v>
      </c>
      <c r="K147" s="295" t="s">
        <v>19</v>
      </c>
      <c r="L147" s="296" t="str">
        <f>IF(B147="","Req'd")</f>
        <v>Req'd</v>
      </c>
      <c r="M147" s="297"/>
    </row>
    <row r="148" spans="1:13" x14ac:dyDescent="0.3">
      <c r="A148" s="2" t="s">
        <v>181</v>
      </c>
      <c r="B148" s="298"/>
      <c r="C148" s="292" t="s">
        <v>99</v>
      </c>
      <c r="D148" s="324"/>
      <c r="G148" s="293"/>
      <c r="H148" s="4"/>
      <c r="I148" s="294"/>
      <c r="J148" s="233">
        <f>IF(ISNUMBER(B148),B148,I148)</f>
        <v>0</v>
      </c>
      <c r="K148" s="295" t="s">
        <v>99</v>
      </c>
      <c r="L148" s="296" t="str">
        <f>IF(B148="","Req'd")</f>
        <v>Req'd</v>
      </c>
      <c r="M148" s="297"/>
    </row>
    <row r="149" spans="1:13" x14ac:dyDescent="0.3">
      <c r="A149" s="343" t="s">
        <v>100</v>
      </c>
      <c r="B149" s="344">
        <v>7.0000000000000007E-2</v>
      </c>
      <c r="C149" s="292" t="s">
        <v>103</v>
      </c>
      <c r="D149" s="292"/>
      <c r="G149" s="259" t="s">
        <v>182</v>
      </c>
      <c r="H149" s="4"/>
      <c r="I149" s="294"/>
      <c r="J149" s="345">
        <f>IF(ISNUMBER(B149),B149,I149)</f>
        <v>7.0000000000000007E-2</v>
      </c>
      <c r="K149" s="295" t="s">
        <v>103</v>
      </c>
      <c r="L149" s="296" t="b">
        <f>IF(B149="","Req'd")</f>
        <v>0</v>
      </c>
      <c r="M149" s="297"/>
    </row>
    <row r="150" spans="1:13" x14ac:dyDescent="0.3">
      <c r="A150" s="346" t="s">
        <v>183</v>
      </c>
      <c r="B150" s="347">
        <f>J150</f>
        <v>0</v>
      </c>
      <c r="G150" s="259" t="s">
        <v>184</v>
      </c>
      <c r="H150" s="4"/>
      <c r="I150" s="348">
        <f>IF(NOT(AND(ISNUMBER(B147),ISNUMBER(B148))),0,J147*J149/((1+J149)^J148-1))</f>
        <v>0</v>
      </c>
      <c r="J150" s="342">
        <f>I150</f>
        <v>0</v>
      </c>
      <c r="K150" s="295" t="s">
        <v>19</v>
      </c>
      <c r="L150" s="349" t="b">
        <v>0</v>
      </c>
      <c r="M150" s="297" t="s">
        <v>185</v>
      </c>
    </row>
    <row r="151" spans="1:13" ht="8.25" customHeight="1" x14ac:dyDescent="0.3">
      <c r="A151" s="256"/>
      <c r="B151" s="289"/>
      <c r="C151" s="289"/>
      <c r="D151" s="289"/>
      <c r="E151" s="289"/>
      <c r="F151" s="289"/>
      <c r="H151" s="4"/>
      <c r="I151" s="350"/>
      <c r="J151"/>
      <c r="K151"/>
      <c r="L151"/>
    </row>
    <row r="152" spans="1:13" x14ac:dyDescent="0.3">
      <c r="A152" s="2" t="s">
        <v>186</v>
      </c>
      <c r="B152" s="351"/>
      <c r="H152" s="4"/>
      <c r="I152" s="352"/>
      <c r="L152"/>
      <c r="M152"/>
    </row>
    <row r="153" spans="1:13" x14ac:dyDescent="0.3">
      <c r="A153" s="251"/>
      <c r="B153" s="251"/>
      <c r="C153" s="251"/>
      <c r="D153" s="251"/>
      <c r="E153" s="353"/>
      <c r="F153" s="251"/>
      <c r="H153" s="2"/>
      <c r="I153" s="251"/>
      <c r="J153" s="354"/>
      <c r="K153" s="114"/>
      <c r="L153" s="251"/>
      <c r="M153" s="251"/>
    </row>
    <row r="154" spans="1:13" x14ac:dyDescent="0.3">
      <c r="A154" s="355"/>
      <c r="B154" s="356"/>
      <c r="C154" s="356"/>
      <c r="D154" s="356"/>
      <c r="E154" s="356"/>
      <c r="F154" s="356"/>
      <c r="H154" s="356"/>
      <c r="I154" s="251"/>
      <c r="J154" s="356"/>
      <c r="K154" s="356"/>
      <c r="L154" s="251"/>
      <c r="M154" s="251"/>
    </row>
    <row r="155" spans="1:13" x14ac:dyDescent="0.3">
      <c r="A155" s="251"/>
      <c r="B155" s="356"/>
      <c r="C155" s="356"/>
      <c r="D155" s="356"/>
      <c r="E155" s="356"/>
      <c r="F155" s="356"/>
      <c r="H155" s="356"/>
      <c r="I155" s="251"/>
      <c r="J155" s="356"/>
      <c r="K155" s="356"/>
      <c r="L155" s="251"/>
      <c r="M155" s="251"/>
    </row>
    <row r="156" spans="1:13" x14ac:dyDescent="0.3">
      <c r="A156" s="251"/>
      <c r="B156" s="356"/>
      <c r="C156" s="356"/>
      <c r="D156" s="356"/>
      <c r="E156" s="356"/>
      <c r="F156" s="356"/>
      <c r="G156" s="357"/>
      <c r="H156" s="356"/>
      <c r="I156" s="251"/>
      <c r="J156" s="356"/>
      <c r="K156" s="356"/>
      <c r="L156" s="251"/>
      <c r="M156" s="251"/>
    </row>
    <row r="157" spans="1:13" x14ac:dyDescent="0.3">
      <c r="A157" s="251"/>
      <c r="B157" s="356"/>
      <c r="C157" s="356"/>
      <c r="D157" s="356"/>
      <c r="E157" s="356"/>
      <c r="F157" s="356"/>
      <c r="G157" s="357"/>
      <c r="H157" s="356"/>
      <c r="I157" s="251"/>
      <c r="J157" s="356"/>
      <c r="K157" s="356"/>
      <c r="L157" s="251"/>
      <c r="M157" s="251"/>
    </row>
    <row r="158" spans="1:13" x14ac:dyDescent="0.3">
      <c r="A158" s="251"/>
      <c r="B158" s="356"/>
      <c r="C158" s="356"/>
      <c r="D158" s="356"/>
      <c r="E158" s="356"/>
      <c r="F158" s="356"/>
      <c r="G158" s="357"/>
      <c r="H158" s="356"/>
      <c r="I158" s="251"/>
      <c r="J158" s="356"/>
      <c r="K158" s="356"/>
      <c r="L158" s="251"/>
      <c r="M158" s="251"/>
    </row>
    <row r="159" spans="1:13" x14ac:dyDescent="0.3">
      <c r="A159" s="251"/>
      <c r="B159" s="356"/>
      <c r="C159" s="356"/>
      <c r="D159" s="356"/>
      <c r="E159" s="356"/>
      <c r="F159" s="356"/>
      <c r="G159" s="357"/>
      <c r="H159" s="356"/>
      <c r="I159" s="251"/>
      <c r="J159" s="356"/>
      <c r="K159" s="356"/>
      <c r="L159" s="251"/>
      <c r="M159" s="251"/>
    </row>
    <row r="160" spans="1:13" x14ac:dyDescent="0.3">
      <c r="A160" s="251"/>
      <c r="B160" s="356"/>
      <c r="C160" s="356"/>
      <c r="D160" s="356"/>
      <c r="E160" s="356"/>
      <c r="F160" s="356"/>
      <c r="G160" s="357"/>
      <c r="H160" s="356"/>
      <c r="I160" s="251"/>
      <c r="J160" s="356"/>
      <c r="K160" s="356"/>
      <c r="L160" s="251"/>
      <c r="M160" s="251"/>
    </row>
    <row r="161" spans="1:13" x14ac:dyDescent="0.3">
      <c r="A161" s="251"/>
      <c r="B161" s="356"/>
      <c r="C161" s="356"/>
      <c r="D161" s="356"/>
      <c r="E161" s="356"/>
      <c r="F161" s="356"/>
      <c r="G161" s="357"/>
      <c r="H161" s="356"/>
      <c r="I161" s="251"/>
      <c r="J161" s="356"/>
      <c r="K161" s="356"/>
      <c r="L161" s="251"/>
      <c r="M161" s="251"/>
    </row>
    <row r="162" spans="1:13" x14ac:dyDescent="0.3">
      <c r="A162" s="251"/>
      <c r="B162" s="356"/>
      <c r="C162" s="356"/>
      <c r="D162" s="356"/>
      <c r="E162" s="356"/>
      <c r="F162" s="356"/>
      <c r="G162" s="357"/>
      <c r="H162" s="356"/>
      <c r="I162" s="251"/>
      <c r="J162" s="356"/>
      <c r="K162" s="356"/>
      <c r="L162" s="251"/>
      <c r="M162" s="251"/>
    </row>
    <row r="163" spans="1:13" x14ac:dyDescent="0.3">
      <c r="A163" s="251"/>
      <c r="B163" s="356"/>
      <c r="C163" s="356"/>
      <c r="D163" s="356"/>
      <c r="E163" s="356"/>
      <c r="F163" s="356"/>
      <c r="G163" s="357"/>
      <c r="H163" s="356"/>
      <c r="I163" s="251"/>
      <c r="J163" s="356"/>
      <c r="K163" s="356"/>
      <c r="L163" s="251"/>
      <c r="M163" s="251"/>
    </row>
    <row r="164" spans="1:13" x14ac:dyDescent="0.3">
      <c r="A164" s="251"/>
      <c r="B164" s="356"/>
      <c r="C164" s="356"/>
      <c r="D164" s="356"/>
      <c r="E164" s="356"/>
      <c r="F164" s="356"/>
      <c r="G164" s="357"/>
      <c r="H164" s="356"/>
      <c r="I164" s="251"/>
      <c r="J164" s="356"/>
      <c r="K164" s="356"/>
      <c r="L164" s="251"/>
      <c r="M164" s="251"/>
    </row>
    <row r="165" spans="1:13" x14ac:dyDescent="0.3">
      <c r="A165" s="251"/>
      <c r="B165" s="356"/>
      <c r="C165" s="356"/>
      <c r="D165" s="356"/>
      <c r="E165" s="356"/>
      <c r="F165" s="356"/>
      <c r="G165" s="357"/>
      <c r="H165" s="356"/>
      <c r="I165" s="251"/>
      <c r="J165" s="356"/>
      <c r="K165" s="356"/>
      <c r="L165" s="251"/>
      <c r="M165" s="251"/>
    </row>
    <row r="166" spans="1:13" x14ac:dyDescent="0.3">
      <c r="A166" s="251"/>
      <c r="B166" s="356"/>
      <c r="C166" s="356"/>
      <c r="D166" s="356"/>
      <c r="E166" s="356"/>
      <c r="F166" s="356"/>
      <c r="G166" s="357"/>
      <c r="H166" s="356"/>
      <c r="I166" s="251"/>
      <c r="J166" s="356"/>
      <c r="K166" s="356"/>
      <c r="L166" s="251"/>
      <c r="M166" s="251"/>
    </row>
    <row r="167" spans="1:13" x14ac:dyDescent="0.3">
      <c r="A167" s="251"/>
      <c r="B167" s="356"/>
      <c r="C167" s="356"/>
      <c r="D167" s="356"/>
      <c r="E167" s="356"/>
      <c r="F167" s="356"/>
      <c r="G167" s="357"/>
      <c r="H167" s="356"/>
      <c r="I167" s="251"/>
      <c r="J167" s="356"/>
      <c r="K167" s="356"/>
      <c r="L167" s="251"/>
      <c r="M167" s="251"/>
    </row>
    <row r="168" spans="1:13" x14ac:dyDescent="0.3">
      <c r="A168" s="251"/>
      <c r="B168" s="356"/>
      <c r="C168" s="356"/>
      <c r="D168" s="356"/>
      <c r="E168" s="356"/>
      <c r="F168" s="356"/>
      <c r="G168" s="357"/>
      <c r="H168" s="356"/>
      <c r="I168" s="251"/>
      <c r="J168" s="356"/>
      <c r="K168" s="356"/>
      <c r="L168" s="251"/>
      <c r="M168" s="251"/>
    </row>
    <row r="169" spans="1:13" x14ac:dyDescent="0.3">
      <c r="A169" s="251"/>
      <c r="B169" s="356"/>
      <c r="C169" s="356"/>
      <c r="D169" s="356"/>
      <c r="E169" s="356"/>
      <c r="F169" s="356"/>
      <c r="G169" s="357"/>
      <c r="H169" s="356"/>
      <c r="I169" s="251"/>
      <c r="J169" s="356"/>
      <c r="K169" s="356"/>
      <c r="L169" s="251"/>
      <c r="M169" s="251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2:D23 C47:D47 C55:D56 C64:D64 C66:D71 C29:D42 C44:D45 C25:D27">
    <cfRule type="expression" dxfId="50" priority="58">
      <formula>$B12&lt;&gt;""</formula>
    </cfRule>
  </conditionalFormatting>
  <conditionalFormatting sqref="B12:B23 B47 B55:B56 B25:B27 B61:B64 B29:B42 B44:B45 B144:B150 B66:B74 B78:B142 C78:D80">
    <cfRule type="expression" dxfId="49" priority="59">
      <formula>$L12="N/A"</formula>
    </cfRule>
    <cfRule type="expression" dxfId="48" priority="60">
      <formula>AND($L12="Req'd",$B12="")</formula>
    </cfRule>
  </conditionalFormatting>
  <conditionalFormatting sqref="D46">
    <cfRule type="expression" dxfId="47" priority="55">
      <formula>$B46&lt;&gt;""</formula>
    </cfRule>
  </conditionalFormatting>
  <conditionalFormatting sqref="B46">
    <cfRule type="expression" dxfId="46" priority="56">
      <formula>$L46="N/A"</formula>
    </cfRule>
    <cfRule type="expression" dxfId="45" priority="57">
      <formula>AND($L46="Req'd",$B46="")</formula>
    </cfRule>
  </conditionalFormatting>
  <conditionalFormatting sqref="C58:D58 C63:D63">
    <cfRule type="expression" dxfId="44" priority="52">
      <formula>$B58&lt;&gt;""</formula>
    </cfRule>
  </conditionalFormatting>
  <conditionalFormatting sqref="B58:B59">
    <cfRule type="expression" dxfId="43" priority="53">
      <formula>$L58="N/A"</formula>
    </cfRule>
    <cfRule type="expression" dxfId="42" priority="54">
      <formula>AND($L58="Req'd",$B58="")</formula>
    </cfRule>
  </conditionalFormatting>
  <conditionalFormatting sqref="B60">
    <cfRule type="expression" dxfId="41" priority="50">
      <formula>$L60="N/A"</formula>
    </cfRule>
    <cfRule type="expression" dxfId="40" priority="51">
      <formula>AND($L60="Req'd",$B60="")</formula>
    </cfRule>
  </conditionalFormatting>
  <conditionalFormatting sqref="C59">
    <cfRule type="expression" dxfId="39" priority="49">
      <formula>$B59&lt;&gt;""</formula>
    </cfRule>
  </conditionalFormatting>
  <conditionalFormatting sqref="D59">
    <cfRule type="expression" dxfId="38" priority="48">
      <formula>$B59&lt;&gt;""</formula>
    </cfRule>
  </conditionalFormatting>
  <conditionalFormatting sqref="C48">
    <cfRule type="expression" dxfId="37" priority="45">
      <formula>$B48&lt;&gt;""</formula>
    </cfRule>
  </conditionalFormatting>
  <conditionalFormatting sqref="B48">
    <cfRule type="expression" dxfId="36" priority="46">
      <formula>$L48="N/A"</formula>
    </cfRule>
    <cfRule type="expression" dxfId="35" priority="47">
      <formula>AND($L48="Req'd",$B48="")</formula>
    </cfRule>
  </conditionalFormatting>
  <conditionalFormatting sqref="C60:D60">
    <cfRule type="expression" dxfId="34" priority="44">
      <formula>$B60&lt;&gt;""</formula>
    </cfRule>
  </conditionalFormatting>
  <conditionalFormatting sqref="C61:D61">
    <cfRule type="expression" dxfId="33" priority="43">
      <formula>$B61&lt;&gt;""</formula>
    </cfRule>
  </conditionalFormatting>
  <conditionalFormatting sqref="C62:D62">
    <cfRule type="expression" dxfId="32" priority="42">
      <formula>$B62&lt;&gt;""</formula>
    </cfRule>
  </conditionalFormatting>
  <conditionalFormatting sqref="B50">
    <cfRule type="expression" dxfId="31" priority="38">
      <formula>$L50="N/A"</formula>
    </cfRule>
    <cfRule type="expression" dxfId="30" priority="39">
      <formula>AND($L50="Req'd",$B50="")</formula>
    </cfRule>
  </conditionalFormatting>
  <conditionalFormatting sqref="B51:B52">
    <cfRule type="expression" dxfId="29" priority="36">
      <formula>$L51="N/A"</formula>
    </cfRule>
    <cfRule type="expression" dxfId="28" priority="37">
      <formula>AND($L51="Req'd",$B51="")</formula>
    </cfRule>
  </conditionalFormatting>
  <conditionalFormatting sqref="C54:D54">
    <cfRule type="expression" dxfId="27" priority="30">
      <formula>$B54&lt;&gt;""</formula>
    </cfRule>
  </conditionalFormatting>
  <conditionalFormatting sqref="C53:D53">
    <cfRule type="expression" dxfId="26" priority="33">
      <formula>$B53&lt;&gt;""</formula>
    </cfRule>
  </conditionalFormatting>
  <conditionalFormatting sqref="B53">
    <cfRule type="expression" dxfId="25" priority="34">
      <formula>$L53="N/A"</formula>
    </cfRule>
    <cfRule type="expression" dxfId="24" priority="35">
      <formula>AND($L53="Req'd",$B53="")</formula>
    </cfRule>
  </conditionalFormatting>
  <conditionalFormatting sqref="B54">
    <cfRule type="expression" dxfId="23" priority="31">
      <formula>$L54="N/A"</formula>
    </cfRule>
    <cfRule type="expression" dxfId="22" priority="32">
      <formula>AND($L54="Req'd",$B54="")</formula>
    </cfRule>
  </conditionalFormatting>
  <conditionalFormatting sqref="C50">
    <cfRule type="expression" dxfId="21" priority="29">
      <formula>$B50&lt;&gt;""</formula>
    </cfRule>
  </conditionalFormatting>
  <conditionalFormatting sqref="D50">
    <cfRule type="expression" dxfId="20" priority="28">
      <formula>$B50&lt;&gt;""</formula>
    </cfRule>
  </conditionalFormatting>
  <conditionalFormatting sqref="D51:D52">
    <cfRule type="expression" dxfId="19" priority="27">
      <formula>$B51&lt;&gt;""</formula>
    </cfRule>
  </conditionalFormatting>
  <conditionalFormatting sqref="C51">
    <cfRule type="expression" dxfId="18" priority="26">
      <formula>$B51&lt;&gt;""</formula>
    </cfRule>
  </conditionalFormatting>
  <conditionalFormatting sqref="D48">
    <cfRule type="expression" dxfId="17" priority="23">
      <formula>$B48&lt;&gt;""</formula>
    </cfRule>
  </conditionalFormatting>
  <conditionalFormatting sqref="B75:D75 B77:D77">
    <cfRule type="expression" dxfId="16" priority="21">
      <formula>$L75="N/A"</formula>
    </cfRule>
    <cfRule type="expression" dxfId="15" priority="22">
      <formula>AND($L75="Req'd",$B75="")</formula>
    </cfRule>
  </conditionalFormatting>
  <conditionalFormatting sqref="C46">
    <cfRule type="expression" dxfId="14" priority="20">
      <formula>$B46&lt;&gt;""</formula>
    </cfRule>
  </conditionalFormatting>
  <conditionalFormatting sqref="C52">
    <cfRule type="expression" dxfId="13" priority="19">
      <formula>$B52&lt;&gt;""</formula>
    </cfRule>
  </conditionalFormatting>
  <conditionalFormatting sqref="B143">
    <cfRule type="expression" dxfId="12" priority="17">
      <formula>$L143="N/A"</formula>
    </cfRule>
    <cfRule type="expression" dxfId="11" priority="18">
      <formula>AND($L143="Req'd",$B143="")</formula>
    </cfRule>
  </conditionalFormatting>
  <conditionalFormatting sqref="B24">
    <cfRule type="expression" dxfId="10" priority="15">
      <formula>$K24="N/A"</formula>
    </cfRule>
    <cfRule type="expression" dxfId="9" priority="16">
      <formula>AND($K24="Req'd",$B24="")</formula>
    </cfRule>
  </conditionalFormatting>
  <conditionalFormatting sqref="B49">
    <cfRule type="expression" dxfId="8" priority="8">
      <formula>$L49="N/A"</formula>
    </cfRule>
    <cfRule type="expression" dxfId="7" priority="9">
      <formula>AND($L49="Req'd",$B49="")</formula>
    </cfRule>
  </conditionalFormatting>
  <conditionalFormatting sqref="C49">
    <cfRule type="expression" dxfId="6" priority="6">
      <formula>$B49&lt;&gt;""</formula>
    </cfRule>
  </conditionalFormatting>
  <conditionalFormatting sqref="D49">
    <cfRule type="expression" dxfId="5" priority="7">
      <formula>$B49&lt;&gt;""</formula>
    </cfRule>
  </conditionalFormatting>
  <conditionalFormatting sqref="B76:D76">
    <cfRule type="expression" dxfId="4" priority="4">
      <formula>$L76="N/A"</formula>
    </cfRule>
    <cfRule type="expression" dxfId="3" priority="5">
      <formula>AND($L76="Req'd",$B76="")</formula>
    </cfRule>
  </conditionalFormatting>
  <conditionalFormatting sqref="C11:D11">
    <cfRule type="expression" dxfId="2" priority="1">
      <formula>$B11&lt;&gt;""</formula>
    </cfRule>
  </conditionalFormatting>
  <conditionalFormatting sqref="B11">
    <cfRule type="expression" dxfId="1" priority="2">
      <formula>$L11="N/A"</formula>
    </cfRule>
    <cfRule type="expression" dxfId="0" priority="3">
      <formula>AND($L11="Req'd",$B11="")</formula>
    </cfRule>
  </conditionalFormatting>
  <pageMargins left="0.7" right="0.7" top="0.75" bottom="0.75" header="0.3" footer="0.3"/>
  <pageSetup scale="72" fitToHeight="0" orientation="landscape" verticalDpi="300" r:id="rId1"/>
  <headerFooter alignWithMargins="0">
    <oddFooter>&amp;RPage &amp;P of &amp;N</oddFooter>
  </headerFooter>
  <rowBreaks count="2" manualBreakCount="2">
    <brk id="42" max="6" man="1"/>
    <brk id="85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Diesel Eng-DPF (575hp)</vt:lpstr>
      <vt:lpstr>'Diesel Eng-DPF (575hp)'!Print_Area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jleblanc</dc:creator>
  <cp:lastModifiedBy>Jones, David</cp:lastModifiedBy>
  <dcterms:created xsi:type="dcterms:W3CDTF">2018-07-31T11:18:33Z</dcterms:created>
  <dcterms:modified xsi:type="dcterms:W3CDTF">2020-03-18T22:28:25Z</dcterms:modified>
</cp:coreProperties>
</file>